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Repos/CU/Distribution_Systems/Project1/ECEN5437-Proj1/network-data/"/>
    </mc:Choice>
  </mc:AlternateContent>
  <xr:revisionPtr revIDLastSave="0" documentId="13_ncr:1_{EAA60558-0365-F343-B00E-AE8D88FB8548}" xr6:coauthVersionLast="47" xr6:coauthVersionMax="47" xr10:uidLastSave="{00000000-0000-0000-0000-000000000000}"/>
  <bookViews>
    <workbookView xWindow="33400" yWindow="-480" windowWidth="30240" windowHeight="18880" activeTab="3" xr2:uid="{7AEC5E2E-397B-8345-871E-9ED757579969}"/>
  </bookViews>
  <sheets>
    <sheet name="Buses" sheetId="7" r:id="rId1"/>
    <sheet name="LineGeometry" sheetId="1" r:id="rId2"/>
    <sheet name="Lines" sheetId="6" r:id="rId3"/>
    <sheet name="Regulators" sheetId="13" r:id="rId4"/>
    <sheet name="Transformers" sheetId="10" r:id="rId5"/>
    <sheet name="Meters" sheetId="12" r:id="rId6"/>
    <sheet name="Transformer Info" sheetId="9" r:id="rId7"/>
    <sheet name="Loads" sheetId="8" r:id="rId8"/>
    <sheet name="circuit" sheetId="11" r:id="rId9"/>
    <sheet name="Ref" sheetId="5" r:id="rId10"/>
    <sheet name="WireData" sheetId="2" r:id="rId11"/>
    <sheet name="CNData" sheetId="3" r:id="rId12"/>
    <sheet name="TSData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3" l="1"/>
  <c r="I3" i="13"/>
  <c r="J2" i="13"/>
  <c r="I2" i="13"/>
  <c r="F12" i="6" l="1"/>
  <c r="F13" i="6"/>
  <c r="F14" i="6"/>
  <c r="F15" i="6"/>
  <c r="F16" i="6"/>
  <c r="B2" i="8" s="1"/>
  <c r="F17" i="6"/>
  <c r="B3" i="8" s="1"/>
  <c r="F18" i="6"/>
  <c r="F19" i="6"/>
  <c r="F20" i="6"/>
  <c r="B7" i="8" s="1"/>
  <c r="F21" i="6"/>
  <c r="B8" i="8" s="1"/>
  <c r="F22" i="6"/>
  <c r="K2" i="10"/>
  <c r="K3" i="10"/>
  <c r="K4" i="10"/>
  <c r="K6" i="10"/>
  <c r="K8" i="10"/>
  <c r="L8" i="9"/>
  <c r="K5" i="10" s="1"/>
  <c r="F2" i="6"/>
  <c r="F3" i="6"/>
  <c r="F4" i="6"/>
  <c r="B10" i="8" s="1"/>
  <c r="F5" i="6"/>
  <c r="F6" i="6"/>
  <c r="B11" i="8" s="1"/>
  <c r="F7" i="6"/>
  <c r="F8" i="6"/>
  <c r="F9" i="6"/>
  <c r="B12" i="8" s="1"/>
  <c r="F10" i="6"/>
  <c r="F11" i="6"/>
  <c r="B5" i="8"/>
  <c r="B4" i="8"/>
  <c r="B9" i="8"/>
  <c r="F23" i="6"/>
  <c r="B14" i="8" s="1"/>
  <c r="F24" i="6"/>
  <c r="B15" i="8" s="1"/>
  <c r="F25" i="6"/>
  <c r="B24" i="8" s="1"/>
  <c r="F26" i="6"/>
  <c r="B25" i="8" s="1"/>
  <c r="F27" i="6"/>
  <c r="B26" i="8" s="1"/>
  <c r="F28" i="6"/>
  <c r="B27" i="8" s="1"/>
  <c r="F29" i="6"/>
  <c r="B17" i="8" s="1"/>
  <c r="F30" i="6"/>
  <c r="F31" i="6"/>
  <c r="F32" i="6"/>
  <c r="B18" i="8" s="1"/>
  <c r="F33" i="6"/>
  <c r="B19" i="8" s="1"/>
  <c r="F34" i="6"/>
  <c r="B20" i="8" s="1"/>
  <c r="F35" i="6"/>
  <c r="F36" i="6"/>
  <c r="B21" i="8" s="1"/>
  <c r="F37" i="6"/>
  <c r="B22" i="8" s="1"/>
  <c r="F38" i="6"/>
  <c r="B23" i="8" s="1"/>
  <c r="F39" i="6"/>
  <c r="B13" i="8" s="1"/>
  <c r="K7" i="10" l="1"/>
  <c r="L2" i="9"/>
  <c r="L3" i="9"/>
  <c r="L4" i="9"/>
  <c r="L5" i="9"/>
  <c r="L6" i="9"/>
  <c r="L7" i="9"/>
  <c r="L9" i="9"/>
  <c r="L10" i="9"/>
  <c r="D5" i="3"/>
  <c r="Q5" i="3" s="1"/>
  <c r="K2" i="2"/>
  <c r="D2" i="3" s="1"/>
  <c r="R2" i="3" s="1"/>
  <c r="K3" i="2"/>
  <c r="K4" i="2"/>
  <c r="D12" i="3" s="1"/>
  <c r="R12" i="3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K2" i="3"/>
  <c r="L2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K5" i="1"/>
  <c r="G5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D15" i="3" s="1"/>
  <c r="Q15" i="3" s="1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N2" i="10" l="1"/>
  <c r="N3" i="10"/>
  <c r="N4" i="10"/>
  <c r="N5" i="10"/>
  <c r="N6" i="10"/>
  <c r="N7" i="10"/>
  <c r="N8" i="10"/>
  <c r="D5" i="10"/>
  <c r="L5" i="10"/>
  <c r="D2" i="10"/>
  <c r="J5" i="10"/>
  <c r="I5" i="10"/>
  <c r="H5" i="10"/>
  <c r="M4" i="10"/>
  <c r="F5" i="10"/>
  <c r="M5" i="10"/>
  <c r="E5" i="10"/>
  <c r="G5" i="10"/>
  <c r="H2" i="10"/>
  <c r="F7" i="10"/>
  <c r="G3" i="10"/>
  <c r="E8" i="10"/>
  <c r="D7" i="10"/>
  <c r="E4" i="10"/>
  <c r="G8" i="10"/>
  <c r="I2" i="10"/>
  <c r="L6" i="10"/>
  <c r="M3" i="10"/>
  <c r="L3" i="10"/>
  <c r="L2" i="10"/>
  <c r="E3" i="10"/>
  <c r="G6" i="10"/>
  <c r="E2" i="10"/>
  <c r="H4" i="10"/>
  <c r="H3" i="10"/>
  <c r="D3" i="10"/>
  <c r="I8" i="10"/>
  <c r="I7" i="10"/>
  <c r="I6" i="10"/>
  <c r="J2" i="10"/>
  <c r="M6" i="10"/>
  <c r="G7" i="10"/>
  <c r="J8" i="10"/>
  <c r="B28" i="8" s="1"/>
  <c r="L4" i="10"/>
  <c r="D4" i="10"/>
  <c r="F8" i="10"/>
  <c r="J6" i="10"/>
  <c r="B16" i="8" s="1"/>
  <c r="G4" i="10"/>
  <c r="F6" i="10"/>
  <c r="M8" i="10"/>
  <c r="J3" i="10"/>
  <c r="M7" i="10"/>
  <c r="E7" i="10"/>
  <c r="F4" i="10"/>
  <c r="H8" i="10"/>
  <c r="E6" i="10"/>
  <c r="F3" i="10"/>
  <c r="H7" i="10"/>
  <c r="I4" i="10"/>
  <c r="L8" i="10"/>
  <c r="D6" i="10"/>
  <c r="M2" i="10"/>
  <c r="J7" i="10"/>
  <c r="J4" i="10"/>
  <c r="B6" i="8" s="1"/>
  <c r="G2" i="10"/>
  <c r="D8" i="10"/>
  <c r="F2" i="10"/>
  <c r="H6" i="10"/>
  <c r="I3" i="10"/>
  <c r="L7" i="10"/>
  <c r="D11" i="3"/>
  <c r="R11" i="3" s="1"/>
  <c r="D10" i="3"/>
  <c r="N10" i="3" s="1"/>
  <c r="D19" i="3"/>
  <c r="N19" i="3" s="1"/>
  <c r="D9" i="3"/>
  <c r="N9" i="3" s="1"/>
  <c r="D18" i="3"/>
  <c r="N18" i="3" s="1"/>
  <c r="D8" i="3"/>
  <c r="N8" i="3" s="1"/>
  <c r="D17" i="3"/>
  <c r="Q17" i="3" s="1"/>
  <c r="D7" i="3"/>
  <c r="Q7" i="3" s="1"/>
  <c r="D16" i="3"/>
  <c r="Q16" i="3" s="1"/>
  <c r="D6" i="3"/>
  <c r="Q6" i="3" s="1"/>
  <c r="D14" i="3"/>
  <c r="Q14" i="3" s="1"/>
  <c r="D4" i="3"/>
  <c r="Q4" i="3" s="1"/>
  <c r="D13" i="3"/>
  <c r="R13" i="3" s="1"/>
  <c r="D3" i="3"/>
  <c r="R3" i="3" s="1"/>
  <c r="U11" i="3"/>
  <c r="U10" i="3"/>
  <c r="U19" i="3"/>
  <c r="U9" i="3"/>
  <c r="U18" i="3"/>
  <c r="U8" i="3"/>
  <c r="U17" i="3"/>
  <c r="U7" i="3"/>
  <c r="U16" i="3"/>
  <c r="U6" i="3"/>
  <c r="U15" i="3"/>
  <c r="U5" i="3"/>
  <c r="U14" i="3"/>
  <c r="U4" i="3"/>
  <c r="U13" i="3"/>
  <c r="U3" i="3"/>
  <c r="U12" i="3"/>
  <c r="U2" i="3"/>
  <c r="R10" i="3"/>
  <c r="T11" i="3"/>
  <c r="S10" i="3"/>
  <c r="T10" i="3"/>
  <c r="T19" i="3"/>
  <c r="T8" i="3"/>
  <c r="T15" i="3"/>
  <c r="T5" i="3"/>
  <c r="N11" i="3"/>
  <c r="T14" i="3"/>
  <c r="T4" i="3"/>
  <c r="N2" i="3"/>
  <c r="Q2" i="3"/>
  <c r="T12" i="3"/>
  <c r="T2" i="3"/>
  <c r="N12" i="3"/>
  <c r="S11" i="3"/>
  <c r="S19" i="3"/>
  <c r="S9" i="3"/>
  <c r="N5" i="3"/>
  <c r="S7" i="3"/>
  <c r="O14" i="3"/>
  <c r="S16" i="3"/>
  <c r="O4" i="3"/>
  <c r="S15" i="3"/>
  <c r="S5" i="3"/>
  <c r="Q12" i="3"/>
  <c r="S14" i="3"/>
  <c r="S4" i="3"/>
  <c r="N16" i="3"/>
  <c r="Q11" i="3"/>
  <c r="S13" i="3"/>
  <c r="N15" i="3"/>
  <c r="Q10" i="3"/>
  <c r="S12" i="3"/>
  <c r="S2" i="3"/>
  <c r="N7" i="3"/>
  <c r="O15" i="3"/>
  <c r="O5" i="3"/>
  <c r="Q13" i="3"/>
  <c r="O13" i="3"/>
  <c r="O3" i="3"/>
  <c r="R19" i="3"/>
  <c r="N14" i="3"/>
  <c r="N4" i="3"/>
  <c r="O12" i="3"/>
  <c r="O2" i="3"/>
  <c r="R18" i="3"/>
  <c r="N13" i="3"/>
  <c r="N3" i="3"/>
  <c r="O11" i="3"/>
  <c r="Q19" i="3"/>
  <c r="R17" i="3"/>
  <c r="R7" i="3"/>
  <c r="O10" i="3"/>
  <c r="Q18" i="3"/>
  <c r="R16" i="3"/>
  <c r="R6" i="3"/>
  <c r="O19" i="3"/>
  <c r="O9" i="3"/>
  <c r="R15" i="3"/>
  <c r="R5" i="3"/>
  <c r="O18" i="3"/>
  <c r="O8" i="3"/>
  <c r="R14" i="3"/>
  <c r="R4" i="3"/>
  <c r="O17" i="3"/>
  <c r="O7" i="3"/>
  <c r="O16" i="3"/>
  <c r="O6" i="3"/>
  <c r="T18" i="3" l="1"/>
  <c r="Q8" i="3"/>
  <c r="R8" i="3"/>
  <c r="Q3" i="3"/>
  <c r="S3" i="3"/>
  <c r="S6" i="3"/>
  <c r="N6" i="3"/>
  <c r="T9" i="3"/>
  <c r="T6" i="3"/>
  <c r="Q9" i="3"/>
  <c r="S8" i="3"/>
  <c r="T16" i="3"/>
  <c r="N17" i="3"/>
  <c r="R9" i="3"/>
  <c r="S18" i="3"/>
  <c r="T3" i="3"/>
  <c r="T7" i="3"/>
  <c r="S17" i="3"/>
  <c r="T13" i="3"/>
  <c r="T17" i="3"/>
</calcChain>
</file>

<file path=xl/sharedStrings.xml><?xml version="1.0" encoding="utf-8"?>
<sst xmlns="http://schemas.openxmlformats.org/spreadsheetml/2006/main" count="786" uniqueCount="249">
  <si>
    <t>OH3p</t>
  </si>
  <si>
    <t>OH2p</t>
  </si>
  <si>
    <t>OH1p</t>
  </si>
  <si>
    <t>UG3p</t>
  </si>
  <si>
    <t>UG1p</t>
  </si>
  <si>
    <t>Size</t>
  </si>
  <si>
    <t>Stranding</t>
  </si>
  <si>
    <t>Material</t>
  </si>
  <si>
    <t>ACSR</t>
  </si>
  <si>
    <t>7 STRD</t>
  </si>
  <si>
    <t>Copper</t>
  </si>
  <si>
    <t>CLASS A</t>
  </si>
  <si>
    <t>AA</t>
  </si>
  <si>
    <t>6/1</t>
  </si>
  <si>
    <t>7/1</t>
  </si>
  <si>
    <t>AWG SLD</t>
  </si>
  <si>
    <t>1/0</t>
  </si>
  <si>
    <t>2/0</t>
  </si>
  <si>
    <t>3/0</t>
  </si>
  <si>
    <t>12 STRD</t>
  </si>
  <si>
    <t>3/8</t>
  </si>
  <si>
    <t>INCH STE</t>
  </si>
  <si>
    <t>Steel</t>
  </si>
  <si>
    <t>4/0</t>
  </si>
  <si>
    <t>19 STRD</t>
  </si>
  <si>
    <t>CON LAY</t>
  </si>
  <si>
    <t>26/7</t>
  </si>
  <si>
    <t>30/7</t>
  </si>
  <si>
    <t>CON LAG</t>
  </si>
  <si>
    <t>37 STRD</t>
  </si>
  <si>
    <t>54/7</t>
  </si>
  <si>
    <t>27/7</t>
  </si>
  <si>
    <t>30/19</t>
  </si>
  <si>
    <t>Type</t>
  </si>
  <si>
    <t>Full</t>
  </si>
  <si>
    <t>2(7×)</t>
  </si>
  <si>
    <t>10 × 14</t>
  </si>
  <si>
    <t>1(19×)</t>
  </si>
  <si>
    <t>13 × 14</t>
  </si>
  <si>
    <t>1/0(19×)</t>
  </si>
  <si>
    <t>16 × 14</t>
  </si>
  <si>
    <t>2/0(19×)</t>
  </si>
  <si>
    <t>13 × 12</t>
  </si>
  <si>
    <t>3/0(19×)</t>
  </si>
  <si>
    <t>16 × 12</t>
  </si>
  <si>
    <t>4/0(19×)</t>
  </si>
  <si>
    <t>13 × 10</t>
  </si>
  <si>
    <t>250(37×)</t>
  </si>
  <si>
    <t>16 × 10</t>
  </si>
  <si>
    <t>350(37×)</t>
  </si>
  <si>
    <t>20 × 10</t>
  </si>
  <si>
    <t>6 × 14</t>
  </si>
  <si>
    <t>7 × 14</t>
  </si>
  <si>
    <t>9 × 14</t>
  </si>
  <si>
    <t>11 × 14</t>
  </si>
  <si>
    <t>18 × 14</t>
  </si>
  <si>
    <t>500(37×)</t>
  </si>
  <si>
    <t>750(61×)</t>
  </si>
  <si>
    <t>15 × 10</t>
  </si>
  <si>
    <t>1/3</t>
  </si>
  <si>
    <t>Neutral Ampacity</t>
  </si>
  <si>
    <t>Conductor Size</t>
  </si>
  <si>
    <t>Diameter Over Insulation (in)</t>
  </si>
  <si>
    <t>Diameter Over Screen (in)</t>
  </si>
  <si>
    <t>Outside Diameter</t>
  </si>
  <si>
    <t>Copper Neutral</t>
  </si>
  <si>
    <t>Ampacity in Underground Duct (A)</t>
  </si>
  <si>
    <t>Jacket Thickness (mils)</t>
  </si>
  <si>
    <t>Ampacity in UG Duct (A)</t>
  </si>
  <si>
    <t>Rated Voltage (kV)</t>
  </si>
  <si>
    <t>OH</t>
  </si>
  <si>
    <t>CN</t>
  </si>
  <si>
    <t>TS</t>
  </si>
  <si>
    <t>Voltage Rating (kV)</t>
  </si>
  <si>
    <t>2/0__ACSR</t>
  </si>
  <si>
    <t>1/0__ACSR</t>
  </si>
  <si>
    <t>1/3_2/0(19×)</t>
  </si>
  <si>
    <t>1/3_3/0(19×)</t>
  </si>
  <si>
    <t>mi</t>
  </si>
  <si>
    <t>kft</t>
  </si>
  <si>
    <t>km</t>
  </si>
  <si>
    <t>ft</t>
  </si>
  <si>
    <t>in</t>
  </si>
  <si>
    <t>cm</t>
  </si>
  <si>
    <t>Units</t>
  </si>
  <si>
    <t>Runits</t>
  </si>
  <si>
    <t>k</t>
  </si>
  <si>
    <t>GMRac</t>
  </si>
  <si>
    <t>GmrStrand</t>
  </si>
  <si>
    <t>Rac</t>
  </si>
  <si>
    <t>Rstrand</t>
  </si>
  <si>
    <t>Phase Conductor Name</t>
  </si>
  <si>
    <t>Neutral Strand AWG</t>
  </si>
  <si>
    <t>Diam</t>
  </si>
  <si>
    <t>normamps</t>
  </si>
  <si>
    <t>rac</t>
  </si>
  <si>
    <t>GMRunits</t>
  </si>
  <si>
    <t>Size_Material</t>
  </si>
  <si>
    <t>3/0_CLASS A_AA</t>
  </si>
  <si>
    <t>2/0_CLASS A_AA</t>
  </si>
  <si>
    <t>1_x</t>
  </si>
  <si>
    <t>1_z</t>
  </si>
  <si>
    <t>2_x</t>
  </si>
  <si>
    <t>2_z</t>
  </si>
  <si>
    <t>3_x</t>
  </si>
  <si>
    <t>3_z</t>
  </si>
  <si>
    <t>4_x</t>
  </si>
  <si>
    <t>4_z</t>
  </si>
  <si>
    <t>Radunits</t>
  </si>
  <si>
    <t>n0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</si>
  <si>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</si>
  <si>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</si>
  <si>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</si>
  <si>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</si>
  <si>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</si>
  <si>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</si>
  <si>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</si>
  <si>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</si>
  <si>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</si>
  <si>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</si>
  <si>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n5</t>
  </si>
  <si>
    <t>n6</t>
  </si>
  <si>
    <t>n7</t>
  </si>
  <si>
    <t>n8</t>
  </si>
  <si>
    <t>n1</t>
  </si>
  <si>
    <t>n2</t>
  </si>
  <si>
    <t>n3</t>
  </si>
  <si>
    <t>n4</t>
  </si>
  <si>
    <t>n10</t>
  </si>
  <si>
    <t>n11</t>
  </si>
  <si>
    <t>n12</t>
  </si>
  <si>
    <t>n13</t>
  </si>
  <si>
    <t>n26</t>
  </si>
  <si>
    <t>n27</t>
  </si>
  <si>
    <t>n39</t>
  </si>
  <si>
    <t>n40</t>
  </si>
  <si>
    <t>n41</t>
  </si>
  <si>
    <t>n42</t>
  </si>
  <si>
    <t>n43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</si>
  <si>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</si>
  <si>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</si>
  <si>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</si>
  <si>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</si>
  <si>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</si>
  <si>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</si>
  <si>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</si>
  <si>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</si>
  <si>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</si>
  <si>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</si>
  <si>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LineGeo</t>
  </si>
  <si>
    <t>Length</t>
  </si>
  <si>
    <t>Bus</t>
  </si>
  <si>
    <t>Graph_Loc_x</t>
  </si>
  <si>
    <t>Graph_Loc_y</t>
  </si>
  <si>
    <t>src_node</t>
  </si>
  <si>
    <t>n9</t>
  </si>
  <si>
    <t>n24</t>
  </si>
  <si>
    <t>n25</t>
  </si>
  <si>
    <t>n28</t>
  </si>
  <si>
    <t>kW</t>
  </si>
  <si>
    <t>kVAr</t>
  </si>
  <si>
    <t>n44</t>
  </si>
  <si>
    <t>LineGeometry</t>
  </si>
  <si>
    <t>bus1</t>
  </si>
  <si>
    <t>bus2</t>
  </si>
  <si>
    <t>runits</t>
  </si>
  <si>
    <t>diam</t>
  </si>
  <si>
    <t>DiaCable</t>
  </si>
  <si>
    <t>DiaIns</t>
  </si>
  <si>
    <t>DiaStrand</t>
  </si>
  <si>
    <t>Nconds</t>
  </si>
  <si>
    <t>Nphases</t>
  </si>
  <si>
    <t>phase_cond</t>
  </si>
  <si>
    <t>neutral_cond</t>
  </si>
  <si>
    <t>ac</t>
  </si>
  <si>
    <t>abc</t>
  </si>
  <si>
    <t>cond_pos</t>
  </si>
  <si>
    <t>b</t>
  </si>
  <si>
    <t>ab</t>
  </si>
  <si>
    <t>bc</t>
  </si>
  <si>
    <t>a</t>
  </si>
  <si>
    <t>c</t>
  </si>
  <si>
    <t>kV_hv</t>
  </si>
  <si>
    <t>kV_lv</t>
  </si>
  <si>
    <t>kVA_hv</t>
  </si>
  <si>
    <t>kVA_lv</t>
  </si>
  <si>
    <t>Conn_hv</t>
  </si>
  <si>
    <t>Conn_lv</t>
  </si>
  <si>
    <t>Phases</t>
  </si>
  <si>
    <t>R</t>
  </si>
  <si>
    <t>X</t>
  </si>
  <si>
    <t>delta</t>
  </si>
  <si>
    <t>wye</t>
  </si>
  <si>
    <t>xfmr</t>
  </si>
  <si>
    <t>name</t>
  </si>
  <si>
    <t>phases</t>
  </si>
  <si>
    <t>3p_120_12.47_2000_dw</t>
  </si>
  <si>
    <t>3p_12.47_0.416_150_wd</t>
  </si>
  <si>
    <t>3p_12.47_0.416_300_wd</t>
  </si>
  <si>
    <t>1p_7.2_0.24_50_ww</t>
  </si>
  <si>
    <t>OH3pD</t>
  </si>
  <si>
    <t>bus</t>
  </si>
  <si>
    <t>pu</t>
  </si>
  <si>
    <t>R_1</t>
  </si>
  <si>
    <t>X_1</t>
  </si>
  <si>
    <t>R_0</t>
  </si>
  <si>
    <t>slack_bus</t>
  </si>
  <si>
    <t>basekv</t>
  </si>
  <si>
    <t>X_0</t>
  </si>
  <si>
    <t>1.2.3</t>
  </si>
  <si>
    <t>2.3.1</t>
  </si>
  <si>
    <t>3.1.2</t>
  </si>
  <si>
    <t>1.3.2</t>
  </si>
  <si>
    <t>2.1.3</t>
  </si>
  <si>
    <t>3.2.1</t>
  </si>
  <si>
    <t>delta.delta</t>
  </si>
  <si>
    <t>delta.wye</t>
  </si>
  <si>
    <t>wye.delta</t>
  </si>
  <si>
    <t>wye.wye</t>
  </si>
  <si>
    <t>wnd1_terms</t>
  </si>
  <si>
    <t>wnd2_terms</t>
  </si>
  <si>
    <t>nll</t>
  </si>
  <si>
    <t>windings</t>
  </si>
  <si>
    <t>Windings</t>
  </si>
  <si>
    <t>wnd3_terms</t>
  </si>
  <si>
    <t>kV1</t>
  </si>
  <si>
    <t>kV2</t>
  </si>
  <si>
    <t>kVA1</t>
  </si>
  <si>
    <t>kVA2</t>
  </si>
  <si>
    <t>conn1</t>
  </si>
  <si>
    <t>conn2</t>
  </si>
  <si>
    <t>Line</t>
  </si>
  <si>
    <t>Transformer</t>
  </si>
  <si>
    <t>CondPos</t>
  </si>
  <si>
    <t>kV</t>
  </si>
  <si>
    <t>2p_12.47_0.416_75_dd</t>
  </si>
  <si>
    <t>kVA</t>
  </si>
  <si>
    <t>vreg</t>
  </si>
  <si>
    <t>band</t>
  </si>
  <si>
    <t>vbase</t>
  </si>
  <si>
    <t>CTprim</t>
  </si>
  <si>
    <t>delay</t>
  </si>
  <si>
    <t>tapdelay</t>
  </si>
  <si>
    <t>CTsec</t>
  </si>
  <si>
    <t>LTC</t>
  </si>
  <si>
    <t>Line Regulator</t>
  </si>
  <si>
    <t>gang_operated</t>
  </si>
  <si>
    <t>type</t>
  </si>
  <si>
    <t>conn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</si>
</sst>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0" borderId="3" xfId="1" applyNumberFormat="1" applyFont="1" applyFill="1" applyBorder="1"/>
    <xf numFmtId="1" fontId="0" fillId="0" borderId="0" xfId="1" applyNumberFormat="1" applyFont="1" applyFill="1" applyBorder="1"/>
    <xf numFmtId="0" fontId="4" fillId="0" borderId="0" xfId="0" applyFont="1"/>
    <xf numFmtId="0" fontId="2" fillId="0" borderId="0" xfId="0" applyFont="1"/>
    <xf numFmtId="1" fontId="4" fillId="0" borderId="0" xfId="0" applyNumberFormat="1" applyFont="1"/>
    <xf numFmtId="0" fontId="0" fillId="0" borderId="0" xfId="0" applyNumberFormat="1"/>
    <xf numFmtId="0" fontId="5" fillId="2" borderId="4" xfId="0" applyFont="1" applyFill="1" applyBorder="1"/>
    <xf numFmtId="0" fontId="5" fillId="2" borderId="5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Border="1"/>
    <xf numFmtId="0" fontId="0" fillId="0" borderId="0" xfId="0" applyFont="1" applyBorder="1"/>
    <xf numFmtId="0" fontId="2" fillId="0" borderId="0" xfId="0" applyFont="1" applyFill="1"/>
    <xf numFmtId="49" fontId="4" fillId="0" borderId="0" xfId="0" applyNumberFormat="1" applyFont="1"/>
  </cellXfs>
  <cellStyles count="2">
    <cellStyle name="Normal" xfId="0" builtinId="0"/>
    <cellStyle name="Percent" xfId="1" builtinId="5"/>
  </cellStyles>
  <dxfs count="9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240ADB-710B-E440-9B4B-064F1493B981}" name="Buses" displayName="Buses" ref="A1:C47" totalsRowShown="0" dataDxfId="93">
  <autoFilter ref="A1:C47" xr:uid="{43240ADB-710B-E440-9B4B-064F1493B981}">
    <filterColumn colId="0" hiddenButton="1"/>
    <filterColumn colId="1" hiddenButton="1"/>
    <filterColumn colId="2" hiddenButton="1"/>
  </autoFilter>
  <tableColumns count="3">
    <tableColumn id="1" xr3:uid="{37E9F5EA-051D-BE40-B622-31D4B83CE6AA}" name="Bus" dataDxfId="92"/>
    <tableColumn id="2" xr3:uid="{41D4B11A-15CC-A540-9052-95C4F3006357}" name="Graph_Loc_x" dataDxfId="91"/>
    <tableColumn id="3" xr3:uid="{871540F1-C33C-6346-9F71-C67E6A5F5C63}" name="Graph_Loc_y" dataDxfId="9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E6DD9-1E95-E144-A54E-7BD8668CA6E8}" name="Units" displayName="Units" ref="C1:C7" headerRowCount="0" totalsRowShown="0">
  <tableColumns count="1">
    <tableColumn id="1" xr3:uid="{D4C1F671-A0A2-9147-89DB-D689DF977101}" name="Column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FB5798-3249-9746-9DD5-608AFE9823D7}" name="Phases" displayName="Phases" ref="E1:E7" headerRowCount="0" totalsRowShown="0">
  <tableColumns count="1">
    <tableColumn id="1" xr3:uid="{A5FD9FF9-B621-734F-9BCC-F153897F2CAB}" name="Column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D394314-B822-6C40-97B4-4F5CADFC1074}" name="xfmr_config" displayName="xfmr_config" ref="M1:M2" headerRowCount="0" totalsRowShown="0">
  <tableColumns count="1">
    <tableColumn id="1" xr3:uid="{C224F9D5-0D1E-D648-9018-6D26270395C2}" name="Column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F3073CA-6F2C-7643-A086-B783E9581317}" name="delta.delta" displayName="delta.delta" ref="H2:H7" headerRowCount="0" totalsRowShown="0" headerRowDxfId="23" dataDxfId="24" tableBorderDxfId="26">
  <tableColumns count="1">
    <tableColumn id="1" xr3:uid="{50958CF2-21D9-984F-97B5-085C4560A350}" name="Column1" headerRowDxfId="22" dataDxfId="2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9D1A629-368D-0B4B-8525-B86A48878238}" name="delta.wye" displayName="delta.wye" ref="I2:I5" headerRowCount="0" totalsRowShown="0" headerRowDxfId="20" tableBorderDxfId="21">
  <tableColumns count="1">
    <tableColumn id="1" xr3:uid="{A3625009-C857-274F-A122-CFD46E3541C5}" name="Column1" headerRowDxfId="1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6E2BF91-ACF1-C849-9AC2-F7ED9921C73E}" name="wye.delta" displayName="wye.delta" ref="J2:J5" headerRowCount="0" totalsRowShown="0" headerRowDxfId="17" tableBorderDxfId="18">
  <tableColumns count="1">
    <tableColumn id="1" xr3:uid="{147B4193-B138-D749-BACA-A6E839012CE7}" name="Column1" headerRowDxfId="1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2FF552F-94F8-5F4A-A3CD-0CF8C4344854}" name="wye.wye" displayName="wye.wye" ref="K2:K3" headerRowCount="0" totalsRowShown="0" headerRowDxfId="14" tableBorderDxfId="15">
  <tableColumns count="1">
    <tableColumn id="1" xr3:uid="{9713DCA2-8057-6941-AB28-861C6CAD34E9}" name="Column1" headerRowDxfId="1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85F963E-7E0D-DA40-BC57-8F71010CE834}" name="Terminals" displayName="Terminals" ref="O1:O15" headerRowCount="0" totalsRowShown="0" headerRowDxfId="11" dataDxfId="10">
  <tableColumns count="1">
    <tableColumn id="1" xr3:uid="{B57E695F-4DAF-C041-9D98-90DA0E9FCF30}" name="Column1" dataDxfId="1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C66977E-132E-CD40-9247-9F596B6AB81A}" name="MeterElement" displayName="MeterElement" ref="Q1:Q2" headerRowCount="0" totalsRowShown="0">
  <tableColumns count="1">
    <tableColumn id="1" xr3:uid="{555D147D-0928-4C49-89D1-583C518DA5CB}" name="Column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9012749-ADB5-0341-AF22-07D1487AEE43}" name="bool" displayName="bool" ref="S1:S2" headerRowCount="0" totalsRowShown="0">
  <tableColumns count="1">
    <tableColumn id="1" xr3:uid="{24BA7888-D19F-8140-9509-C843591C8D6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F27DE9-2ECA-6A4E-84A5-C298787FAAED}" name="LineGeo" displayName="LineGeo" ref="A1:P7" totalsRowShown="0">
  <autoFilter ref="A1:P7" xr:uid="{0AF27DE9-2ECA-6A4E-84A5-C298787FAA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2280FF94-C83E-444E-8E42-3510351A4DF6}" name="LineGeo"/>
    <tableColumn id="2" xr3:uid="{3DDFC765-300B-7846-9085-AB03B6A261F4}" name="Type"/>
    <tableColumn id="3" xr3:uid="{02F910B6-BE16-CE4C-89A1-71F43049235B}" name="phase_cond"/>
    <tableColumn id="4" xr3:uid="{520CD3FE-AB23-3943-8829-73CAAC013F53}" name="neutral_cond" dataDxfId="89">
      <calculatedColumnFormula>IF(LineGeo[[#This Row],[Type]]="OH",1,0)</calculatedColumnFormula>
    </tableColumn>
    <tableColumn id="13" xr3:uid="{DE9BDE1B-5E39-604D-9957-E0C3A3473BC8}" name="Nphases"/>
    <tableColumn id="14" xr3:uid="{A59E67A1-D1C4-254C-9BE2-796679103A71}" name="Nconds"/>
    <tableColumn id="5" xr3:uid="{7F74CB42-995F-3446-92C4-BDF24C8452BF}" name="1_x"/>
    <tableColumn id="6" xr3:uid="{B455EBCF-14BE-7647-8388-140F641BA11E}" name="1_z"/>
    <tableColumn id="7" xr3:uid="{6506C10F-9F62-5C4E-BFD2-1AB87F349ECA}" name="2_x"/>
    <tableColumn id="8" xr3:uid="{0D2A84D3-3D0E-A24F-90E2-AA0E6A3F2051}" name="2_z"/>
    <tableColumn id="9" xr3:uid="{022976D1-9937-8D45-8FBA-CB02DE3BB052}" name="3_x"/>
    <tableColumn id="10" xr3:uid="{C4EA44B5-38D8-2B40-8B11-98D0B4BF5265}" name="3_z"/>
    <tableColumn id="11" xr3:uid="{F2274653-629E-134E-BBF5-C325DBF3EA16}" name="4_x"/>
    <tableColumn id="12" xr3:uid="{BD8B48A0-76F9-974B-9D8A-D27303D1602B}" name="4_z"/>
    <tableColumn id="15" xr3:uid="{25261513-8FAF-4F4C-AB29-7DAD255766AB}" name="Units"/>
    <tableColumn id="16" xr3:uid="{5C4EE22D-BF12-B440-B404-EE8CFF19B8DA}" name="cond_po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8B74F89-8C69-4646-999E-90CA377EC508}" name="RegType" displayName="RegType" ref="U1:U2" headerRowCount="0" totalsRowShown="0">
  <tableColumns count="1">
    <tableColumn id="1" xr3:uid="{93757295-DECB-A342-BB2A-A812C879A53F}" name="Column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B8847-4274-D04D-A64C-15B4CD5C8D60}" name="OH" displayName="OH" ref="A1:K100" totalsRowShown="0">
  <autoFilter ref="A1:K100" xr:uid="{E4FB8847-4274-D04D-A64C-15B4CD5C8D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903BA16-38F3-EE44-A1B4-2B0F344DDB1D}" name="Type" dataDxfId="65">
      <calculatedColumnFormula>_xlfn.CONCAT(OH[[#This Row],[Size]], "_",OH[[#This Row],[Stranding]], "_", OH[[#This Row],[Material]])</calculatedColumnFormula>
    </tableColumn>
    <tableColumn id="2" xr3:uid="{B69CA351-3694-B545-8563-7479CF50BC67}" name="Size" dataDxfId="64"/>
    <tableColumn id="3" xr3:uid="{3576FC0F-75EE-6F4B-B709-5C5715FE540E}" name="Stranding"/>
    <tableColumn id="4" xr3:uid="{C31618D9-7DA8-804A-A013-69A802FF7774}" name="Material"/>
    <tableColumn id="5" xr3:uid="{804C85FC-06A5-4645-A278-FD8271A5F0ED}" name="Diam"/>
    <tableColumn id="6" xr3:uid="{ED80EC98-63E4-C94C-BAF3-F13294EE8381}" name="GMRac"/>
    <tableColumn id="7" xr3:uid="{41A91B17-FB89-1F4F-899A-3761661447FD}" name="rac"/>
    <tableColumn id="8" xr3:uid="{C9144B25-D7C0-D444-8605-CEBD77A9171D}" name="normamps"/>
    <tableColumn id="13" xr3:uid="{041E70E4-975E-254A-81CF-95C5EF9E73D2}" name="GMRunits" dataDxfId="63">
      <calculatedColumnFormula>"ft"</calculatedColumnFormula>
    </tableColumn>
    <tableColumn id="14" xr3:uid="{2AEFB39D-D6D8-D14D-A990-9BB4F5164639}" name="runits" dataDxfId="62">
      <calculatedColumnFormula>"mi"</calculatedColumnFormula>
    </tableColumn>
    <tableColumn id="15" xr3:uid="{21A61F38-5A94-2142-A9A8-D6E0BB77AB1E}" name="Size_Material" dataDxfId="61">
      <calculatedColumnFormula>_xlfn.CONCAT(OH[[#This Row],[Size]], "_", OH[[#This Row],[Material]])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1274D6-1D68-5542-8D94-45D5C86243F5}" name="CN" displayName="CN" ref="A1:V19" totalsRowShown="0" headerRowDxfId="60" dataDxfId="59" tableBorderDxfId="58">
  <autoFilter ref="A1:V19" xr:uid="{661274D6-1D68-5542-8D94-45D5C86243F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9" xr3:uid="{869F190C-19C4-2243-84CA-F6CB8F4281C2}" name="Type" dataDxfId="57">
      <calculatedColumnFormula>_xlfn.CONCAT(CN[[#This Row],[Neutral Ampacity]], "_", CN[[#This Row],[Conductor Size]])</calculatedColumnFormula>
    </tableColumn>
    <tableColumn id="1" xr3:uid="{1DFBB787-8CEC-A946-969E-C8B3E35D5AEB}" name="Neutral Ampacity" dataDxfId="56"/>
    <tableColumn id="2" xr3:uid="{EFDAEEF3-E5BA-4B49-BA44-2340320EA290}" name="Conductor Size" dataDxfId="55"/>
    <tableColumn id="18" xr3:uid="{703A2A0A-5882-4349-9ACB-A05C1C032238}" name="Phase Conductor Name" dataDxfId="54">
      <calculatedColumnFormula>_xlfn.XLOOKUP(_xlfn.CONCAT(LEFT(CN[[#This Row],[Conductor Size]], SEARCH("(", CN[[#This Row],[Conductor Size]])-1), "_AA"), OH[Size_Material], OH[Type], NA(),-1)</calculatedColumnFormula>
    </tableColumn>
    <tableColumn id="3" xr3:uid="{8E5F5E70-58CE-0D4E-A970-1B53EA80FE07}" name="DiaIns" dataDxfId="53"/>
    <tableColumn id="4" xr3:uid="{D154B6B5-D516-AC44-879B-B0BC6ACADF64}" name="Diameter Over Screen (in)" dataDxfId="52"/>
    <tableColumn id="5" xr3:uid="{51092775-E14C-4945-BD12-6F609313AC1A}" name="DiaCable" dataDxfId="51"/>
    <tableColumn id="6" xr3:uid="{FE25AF87-2C02-C642-B28A-81AF2224011F}" name="Copper Neutral" dataDxfId="50"/>
    <tableColumn id="7" xr3:uid="{167EFF3D-5388-5C47-9405-F0CE90C78333}" name="Ampacity in Underground Duct (A)" dataDxfId="49"/>
    <tableColumn id="8" xr3:uid="{D4CA2780-FAB4-FE44-BAA2-A16B53A68DE8}" name="Voltage Rating (kV)" dataDxfId="48"/>
    <tableColumn id="11" xr3:uid="{830817DB-B122-D444-8DFC-58C1CE7D7901}" name="Neutral Strand AWG" dataDxfId="47" dataCellStyle="Percent">
      <calculatedColumnFormula>VALUE(RIGHT(CN[[#This Row],[Copper Neutral]],2))</calculatedColumnFormula>
    </tableColumn>
    <tableColumn id="10" xr3:uid="{A0775550-BA03-5542-A01E-64482C59971C}" name="Rstrand" dataDxfId="46">
      <calculatedColumnFormula>_xlfn.XLOOKUP(CN[[#This Row],[Neutral Strand AWG]], OH[Size], OH[rac])</calculatedColumnFormula>
    </tableColumn>
    <tableColumn id="12" xr3:uid="{4B541559-291A-4941-9353-F59C621A9E18}" name="k" dataDxfId="45">
      <calculatedColumnFormula>VALUE(LEFT(CN[[#This Row],[Copper Neutral]], SEARCH(" ",CN[[#This Row],[Copper Neutral]])-1))</calculatedColumnFormula>
    </tableColumn>
    <tableColumn id="13" xr3:uid="{60128454-1EE5-9C4B-9AA2-D0CE6F9C4CF7}" name="GMRac" dataDxfId="44">
      <calculatedColumnFormula>_xlfn.XLOOKUP(CN[[#This Row],[Phase Conductor Name]], OH[Type], OH[GMRac])</calculatedColumnFormula>
    </tableColumn>
    <tableColumn id="14" xr3:uid="{AA242217-BC74-AB48-8D9A-86A3970B8399}" name="GmrStrand" dataDxfId="43">
      <calculatedColumnFormula>_xlfn.XLOOKUP(CN[[#This Row],[Neutral Strand AWG]], OH[Size], OH[GMRac])</calculatedColumnFormula>
    </tableColumn>
    <tableColumn id="15" xr3:uid="{BDF03C79-D2AE-394A-9557-0FEAE0AA392C}" name="GMRunits" dataDxfId="42"/>
    <tableColumn id="16" xr3:uid="{E6B7FA4C-2968-AE41-84BD-9EA25CF9A089}" name="Rac" dataDxfId="41">
      <calculatedColumnFormula>_xlfn.XLOOKUP(CN[[#This Row],[Phase Conductor Name]],OH[Type], OH[rac])</calculatedColumnFormula>
    </tableColumn>
    <tableColumn id="17" xr3:uid="{60CA6D09-ACAD-FA47-9A7F-D8BCB54C2191}" name="Runits" dataDxfId="40">
      <calculatedColumnFormula>_xlfn.XLOOKUP(CN[[#This Row],[Phase Conductor Name]],OH[Type], OH[runits])</calculatedColumnFormula>
    </tableColumn>
    <tableColumn id="19" xr3:uid="{A335B60A-8482-494F-9920-64B3CC7615EB}" name="diam" dataDxfId="39">
      <calculatedColumnFormula>_xlfn.XLOOKUP(CN[[#This Row],[Phase Conductor Name]],OH[Type], OH[Diam])</calculatedColumnFormula>
    </tableColumn>
    <tableColumn id="20" xr3:uid="{D37687B3-1580-7845-A711-F39AB1A49147}" name="normamps" dataDxfId="38">
      <calculatedColumnFormula>_xlfn.XLOOKUP(CN[[#This Row],[Phase Conductor Name]],OH[Type], OH[normamps])</calculatedColumnFormula>
    </tableColumn>
    <tableColumn id="22" xr3:uid="{D2E6A1F4-79B9-0D45-BE31-8E41DE3A29BC}" name="DiaStrand" dataDxfId="37">
      <calculatedColumnFormula>_xlfn.XLOOKUP(CN[[#This Row],[Neutral Strand AWG]], OH[Size], OH[Diam])</calculatedColumnFormula>
    </tableColumn>
    <tableColumn id="23" xr3:uid="{E3B20767-C678-7E4D-8C37-6DA7A2305EDB}" name="Radunits" dataDxfId="3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01E9F-2651-EF45-A492-F190721E7BE9}" name="TS" displayName="TS" ref="A1:G10" totalsRowShown="0" headerRowDxfId="35" dataDxfId="34">
  <autoFilter ref="A1:G10" xr:uid="{13D01E9F-2651-EF45-A492-F190721E7B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9CDDA2D-9812-404F-A70E-F8C42AD526DB}" name="Type" dataDxfId="33"/>
    <tableColumn id="2" xr3:uid="{C1A0B38B-F04B-0A4C-913A-B68BB0D6C78E}" name="Diameter Over Insulation (in)" dataDxfId="32"/>
    <tableColumn id="3" xr3:uid="{D6D141BB-2B57-4B4B-8667-6762392800DB}" name="Diameter Over Screen (in)" dataDxfId="31"/>
    <tableColumn id="4" xr3:uid="{401114E4-AC5F-DA47-A949-534E36354F8D}" name="Jacket Thickness (mils)" dataDxfId="30"/>
    <tableColumn id="5" xr3:uid="{244E8C6F-E27A-B344-A042-CF80AF18FA7C}" name="Outside Diameter" dataDxfId="29"/>
    <tableColumn id="6" xr3:uid="{D80F22EC-CB8C-E549-AC7C-4BA81E9F5164}" name="Ampacity in UG Duct (A)" dataDxfId="28"/>
    <tableColumn id="7" xr3:uid="{A989CB28-4027-F249-A88C-9A2D66CB1557}" name="Rated Voltage (kV)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D9EB82-8B48-7449-95A6-3BE76017FBF1}" name="Lines" displayName="Lines" ref="A1:F39" totalsRowShown="0" headerRowDxfId="88" dataDxfId="87">
  <autoFilter ref="A1:F39" xr:uid="{12D9EB82-8B48-7449-95A6-3BE76017FB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526205E-98EF-F34B-B24D-F8218A008415}" name="bus1" dataDxfId="86"/>
    <tableColumn id="2" xr3:uid="{D2CD9147-9358-C04D-8316-3FB3A9A16CB0}" name="bus2" dataDxfId="85"/>
    <tableColumn id="3" xr3:uid="{99BA8C9D-330B-A24F-BC6C-A45D5466D8F3}" name="Length" dataDxfId="84"/>
    <tableColumn id="4" xr3:uid="{24B6C05D-6629-B248-BB9C-1AF1BAA7ADB7}" name="LineGeometry" dataDxfId="83"/>
    <tableColumn id="5" xr3:uid="{CDFF2292-878E-CE4B-BF6E-6CE7168C35B8}" name="Units" dataDxfId="82"/>
    <tableColumn id="6" xr3:uid="{A8C38B34-2B32-C444-89AA-FDCCE25A82B7}" name="phases" dataDxfId="81">
      <calculatedColumnFormula>_xlfn.XLOOKUP(Lines[[#This Row],[LineGeometry]],LineGeo[LineGeo],LineGeo[Nphases],0,0)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81C8915-A75B-ED43-95A0-D72233099B0F}" name="Regulators" displayName="Regulators" ref="A1:M4" totalsRowShown="0">
  <autoFilter ref="A1:M4" xr:uid="{D81C8915-A75B-ED43-95A0-D72233099B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DD9993CA-F636-F542-8A5B-6DAC073E79A9}" name="bus"/>
    <tableColumn id="3" xr3:uid="{84FEDC1F-56C2-BB45-865C-C02F4D8EC141}" name="kVA"/>
    <tableColumn id="4" xr3:uid="{404E61D9-A76D-0C45-96A5-4A4A712B4B26}" name="phases"/>
    <tableColumn id="5" xr3:uid="{179BA37A-338D-1347-BF3A-C124700B7B2D}" name="vbase"/>
    <tableColumn id="6" xr3:uid="{D042B939-F5F9-214A-A065-F2166F8106E2}" name="vreg"/>
    <tableColumn id="7" xr3:uid="{2E6849E2-BBE5-CD4D-B609-0AE8DC587667}" name="band"/>
    <tableColumn id="8" xr3:uid="{D48784CE-6023-4848-AD45-7879BBE634CD}" name="CTprim"/>
    <tableColumn id="9" xr3:uid="{749082FB-86EF-7F42-8281-B562EE77C531}" name="CTsec"/>
    <tableColumn id="10" xr3:uid="{A7506B33-3767-7B43-95E3-F8C20357BA5B}" name="delay" dataDxfId="1">
      <calculatedColumnFormula>5*60</calculatedColumnFormula>
    </tableColumn>
    <tableColumn id="11" xr3:uid="{144DC39C-081C-7D44-8113-D0C6BE9258CE}" name="tapdelay" dataDxfId="0">
      <calculatedColumnFormula>5*60</calculatedColumnFormula>
    </tableColumn>
    <tableColumn id="12" xr3:uid="{7DE72D75-9286-744B-96F9-A683BB821A6A}" name="gang_operated"/>
    <tableColumn id="13" xr3:uid="{78933179-2764-AF4F-880F-A8B43FBD2801}" name="type"/>
    <tableColumn id="14" xr3:uid="{2AE35168-8842-6249-AE09-1028DFFEFFC2}" name="con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14B023-656C-A64C-AD6B-78609FE9A464}" name="xfmrs" displayName="xfmrs" ref="A1:Q8" totalsRowShown="0">
  <autoFilter ref="A1:Q8" xr:uid="{A014B023-656C-A64C-AD6B-78609FE9A4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C58B47F9-739B-7B49-8572-5CF966DE57BF}" name="bus1"/>
    <tableColumn id="2" xr3:uid="{158E1C6F-2E86-A24E-A99E-F710460471A4}" name="bus2"/>
    <tableColumn id="3" xr3:uid="{1B8A6996-3AB7-224A-9AD8-27ED161B7D10}" name="xfmr"/>
    <tableColumn id="4" xr3:uid="{A79FA7AF-C14D-2742-9392-2561ECAD3C4C}" name="kV1" dataDxfId="80">
      <calculatedColumnFormula>_xlfn.XLOOKUP(xfmrs[[#This Row],[xfmr]],xfmr_info[name],xfmr_info[kV_hv])</calculatedColumnFormula>
    </tableColumn>
    <tableColumn id="5" xr3:uid="{8898BF2A-8518-E04A-9A6E-42AD088D8F6E}" name="kV2" dataDxfId="79">
      <calculatedColumnFormula>_xlfn.XLOOKUP(xfmrs[[#This Row],[xfmr]],xfmr_info[name],xfmr_info[kV_lv])</calculatedColumnFormula>
    </tableColumn>
    <tableColumn id="6" xr3:uid="{D42902E7-C227-5B41-97A8-6AC8DF21E53C}" name="kVA1" dataDxfId="78">
      <calculatedColumnFormula>_xlfn.XLOOKUP(xfmrs[[#This Row],[xfmr]],xfmr_info[name],xfmr_info[kVA_hv])</calculatedColumnFormula>
    </tableColumn>
    <tableColumn id="7" xr3:uid="{0BB098D2-D583-2146-8233-4EB095563D38}" name="kVA2" dataDxfId="77">
      <calculatedColumnFormula>_xlfn.XLOOKUP(xfmrs[[#This Row],[xfmr]],xfmr_info[name],xfmr_info[kVA_lv])</calculatedColumnFormula>
    </tableColumn>
    <tableColumn id="8" xr3:uid="{1CE6ACB7-BD5A-BC43-86B4-D28A657C67B3}" name="conn1" dataDxfId="76">
      <calculatedColumnFormula>_xlfn.XLOOKUP(xfmrs[[#This Row],[xfmr]],xfmr_info[name],xfmr_info[Conn_hv])</calculatedColumnFormula>
    </tableColumn>
    <tableColumn id="9" xr3:uid="{C1CD392B-A1E0-0E4D-9644-885A2CBC3563}" name="conn2" dataDxfId="75">
      <calculatedColumnFormula>_xlfn.XLOOKUP(xfmrs[[#This Row],[xfmr]],xfmr_info[name],xfmr_info[Conn_lv])</calculatedColumnFormula>
    </tableColumn>
    <tableColumn id="10" xr3:uid="{D8DF443B-AF1C-264C-B64F-7EA66CBF65CC}" name="phases" dataDxfId="74">
      <calculatedColumnFormula>_xlfn.XLOOKUP(xfmrs[[#This Row],[xfmr]],xfmr_info[name],xfmr_info[Phases])</calculatedColumnFormula>
    </tableColumn>
    <tableColumn id="17" xr3:uid="{5D9B233F-211C-BB47-9D7B-6B064811AE23}" name="windings" dataDxfId="6">
      <calculatedColumnFormula>_xlfn.XLOOKUP(xfmrs[[#This Row],[xfmr]],xfmr_info[name],xfmr_info[Windings])</calculatedColumnFormula>
    </tableColumn>
    <tableColumn id="11" xr3:uid="{2F73D725-1EF1-1646-AA1B-30806683307E}" name="R" dataDxfId="73">
      <calculatedColumnFormula>_xlfn.XLOOKUP(xfmrs[[#This Row],[xfmr]],xfmr_info[name],xfmr_info[R])</calculatedColumnFormula>
    </tableColumn>
    <tableColumn id="12" xr3:uid="{5F54EB82-97EC-3641-9FD1-9EEAA4487A8C}" name="X" dataDxfId="72">
      <calculatedColumnFormula>_xlfn.XLOOKUP(xfmrs[[#This Row],[xfmr]],xfmr_info[name],xfmr_info[X])</calculatedColumnFormula>
    </tableColumn>
    <tableColumn id="16" xr3:uid="{5282C155-D5E7-FE49-8966-957D05B4F3D9}" name="nll" dataDxfId="7">
      <calculatedColumnFormula>_xlfn.XLOOKUP(xfmrs[[#This Row],[xfmr]],xfmr_info[name],xfmr_info[nll])</calculatedColumnFormula>
    </tableColumn>
    <tableColumn id="13" xr3:uid="{E19CAE52-E835-E54E-AC02-9A56DE7EC44D}" name="wnd1_terms" dataDxfId="9"/>
    <tableColumn id="15" xr3:uid="{2AB55424-E657-6C44-A327-3B7EE71D6C9C}" name="wnd2_terms" dataDxfId="8"/>
    <tableColumn id="18" xr3:uid="{69DA4BCE-2C58-0041-8D38-B07D3A767A8F}" name="wnd3_terms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CDAB83C-3EF0-7E4F-917A-E03773467446}" name="xfmr_info" displayName="xfmr_info" ref="A1:L10" totalsRowShown="0">
  <autoFilter ref="A1:L10" xr:uid="{BCDAB83C-3EF0-7E4F-917A-E037734674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605B263-789E-E049-8C65-08A8239334E9}" name="kV_hv"/>
    <tableColumn id="2" xr3:uid="{29553FCE-81C1-044A-BF0A-19136D63F393}" name="kV_lv"/>
    <tableColumn id="3" xr3:uid="{1FD79938-3722-B648-8E00-E4873BCE5BF9}" name="kVA_hv"/>
    <tableColumn id="4" xr3:uid="{592C1418-4D39-4E4F-8A4E-2818305E1189}" name="kVA_lv"/>
    <tableColumn id="5" xr3:uid="{8E12D37E-89D4-6244-97D1-6741B8BA6E90}" name="Conn_hv"/>
    <tableColumn id="6" xr3:uid="{78D8BCDE-EE90-E745-9521-F3026400CAC2}" name="Conn_lv"/>
    <tableColumn id="7" xr3:uid="{2CB4763C-1FFC-E24C-B5E1-F6A227DE47C0}" name="Phases"/>
    <tableColumn id="12" xr3:uid="{C3F5A98E-C834-114E-A432-08742F87C2AF}" name="Windings"/>
    <tableColumn id="8" xr3:uid="{09E2D732-A304-6944-A2A0-1E51DBA4E1E9}" name="R"/>
    <tableColumn id="9" xr3:uid="{A6AD2380-16CB-204C-9DFD-B5F4D1F1AE3E}" name="X"/>
    <tableColumn id="11" xr3:uid="{54C6ABFF-F2E2-8047-9CFE-C8400D4265CF}" name="nll"/>
    <tableColumn id="10" xr3:uid="{3027DC48-8D18-414F-A817-B76322236057}" name="name" dataDxfId="71">
      <calculatedColumnFormula>_xlfn.CONCAT(xfmr_info[[#This Row],[Phases]],"p_",xfmr_info[[#This Row],[kV_hv]],"_",xfmr_info[[#This Row],[kV_lv]],"_",xfmr_info[[#This Row],[kVA_hv]],"_",LEFT(xfmr_info[[#This Row],[Conn_hv]],1),LEFT(xfmr_info[[#This Row],[Conn_lv]],1))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AC5F4F-CC5E-714A-A10A-32F2E90176D7}" name="Loads" displayName="Loads" ref="A1:F28" totalsRowShown="0" headerRowDxfId="70" dataDxfId="69">
  <autoFilter ref="A1:F28" xr:uid="{CDAC5F4F-CC5E-714A-A10A-32F2E90176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9EC89B8-2142-0A4A-B8EF-264BCDD715FA}" name="Bus" dataDxfId="68"/>
    <tableColumn id="4" xr3:uid="{82843DB1-8D81-4741-83BB-3717AB506BFA}" name="Phases" dataDxfId="67">
      <calculatedColumnFormula>_xlfn.XLOOKUP(Loads[[#This Row],[Bus]],Lines[bus2],Lines[phases],_xlfn.XLOOKUP(Loads[[#This Row],[Bus]],xfmrs[bus2],xfmrs[phases],0,0),0)</calculatedColumnFormula>
    </tableColumn>
    <tableColumn id="2" xr3:uid="{13C1D0C2-6357-484D-ADEB-105711D6B1A5}" name="kW" dataDxfId="66"/>
    <tableColumn id="3" xr3:uid="{A5C493EA-CBB6-854A-A97A-1FDDCAB8D84F}" name="kVAr" dataDxfId="4"/>
    <tableColumn id="5" xr3:uid="{8D3CD5DC-3C01-EA41-B07F-F5CDB2FF56B0}" name="CondPos" dataDxfId="3"/>
    <tableColumn id="6" xr3:uid="{65FC770D-1F3B-D142-9FDE-8782A4D0FBBA}" name="kV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EF548C0-A884-944F-92C0-816F3D37F3C4}" name="Slack" displayName="Slack" ref="A1:H2" totalsRowShown="0">
  <autoFilter ref="A1:H2" xr:uid="{7EF548C0-A884-944F-92C0-816F3D37F3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C040368-9370-F546-98CE-DA1A5ED8952E}" name="slack_bus"/>
    <tableColumn id="2" xr3:uid="{2DAF502B-24D1-D943-B9BA-6591A559A07A}" name="basekv"/>
    <tableColumn id="3" xr3:uid="{D32395F7-C594-AA4C-A525-B71BCAF2BD77}" name="pu"/>
    <tableColumn id="4" xr3:uid="{F4A9E6A7-A955-3A48-A774-3815CAE03DD5}" name="phases"/>
    <tableColumn id="5" xr3:uid="{43BA2A13-4CC5-8A40-98DC-51157CD613EC}" name="R_1"/>
    <tableColumn id="6" xr3:uid="{DD6A5CE7-18B2-FD4B-AE96-18F3300481E8}" name="X_1"/>
    <tableColumn id="7" xr3:uid="{91FAE540-34A4-1F40-97BE-B3FA0E795034}" name="R_0"/>
    <tableColumn id="8" xr3:uid="{E87410B6-E742-C442-AA86-2FFC5CA9681D}" name="X_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5739EA-1F28-0E41-AB74-C2C34C8286AB}" name="Type" displayName="Type" ref="A1:A3" headerRowCount="0" totalsRowShown="0">
  <tableColumns count="1">
    <tableColumn id="1" xr3:uid="{CF2DB599-7394-FB45-9EE6-02953B6FA5D3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AF4C-A38A-5148-8683-163D7FE8FD2D}">
  <dimension ref="A1:C47"/>
  <sheetViews>
    <sheetView topLeftCell="A2" workbookViewId="0">
      <selection activeCell="A2" sqref="A2"/>
    </sheetView>
  </sheetViews>
  <sheetFormatPr baseColWidth="10" defaultRowHeight="16" x14ac:dyDescent="0.2"/>
  <cols>
    <col min="2" max="3" width="14.1640625" customWidth="1"/>
  </cols>
  <sheetData>
    <row r="1" spans="1:3" x14ac:dyDescent="0.2">
      <c r="A1" t="s">
        <v>151</v>
      </c>
      <c r="B1" t="s">
        <v>152</v>
      </c>
      <c r="C1" t="s">
        <v>153</v>
      </c>
    </row>
    <row r="2" spans="1:3" x14ac:dyDescent="0.2">
      <c r="A2" s="10" t="s">
        <v>154</v>
      </c>
      <c r="B2" s="10">
        <v>4</v>
      </c>
      <c r="C2" s="10">
        <v>12</v>
      </c>
    </row>
    <row r="3" spans="1:3" x14ac:dyDescent="0.2">
      <c r="A3" s="10" t="s">
        <v>109</v>
      </c>
      <c r="B3" s="10">
        <v>4</v>
      </c>
      <c r="C3" s="10">
        <v>11</v>
      </c>
    </row>
    <row r="4" spans="1:3" x14ac:dyDescent="0.2">
      <c r="A4" s="10" t="s">
        <v>124</v>
      </c>
      <c r="B4" s="10">
        <v>0</v>
      </c>
      <c r="C4" s="10">
        <v>5</v>
      </c>
    </row>
    <row r="5" spans="1:3" x14ac:dyDescent="0.2">
      <c r="A5" s="10" t="s">
        <v>125</v>
      </c>
      <c r="B5" s="10">
        <v>0</v>
      </c>
      <c r="C5" s="10">
        <v>4</v>
      </c>
    </row>
    <row r="6" spans="1:3" x14ac:dyDescent="0.2">
      <c r="A6" s="10" t="s">
        <v>126</v>
      </c>
      <c r="B6" s="10">
        <v>0</v>
      </c>
      <c r="C6" s="10">
        <v>3</v>
      </c>
    </row>
    <row r="7" spans="1:3" x14ac:dyDescent="0.2">
      <c r="A7" s="10" t="s">
        <v>127</v>
      </c>
      <c r="B7" s="10">
        <v>0</v>
      </c>
      <c r="C7" s="10">
        <v>2</v>
      </c>
    </row>
    <row r="8" spans="1:3" x14ac:dyDescent="0.2">
      <c r="A8" s="10" t="s">
        <v>120</v>
      </c>
      <c r="B8" s="10">
        <v>1</v>
      </c>
      <c r="C8" s="10">
        <v>7</v>
      </c>
    </row>
    <row r="9" spans="1:3" x14ac:dyDescent="0.2">
      <c r="A9" s="10" t="s">
        <v>121</v>
      </c>
      <c r="B9" s="10">
        <v>1</v>
      </c>
      <c r="C9" s="10">
        <v>6</v>
      </c>
    </row>
    <row r="10" spans="1:3" x14ac:dyDescent="0.2">
      <c r="A10" s="10" t="s">
        <v>122</v>
      </c>
      <c r="B10" s="10">
        <v>1</v>
      </c>
      <c r="C10" s="10">
        <v>5</v>
      </c>
    </row>
    <row r="11" spans="1:3" x14ac:dyDescent="0.2">
      <c r="A11" s="10" t="s">
        <v>123</v>
      </c>
      <c r="B11" s="10">
        <v>1</v>
      </c>
      <c r="C11" s="10">
        <v>4</v>
      </c>
    </row>
    <row r="12" spans="1:3" x14ac:dyDescent="0.2">
      <c r="A12" s="10" t="s">
        <v>155</v>
      </c>
      <c r="B12" s="10">
        <v>2</v>
      </c>
      <c r="C12" s="10">
        <v>9</v>
      </c>
    </row>
    <row r="13" spans="1:3" x14ac:dyDescent="0.2">
      <c r="A13" s="10" t="s">
        <v>128</v>
      </c>
      <c r="B13" s="10">
        <v>2</v>
      </c>
      <c r="C13" s="10">
        <v>6</v>
      </c>
    </row>
    <row r="14" spans="1:3" x14ac:dyDescent="0.2">
      <c r="A14" s="10" t="s">
        <v>129</v>
      </c>
      <c r="B14" s="10">
        <v>2</v>
      </c>
      <c r="C14" s="10">
        <v>5</v>
      </c>
    </row>
    <row r="15" spans="1:3" x14ac:dyDescent="0.2">
      <c r="A15" s="10" t="s">
        <v>130</v>
      </c>
      <c r="B15" s="10">
        <v>2</v>
      </c>
      <c r="C15" s="10">
        <v>4</v>
      </c>
    </row>
    <row r="16" spans="1:3" x14ac:dyDescent="0.2">
      <c r="A16" s="10" t="s">
        <v>131</v>
      </c>
      <c r="B16" s="10">
        <v>2</v>
      </c>
      <c r="C16" s="10">
        <v>3</v>
      </c>
    </row>
    <row r="17" spans="1:3" x14ac:dyDescent="0.2">
      <c r="A17" s="10" t="s">
        <v>110</v>
      </c>
      <c r="B17" s="10">
        <v>3</v>
      </c>
      <c r="C17" s="10">
        <v>10</v>
      </c>
    </row>
    <row r="18" spans="1:3" x14ac:dyDescent="0.2">
      <c r="A18" s="10" t="s">
        <v>111</v>
      </c>
      <c r="B18" s="10">
        <v>3</v>
      </c>
      <c r="C18" s="10">
        <v>9</v>
      </c>
    </row>
    <row r="19" spans="1:3" x14ac:dyDescent="0.2">
      <c r="A19" s="10" t="s">
        <v>112</v>
      </c>
      <c r="B19" s="10">
        <v>3</v>
      </c>
      <c r="C19" s="10">
        <v>8</v>
      </c>
    </row>
    <row r="20" spans="1:3" x14ac:dyDescent="0.2">
      <c r="A20" s="10" t="s">
        <v>113</v>
      </c>
      <c r="B20" s="10">
        <v>3</v>
      </c>
      <c r="C20" s="10">
        <v>7</v>
      </c>
    </row>
    <row r="21" spans="1:3" x14ac:dyDescent="0.2">
      <c r="A21" s="10" t="s">
        <v>114</v>
      </c>
      <c r="B21" s="10">
        <v>3</v>
      </c>
      <c r="C21" s="10">
        <v>6</v>
      </c>
    </row>
    <row r="22" spans="1:3" x14ac:dyDescent="0.2">
      <c r="A22" s="10" t="s">
        <v>115</v>
      </c>
      <c r="B22" s="10">
        <v>3</v>
      </c>
      <c r="C22" s="10">
        <v>4</v>
      </c>
    </row>
    <row r="23" spans="1:3" x14ac:dyDescent="0.2">
      <c r="A23" s="10" t="s">
        <v>116</v>
      </c>
      <c r="B23" s="10">
        <v>4</v>
      </c>
      <c r="C23" s="10">
        <v>4</v>
      </c>
    </row>
    <row r="24" spans="1:3" x14ac:dyDescent="0.2">
      <c r="A24" s="10" t="s">
        <v>117</v>
      </c>
      <c r="B24" s="10">
        <v>3</v>
      </c>
      <c r="C24" s="10">
        <v>2</v>
      </c>
    </row>
    <row r="25" spans="1:3" x14ac:dyDescent="0.2">
      <c r="A25" s="10" t="s">
        <v>118</v>
      </c>
      <c r="B25" s="10">
        <v>3</v>
      </c>
      <c r="C25" s="10">
        <v>1</v>
      </c>
    </row>
    <row r="26" spans="1:3" x14ac:dyDescent="0.2">
      <c r="A26" s="10" t="s">
        <v>119</v>
      </c>
      <c r="B26" s="10">
        <v>3</v>
      </c>
      <c r="C26" s="10">
        <v>0</v>
      </c>
    </row>
    <row r="27" spans="1:3" x14ac:dyDescent="0.2">
      <c r="A27" s="10" t="s">
        <v>156</v>
      </c>
      <c r="B27" s="10">
        <v>4</v>
      </c>
      <c r="C27" s="10">
        <v>10</v>
      </c>
    </row>
    <row r="28" spans="1:3" x14ac:dyDescent="0.2">
      <c r="A28" s="10" t="s">
        <v>157</v>
      </c>
      <c r="B28" s="10">
        <v>4</v>
      </c>
      <c r="C28" s="10">
        <v>9</v>
      </c>
    </row>
    <row r="29" spans="1:3" x14ac:dyDescent="0.2">
      <c r="A29" s="10" t="s">
        <v>132</v>
      </c>
      <c r="B29" s="10">
        <v>4</v>
      </c>
      <c r="C29" s="10">
        <v>3</v>
      </c>
    </row>
    <row r="30" spans="1:3" x14ac:dyDescent="0.2">
      <c r="A30" s="10" t="s">
        <v>133</v>
      </c>
      <c r="B30" s="10">
        <v>4</v>
      </c>
      <c r="C30" s="10">
        <v>2</v>
      </c>
    </row>
    <row r="31" spans="1:3" x14ac:dyDescent="0.2">
      <c r="A31" s="10" t="s">
        <v>158</v>
      </c>
      <c r="B31" s="10">
        <v>4</v>
      </c>
      <c r="C31" s="10">
        <v>8</v>
      </c>
    </row>
    <row r="32" spans="1:3" x14ac:dyDescent="0.2">
      <c r="A32" s="10" t="s">
        <v>139</v>
      </c>
      <c r="B32" s="10">
        <v>5</v>
      </c>
      <c r="C32" s="10">
        <v>10</v>
      </c>
    </row>
    <row r="33" spans="1:3" x14ac:dyDescent="0.2">
      <c r="A33" s="10" t="s">
        <v>140</v>
      </c>
      <c r="B33" s="10">
        <v>5</v>
      </c>
      <c r="C33" s="10">
        <v>9</v>
      </c>
    </row>
    <row r="34" spans="1:3" x14ac:dyDescent="0.2">
      <c r="A34" s="10" t="s">
        <v>141</v>
      </c>
      <c r="B34" s="10">
        <v>5</v>
      </c>
      <c r="C34" s="10">
        <v>8</v>
      </c>
    </row>
    <row r="35" spans="1:3" x14ac:dyDescent="0.2">
      <c r="A35" s="10" t="s">
        <v>142</v>
      </c>
      <c r="B35" s="10">
        <v>5</v>
      </c>
      <c r="C35" s="10">
        <v>7</v>
      </c>
    </row>
    <row r="36" spans="1:3" x14ac:dyDescent="0.2">
      <c r="A36" s="10" t="s">
        <v>143</v>
      </c>
      <c r="B36" s="10">
        <v>5</v>
      </c>
      <c r="C36" s="10">
        <v>6</v>
      </c>
    </row>
    <row r="37" spans="1:3" x14ac:dyDescent="0.2">
      <c r="A37" s="10" t="s">
        <v>144</v>
      </c>
      <c r="B37" s="10">
        <v>5</v>
      </c>
      <c r="C37" s="10">
        <v>5</v>
      </c>
    </row>
    <row r="38" spans="1:3" x14ac:dyDescent="0.2">
      <c r="A38" s="10" t="s">
        <v>145</v>
      </c>
      <c r="B38" s="10">
        <v>6</v>
      </c>
      <c r="C38" s="10">
        <v>9</v>
      </c>
    </row>
    <row r="39" spans="1:3" x14ac:dyDescent="0.2">
      <c r="A39" s="10" t="s">
        <v>146</v>
      </c>
      <c r="B39" s="10">
        <v>6</v>
      </c>
      <c r="C39" s="10">
        <v>8</v>
      </c>
    </row>
    <row r="40" spans="1:3" x14ac:dyDescent="0.2">
      <c r="A40" s="10" t="s">
        <v>147</v>
      </c>
      <c r="B40" s="10">
        <v>6</v>
      </c>
      <c r="C40" s="10">
        <v>7</v>
      </c>
    </row>
    <row r="41" spans="1:3" x14ac:dyDescent="0.2">
      <c r="A41" s="10" t="s">
        <v>148</v>
      </c>
      <c r="B41" s="10">
        <v>6</v>
      </c>
      <c r="C41" s="10">
        <v>6</v>
      </c>
    </row>
    <row r="42" spans="1:3" x14ac:dyDescent="0.2">
      <c r="A42" s="10" t="s">
        <v>134</v>
      </c>
      <c r="B42" s="10">
        <v>5</v>
      </c>
      <c r="C42" s="10">
        <v>4</v>
      </c>
    </row>
    <row r="43" spans="1:3" x14ac:dyDescent="0.2">
      <c r="A43" s="10" t="s">
        <v>135</v>
      </c>
      <c r="B43" s="10">
        <v>5</v>
      </c>
      <c r="C43" s="10">
        <v>2</v>
      </c>
    </row>
    <row r="44" spans="1:3" x14ac:dyDescent="0.2">
      <c r="A44" s="10" t="s">
        <v>136</v>
      </c>
      <c r="B44" s="10">
        <v>5</v>
      </c>
      <c r="C44" s="10">
        <v>1</v>
      </c>
    </row>
    <row r="45" spans="1:3" x14ac:dyDescent="0.2">
      <c r="A45" s="10" t="s">
        <v>137</v>
      </c>
      <c r="B45" s="10">
        <v>6</v>
      </c>
      <c r="C45" s="10">
        <v>4</v>
      </c>
    </row>
    <row r="46" spans="1:3" x14ac:dyDescent="0.2">
      <c r="A46" s="10" t="s">
        <v>138</v>
      </c>
      <c r="B46" s="10">
        <v>6</v>
      </c>
      <c r="C46" s="10">
        <v>3</v>
      </c>
    </row>
    <row r="47" spans="1:3" x14ac:dyDescent="0.2">
      <c r="A47" s="10" t="s">
        <v>161</v>
      </c>
      <c r="B47" s="10">
        <v>3</v>
      </c>
      <c r="C47" s="10">
        <v>-1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A1BE-A562-EA4D-912C-91965FAA05A8}">
  <dimension ref="A1:U15"/>
  <sheetViews>
    <sheetView topLeftCell="B1" workbookViewId="0">
      <selection activeCell="M2" sqref="M2"/>
    </sheetView>
  </sheetViews>
  <sheetFormatPr baseColWidth="10" defaultRowHeight="16" x14ac:dyDescent="0.2"/>
  <sheetData>
    <row r="1" spans="1:21" x14ac:dyDescent="0.2">
      <c r="A1" t="s">
        <v>70</v>
      </c>
      <c r="C1" t="s">
        <v>78</v>
      </c>
      <c r="E1" t="s">
        <v>175</v>
      </c>
      <c r="H1" s="14" t="s">
        <v>215</v>
      </c>
      <c r="I1" s="15" t="s">
        <v>216</v>
      </c>
      <c r="J1" s="14" t="s">
        <v>217</v>
      </c>
      <c r="K1" s="15" t="s">
        <v>218</v>
      </c>
      <c r="M1" t="s">
        <v>191</v>
      </c>
      <c r="O1" s="1">
        <v>1</v>
      </c>
      <c r="Q1" t="s">
        <v>231</v>
      </c>
      <c r="S1" t="b">
        <v>1</v>
      </c>
      <c r="U1" t="s">
        <v>244</v>
      </c>
    </row>
    <row r="2" spans="1:21" x14ac:dyDescent="0.2">
      <c r="A2" t="s">
        <v>71</v>
      </c>
      <c r="C2" t="s">
        <v>79</v>
      </c>
      <c r="E2" t="s">
        <v>178</v>
      </c>
      <c r="H2" s="16">
        <v>0</v>
      </c>
      <c r="I2" s="16">
        <v>-30</v>
      </c>
      <c r="J2" s="16">
        <v>-30</v>
      </c>
      <c r="K2" s="16">
        <v>0</v>
      </c>
      <c r="M2" t="s">
        <v>192</v>
      </c>
      <c r="O2" s="1">
        <v>2</v>
      </c>
      <c r="Q2" t="s">
        <v>232</v>
      </c>
      <c r="S2" t="b">
        <v>0</v>
      </c>
      <c r="U2" t="s">
        <v>245</v>
      </c>
    </row>
    <row r="3" spans="1:21" x14ac:dyDescent="0.2">
      <c r="A3" t="s">
        <v>72</v>
      </c>
      <c r="C3" t="s">
        <v>80</v>
      </c>
      <c r="E3" t="s">
        <v>174</v>
      </c>
      <c r="H3" s="17">
        <v>-60</v>
      </c>
      <c r="I3" s="17">
        <v>-150</v>
      </c>
      <c r="J3" s="17">
        <v>-150</v>
      </c>
      <c r="K3" s="17">
        <v>180</v>
      </c>
      <c r="O3" s="1">
        <v>3</v>
      </c>
    </row>
    <row r="4" spans="1:21" x14ac:dyDescent="0.2">
      <c r="C4" t="s">
        <v>78</v>
      </c>
      <c r="E4" t="s">
        <v>179</v>
      </c>
      <c r="H4" s="16">
        <v>-120</v>
      </c>
      <c r="I4" s="16">
        <v>150</v>
      </c>
      <c r="J4" s="16">
        <v>150</v>
      </c>
      <c r="K4" s="18"/>
      <c r="O4" s="1">
        <v>1.2</v>
      </c>
    </row>
    <row r="5" spans="1:21" x14ac:dyDescent="0.2">
      <c r="C5" t="s">
        <v>81</v>
      </c>
      <c r="E5" t="s">
        <v>180</v>
      </c>
      <c r="H5" s="17">
        <v>-180</v>
      </c>
      <c r="I5" s="17">
        <v>30</v>
      </c>
      <c r="J5" s="17">
        <v>30</v>
      </c>
      <c r="K5" s="19"/>
      <c r="O5" s="1">
        <v>1.3</v>
      </c>
    </row>
    <row r="6" spans="1:21" x14ac:dyDescent="0.2">
      <c r="C6" t="s">
        <v>82</v>
      </c>
      <c r="E6" t="s">
        <v>177</v>
      </c>
      <c r="H6" s="16">
        <v>120</v>
      </c>
      <c r="I6" s="18"/>
      <c r="O6" s="1">
        <v>2.2999999999999998</v>
      </c>
    </row>
    <row r="7" spans="1:21" x14ac:dyDescent="0.2">
      <c r="C7" t="s">
        <v>83</v>
      </c>
      <c r="E7" t="s">
        <v>181</v>
      </c>
      <c r="H7" s="17">
        <v>60</v>
      </c>
      <c r="I7" s="19"/>
      <c r="O7" s="1">
        <v>2.1</v>
      </c>
    </row>
    <row r="8" spans="1:21" x14ac:dyDescent="0.2">
      <c r="O8" s="1">
        <v>3.1</v>
      </c>
    </row>
    <row r="9" spans="1:21" x14ac:dyDescent="0.2">
      <c r="O9" s="1">
        <v>3.2</v>
      </c>
    </row>
    <row r="10" spans="1:21" x14ac:dyDescent="0.2">
      <c r="O10" s="1" t="s">
        <v>209</v>
      </c>
    </row>
    <row r="11" spans="1:21" x14ac:dyDescent="0.2">
      <c r="O11" s="1" t="s">
        <v>210</v>
      </c>
    </row>
    <row r="12" spans="1:21" x14ac:dyDescent="0.2">
      <c r="O12" s="1" t="s">
        <v>211</v>
      </c>
    </row>
    <row r="13" spans="1:21" x14ac:dyDescent="0.2">
      <c r="O13" s="1" t="s">
        <v>212</v>
      </c>
    </row>
    <row r="14" spans="1:21" x14ac:dyDescent="0.2">
      <c r="O14" s="1" t="s">
        <v>214</v>
      </c>
    </row>
    <row r="15" spans="1:21" x14ac:dyDescent="0.2">
      <c r="O15" s="1" t="s">
        <v>213</v>
      </c>
    </row>
  </sheetData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04AC-ECAC-4945-B9B6-B220AC818209}">
  <dimension ref="A1:N100"/>
  <sheetViews>
    <sheetView topLeftCell="A9" workbookViewId="0">
      <selection activeCell="J6" sqref="J6"/>
    </sheetView>
  </sheetViews>
  <sheetFormatPr baseColWidth="10" defaultRowHeight="16" x14ac:dyDescent="0.2"/>
  <cols>
    <col min="1" max="1" width="25.1640625" customWidth="1"/>
    <col min="2" max="2" width="10.83203125" style="1"/>
    <col min="3" max="3" width="11.33203125" customWidth="1"/>
    <col min="5" max="5" width="14.6640625" customWidth="1"/>
    <col min="7" max="7" width="8.83203125" customWidth="1"/>
    <col min="9" max="9" width="9.33203125" customWidth="1"/>
    <col min="10" max="10" width="6.83203125" customWidth="1"/>
    <col min="11" max="11" width="13" customWidth="1"/>
  </cols>
  <sheetData>
    <row r="1" spans="1:11" x14ac:dyDescent="0.2">
      <c r="A1" t="s">
        <v>33</v>
      </c>
      <c r="B1" s="1" t="s">
        <v>5</v>
      </c>
      <c r="C1" t="s">
        <v>6</v>
      </c>
      <c r="D1" t="s">
        <v>7</v>
      </c>
      <c r="E1" t="s">
        <v>93</v>
      </c>
      <c r="F1" t="s">
        <v>87</v>
      </c>
      <c r="G1" t="s">
        <v>95</v>
      </c>
      <c r="H1" t="s">
        <v>94</v>
      </c>
      <c r="I1" t="s">
        <v>96</v>
      </c>
      <c r="J1" t="s">
        <v>165</v>
      </c>
      <c r="K1" t="s">
        <v>97</v>
      </c>
    </row>
    <row r="2" spans="1:11" x14ac:dyDescent="0.2">
      <c r="A2" t="str">
        <f>_xlfn.CONCAT(OH[[#This Row],[Size]], "_",OH[[#This Row],[Stranding]], "_", OH[[#This Row],[Material]])</f>
        <v>1__ACSR</v>
      </c>
      <c r="B2" s="1">
        <v>1</v>
      </c>
      <c r="D2" t="s">
        <v>8</v>
      </c>
      <c r="E2">
        <v>0.35499999999999998</v>
      </c>
      <c r="F2">
        <v>4.1799999999999997E-3</v>
      </c>
      <c r="G2">
        <v>1.38</v>
      </c>
      <c r="H2">
        <v>200</v>
      </c>
      <c r="I2" t="str">
        <f t="shared" ref="I2:I33" si="0">"ft"</f>
        <v>ft</v>
      </c>
      <c r="J2" t="str">
        <f t="shared" ref="J2:J33" si="1">"mi"</f>
        <v>mi</v>
      </c>
      <c r="K2" t="str">
        <f>_xlfn.CONCAT(OH[[#This Row],[Size]], "_", OH[[#This Row],[Material]])</f>
        <v>1_ACSR</v>
      </c>
    </row>
    <row r="3" spans="1:11" x14ac:dyDescent="0.2">
      <c r="A3" t="str">
        <f>_xlfn.CONCAT(OH[[#This Row],[Size]], "_",OH[[#This Row],[Stranding]], "_", OH[[#This Row],[Material]])</f>
        <v>1_7 STRD_Copper</v>
      </c>
      <c r="B3" s="1">
        <v>1</v>
      </c>
      <c r="C3" t="s">
        <v>9</v>
      </c>
      <c r="D3" t="s">
        <v>10</v>
      </c>
      <c r="E3">
        <v>0.32800000000000001</v>
      </c>
      <c r="F3">
        <v>9.92E-3</v>
      </c>
      <c r="G3">
        <v>0.76500000000000001</v>
      </c>
      <c r="H3">
        <v>270</v>
      </c>
      <c r="I3" t="str">
        <f t="shared" si="0"/>
        <v>ft</v>
      </c>
      <c r="J3" t="str">
        <f t="shared" si="1"/>
        <v>mi</v>
      </c>
      <c r="K3" t="str">
        <f>_xlfn.CONCAT(OH[[#This Row],[Size]], "_", OH[[#This Row],[Material]])</f>
        <v>1_Copper</v>
      </c>
    </row>
    <row r="4" spans="1:11" x14ac:dyDescent="0.2">
      <c r="A4" t="str">
        <f>_xlfn.CONCAT(OH[[#This Row],[Size]], "_",OH[[#This Row],[Stranding]], "_", OH[[#This Row],[Material]])</f>
        <v>1_CLASS A_AA</v>
      </c>
      <c r="B4" s="1">
        <v>1</v>
      </c>
      <c r="C4" t="s">
        <v>11</v>
      </c>
      <c r="D4" t="s">
        <v>12</v>
      </c>
      <c r="E4">
        <v>0.32800000000000001</v>
      </c>
      <c r="F4">
        <v>9.9100000000000004E-3</v>
      </c>
      <c r="G4">
        <v>1.224</v>
      </c>
      <c r="H4">
        <v>177</v>
      </c>
      <c r="I4" t="str">
        <f t="shared" si="0"/>
        <v>ft</v>
      </c>
      <c r="J4" t="str">
        <f t="shared" si="1"/>
        <v>mi</v>
      </c>
      <c r="K4" t="str">
        <f>_xlfn.CONCAT(OH[[#This Row],[Size]], "_", OH[[#This Row],[Material]])</f>
        <v>1_AA</v>
      </c>
    </row>
    <row r="5" spans="1:11" x14ac:dyDescent="0.2">
      <c r="A5" t="str">
        <f>_xlfn.CONCAT(OH[[#This Row],[Size]], "_",OH[[#This Row],[Stranding]], "_", OH[[#This Row],[Material]])</f>
        <v>2_6/1_ACSR</v>
      </c>
      <c r="B5" s="1">
        <v>2</v>
      </c>
      <c r="C5" t="s">
        <v>13</v>
      </c>
      <c r="D5" t="s">
        <v>8</v>
      </c>
      <c r="E5">
        <v>0.316</v>
      </c>
      <c r="F5">
        <v>4.1799999999999997E-3</v>
      </c>
      <c r="G5">
        <v>1.69</v>
      </c>
      <c r="H5">
        <v>180</v>
      </c>
      <c r="I5" t="str">
        <f t="shared" si="0"/>
        <v>ft</v>
      </c>
      <c r="J5" t="str">
        <f t="shared" si="1"/>
        <v>mi</v>
      </c>
      <c r="K5" t="str">
        <f>_xlfn.CONCAT(OH[[#This Row],[Size]], "_", OH[[#This Row],[Material]])</f>
        <v>2_ACSR</v>
      </c>
    </row>
    <row r="6" spans="1:11" x14ac:dyDescent="0.2">
      <c r="A6" t="str">
        <f>_xlfn.CONCAT(OH[[#This Row],[Size]], "_",OH[[#This Row],[Stranding]], "_", OH[[#This Row],[Material]])</f>
        <v>2_7 STRD_Copper</v>
      </c>
      <c r="B6" s="1">
        <v>2</v>
      </c>
      <c r="C6" t="s">
        <v>9</v>
      </c>
      <c r="D6" t="s">
        <v>10</v>
      </c>
      <c r="E6">
        <v>0.29199999999999998</v>
      </c>
      <c r="F6">
        <v>8.8299999999999993E-3</v>
      </c>
      <c r="G6">
        <v>0.96399999999999997</v>
      </c>
      <c r="H6">
        <v>230</v>
      </c>
      <c r="I6" t="str">
        <f t="shared" si="0"/>
        <v>ft</v>
      </c>
      <c r="J6" t="str">
        <f t="shared" si="1"/>
        <v>mi</v>
      </c>
      <c r="K6" t="str">
        <f>_xlfn.CONCAT(OH[[#This Row],[Size]], "_", OH[[#This Row],[Material]])</f>
        <v>2_Copper</v>
      </c>
    </row>
    <row r="7" spans="1:11" x14ac:dyDescent="0.2">
      <c r="A7" t="str">
        <f>_xlfn.CONCAT(OH[[#This Row],[Size]], "_",OH[[#This Row],[Stranding]], "_", OH[[#This Row],[Material]])</f>
        <v>2_7/1_ACSR</v>
      </c>
      <c r="B7" s="1">
        <v>2</v>
      </c>
      <c r="C7" t="s">
        <v>14</v>
      </c>
      <c r="D7" t="s">
        <v>8</v>
      </c>
      <c r="E7">
        <v>0.32500000000000001</v>
      </c>
      <c r="F7">
        <v>5.0400000000000002E-3</v>
      </c>
      <c r="G7">
        <v>1.65</v>
      </c>
      <c r="H7">
        <v>180</v>
      </c>
      <c r="I7" t="str">
        <f t="shared" si="0"/>
        <v>ft</v>
      </c>
      <c r="J7" t="str">
        <f t="shared" si="1"/>
        <v>mi</v>
      </c>
      <c r="K7" t="str">
        <f>_xlfn.CONCAT(OH[[#This Row],[Size]], "_", OH[[#This Row],[Material]])</f>
        <v>2_ACSR</v>
      </c>
    </row>
    <row r="8" spans="1:11" x14ac:dyDescent="0.2">
      <c r="A8" t="str">
        <f>_xlfn.CONCAT(OH[[#This Row],[Size]], "_",OH[[#This Row],[Stranding]], "_", OH[[#This Row],[Material]])</f>
        <v>2_AWG SLD_Copper</v>
      </c>
      <c r="B8" s="1">
        <v>2</v>
      </c>
      <c r="C8" t="s">
        <v>15</v>
      </c>
      <c r="D8" t="s">
        <v>10</v>
      </c>
      <c r="E8">
        <v>0.25800000000000001</v>
      </c>
      <c r="F8">
        <v>8.3599999999999994E-3</v>
      </c>
      <c r="G8">
        <v>0.94499999999999995</v>
      </c>
      <c r="H8">
        <v>220</v>
      </c>
      <c r="I8" t="str">
        <f t="shared" si="0"/>
        <v>ft</v>
      </c>
      <c r="J8" t="str">
        <f t="shared" si="1"/>
        <v>mi</v>
      </c>
      <c r="K8" t="str">
        <f>_xlfn.CONCAT(OH[[#This Row],[Size]], "_", OH[[#This Row],[Material]])</f>
        <v>2_Copper</v>
      </c>
    </row>
    <row r="9" spans="1:11" x14ac:dyDescent="0.2">
      <c r="A9" t="str">
        <f>_xlfn.CONCAT(OH[[#This Row],[Size]], "_",OH[[#This Row],[Stranding]], "_", OH[[#This Row],[Material]])</f>
        <v>2_CLASS A_AA</v>
      </c>
      <c r="B9" s="1">
        <v>2</v>
      </c>
      <c r="C9" t="s">
        <v>11</v>
      </c>
      <c r="D9" t="s">
        <v>12</v>
      </c>
      <c r="E9">
        <v>0.29199999999999998</v>
      </c>
      <c r="F9">
        <v>8.8299999999999993E-3</v>
      </c>
      <c r="G9">
        <v>1.5409999999999999</v>
      </c>
      <c r="H9">
        <v>156</v>
      </c>
      <c r="I9" t="str">
        <f t="shared" si="0"/>
        <v>ft</v>
      </c>
      <c r="J9" t="str">
        <f t="shared" si="1"/>
        <v>mi</v>
      </c>
      <c r="K9" t="str">
        <f>_xlfn.CONCAT(OH[[#This Row],[Size]], "_", OH[[#This Row],[Material]])</f>
        <v>2_AA</v>
      </c>
    </row>
    <row r="10" spans="1:11" x14ac:dyDescent="0.2">
      <c r="A10" t="str">
        <f>_xlfn.CONCAT(OH[[#This Row],[Size]], "_",OH[[#This Row],[Stranding]], "_", OH[[#This Row],[Material]])</f>
        <v>3_6/1_ACSR</v>
      </c>
      <c r="B10" s="1">
        <v>3</v>
      </c>
      <c r="C10" t="s">
        <v>13</v>
      </c>
      <c r="D10" t="s">
        <v>8</v>
      </c>
      <c r="E10">
        <v>0.28100000000000003</v>
      </c>
      <c r="F10">
        <v>4.3E-3</v>
      </c>
      <c r="G10">
        <v>2.0699999999999998</v>
      </c>
      <c r="H10">
        <v>160</v>
      </c>
      <c r="I10" t="str">
        <f t="shared" si="0"/>
        <v>ft</v>
      </c>
      <c r="J10" t="str">
        <f t="shared" si="1"/>
        <v>mi</v>
      </c>
      <c r="K10" t="str">
        <f>_xlfn.CONCAT(OH[[#This Row],[Size]], "_", OH[[#This Row],[Material]])</f>
        <v>3_ACSR</v>
      </c>
    </row>
    <row r="11" spans="1:11" x14ac:dyDescent="0.2">
      <c r="A11" t="str">
        <f>_xlfn.CONCAT(OH[[#This Row],[Size]], "_",OH[[#This Row],[Stranding]], "_", OH[[#This Row],[Material]])</f>
        <v>3_AWG SLD_Copper</v>
      </c>
      <c r="B11" s="1">
        <v>3</v>
      </c>
      <c r="C11" t="s">
        <v>15</v>
      </c>
      <c r="D11" t="s">
        <v>10</v>
      </c>
      <c r="E11">
        <v>0.22900000000000001</v>
      </c>
      <c r="F11">
        <v>7.45E-3</v>
      </c>
      <c r="G11">
        <v>1.1919999999999999</v>
      </c>
      <c r="H11">
        <v>190</v>
      </c>
      <c r="I11" t="str">
        <f t="shared" si="0"/>
        <v>ft</v>
      </c>
      <c r="J11" t="str">
        <f t="shared" si="1"/>
        <v>mi</v>
      </c>
      <c r="K11" t="str">
        <f>_xlfn.CONCAT(OH[[#This Row],[Size]], "_", OH[[#This Row],[Material]])</f>
        <v>3_Copper</v>
      </c>
    </row>
    <row r="12" spans="1:11" x14ac:dyDescent="0.2">
      <c r="A12" t="str">
        <f>_xlfn.CONCAT(OH[[#This Row],[Size]], "_",OH[[#This Row],[Stranding]], "_", OH[[#This Row],[Material]])</f>
        <v>4_6/1_ACSR</v>
      </c>
      <c r="B12" s="1">
        <v>4</v>
      </c>
      <c r="C12" t="s">
        <v>13</v>
      </c>
      <c r="D12" t="s">
        <v>8</v>
      </c>
      <c r="E12">
        <v>0.25</v>
      </c>
      <c r="F12">
        <v>4.3699999999999998E-3</v>
      </c>
      <c r="G12">
        <v>2.57</v>
      </c>
      <c r="H12">
        <v>140</v>
      </c>
      <c r="I12" t="str">
        <f t="shared" si="0"/>
        <v>ft</v>
      </c>
      <c r="J12" t="str">
        <f t="shared" si="1"/>
        <v>mi</v>
      </c>
      <c r="K12" t="str">
        <f>_xlfn.CONCAT(OH[[#This Row],[Size]], "_", OH[[#This Row],[Material]])</f>
        <v>4_ACSR</v>
      </c>
    </row>
    <row r="13" spans="1:11" x14ac:dyDescent="0.2">
      <c r="A13" t="str">
        <f>_xlfn.CONCAT(OH[[#This Row],[Size]], "_",OH[[#This Row],[Stranding]], "_", OH[[#This Row],[Material]])</f>
        <v>4_7/1_ACSR</v>
      </c>
      <c r="B13" s="1">
        <v>4</v>
      </c>
      <c r="C13" t="s">
        <v>14</v>
      </c>
      <c r="D13" t="s">
        <v>8</v>
      </c>
      <c r="E13">
        <v>0.25700000000000001</v>
      </c>
      <c r="F13">
        <v>4.5199999999999997E-3</v>
      </c>
      <c r="G13">
        <v>2.5499999999999998</v>
      </c>
      <c r="H13">
        <v>140</v>
      </c>
      <c r="I13" t="str">
        <f t="shared" si="0"/>
        <v>ft</v>
      </c>
      <c r="J13" t="str">
        <f t="shared" si="1"/>
        <v>mi</v>
      </c>
      <c r="K13" t="str">
        <f>_xlfn.CONCAT(OH[[#This Row],[Size]], "_", OH[[#This Row],[Material]])</f>
        <v>4_ACSR</v>
      </c>
    </row>
    <row r="14" spans="1:11" x14ac:dyDescent="0.2">
      <c r="A14" t="str">
        <f>_xlfn.CONCAT(OH[[#This Row],[Size]], "_",OH[[#This Row],[Stranding]], "_", OH[[#This Row],[Material]])</f>
        <v>4_AWG SLD_Copper</v>
      </c>
      <c r="B14" s="1">
        <v>4</v>
      </c>
      <c r="C14" t="s">
        <v>15</v>
      </c>
      <c r="D14" t="s">
        <v>10</v>
      </c>
      <c r="E14">
        <v>0.20399999999999999</v>
      </c>
      <c r="F14">
        <v>6.6299999999999996E-3</v>
      </c>
      <c r="G14">
        <v>1.5029999999999999</v>
      </c>
      <c r="H14">
        <v>170</v>
      </c>
      <c r="I14" t="str">
        <f t="shared" si="0"/>
        <v>ft</v>
      </c>
      <c r="J14" t="str">
        <f t="shared" si="1"/>
        <v>mi</v>
      </c>
      <c r="K14" t="str">
        <f>_xlfn.CONCAT(OH[[#This Row],[Size]], "_", OH[[#This Row],[Material]])</f>
        <v>4_Copper</v>
      </c>
    </row>
    <row r="15" spans="1:11" x14ac:dyDescent="0.2">
      <c r="A15" t="str">
        <f>_xlfn.CONCAT(OH[[#This Row],[Size]], "_",OH[[#This Row],[Stranding]], "_", OH[[#This Row],[Material]])</f>
        <v>4_CLASS A_AA</v>
      </c>
      <c r="B15" s="1">
        <v>4</v>
      </c>
      <c r="C15" t="s">
        <v>11</v>
      </c>
      <c r="D15" t="s">
        <v>12</v>
      </c>
      <c r="E15">
        <v>0.23200000000000001</v>
      </c>
      <c r="F15">
        <v>7.0000000000000001E-3</v>
      </c>
      <c r="G15">
        <v>2.4529999999999998</v>
      </c>
      <c r="H15">
        <v>90</v>
      </c>
      <c r="I15" t="str">
        <f t="shared" si="0"/>
        <v>ft</v>
      </c>
      <c r="J15" t="str">
        <f t="shared" si="1"/>
        <v>mi</v>
      </c>
      <c r="K15" t="str">
        <f>_xlfn.CONCAT(OH[[#This Row],[Size]], "_", OH[[#This Row],[Material]])</f>
        <v>4_AA</v>
      </c>
    </row>
    <row r="16" spans="1:11" x14ac:dyDescent="0.2">
      <c r="A16" t="str">
        <f>_xlfn.CONCAT(OH[[#This Row],[Size]], "_",OH[[#This Row],[Stranding]], "_", OH[[#This Row],[Material]])</f>
        <v>5_6/1_ACSR</v>
      </c>
      <c r="B16" s="1">
        <v>5</v>
      </c>
      <c r="C16" t="s">
        <v>13</v>
      </c>
      <c r="D16" t="s">
        <v>8</v>
      </c>
      <c r="E16">
        <v>0.223</v>
      </c>
      <c r="F16">
        <v>4.1599999999999996E-3</v>
      </c>
      <c r="G16">
        <v>3.18</v>
      </c>
      <c r="H16">
        <v>120</v>
      </c>
      <c r="I16" t="str">
        <f t="shared" si="0"/>
        <v>ft</v>
      </c>
      <c r="J16" t="str">
        <f t="shared" si="1"/>
        <v>mi</v>
      </c>
      <c r="K16" t="str">
        <f>_xlfn.CONCAT(OH[[#This Row],[Size]], "_", OH[[#This Row],[Material]])</f>
        <v>5_ACSR</v>
      </c>
    </row>
    <row r="17" spans="1:11" x14ac:dyDescent="0.2">
      <c r="A17" t="str">
        <f>_xlfn.CONCAT(OH[[#This Row],[Size]], "_",OH[[#This Row],[Stranding]], "_", OH[[#This Row],[Material]])</f>
        <v>5_AWG SLD_Copper</v>
      </c>
      <c r="B17" s="1">
        <v>5</v>
      </c>
      <c r="C17" t="s">
        <v>15</v>
      </c>
      <c r="D17" t="s">
        <v>10</v>
      </c>
      <c r="E17">
        <v>0.18190000000000001</v>
      </c>
      <c r="F17">
        <v>5.8999999999999999E-3</v>
      </c>
      <c r="G17">
        <v>1.895</v>
      </c>
      <c r="H17">
        <v>140</v>
      </c>
      <c r="I17" t="str">
        <f t="shared" si="0"/>
        <v>ft</v>
      </c>
      <c r="J17" t="str">
        <f t="shared" si="1"/>
        <v>mi</v>
      </c>
      <c r="K17" t="str">
        <f>_xlfn.CONCAT(OH[[#This Row],[Size]], "_", OH[[#This Row],[Material]])</f>
        <v>5_Copper</v>
      </c>
    </row>
    <row r="18" spans="1:11" x14ac:dyDescent="0.2">
      <c r="A18" t="str">
        <f>_xlfn.CONCAT(OH[[#This Row],[Size]], "_",OH[[#This Row],[Stranding]], "_", OH[[#This Row],[Material]])</f>
        <v>6_6/1_ACSR</v>
      </c>
      <c r="B18" s="1">
        <v>6</v>
      </c>
      <c r="C18" t="s">
        <v>13</v>
      </c>
      <c r="D18" t="s">
        <v>8</v>
      </c>
      <c r="E18">
        <v>0.19800000000000001</v>
      </c>
      <c r="F18">
        <v>3.9399999999999999E-3</v>
      </c>
      <c r="G18">
        <v>3.98</v>
      </c>
      <c r="H18">
        <v>100</v>
      </c>
      <c r="I18" t="str">
        <f t="shared" si="0"/>
        <v>ft</v>
      </c>
      <c r="J18" t="str">
        <f t="shared" si="1"/>
        <v>mi</v>
      </c>
      <c r="K18" t="str">
        <f>_xlfn.CONCAT(OH[[#This Row],[Size]], "_", OH[[#This Row],[Material]])</f>
        <v>6_ACSR</v>
      </c>
    </row>
    <row r="19" spans="1:11" x14ac:dyDescent="0.2">
      <c r="A19" t="str">
        <f>_xlfn.CONCAT(OH[[#This Row],[Size]], "_",OH[[#This Row],[Stranding]], "_", OH[[#This Row],[Material]])</f>
        <v>6_AWG SLD_Copper</v>
      </c>
      <c r="B19" s="1">
        <v>6</v>
      </c>
      <c r="C19" t="s">
        <v>15</v>
      </c>
      <c r="D19" t="s">
        <v>10</v>
      </c>
      <c r="E19">
        <v>0.16200000000000001</v>
      </c>
      <c r="F19">
        <v>5.2599999999999999E-3</v>
      </c>
      <c r="G19">
        <v>2.39</v>
      </c>
      <c r="H19">
        <v>120</v>
      </c>
      <c r="I19" t="str">
        <f t="shared" si="0"/>
        <v>ft</v>
      </c>
      <c r="J19" t="str">
        <f t="shared" si="1"/>
        <v>mi</v>
      </c>
      <c r="K19" t="str">
        <f>_xlfn.CONCAT(OH[[#This Row],[Size]], "_", OH[[#This Row],[Material]])</f>
        <v>6_Copper</v>
      </c>
    </row>
    <row r="20" spans="1:11" x14ac:dyDescent="0.2">
      <c r="A20" t="str">
        <f>_xlfn.CONCAT(OH[[#This Row],[Size]], "_",OH[[#This Row],[Stranding]], "_", OH[[#This Row],[Material]])</f>
        <v>6_CLASS A_AA</v>
      </c>
      <c r="B20" s="1">
        <v>6</v>
      </c>
      <c r="C20" t="s">
        <v>11</v>
      </c>
      <c r="D20" t="s">
        <v>12</v>
      </c>
      <c r="E20">
        <v>0.184</v>
      </c>
      <c r="F20">
        <v>5.5500000000000002E-3</v>
      </c>
      <c r="G20">
        <v>3.903</v>
      </c>
      <c r="H20">
        <v>65</v>
      </c>
      <c r="I20" t="str">
        <f t="shared" si="0"/>
        <v>ft</v>
      </c>
      <c r="J20" t="str">
        <f t="shared" si="1"/>
        <v>mi</v>
      </c>
      <c r="K20" t="str">
        <f>_xlfn.CONCAT(OH[[#This Row],[Size]], "_", OH[[#This Row],[Material]])</f>
        <v>6_AA</v>
      </c>
    </row>
    <row r="21" spans="1:11" x14ac:dyDescent="0.2">
      <c r="A21" t="str">
        <f>_xlfn.CONCAT(OH[[#This Row],[Size]], "_",OH[[#This Row],[Stranding]], "_", OH[[#This Row],[Material]])</f>
        <v>7_AWG SLD_Copper</v>
      </c>
      <c r="B21" s="1">
        <v>7</v>
      </c>
      <c r="C21" t="s">
        <v>15</v>
      </c>
      <c r="D21" t="s">
        <v>10</v>
      </c>
      <c r="E21">
        <v>0.14430000000000001</v>
      </c>
      <c r="F21">
        <v>4.6800000000000001E-3</v>
      </c>
      <c r="G21">
        <v>3.01</v>
      </c>
      <c r="H21">
        <v>110</v>
      </c>
      <c r="I21" t="str">
        <f t="shared" si="0"/>
        <v>ft</v>
      </c>
      <c r="J21" t="str">
        <f t="shared" si="1"/>
        <v>mi</v>
      </c>
      <c r="K21" t="str">
        <f>_xlfn.CONCAT(OH[[#This Row],[Size]], "_", OH[[#This Row],[Material]])</f>
        <v>7_Copper</v>
      </c>
    </row>
    <row r="22" spans="1:11" x14ac:dyDescent="0.2">
      <c r="A22" t="str">
        <f>_xlfn.CONCAT(OH[[#This Row],[Size]], "_",OH[[#This Row],[Stranding]], "_", OH[[#This Row],[Material]])</f>
        <v>8_AWG SLD_Copper</v>
      </c>
      <c r="B22" s="1">
        <v>8</v>
      </c>
      <c r="C22" t="s">
        <v>15</v>
      </c>
      <c r="D22" t="s">
        <v>10</v>
      </c>
      <c r="E22">
        <v>0.1285</v>
      </c>
      <c r="F22">
        <v>4.1599999999999996E-3</v>
      </c>
      <c r="G22">
        <v>3.8</v>
      </c>
      <c r="H22">
        <v>90</v>
      </c>
      <c r="I22" t="str">
        <f t="shared" si="0"/>
        <v>ft</v>
      </c>
      <c r="J22" t="str">
        <f t="shared" si="1"/>
        <v>mi</v>
      </c>
      <c r="K22" t="str">
        <f>_xlfn.CONCAT(OH[[#This Row],[Size]], "_", OH[[#This Row],[Material]])</f>
        <v>8_Copper</v>
      </c>
    </row>
    <row r="23" spans="1:11" x14ac:dyDescent="0.2">
      <c r="A23" t="str">
        <f>_xlfn.CONCAT(OH[[#This Row],[Size]], "_",OH[[#This Row],[Stranding]], "_", OH[[#This Row],[Material]])</f>
        <v>9_AWG SLD_Copper</v>
      </c>
      <c r="B23" s="1">
        <v>9</v>
      </c>
      <c r="C23" t="s">
        <v>15</v>
      </c>
      <c r="D23" t="s">
        <v>10</v>
      </c>
      <c r="E23">
        <v>0.1144</v>
      </c>
      <c r="F23">
        <v>3.7100000000000002E-3</v>
      </c>
      <c r="G23">
        <v>4.6757999999999997</v>
      </c>
      <c r="H23">
        <v>80</v>
      </c>
      <c r="I23" t="str">
        <f t="shared" si="0"/>
        <v>ft</v>
      </c>
      <c r="J23" t="str">
        <f t="shared" si="1"/>
        <v>mi</v>
      </c>
      <c r="K23" t="str">
        <f>_xlfn.CONCAT(OH[[#This Row],[Size]], "_", OH[[#This Row],[Material]])</f>
        <v>9_Copper</v>
      </c>
    </row>
    <row r="24" spans="1:11" x14ac:dyDescent="0.2">
      <c r="A24" t="str">
        <f>_xlfn.CONCAT(OH[[#This Row],[Size]], "_",OH[[#This Row],[Stranding]], "_", OH[[#This Row],[Material]])</f>
        <v>10_AWG SLD_Copper</v>
      </c>
      <c r="B24" s="1">
        <v>10</v>
      </c>
      <c r="C24" t="s">
        <v>15</v>
      </c>
      <c r="D24" t="s">
        <v>10</v>
      </c>
      <c r="E24">
        <v>0.1019</v>
      </c>
      <c r="F24">
        <v>3.3E-3</v>
      </c>
      <c r="G24">
        <v>5.9025999999999996</v>
      </c>
      <c r="H24">
        <v>75</v>
      </c>
      <c r="I24" t="str">
        <f t="shared" si="0"/>
        <v>ft</v>
      </c>
      <c r="J24" t="str">
        <f t="shared" si="1"/>
        <v>mi</v>
      </c>
      <c r="K24" t="str">
        <f>_xlfn.CONCAT(OH[[#This Row],[Size]], "_", OH[[#This Row],[Material]])</f>
        <v>10_Copper</v>
      </c>
    </row>
    <row r="25" spans="1:11" x14ac:dyDescent="0.2">
      <c r="A25" t="str">
        <f>_xlfn.CONCAT(OH[[#This Row],[Size]], "_",OH[[#This Row],[Stranding]], "_", OH[[#This Row],[Material]])</f>
        <v>12_AWG SLD_Copper</v>
      </c>
      <c r="B25" s="1">
        <v>12</v>
      </c>
      <c r="C25" t="s">
        <v>15</v>
      </c>
      <c r="D25" t="s">
        <v>10</v>
      </c>
      <c r="E25">
        <v>8.0799999999999997E-2</v>
      </c>
      <c r="F25">
        <v>2.6199999999999999E-3</v>
      </c>
      <c r="G25">
        <v>9.3747000000000007</v>
      </c>
      <c r="H25">
        <v>40</v>
      </c>
      <c r="I25" t="str">
        <f t="shared" si="0"/>
        <v>ft</v>
      </c>
      <c r="J25" t="str">
        <f t="shared" si="1"/>
        <v>mi</v>
      </c>
      <c r="K25" t="str">
        <f>_xlfn.CONCAT(OH[[#This Row],[Size]], "_", OH[[#This Row],[Material]])</f>
        <v>12_Copper</v>
      </c>
    </row>
    <row r="26" spans="1:11" x14ac:dyDescent="0.2">
      <c r="A26" t="str">
        <f>_xlfn.CONCAT(OH[[#This Row],[Size]], "_",OH[[#This Row],[Stranding]], "_", OH[[#This Row],[Material]])</f>
        <v>14_AWG SLD_Copper</v>
      </c>
      <c r="B26" s="1">
        <v>14</v>
      </c>
      <c r="C26" t="s">
        <v>15</v>
      </c>
      <c r="D26" t="s">
        <v>10</v>
      </c>
      <c r="E26">
        <v>6.4100000000000004E-2</v>
      </c>
      <c r="F26">
        <v>2.0799999999999998E-3</v>
      </c>
      <c r="G26">
        <v>14.872199999999999</v>
      </c>
      <c r="H26">
        <v>20</v>
      </c>
      <c r="I26" t="str">
        <f t="shared" si="0"/>
        <v>ft</v>
      </c>
      <c r="J26" t="str">
        <f t="shared" si="1"/>
        <v>mi</v>
      </c>
      <c r="K26" t="str">
        <f>_xlfn.CONCAT(OH[[#This Row],[Size]], "_", OH[[#This Row],[Material]])</f>
        <v>14_Copper</v>
      </c>
    </row>
    <row r="27" spans="1:11" x14ac:dyDescent="0.2">
      <c r="A27" t="str">
        <f>_xlfn.CONCAT(OH[[#This Row],[Size]], "_",OH[[#This Row],[Stranding]], "_", OH[[#This Row],[Material]])</f>
        <v>16_AWG SLD_Copper</v>
      </c>
      <c r="B27" s="1">
        <v>16</v>
      </c>
      <c r="C27" t="s">
        <v>15</v>
      </c>
      <c r="D27" t="s">
        <v>10</v>
      </c>
      <c r="E27">
        <v>5.0799999999999998E-2</v>
      </c>
      <c r="F27">
        <v>1.64E-3</v>
      </c>
      <c r="G27">
        <v>23.726199999999999</v>
      </c>
      <c r="H27">
        <v>10</v>
      </c>
      <c r="I27" t="str">
        <f t="shared" si="0"/>
        <v>ft</v>
      </c>
      <c r="J27" t="str">
        <f t="shared" si="1"/>
        <v>mi</v>
      </c>
      <c r="K27" t="str">
        <f>_xlfn.CONCAT(OH[[#This Row],[Size]], "_", OH[[#This Row],[Material]])</f>
        <v>16_Copper</v>
      </c>
    </row>
    <row r="28" spans="1:11" x14ac:dyDescent="0.2">
      <c r="A28" t="str">
        <f>_xlfn.CONCAT(OH[[#This Row],[Size]], "_",OH[[#This Row],[Stranding]], "_", OH[[#This Row],[Material]])</f>
        <v>18_AWG SLD_Copper</v>
      </c>
      <c r="B28" s="1">
        <v>18</v>
      </c>
      <c r="C28" t="s">
        <v>15</v>
      </c>
      <c r="D28" t="s">
        <v>10</v>
      </c>
      <c r="E28">
        <v>4.0300000000000002E-2</v>
      </c>
      <c r="F28">
        <v>1.2999999999999999E-3</v>
      </c>
      <c r="G28">
        <v>37.672600000000003</v>
      </c>
      <c r="H28">
        <v>5</v>
      </c>
      <c r="I28" t="str">
        <f t="shared" si="0"/>
        <v>ft</v>
      </c>
      <c r="J28" t="str">
        <f t="shared" si="1"/>
        <v>mi</v>
      </c>
      <c r="K28" t="str">
        <f>_xlfn.CONCAT(OH[[#This Row],[Size]], "_", OH[[#This Row],[Material]])</f>
        <v>18_Copper</v>
      </c>
    </row>
    <row r="29" spans="1:11" x14ac:dyDescent="0.2">
      <c r="A29" t="str">
        <f>_xlfn.CONCAT(OH[[#This Row],[Size]], "_",OH[[#This Row],[Stranding]], "_", OH[[#This Row],[Material]])</f>
        <v>19_AWG SLD_Copper</v>
      </c>
      <c r="B29" s="1">
        <v>19</v>
      </c>
      <c r="C29" t="s">
        <v>15</v>
      </c>
      <c r="D29" t="s">
        <v>10</v>
      </c>
      <c r="E29">
        <v>3.5900000000000001E-2</v>
      </c>
      <c r="F29">
        <v>1.16E-3</v>
      </c>
      <c r="G29">
        <v>47.510300000000001</v>
      </c>
      <c r="H29">
        <v>4</v>
      </c>
      <c r="I29" t="str">
        <f t="shared" si="0"/>
        <v>ft</v>
      </c>
      <c r="J29" t="str">
        <f t="shared" si="1"/>
        <v>mi</v>
      </c>
      <c r="K29" t="str">
        <f>_xlfn.CONCAT(OH[[#This Row],[Size]], "_", OH[[#This Row],[Material]])</f>
        <v>19_Copper</v>
      </c>
    </row>
    <row r="30" spans="1:11" x14ac:dyDescent="0.2">
      <c r="A30" t="str">
        <f>_xlfn.CONCAT(OH[[#This Row],[Size]], "_",OH[[#This Row],[Stranding]], "_", OH[[#This Row],[Material]])</f>
        <v>20_AWG SLD_Copper</v>
      </c>
      <c r="B30" s="1">
        <v>20</v>
      </c>
      <c r="C30" t="s">
        <v>15</v>
      </c>
      <c r="D30" t="s">
        <v>10</v>
      </c>
      <c r="E30">
        <v>3.2000000000000001E-2</v>
      </c>
      <c r="F30">
        <v>1.0300000000000001E-3</v>
      </c>
      <c r="G30">
        <v>59.683999999999997</v>
      </c>
      <c r="H30">
        <v>3</v>
      </c>
      <c r="I30" t="str">
        <f t="shared" si="0"/>
        <v>ft</v>
      </c>
      <c r="J30" t="str">
        <f t="shared" si="1"/>
        <v>mi</v>
      </c>
      <c r="K30" t="str">
        <f>_xlfn.CONCAT(OH[[#This Row],[Size]], "_", OH[[#This Row],[Material]])</f>
        <v>20_Copper</v>
      </c>
    </row>
    <row r="31" spans="1:11" x14ac:dyDescent="0.2">
      <c r="A31" t="str">
        <f>_xlfn.CONCAT(OH[[#This Row],[Size]], "_",OH[[#This Row],[Stranding]], "_", OH[[#This Row],[Material]])</f>
        <v>22_AWG SLD_Copper</v>
      </c>
      <c r="B31" s="1">
        <v>22</v>
      </c>
      <c r="C31" t="s">
        <v>15</v>
      </c>
      <c r="D31" t="s">
        <v>10</v>
      </c>
      <c r="E31">
        <v>2.53E-2</v>
      </c>
      <c r="F31">
        <v>8.1999999999999998E-4</v>
      </c>
      <c r="G31">
        <v>95.483500000000006</v>
      </c>
      <c r="H31">
        <v>2</v>
      </c>
      <c r="I31" t="str">
        <f t="shared" si="0"/>
        <v>ft</v>
      </c>
      <c r="J31" t="str">
        <f t="shared" si="1"/>
        <v>mi</v>
      </c>
      <c r="K31" t="str">
        <f>_xlfn.CONCAT(OH[[#This Row],[Size]], "_", OH[[#This Row],[Material]])</f>
        <v>22_Copper</v>
      </c>
    </row>
    <row r="32" spans="1:11" x14ac:dyDescent="0.2">
      <c r="A32" t="str">
        <f>_xlfn.CONCAT(OH[[#This Row],[Size]], "_",OH[[#This Row],[Stranding]], "_", OH[[#This Row],[Material]])</f>
        <v>24_AWG SLD_Copper</v>
      </c>
      <c r="B32" s="1">
        <v>24</v>
      </c>
      <c r="C32" t="s">
        <v>15</v>
      </c>
      <c r="D32" t="s">
        <v>10</v>
      </c>
      <c r="E32">
        <v>2.01E-2</v>
      </c>
      <c r="F32">
        <v>6.4999999999999997E-4</v>
      </c>
      <c r="G32">
        <v>151.61600000000001</v>
      </c>
      <c r="H32">
        <v>1</v>
      </c>
      <c r="I32" t="str">
        <f t="shared" si="0"/>
        <v>ft</v>
      </c>
      <c r="J32" t="str">
        <f t="shared" si="1"/>
        <v>mi</v>
      </c>
      <c r="K32" t="str">
        <f>_xlfn.CONCAT(OH[[#This Row],[Size]], "_", OH[[#This Row],[Material]])</f>
        <v>24_Copper</v>
      </c>
    </row>
    <row r="33" spans="1:11" x14ac:dyDescent="0.2">
      <c r="A33" t="str">
        <f>_xlfn.CONCAT(OH[[#This Row],[Size]], "_",OH[[#This Row],[Stranding]], "_", OH[[#This Row],[Material]])</f>
        <v>1/0__ACSR</v>
      </c>
      <c r="B33" s="1" t="s">
        <v>16</v>
      </c>
      <c r="D33" t="s">
        <v>8</v>
      </c>
      <c r="E33">
        <v>0.39800000000000002</v>
      </c>
      <c r="F33">
        <v>4.4600000000000004E-3</v>
      </c>
      <c r="G33">
        <v>1.1200000000000001</v>
      </c>
      <c r="H33">
        <v>230</v>
      </c>
      <c r="I33" t="str">
        <f t="shared" si="0"/>
        <v>ft</v>
      </c>
      <c r="J33" t="str">
        <f t="shared" si="1"/>
        <v>mi</v>
      </c>
      <c r="K33" t="str">
        <f>_xlfn.CONCAT(OH[[#This Row],[Size]], "_", OH[[#This Row],[Material]])</f>
        <v>1/0_ACSR</v>
      </c>
    </row>
    <row r="34" spans="1:11" x14ac:dyDescent="0.2">
      <c r="A34" t="str">
        <f>_xlfn.CONCAT(OH[[#This Row],[Size]], "_",OH[[#This Row],[Stranding]], "_", OH[[#This Row],[Material]])</f>
        <v>1/0_7 STRD_Copper</v>
      </c>
      <c r="B34" s="1" t="s">
        <v>16</v>
      </c>
      <c r="C34" t="s">
        <v>9</v>
      </c>
      <c r="D34" t="s">
        <v>10</v>
      </c>
      <c r="E34">
        <v>0.36799999999999999</v>
      </c>
      <c r="F34">
        <v>1.1129999999999999E-2</v>
      </c>
      <c r="G34">
        <v>0.60699999999999998</v>
      </c>
      <c r="H34">
        <v>310</v>
      </c>
      <c r="I34" t="str">
        <f t="shared" ref="I34:I65" si="2">"ft"</f>
        <v>ft</v>
      </c>
      <c r="J34" t="str">
        <f t="shared" ref="J34:J65" si="3">"mi"</f>
        <v>mi</v>
      </c>
      <c r="K34" t="str">
        <f>_xlfn.CONCAT(OH[[#This Row],[Size]], "_", OH[[#This Row],[Material]])</f>
        <v>1/0_Copper</v>
      </c>
    </row>
    <row r="35" spans="1:11" x14ac:dyDescent="0.2">
      <c r="A35" t="str">
        <f>_xlfn.CONCAT(OH[[#This Row],[Size]], "_",OH[[#This Row],[Stranding]], "_", OH[[#This Row],[Material]])</f>
        <v>1/0_CLASS A_AA</v>
      </c>
      <c r="B35" s="1" t="s">
        <v>16</v>
      </c>
      <c r="C35" t="s">
        <v>11</v>
      </c>
      <c r="D35" t="s">
        <v>12</v>
      </c>
      <c r="E35">
        <v>0.36799999999999999</v>
      </c>
      <c r="F35">
        <v>1.11E-2</v>
      </c>
      <c r="G35">
        <v>0.97</v>
      </c>
      <c r="H35">
        <v>202</v>
      </c>
      <c r="I35" t="str">
        <f t="shared" si="2"/>
        <v>ft</v>
      </c>
      <c r="J35" t="str">
        <f t="shared" si="3"/>
        <v>mi</v>
      </c>
      <c r="K35" t="str">
        <f>_xlfn.CONCAT(OH[[#This Row],[Size]], "_", OH[[#This Row],[Material]])</f>
        <v>1/0_AA</v>
      </c>
    </row>
    <row r="36" spans="1:11" x14ac:dyDescent="0.2">
      <c r="A36" t="str">
        <f>_xlfn.CONCAT(OH[[#This Row],[Size]], "_",OH[[#This Row],[Stranding]], "_", OH[[#This Row],[Material]])</f>
        <v>2/0__ACSR</v>
      </c>
      <c r="B36" s="1" t="s">
        <v>17</v>
      </c>
      <c r="D36" t="s">
        <v>8</v>
      </c>
      <c r="E36">
        <v>0.44700000000000001</v>
      </c>
      <c r="F36">
        <v>5.1000000000000004E-3</v>
      </c>
      <c r="G36">
        <v>0.89500000000000002</v>
      </c>
      <c r="H36">
        <v>270</v>
      </c>
      <c r="I36" t="str">
        <f t="shared" si="2"/>
        <v>ft</v>
      </c>
      <c r="J36" t="str">
        <f t="shared" si="3"/>
        <v>mi</v>
      </c>
      <c r="K36" t="str">
        <f>_xlfn.CONCAT(OH[[#This Row],[Size]], "_", OH[[#This Row],[Material]])</f>
        <v>2/0_ACSR</v>
      </c>
    </row>
    <row r="37" spans="1:11" x14ac:dyDescent="0.2">
      <c r="A37" t="str">
        <f>_xlfn.CONCAT(OH[[#This Row],[Size]], "_",OH[[#This Row],[Stranding]], "_", OH[[#This Row],[Material]])</f>
        <v>2/0_7 STRD_Copper</v>
      </c>
      <c r="B37" s="1" t="s">
        <v>17</v>
      </c>
      <c r="C37" t="s">
        <v>9</v>
      </c>
      <c r="D37" t="s">
        <v>10</v>
      </c>
      <c r="E37">
        <v>0.41399999999999998</v>
      </c>
      <c r="F37">
        <v>1.252E-2</v>
      </c>
      <c r="G37">
        <v>0.48099999999999998</v>
      </c>
      <c r="H37">
        <v>360</v>
      </c>
      <c r="I37" t="str">
        <f t="shared" si="2"/>
        <v>ft</v>
      </c>
      <c r="J37" t="str">
        <f t="shared" si="3"/>
        <v>mi</v>
      </c>
      <c r="K37" t="str">
        <f>_xlfn.CONCAT(OH[[#This Row],[Size]], "_", OH[[#This Row],[Material]])</f>
        <v>2/0_Copper</v>
      </c>
    </row>
    <row r="38" spans="1:11" x14ac:dyDescent="0.2">
      <c r="A38" t="str">
        <f>_xlfn.CONCAT(OH[[#This Row],[Size]], "_",OH[[#This Row],[Stranding]], "_", OH[[#This Row],[Material]])</f>
        <v>2/0_CLASS A_AA</v>
      </c>
      <c r="B38" s="1" t="s">
        <v>17</v>
      </c>
      <c r="C38" t="s">
        <v>11</v>
      </c>
      <c r="D38" t="s">
        <v>12</v>
      </c>
      <c r="E38">
        <v>0.41399999999999998</v>
      </c>
      <c r="F38">
        <v>1.2500000000000001E-2</v>
      </c>
      <c r="G38">
        <v>0.76900000000000002</v>
      </c>
      <c r="H38">
        <v>230</v>
      </c>
      <c r="I38" t="str">
        <f t="shared" si="2"/>
        <v>ft</v>
      </c>
      <c r="J38" t="str">
        <f t="shared" si="3"/>
        <v>mi</v>
      </c>
      <c r="K38" t="str">
        <f>_xlfn.CONCAT(OH[[#This Row],[Size]], "_", OH[[#This Row],[Material]])</f>
        <v>2/0_AA</v>
      </c>
    </row>
    <row r="39" spans="1:11" x14ac:dyDescent="0.2">
      <c r="A39" t="str">
        <f>_xlfn.CONCAT(OH[[#This Row],[Size]], "_",OH[[#This Row],[Stranding]], "_", OH[[#This Row],[Material]])</f>
        <v>3/0_12 STRD_Copper</v>
      </c>
      <c r="B39" s="1" t="s">
        <v>18</v>
      </c>
      <c r="C39" t="s">
        <v>19</v>
      </c>
      <c r="D39" t="s">
        <v>10</v>
      </c>
      <c r="E39">
        <v>0.49199999999999999</v>
      </c>
      <c r="F39">
        <v>1.559E-2</v>
      </c>
      <c r="G39">
        <v>0.38200000000000001</v>
      </c>
      <c r="H39">
        <v>420</v>
      </c>
      <c r="I39" t="str">
        <f t="shared" si="2"/>
        <v>ft</v>
      </c>
      <c r="J39" t="str">
        <f t="shared" si="3"/>
        <v>mi</v>
      </c>
      <c r="K39" t="str">
        <f>_xlfn.CONCAT(OH[[#This Row],[Size]], "_", OH[[#This Row],[Material]])</f>
        <v>3/0_Copper</v>
      </c>
    </row>
    <row r="40" spans="1:11" x14ac:dyDescent="0.2">
      <c r="A40" t="str">
        <f>_xlfn.CONCAT(OH[[#This Row],[Size]], "_",OH[[#This Row],[Stranding]], "_", OH[[#This Row],[Material]])</f>
        <v>3/0_6/1_ACSR</v>
      </c>
      <c r="B40" s="1" t="s">
        <v>18</v>
      </c>
      <c r="C40" t="s">
        <v>13</v>
      </c>
      <c r="D40" t="s">
        <v>8</v>
      </c>
      <c r="E40">
        <v>0.502</v>
      </c>
      <c r="F40">
        <v>6.0000000000000001E-3</v>
      </c>
      <c r="G40">
        <v>0.72299999999999998</v>
      </c>
      <c r="H40">
        <v>300</v>
      </c>
      <c r="I40" t="str">
        <f t="shared" si="2"/>
        <v>ft</v>
      </c>
      <c r="J40" t="str">
        <f t="shared" si="3"/>
        <v>mi</v>
      </c>
      <c r="K40" t="str">
        <f>_xlfn.CONCAT(OH[[#This Row],[Size]], "_", OH[[#This Row],[Material]])</f>
        <v>3/0_ACSR</v>
      </c>
    </row>
    <row r="41" spans="1:11" x14ac:dyDescent="0.2">
      <c r="A41" t="str">
        <f>_xlfn.CONCAT(OH[[#This Row],[Size]], "_",OH[[#This Row],[Stranding]], "_", OH[[#This Row],[Material]])</f>
        <v>3/0_7 STRD_Copper</v>
      </c>
      <c r="B41" s="1" t="s">
        <v>18</v>
      </c>
      <c r="C41" t="s">
        <v>9</v>
      </c>
      <c r="D41" t="s">
        <v>10</v>
      </c>
      <c r="E41">
        <v>0.46400000000000002</v>
      </c>
      <c r="F41">
        <v>1.404E-2</v>
      </c>
      <c r="G41">
        <v>0.38200000000000001</v>
      </c>
      <c r="H41">
        <v>420</v>
      </c>
      <c r="I41" t="str">
        <f t="shared" si="2"/>
        <v>ft</v>
      </c>
      <c r="J41" t="str">
        <f t="shared" si="3"/>
        <v>mi</v>
      </c>
      <c r="K41" t="str">
        <f>_xlfn.CONCAT(OH[[#This Row],[Size]], "_", OH[[#This Row],[Material]])</f>
        <v>3/0_Copper</v>
      </c>
    </row>
    <row r="42" spans="1:11" x14ac:dyDescent="0.2">
      <c r="A42" t="str">
        <f>_xlfn.CONCAT(OH[[#This Row],[Size]], "_",OH[[#This Row],[Stranding]], "_", OH[[#This Row],[Material]])</f>
        <v>3/0_CLASS A_AA</v>
      </c>
      <c r="B42" s="1" t="s">
        <v>18</v>
      </c>
      <c r="C42" t="s">
        <v>11</v>
      </c>
      <c r="D42" t="s">
        <v>12</v>
      </c>
      <c r="E42">
        <v>0.46400000000000002</v>
      </c>
      <c r="F42">
        <v>1.4E-2</v>
      </c>
      <c r="G42">
        <v>0.61099999999999999</v>
      </c>
      <c r="H42">
        <v>263</v>
      </c>
      <c r="I42" t="str">
        <f t="shared" si="2"/>
        <v>ft</v>
      </c>
      <c r="J42" t="str">
        <f t="shared" si="3"/>
        <v>mi</v>
      </c>
      <c r="K42" t="str">
        <f>_xlfn.CONCAT(OH[[#This Row],[Size]], "_", OH[[#This Row],[Material]])</f>
        <v>3/0_AA</v>
      </c>
    </row>
    <row r="43" spans="1:11" x14ac:dyDescent="0.2">
      <c r="A43" t="str">
        <f>_xlfn.CONCAT(OH[[#This Row],[Size]], "_",OH[[#This Row],[Stranding]], "_", OH[[#This Row],[Material]])</f>
        <v>3/8_INCH STE_Steel</v>
      </c>
      <c r="B43" s="1" t="s">
        <v>20</v>
      </c>
      <c r="C43" t="s">
        <v>21</v>
      </c>
      <c r="D43" t="s">
        <v>22</v>
      </c>
      <c r="E43">
        <v>0.375</v>
      </c>
      <c r="F43">
        <v>1.0000000000000001E-5</v>
      </c>
      <c r="G43">
        <v>4.3</v>
      </c>
      <c r="H43">
        <v>150</v>
      </c>
      <c r="I43" t="str">
        <f t="shared" si="2"/>
        <v>ft</v>
      </c>
      <c r="J43" t="str">
        <f t="shared" si="3"/>
        <v>mi</v>
      </c>
      <c r="K43" t="str">
        <f>_xlfn.CONCAT(OH[[#This Row],[Size]], "_", OH[[#This Row],[Material]])</f>
        <v>3/8_Steel</v>
      </c>
    </row>
    <row r="44" spans="1:11" x14ac:dyDescent="0.2">
      <c r="A44" t="str">
        <f>_xlfn.CONCAT(OH[[#This Row],[Size]], "_",OH[[#This Row],[Stranding]], "_", OH[[#This Row],[Material]])</f>
        <v>4/0_12 STRD_Copper</v>
      </c>
      <c r="B44" s="1" t="s">
        <v>23</v>
      </c>
      <c r="C44" t="s">
        <v>19</v>
      </c>
      <c r="D44" t="s">
        <v>10</v>
      </c>
      <c r="E44">
        <v>0.55200000000000005</v>
      </c>
      <c r="F44">
        <v>1.7500000000000002E-2</v>
      </c>
      <c r="G44">
        <v>0.30299999999999999</v>
      </c>
      <c r="H44">
        <v>490</v>
      </c>
      <c r="I44" t="str">
        <f t="shared" si="2"/>
        <v>ft</v>
      </c>
      <c r="J44" t="str">
        <f t="shared" si="3"/>
        <v>mi</v>
      </c>
      <c r="K44" t="str">
        <f>_xlfn.CONCAT(OH[[#This Row],[Size]], "_", OH[[#This Row],[Material]])</f>
        <v>4/0_Copper</v>
      </c>
    </row>
    <row r="45" spans="1:11" x14ac:dyDescent="0.2">
      <c r="A45" t="str">
        <f>_xlfn.CONCAT(OH[[#This Row],[Size]], "_",OH[[#This Row],[Stranding]], "_", OH[[#This Row],[Material]])</f>
        <v>4/0_19 STRD_Copper</v>
      </c>
      <c r="B45" s="1" t="s">
        <v>23</v>
      </c>
      <c r="C45" t="s">
        <v>24</v>
      </c>
      <c r="D45" t="s">
        <v>10</v>
      </c>
      <c r="E45">
        <v>0.52800000000000002</v>
      </c>
      <c r="F45">
        <v>1.668E-2</v>
      </c>
      <c r="G45">
        <v>0.30299999999999999</v>
      </c>
      <c r="H45">
        <v>480</v>
      </c>
      <c r="I45" t="str">
        <f t="shared" si="2"/>
        <v>ft</v>
      </c>
      <c r="J45" t="str">
        <f t="shared" si="3"/>
        <v>mi</v>
      </c>
      <c r="K45" t="str">
        <f>_xlfn.CONCAT(OH[[#This Row],[Size]], "_", OH[[#This Row],[Material]])</f>
        <v>4/0_Copper</v>
      </c>
    </row>
    <row r="46" spans="1:11" x14ac:dyDescent="0.2">
      <c r="A46" t="str">
        <f>_xlfn.CONCAT(OH[[#This Row],[Size]], "_",OH[[#This Row],[Stranding]], "_", OH[[#This Row],[Material]])</f>
        <v>4/0_6/1_ACSR</v>
      </c>
      <c r="B46" s="1" t="s">
        <v>23</v>
      </c>
      <c r="C46" t="s">
        <v>13</v>
      </c>
      <c r="D46" t="s">
        <v>8</v>
      </c>
      <c r="E46">
        <v>0.56299999999999994</v>
      </c>
      <c r="F46">
        <v>8.1399999999999997E-3</v>
      </c>
      <c r="G46">
        <v>0.59199999999999997</v>
      </c>
      <c r="H46">
        <v>340</v>
      </c>
      <c r="I46" t="str">
        <f t="shared" si="2"/>
        <v>ft</v>
      </c>
      <c r="J46" t="str">
        <f t="shared" si="3"/>
        <v>mi</v>
      </c>
      <c r="K46" t="str">
        <f>_xlfn.CONCAT(OH[[#This Row],[Size]], "_", OH[[#This Row],[Material]])</f>
        <v>4/0_ACSR</v>
      </c>
    </row>
    <row r="47" spans="1:11" x14ac:dyDescent="0.2">
      <c r="A47" t="str">
        <f>_xlfn.CONCAT(OH[[#This Row],[Size]], "_",OH[[#This Row],[Stranding]], "_", OH[[#This Row],[Material]])</f>
        <v>4/0_7 STRD_Copper</v>
      </c>
      <c r="B47" s="1" t="s">
        <v>23</v>
      </c>
      <c r="C47" t="s">
        <v>9</v>
      </c>
      <c r="D47" t="s">
        <v>10</v>
      </c>
      <c r="E47">
        <v>0.52200000000000002</v>
      </c>
      <c r="F47">
        <v>1.5789999999999998E-2</v>
      </c>
      <c r="G47">
        <v>0.30299999999999999</v>
      </c>
      <c r="H47">
        <v>480</v>
      </c>
      <c r="I47" t="str">
        <f t="shared" si="2"/>
        <v>ft</v>
      </c>
      <c r="J47" t="str">
        <f t="shared" si="3"/>
        <v>mi</v>
      </c>
      <c r="K47" t="str">
        <f>_xlfn.CONCAT(OH[[#This Row],[Size]], "_", OH[[#This Row],[Material]])</f>
        <v>4/0_Copper</v>
      </c>
    </row>
    <row r="48" spans="1:11" x14ac:dyDescent="0.2">
      <c r="A48" t="str">
        <f>_xlfn.CONCAT(OH[[#This Row],[Size]], "_",OH[[#This Row],[Stranding]], "_", OH[[#This Row],[Material]])</f>
        <v>4/0_CLASS A_AA</v>
      </c>
      <c r="B48" s="1" t="s">
        <v>23</v>
      </c>
      <c r="C48" t="s">
        <v>11</v>
      </c>
      <c r="D48" t="s">
        <v>12</v>
      </c>
      <c r="E48">
        <v>0.52200000000000002</v>
      </c>
      <c r="F48">
        <v>1.5800000000000002E-2</v>
      </c>
      <c r="G48">
        <v>0.48399999999999999</v>
      </c>
      <c r="H48">
        <v>299</v>
      </c>
      <c r="I48" t="str">
        <f t="shared" si="2"/>
        <v>ft</v>
      </c>
      <c r="J48" t="str">
        <f t="shared" si="3"/>
        <v>mi</v>
      </c>
      <c r="K48" t="str">
        <f>_xlfn.CONCAT(OH[[#This Row],[Size]], "_", OH[[#This Row],[Material]])</f>
        <v>4/0_AA</v>
      </c>
    </row>
    <row r="49" spans="1:14" x14ac:dyDescent="0.2">
      <c r="A49" t="str">
        <f>_xlfn.CONCAT(OH[[#This Row],[Size]], "_",OH[[#This Row],[Stranding]], "_", OH[[#This Row],[Material]])</f>
        <v>250_12 STRD_Copper</v>
      </c>
      <c r="B49" s="1">
        <v>250</v>
      </c>
      <c r="C49" t="s">
        <v>19</v>
      </c>
      <c r="D49" t="s">
        <v>10</v>
      </c>
      <c r="E49">
        <v>0.6</v>
      </c>
      <c r="F49">
        <v>1.9019999999999999E-2</v>
      </c>
      <c r="G49">
        <v>0.25700000000000001</v>
      </c>
      <c r="H49">
        <v>540</v>
      </c>
      <c r="I49" t="str">
        <f t="shared" si="2"/>
        <v>ft</v>
      </c>
      <c r="J49" t="str">
        <f t="shared" si="3"/>
        <v>mi</v>
      </c>
      <c r="K49" t="str">
        <f>_xlfn.CONCAT(OH[[#This Row],[Size]], "_", OH[[#This Row],[Material]])</f>
        <v>250_Copper</v>
      </c>
      <c r="N49" s="1"/>
    </row>
    <row r="50" spans="1:14" x14ac:dyDescent="0.2">
      <c r="A50" t="str">
        <f>_xlfn.CONCAT(OH[[#This Row],[Size]], "_",OH[[#This Row],[Stranding]], "_", OH[[#This Row],[Material]])</f>
        <v>250_19 STRD_Copper</v>
      </c>
      <c r="B50" s="1">
        <v>250</v>
      </c>
      <c r="C50" t="s">
        <v>24</v>
      </c>
      <c r="D50" t="s">
        <v>10</v>
      </c>
      <c r="E50">
        <v>0.57399999999999995</v>
      </c>
      <c r="F50">
        <v>1.813E-2</v>
      </c>
      <c r="G50">
        <v>0.25700000000000001</v>
      </c>
      <c r="H50">
        <v>540</v>
      </c>
      <c r="I50" t="str">
        <f t="shared" si="2"/>
        <v>ft</v>
      </c>
      <c r="J50" t="str">
        <f t="shared" si="3"/>
        <v>mi</v>
      </c>
      <c r="K50" t="str">
        <f>_xlfn.CONCAT(OH[[#This Row],[Size]], "_", OH[[#This Row],[Material]])</f>
        <v>250_Copper</v>
      </c>
      <c r="N50" s="1"/>
    </row>
    <row r="51" spans="1:14" x14ac:dyDescent="0.2">
      <c r="A51" t="str">
        <f>_xlfn.CONCAT(OH[[#This Row],[Size]], "_",OH[[#This Row],[Stranding]], "_", OH[[#This Row],[Material]])</f>
        <v>250_CON LAY_AA</v>
      </c>
      <c r="B51" s="1">
        <v>250</v>
      </c>
      <c r="C51" t="s">
        <v>25</v>
      </c>
      <c r="D51" t="s">
        <v>12</v>
      </c>
      <c r="E51">
        <v>0.56699999999999995</v>
      </c>
      <c r="F51">
        <v>1.7100000000000001E-2</v>
      </c>
      <c r="G51">
        <v>0.41</v>
      </c>
      <c r="H51">
        <v>329</v>
      </c>
      <c r="I51" t="str">
        <f t="shared" si="2"/>
        <v>ft</v>
      </c>
      <c r="J51" t="str">
        <f t="shared" si="3"/>
        <v>mi</v>
      </c>
      <c r="K51" t="str">
        <f>_xlfn.CONCAT(OH[[#This Row],[Size]], "_", OH[[#This Row],[Material]])</f>
        <v>250_AA</v>
      </c>
      <c r="N51" s="1"/>
    </row>
    <row r="52" spans="1:14" x14ac:dyDescent="0.2">
      <c r="A52" t="str">
        <f>_xlfn.CONCAT(OH[[#This Row],[Size]], "_",OH[[#This Row],[Stranding]], "_", OH[[#This Row],[Material]])</f>
        <v>266.8_26/7_ACSR</v>
      </c>
      <c r="B52" s="1">
        <v>266.8</v>
      </c>
      <c r="C52" t="s">
        <v>26</v>
      </c>
      <c r="D52" t="s">
        <v>8</v>
      </c>
      <c r="E52">
        <v>0.64200000000000002</v>
      </c>
      <c r="F52">
        <v>2.1700000000000001E-2</v>
      </c>
      <c r="G52">
        <v>0.38500000000000001</v>
      </c>
      <c r="H52">
        <v>460</v>
      </c>
      <c r="I52" t="str">
        <f t="shared" si="2"/>
        <v>ft</v>
      </c>
      <c r="J52" t="str">
        <f t="shared" si="3"/>
        <v>mi</v>
      </c>
      <c r="K52" t="str">
        <f>_xlfn.CONCAT(OH[[#This Row],[Size]], "_", OH[[#This Row],[Material]])</f>
        <v>266.8_ACSR</v>
      </c>
      <c r="N52" s="1"/>
    </row>
    <row r="53" spans="1:14" x14ac:dyDescent="0.2">
      <c r="A53" t="str">
        <f>_xlfn.CONCAT(OH[[#This Row],[Size]], "_",OH[[#This Row],[Stranding]], "_", OH[[#This Row],[Material]])</f>
        <v>266.8_CLASS A_AA</v>
      </c>
      <c r="B53" s="1">
        <v>266.8</v>
      </c>
      <c r="C53" t="s">
        <v>11</v>
      </c>
      <c r="D53" t="s">
        <v>12</v>
      </c>
      <c r="E53">
        <v>0.58599999999999997</v>
      </c>
      <c r="F53">
        <v>1.77E-2</v>
      </c>
      <c r="G53">
        <v>0.38400000000000001</v>
      </c>
      <c r="H53">
        <v>320</v>
      </c>
      <c r="I53" t="str">
        <f t="shared" si="2"/>
        <v>ft</v>
      </c>
      <c r="J53" t="str">
        <f t="shared" si="3"/>
        <v>mi</v>
      </c>
      <c r="K53" t="str">
        <f>_xlfn.CONCAT(OH[[#This Row],[Size]], "_", OH[[#This Row],[Material]])</f>
        <v>266.8_AA</v>
      </c>
      <c r="N53" s="1"/>
    </row>
    <row r="54" spans="1:14" x14ac:dyDescent="0.2">
      <c r="A54" t="str">
        <f>_xlfn.CONCAT(OH[[#This Row],[Size]], "_",OH[[#This Row],[Stranding]], "_", OH[[#This Row],[Material]])</f>
        <v>300_12 STRD_Copper</v>
      </c>
      <c r="B54" s="1">
        <v>300</v>
      </c>
      <c r="C54" t="s">
        <v>19</v>
      </c>
      <c r="D54" t="s">
        <v>10</v>
      </c>
      <c r="E54">
        <v>0.65700000000000003</v>
      </c>
      <c r="F54">
        <v>2.0799999999999999E-2</v>
      </c>
      <c r="G54">
        <v>0.215</v>
      </c>
      <c r="H54">
        <v>610</v>
      </c>
      <c r="I54" t="str">
        <f t="shared" si="2"/>
        <v>ft</v>
      </c>
      <c r="J54" t="str">
        <f t="shared" si="3"/>
        <v>mi</v>
      </c>
      <c r="K54" t="str">
        <f>_xlfn.CONCAT(OH[[#This Row],[Size]], "_", OH[[#This Row],[Material]])</f>
        <v>300_Copper</v>
      </c>
      <c r="N54" s="1"/>
    </row>
    <row r="55" spans="1:14" x14ac:dyDescent="0.2">
      <c r="A55" t="str">
        <f>_xlfn.CONCAT(OH[[#This Row],[Size]], "_",OH[[#This Row],[Stranding]], "_", OH[[#This Row],[Material]])</f>
        <v>300_19 STRD_Copper</v>
      </c>
      <c r="B55" s="1">
        <v>300</v>
      </c>
      <c r="C55" t="s">
        <v>24</v>
      </c>
      <c r="D55" t="s">
        <v>10</v>
      </c>
      <c r="E55">
        <v>0.629</v>
      </c>
      <c r="F55">
        <v>1.9869999999999999E-2</v>
      </c>
      <c r="G55">
        <v>0.215</v>
      </c>
      <c r="H55">
        <v>610</v>
      </c>
      <c r="I55" t="str">
        <f t="shared" si="2"/>
        <v>ft</v>
      </c>
      <c r="J55" t="str">
        <f t="shared" si="3"/>
        <v>mi</v>
      </c>
      <c r="K55" t="str">
        <f>_xlfn.CONCAT(OH[[#This Row],[Size]], "_", OH[[#This Row],[Material]])</f>
        <v>300_Copper</v>
      </c>
      <c r="N55" s="1"/>
    </row>
    <row r="56" spans="1:14" x14ac:dyDescent="0.2">
      <c r="A56" t="str">
        <f>_xlfn.CONCAT(OH[[#This Row],[Size]], "_",OH[[#This Row],[Stranding]], "_", OH[[#This Row],[Material]])</f>
        <v>300_26/7_ACSR</v>
      </c>
      <c r="B56" s="1">
        <v>300</v>
      </c>
      <c r="C56" t="s">
        <v>26</v>
      </c>
      <c r="D56" t="s">
        <v>8</v>
      </c>
      <c r="E56">
        <v>0.68</v>
      </c>
      <c r="F56">
        <v>2.3E-2</v>
      </c>
      <c r="G56">
        <v>0.34200000000000003</v>
      </c>
      <c r="H56">
        <v>490</v>
      </c>
      <c r="I56" t="str">
        <f t="shared" si="2"/>
        <v>ft</v>
      </c>
      <c r="J56" t="str">
        <f t="shared" si="3"/>
        <v>mi</v>
      </c>
      <c r="K56" t="str">
        <f>_xlfn.CONCAT(OH[[#This Row],[Size]], "_", OH[[#This Row],[Material]])</f>
        <v>300_ACSR</v>
      </c>
      <c r="N56" s="1"/>
    </row>
    <row r="57" spans="1:14" x14ac:dyDescent="0.2">
      <c r="A57" t="str">
        <f>_xlfn.CONCAT(OH[[#This Row],[Size]], "_",OH[[#This Row],[Stranding]], "_", OH[[#This Row],[Material]])</f>
        <v>300_30/7_ACSR</v>
      </c>
      <c r="B57" s="1">
        <v>300</v>
      </c>
      <c r="C57" t="s">
        <v>27</v>
      </c>
      <c r="D57" t="s">
        <v>8</v>
      </c>
      <c r="E57">
        <v>0.7</v>
      </c>
      <c r="F57">
        <v>2.41E-2</v>
      </c>
      <c r="G57">
        <v>0.34200000000000003</v>
      </c>
      <c r="H57">
        <v>500</v>
      </c>
      <c r="I57" t="str">
        <f t="shared" si="2"/>
        <v>ft</v>
      </c>
      <c r="J57" t="str">
        <f t="shared" si="3"/>
        <v>mi</v>
      </c>
      <c r="K57" t="str">
        <f>_xlfn.CONCAT(OH[[#This Row],[Size]], "_", OH[[#This Row],[Material]])</f>
        <v>300_ACSR</v>
      </c>
      <c r="N57" s="1"/>
    </row>
    <row r="58" spans="1:14" x14ac:dyDescent="0.2">
      <c r="A58" t="str">
        <f>_xlfn.CONCAT(OH[[#This Row],[Size]], "_",OH[[#This Row],[Stranding]], "_", OH[[#This Row],[Material]])</f>
        <v>300_CON LAY_AA</v>
      </c>
      <c r="B58" s="1">
        <v>300</v>
      </c>
      <c r="C58" t="s">
        <v>25</v>
      </c>
      <c r="D58" t="s">
        <v>12</v>
      </c>
      <c r="E58">
        <v>0.629</v>
      </c>
      <c r="F58">
        <v>1.9800000000000002E-2</v>
      </c>
      <c r="G58">
        <v>0.34200000000000003</v>
      </c>
      <c r="H58">
        <v>350</v>
      </c>
      <c r="I58" t="str">
        <f t="shared" si="2"/>
        <v>ft</v>
      </c>
      <c r="J58" t="str">
        <f t="shared" si="3"/>
        <v>mi</v>
      </c>
      <c r="K58" t="str">
        <f>_xlfn.CONCAT(OH[[#This Row],[Size]], "_", OH[[#This Row],[Material]])</f>
        <v>300_AA</v>
      </c>
      <c r="N58" s="1"/>
    </row>
    <row r="59" spans="1:14" x14ac:dyDescent="0.2">
      <c r="A59" t="str">
        <f>_xlfn.CONCAT(OH[[#This Row],[Size]], "_",OH[[#This Row],[Stranding]], "_", OH[[#This Row],[Material]])</f>
        <v>336.4_26/7_ACSR</v>
      </c>
      <c r="B59" s="1">
        <v>336.4</v>
      </c>
      <c r="C59" t="s">
        <v>26</v>
      </c>
      <c r="D59" t="s">
        <v>8</v>
      </c>
      <c r="E59">
        <v>0.72099999999999997</v>
      </c>
      <c r="F59">
        <v>2.4400000000000002E-2</v>
      </c>
      <c r="G59">
        <v>0.30599999999999999</v>
      </c>
      <c r="H59">
        <v>530</v>
      </c>
      <c r="I59" t="str">
        <f t="shared" si="2"/>
        <v>ft</v>
      </c>
      <c r="J59" t="str">
        <f t="shared" si="3"/>
        <v>mi</v>
      </c>
      <c r="K59" t="str">
        <f>_xlfn.CONCAT(OH[[#This Row],[Size]], "_", OH[[#This Row],[Material]])</f>
        <v>336.4_ACSR</v>
      </c>
      <c r="N59" s="1"/>
    </row>
    <row r="60" spans="1:14" x14ac:dyDescent="0.2">
      <c r="A60" t="str">
        <f>_xlfn.CONCAT(OH[[#This Row],[Size]], "_",OH[[#This Row],[Stranding]], "_", OH[[#This Row],[Material]])</f>
        <v>336.4_30/7_ACSR</v>
      </c>
      <c r="B60" s="1">
        <v>336.4</v>
      </c>
      <c r="C60" t="s">
        <v>27</v>
      </c>
      <c r="D60" t="s">
        <v>8</v>
      </c>
      <c r="E60">
        <v>0.74099999999999999</v>
      </c>
      <c r="F60">
        <v>2.5499999999999998E-2</v>
      </c>
      <c r="G60">
        <v>0.30599999999999999</v>
      </c>
      <c r="H60">
        <v>530</v>
      </c>
      <c r="I60" t="str">
        <f t="shared" si="2"/>
        <v>ft</v>
      </c>
      <c r="J60" t="str">
        <f t="shared" si="3"/>
        <v>mi</v>
      </c>
      <c r="K60" t="str">
        <f>_xlfn.CONCAT(OH[[#This Row],[Size]], "_", OH[[#This Row],[Material]])</f>
        <v>336.4_ACSR</v>
      </c>
      <c r="N60" s="1"/>
    </row>
    <row r="61" spans="1:14" x14ac:dyDescent="0.2">
      <c r="A61" t="str">
        <f>_xlfn.CONCAT(OH[[#This Row],[Size]], "_",OH[[#This Row],[Stranding]], "_", OH[[#This Row],[Material]])</f>
        <v>336.4_CLASS A_AA</v>
      </c>
      <c r="B61" s="1">
        <v>336.4</v>
      </c>
      <c r="C61" t="s">
        <v>11</v>
      </c>
      <c r="D61" t="s">
        <v>12</v>
      </c>
      <c r="E61">
        <v>0.66600000000000004</v>
      </c>
      <c r="F61">
        <v>2.1000000000000001E-2</v>
      </c>
      <c r="G61">
        <v>0.30499999999999999</v>
      </c>
      <c r="H61">
        <v>410</v>
      </c>
      <c r="I61" t="str">
        <f t="shared" si="2"/>
        <v>ft</v>
      </c>
      <c r="J61" t="str">
        <f t="shared" si="3"/>
        <v>mi</v>
      </c>
      <c r="K61" t="str">
        <f>_xlfn.CONCAT(OH[[#This Row],[Size]], "_", OH[[#This Row],[Material]])</f>
        <v>336.4_AA</v>
      </c>
      <c r="N61" s="1"/>
    </row>
    <row r="62" spans="1:14" x14ac:dyDescent="0.2">
      <c r="A62" t="str">
        <f>_xlfn.CONCAT(OH[[#This Row],[Size]], "_",OH[[#This Row],[Stranding]], "_", OH[[#This Row],[Material]])</f>
        <v>350_12 STRD_Copper</v>
      </c>
      <c r="B62" s="1">
        <v>350</v>
      </c>
      <c r="C62" t="s">
        <v>19</v>
      </c>
      <c r="D62" t="s">
        <v>10</v>
      </c>
      <c r="E62">
        <v>0.71</v>
      </c>
      <c r="F62">
        <v>2.2499999999999999E-2</v>
      </c>
      <c r="G62">
        <v>0.1845</v>
      </c>
      <c r="H62">
        <v>670</v>
      </c>
      <c r="I62" t="str">
        <f t="shared" si="2"/>
        <v>ft</v>
      </c>
      <c r="J62" t="str">
        <f t="shared" si="3"/>
        <v>mi</v>
      </c>
      <c r="K62" t="str">
        <f>_xlfn.CONCAT(OH[[#This Row],[Size]], "_", OH[[#This Row],[Material]])</f>
        <v>350_Copper</v>
      </c>
      <c r="N62" s="1"/>
    </row>
    <row r="63" spans="1:14" x14ac:dyDescent="0.2">
      <c r="A63" t="str">
        <f>_xlfn.CONCAT(OH[[#This Row],[Size]], "_",OH[[#This Row],[Stranding]], "_", OH[[#This Row],[Material]])</f>
        <v>350_19 STRD_Copper</v>
      </c>
      <c r="B63" s="1">
        <v>350</v>
      </c>
      <c r="C63" t="s">
        <v>24</v>
      </c>
      <c r="D63" t="s">
        <v>10</v>
      </c>
      <c r="E63">
        <v>0.67900000000000005</v>
      </c>
      <c r="F63">
        <v>2.1399999999999999E-2</v>
      </c>
      <c r="G63">
        <v>0.1845</v>
      </c>
      <c r="H63">
        <v>670</v>
      </c>
      <c r="I63" t="str">
        <f t="shared" si="2"/>
        <v>ft</v>
      </c>
      <c r="J63" t="str">
        <f t="shared" si="3"/>
        <v>mi</v>
      </c>
      <c r="K63" t="str">
        <f>_xlfn.CONCAT(OH[[#This Row],[Size]], "_", OH[[#This Row],[Material]])</f>
        <v>350_Copper</v>
      </c>
      <c r="N63" s="1"/>
    </row>
    <row r="64" spans="1:14" x14ac:dyDescent="0.2">
      <c r="A64" t="str">
        <f>_xlfn.CONCAT(OH[[#This Row],[Size]], "_",OH[[#This Row],[Stranding]], "_", OH[[#This Row],[Material]])</f>
        <v>350_CON LAY_AA</v>
      </c>
      <c r="B64" s="1">
        <v>350</v>
      </c>
      <c r="C64" t="s">
        <v>25</v>
      </c>
      <c r="D64" t="s">
        <v>12</v>
      </c>
      <c r="E64">
        <v>0.67900000000000005</v>
      </c>
      <c r="F64">
        <v>2.1399999999999999E-2</v>
      </c>
      <c r="G64">
        <v>0.29399999999999998</v>
      </c>
      <c r="H64">
        <v>399</v>
      </c>
      <c r="I64" t="str">
        <f t="shared" si="2"/>
        <v>ft</v>
      </c>
      <c r="J64" t="str">
        <f t="shared" si="3"/>
        <v>mi</v>
      </c>
      <c r="K64" t="str">
        <f>_xlfn.CONCAT(OH[[#This Row],[Size]], "_", OH[[#This Row],[Material]])</f>
        <v>350_AA</v>
      </c>
      <c r="N64" s="1"/>
    </row>
    <row r="65" spans="1:14" x14ac:dyDescent="0.2">
      <c r="A65" t="str">
        <f>_xlfn.CONCAT(OH[[#This Row],[Size]], "_",OH[[#This Row],[Stranding]], "_", OH[[#This Row],[Material]])</f>
        <v>397.5_26/7_ACSR</v>
      </c>
      <c r="B65" s="1">
        <v>397.5</v>
      </c>
      <c r="C65" t="s">
        <v>26</v>
      </c>
      <c r="D65" t="s">
        <v>8</v>
      </c>
      <c r="E65">
        <v>0.78300000000000003</v>
      </c>
      <c r="F65">
        <v>2.6499999999999999E-2</v>
      </c>
      <c r="G65">
        <v>0.25900000000000001</v>
      </c>
      <c r="H65">
        <v>590</v>
      </c>
      <c r="I65" t="str">
        <f t="shared" si="2"/>
        <v>ft</v>
      </c>
      <c r="J65" t="str">
        <f t="shared" si="3"/>
        <v>mi</v>
      </c>
      <c r="K65" t="str">
        <f>_xlfn.CONCAT(OH[[#This Row],[Size]], "_", OH[[#This Row],[Material]])</f>
        <v>397.5_ACSR</v>
      </c>
      <c r="N65" s="1"/>
    </row>
    <row r="66" spans="1:14" x14ac:dyDescent="0.2">
      <c r="A66" t="str">
        <f>_xlfn.CONCAT(OH[[#This Row],[Size]], "_",OH[[#This Row],[Stranding]], "_", OH[[#This Row],[Material]])</f>
        <v>397.5_30/7_ACSR</v>
      </c>
      <c r="B66" s="1">
        <v>397.5</v>
      </c>
      <c r="C66" t="s">
        <v>27</v>
      </c>
      <c r="D66" t="s">
        <v>8</v>
      </c>
      <c r="E66">
        <v>0.80600000000000005</v>
      </c>
      <c r="F66">
        <v>2.7799999999999998E-2</v>
      </c>
      <c r="G66">
        <v>0.25900000000000001</v>
      </c>
      <c r="H66">
        <v>600</v>
      </c>
      <c r="I66" t="str">
        <f t="shared" ref="I66:I100" si="4">"ft"</f>
        <v>ft</v>
      </c>
      <c r="J66" t="str">
        <f t="shared" ref="J66:J100" si="5">"mi"</f>
        <v>mi</v>
      </c>
      <c r="K66" t="str">
        <f>_xlfn.CONCAT(OH[[#This Row],[Size]], "_", OH[[#This Row],[Material]])</f>
        <v>397.5_ACSR</v>
      </c>
      <c r="N66" s="1"/>
    </row>
    <row r="67" spans="1:14" x14ac:dyDescent="0.2">
      <c r="A67" t="str">
        <f>_xlfn.CONCAT(OH[[#This Row],[Size]], "_",OH[[#This Row],[Stranding]], "_", OH[[#This Row],[Material]])</f>
        <v>397.5_CLASS A_AA</v>
      </c>
      <c r="B67" s="1">
        <v>397.5</v>
      </c>
      <c r="C67" t="s">
        <v>11</v>
      </c>
      <c r="D67" t="s">
        <v>12</v>
      </c>
      <c r="E67">
        <v>0.72399999999999998</v>
      </c>
      <c r="F67">
        <v>2.2800000000000001E-2</v>
      </c>
      <c r="G67">
        <v>0.25800000000000001</v>
      </c>
      <c r="H67">
        <v>440</v>
      </c>
      <c r="I67" t="str">
        <f t="shared" si="4"/>
        <v>ft</v>
      </c>
      <c r="J67" t="str">
        <f t="shared" si="5"/>
        <v>mi</v>
      </c>
      <c r="K67" t="str">
        <f>_xlfn.CONCAT(OH[[#This Row],[Size]], "_", OH[[#This Row],[Material]])</f>
        <v>397.5_AA</v>
      </c>
      <c r="N67" s="1"/>
    </row>
    <row r="68" spans="1:14" x14ac:dyDescent="0.2">
      <c r="A68" t="str">
        <f>_xlfn.CONCAT(OH[[#This Row],[Size]], "_",OH[[#This Row],[Stranding]], "_", OH[[#This Row],[Material]])</f>
        <v>400_19 STRD_Copper</v>
      </c>
      <c r="B68" s="1">
        <v>400</v>
      </c>
      <c r="C68" t="s">
        <v>24</v>
      </c>
      <c r="D68" t="s">
        <v>10</v>
      </c>
      <c r="E68">
        <v>0.72599999999999998</v>
      </c>
      <c r="F68">
        <v>2.29E-2</v>
      </c>
      <c r="G68">
        <v>0.16189999999999999</v>
      </c>
      <c r="H68">
        <v>730</v>
      </c>
      <c r="I68" t="str">
        <f t="shared" si="4"/>
        <v>ft</v>
      </c>
      <c r="J68" t="str">
        <f t="shared" si="5"/>
        <v>mi</v>
      </c>
      <c r="K68" t="str">
        <f>_xlfn.CONCAT(OH[[#This Row],[Size]], "_", OH[[#This Row],[Material]])</f>
        <v>400_Copper</v>
      </c>
      <c r="N68" s="1"/>
    </row>
    <row r="69" spans="1:14" x14ac:dyDescent="0.2">
      <c r="A69" t="str">
        <f>_xlfn.CONCAT(OH[[#This Row],[Size]], "_",OH[[#This Row],[Stranding]], "_", OH[[#This Row],[Material]])</f>
        <v>450_19 STRD_Copper</v>
      </c>
      <c r="B69" s="1">
        <v>450</v>
      </c>
      <c r="C69" t="s">
        <v>24</v>
      </c>
      <c r="D69" t="s">
        <v>10</v>
      </c>
      <c r="E69">
        <v>0.77</v>
      </c>
      <c r="F69">
        <v>2.4299999999999999E-2</v>
      </c>
      <c r="G69">
        <v>0.14430000000000001</v>
      </c>
      <c r="H69">
        <v>780</v>
      </c>
      <c r="I69" t="str">
        <f t="shared" si="4"/>
        <v>ft</v>
      </c>
      <c r="J69" t="str">
        <f t="shared" si="5"/>
        <v>mi</v>
      </c>
      <c r="K69" t="str">
        <f>_xlfn.CONCAT(OH[[#This Row],[Size]], "_", OH[[#This Row],[Material]])</f>
        <v>450_Copper</v>
      </c>
      <c r="N69" s="1"/>
    </row>
    <row r="70" spans="1:14" x14ac:dyDescent="0.2">
      <c r="A70" t="str">
        <f>_xlfn.CONCAT(OH[[#This Row],[Size]], "_",OH[[#This Row],[Stranding]], "_", OH[[#This Row],[Material]])</f>
        <v>450_CON LAG_AA</v>
      </c>
      <c r="B70" s="1">
        <v>450</v>
      </c>
      <c r="C70" t="s">
        <v>28</v>
      </c>
      <c r="D70" t="s">
        <v>12</v>
      </c>
      <c r="E70">
        <v>0.77</v>
      </c>
      <c r="F70">
        <v>2.4299999999999999E-2</v>
      </c>
      <c r="G70">
        <v>0.22900000000000001</v>
      </c>
      <c r="H70">
        <v>450</v>
      </c>
      <c r="I70" t="str">
        <f t="shared" si="4"/>
        <v>ft</v>
      </c>
      <c r="J70" t="str">
        <f t="shared" si="5"/>
        <v>mi</v>
      </c>
      <c r="K70" t="str">
        <f>_xlfn.CONCAT(OH[[#This Row],[Size]], "_", OH[[#This Row],[Material]])</f>
        <v>450_AA</v>
      </c>
      <c r="N70" s="1"/>
    </row>
    <row r="71" spans="1:14" x14ac:dyDescent="0.2">
      <c r="A71" t="str">
        <f>_xlfn.CONCAT(OH[[#This Row],[Size]], "_",OH[[#This Row],[Stranding]], "_", OH[[#This Row],[Material]])</f>
        <v>477_26/7_ACSR</v>
      </c>
      <c r="B71" s="1">
        <v>477</v>
      </c>
      <c r="C71" t="s">
        <v>26</v>
      </c>
      <c r="D71" t="s">
        <v>8</v>
      </c>
      <c r="E71">
        <v>0.85799999999999998</v>
      </c>
      <c r="F71">
        <v>2.9000000000000001E-2</v>
      </c>
      <c r="G71">
        <v>0.216</v>
      </c>
      <c r="H71">
        <v>670</v>
      </c>
      <c r="I71" t="str">
        <f t="shared" si="4"/>
        <v>ft</v>
      </c>
      <c r="J71" t="str">
        <f t="shared" si="5"/>
        <v>mi</v>
      </c>
      <c r="K71" t="str">
        <f>_xlfn.CONCAT(OH[[#This Row],[Size]], "_", OH[[#This Row],[Material]])</f>
        <v>477_ACSR</v>
      </c>
      <c r="N71" s="1"/>
    </row>
    <row r="72" spans="1:14" x14ac:dyDescent="0.2">
      <c r="A72" t="str">
        <f>_xlfn.CONCAT(OH[[#This Row],[Size]], "_",OH[[#This Row],[Stranding]], "_", OH[[#This Row],[Material]])</f>
        <v>477_30/7_ACSR</v>
      </c>
      <c r="B72" s="1">
        <v>477</v>
      </c>
      <c r="C72" t="s">
        <v>27</v>
      </c>
      <c r="D72" t="s">
        <v>8</v>
      </c>
      <c r="E72">
        <v>0.88300000000000001</v>
      </c>
      <c r="F72">
        <v>3.04E-2</v>
      </c>
      <c r="G72">
        <v>0.216</v>
      </c>
      <c r="H72">
        <v>670</v>
      </c>
      <c r="I72" t="str">
        <f t="shared" si="4"/>
        <v>ft</v>
      </c>
      <c r="J72" t="str">
        <f t="shared" si="5"/>
        <v>mi</v>
      </c>
      <c r="K72" t="str">
        <f>_xlfn.CONCAT(OH[[#This Row],[Size]], "_", OH[[#This Row],[Material]])</f>
        <v>477_ACSR</v>
      </c>
      <c r="N72" s="1"/>
    </row>
    <row r="73" spans="1:14" x14ac:dyDescent="0.2">
      <c r="A73" t="str">
        <f>_xlfn.CONCAT(OH[[#This Row],[Size]], "_",OH[[#This Row],[Stranding]], "_", OH[[#This Row],[Material]])</f>
        <v>477_CLASS A_AA</v>
      </c>
      <c r="B73" s="1">
        <v>477</v>
      </c>
      <c r="C73" t="s">
        <v>11</v>
      </c>
      <c r="D73" t="s">
        <v>12</v>
      </c>
      <c r="E73">
        <v>0.79500000000000004</v>
      </c>
      <c r="F73">
        <v>2.5399999999999999E-2</v>
      </c>
      <c r="G73">
        <v>0.216</v>
      </c>
      <c r="H73">
        <v>510</v>
      </c>
      <c r="I73" t="str">
        <f t="shared" si="4"/>
        <v>ft</v>
      </c>
      <c r="J73" t="str">
        <f t="shared" si="5"/>
        <v>mi</v>
      </c>
      <c r="K73" t="str">
        <f>_xlfn.CONCAT(OH[[#This Row],[Size]], "_", OH[[#This Row],[Material]])</f>
        <v>477_AA</v>
      </c>
      <c r="N73" s="1"/>
    </row>
    <row r="74" spans="1:14" x14ac:dyDescent="0.2">
      <c r="A74" t="str">
        <f>_xlfn.CONCAT(OH[[#This Row],[Size]], "_",OH[[#This Row],[Stranding]], "_", OH[[#This Row],[Material]])</f>
        <v>500_19 STRD_Copper</v>
      </c>
      <c r="B74" s="1">
        <v>500</v>
      </c>
      <c r="C74" t="s">
        <v>24</v>
      </c>
      <c r="D74" t="s">
        <v>10</v>
      </c>
      <c r="E74">
        <v>0.81100000000000005</v>
      </c>
      <c r="F74">
        <v>2.5600000000000001E-2</v>
      </c>
      <c r="G74">
        <v>0.1303</v>
      </c>
      <c r="H74">
        <v>840</v>
      </c>
      <c r="I74" t="str">
        <f t="shared" si="4"/>
        <v>ft</v>
      </c>
      <c r="J74" t="str">
        <f t="shared" si="5"/>
        <v>mi</v>
      </c>
      <c r="K74" t="str">
        <f>_xlfn.CONCAT(OH[[#This Row],[Size]], "_", OH[[#This Row],[Material]])</f>
        <v>500_Copper</v>
      </c>
      <c r="N74" s="1"/>
    </row>
    <row r="75" spans="1:14" x14ac:dyDescent="0.2">
      <c r="A75" t="str">
        <f>_xlfn.CONCAT(OH[[#This Row],[Size]], "_",OH[[#This Row],[Stranding]], "_", OH[[#This Row],[Material]])</f>
        <v>500_37 STRD_Copper</v>
      </c>
      <c r="B75" s="1">
        <v>500</v>
      </c>
      <c r="C75" t="s">
        <v>29</v>
      </c>
      <c r="D75" t="s">
        <v>10</v>
      </c>
      <c r="E75">
        <v>0.81399999999999995</v>
      </c>
      <c r="F75">
        <v>2.5999999999999999E-2</v>
      </c>
      <c r="G75">
        <v>0.1303</v>
      </c>
      <c r="H75">
        <v>840</v>
      </c>
      <c r="I75" t="str">
        <f t="shared" si="4"/>
        <v>ft</v>
      </c>
      <c r="J75" t="str">
        <f t="shared" si="5"/>
        <v>mi</v>
      </c>
      <c r="K75" t="str">
        <f>_xlfn.CONCAT(OH[[#This Row],[Size]], "_", OH[[#This Row],[Material]])</f>
        <v>500_Copper</v>
      </c>
      <c r="N75" s="1"/>
    </row>
    <row r="76" spans="1:14" x14ac:dyDescent="0.2">
      <c r="A76" t="str">
        <f>_xlfn.CONCAT(OH[[#This Row],[Size]], "_",OH[[#This Row],[Stranding]], "_", OH[[#This Row],[Material]])</f>
        <v>500_CON LAY_AA</v>
      </c>
      <c r="B76" s="1">
        <v>500</v>
      </c>
      <c r="C76" t="s">
        <v>25</v>
      </c>
      <c r="D76" t="s">
        <v>12</v>
      </c>
      <c r="E76">
        <v>0.81299999999999994</v>
      </c>
      <c r="F76">
        <v>2.5999999999999999E-2</v>
      </c>
      <c r="G76">
        <v>0.20599999999999999</v>
      </c>
      <c r="H76">
        <v>483</v>
      </c>
      <c r="I76" t="str">
        <f t="shared" si="4"/>
        <v>ft</v>
      </c>
      <c r="J76" t="str">
        <f t="shared" si="5"/>
        <v>mi</v>
      </c>
      <c r="K76" t="str">
        <f>_xlfn.CONCAT(OH[[#This Row],[Size]], "_", OH[[#This Row],[Material]])</f>
        <v>500_AA</v>
      </c>
      <c r="N76" s="1"/>
    </row>
    <row r="77" spans="1:14" x14ac:dyDescent="0.2">
      <c r="A77" t="str">
        <f>_xlfn.CONCAT(OH[[#This Row],[Size]], "_",OH[[#This Row],[Stranding]], "_", OH[[#This Row],[Material]])</f>
        <v>556.5_26/7_ACSR</v>
      </c>
      <c r="B77" s="1">
        <v>556.5</v>
      </c>
      <c r="C77" t="s">
        <v>26</v>
      </c>
      <c r="D77" t="s">
        <v>8</v>
      </c>
      <c r="E77">
        <v>0.92700000000000005</v>
      </c>
      <c r="F77">
        <v>3.1300000000000001E-2</v>
      </c>
      <c r="G77">
        <v>0.18590000000000001</v>
      </c>
      <c r="H77">
        <v>730</v>
      </c>
      <c r="I77" t="str">
        <f t="shared" si="4"/>
        <v>ft</v>
      </c>
      <c r="J77" t="str">
        <f t="shared" si="5"/>
        <v>mi</v>
      </c>
      <c r="K77" t="str">
        <f>_xlfn.CONCAT(OH[[#This Row],[Size]], "_", OH[[#This Row],[Material]])</f>
        <v>556.5_ACSR</v>
      </c>
      <c r="N77" s="1"/>
    </row>
    <row r="78" spans="1:14" x14ac:dyDescent="0.2">
      <c r="A78" t="str">
        <f>_xlfn.CONCAT(OH[[#This Row],[Size]], "_",OH[[#This Row],[Stranding]], "_", OH[[#This Row],[Material]])</f>
        <v>556.5_30/7_ACSR</v>
      </c>
      <c r="B78" s="1">
        <v>556.5</v>
      </c>
      <c r="C78" t="s">
        <v>27</v>
      </c>
      <c r="D78" t="s">
        <v>8</v>
      </c>
      <c r="E78">
        <v>0.95299999999999996</v>
      </c>
      <c r="F78">
        <v>3.2800000000000003E-2</v>
      </c>
      <c r="G78">
        <v>0.18590000000000001</v>
      </c>
      <c r="H78">
        <v>730</v>
      </c>
      <c r="I78" t="str">
        <f t="shared" si="4"/>
        <v>ft</v>
      </c>
      <c r="J78" t="str">
        <f t="shared" si="5"/>
        <v>mi</v>
      </c>
      <c r="K78" t="str">
        <f>_xlfn.CONCAT(OH[[#This Row],[Size]], "_", OH[[#This Row],[Material]])</f>
        <v>556.5_ACSR</v>
      </c>
      <c r="N78" s="1"/>
    </row>
    <row r="79" spans="1:14" x14ac:dyDescent="0.2">
      <c r="A79" t="str">
        <f>_xlfn.CONCAT(OH[[#This Row],[Size]], "_",OH[[#This Row],[Stranding]], "_", OH[[#This Row],[Material]])</f>
        <v>556.5_CLASS A_AA</v>
      </c>
      <c r="B79" s="1">
        <v>556.5</v>
      </c>
      <c r="C79" t="s">
        <v>11</v>
      </c>
      <c r="D79" t="s">
        <v>12</v>
      </c>
      <c r="E79">
        <v>0.85799999999999998</v>
      </c>
      <c r="F79">
        <v>2.75E-2</v>
      </c>
      <c r="G79">
        <v>0.186</v>
      </c>
      <c r="H79">
        <v>560</v>
      </c>
      <c r="I79" t="str">
        <f t="shared" si="4"/>
        <v>ft</v>
      </c>
      <c r="J79" t="str">
        <f t="shared" si="5"/>
        <v>mi</v>
      </c>
      <c r="K79" t="str">
        <f>_xlfn.CONCAT(OH[[#This Row],[Size]], "_", OH[[#This Row],[Material]])</f>
        <v>556.5_AA</v>
      </c>
      <c r="N79" s="1"/>
    </row>
    <row r="80" spans="1:14" x14ac:dyDescent="0.2">
      <c r="A80" t="str">
        <f>_xlfn.CONCAT(OH[[#This Row],[Size]], "_",OH[[#This Row],[Stranding]], "_", OH[[#This Row],[Material]])</f>
        <v>600_37 STRD_Copper</v>
      </c>
      <c r="B80" s="1">
        <v>600</v>
      </c>
      <c r="C80" t="s">
        <v>29</v>
      </c>
      <c r="D80" t="s">
        <v>10</v>
      </c>
      <c r="E80">
        <v>0.89100000000000001</v>
      </c>
      <c r="F80">
        <v>2.8500000000000001E-2</v>
      </c>
      <c r="G80">
        <v>0.1095</v>
      </c>
      <c r="H80">
        <v>940</v>
      </c>
      <c r="I80" t="str">
        <f t="shared" si="4"/>
        <v>ft</v>
      </c>
      <c r="J80" t="str">
        <f t="shared" si="5"/>
        <v>mi</v>
      </c>
      <c r="K80" t="str">
        <f>_xlfn.CONCAT(OH[[#This Row],[Size]], "_", OH[[#This Row],[Material]])</f>
        <v>600_Copper</v>
      </c>
      <c r="N80" s="1"/>
    </row>
    <row r="81" spans="1:14" x14ac:dyDescent="0.2">
      <c r="A81" t="str">
        <f>_xlfn.CONCAT(OH[[#This Row],[Size]], "_",OH[[#This Row],[Stranding]], "_", OH[[#This Row],[Material]])</f>
        <v>600_CON LAY_AA</v>
      </c>
      <c r="B81" s="1">
        <v>600</v>
      </c>
      <c r="C81" t="s">
        <v>25</v>
      </c>
      <c r="D81" t="s">
        <v>12</v>
      </c>
      <c r="E81">
        <v>0.89100000000000001</v>
      </c>
      <c r="F81">
        <v>2.8500000000000001E-2</v>
      </c>
      <c r="G81">
        <v>0.17199999999999999</v>
      </c>
      <c r="H81">
        <v>520</v>
      </c>
      <c r="I81" t="str">
        <f t="shared" si="4"/>
        <v>ft</v>
      </c>
      <c r="J81" t="str">
        <f t="shared" si="5"/>
        <v>mi</v>
      </c>
      <c r="K81" t="str">
        <f>_xlfn.CONCAT(OH[[#This Row],[Size]], "_", OH[[#This Row],[Material]])</f>
        <v>600_AA</v>
      </c>
      <c r="N81" s="1"/>
    </row>
    <row r="82" spans="1:14" x14ac:dyDescent="0.2">
      <c r="A82" t="str">
        <f>_xlfn.CONCAT(OH[[#This Row],[Size]], "_",OH[[#This Row],[Stranding]], "_", OH[[#This Row],[Material]])</f>
        <v>605_26/7_ACSR</v>
      </c>
      <c r="B82" s="1">
        <v>605</v>
      </c>
      <c r="C82" t="s">
        <v>26</v>
      </c>
      <c r="D82" t="s">
        <v>8</v>
      </c>
      <c r="E82">
        <v>0.96599999999999997</v>
      </c>
      <c r="F82">
        <v>3.27E-2</v>
      </c>
      <c r="G82">
        <v>0.17199999999999999</v>
      </c>
      <c r="H82">
        <v>760</v>
      </c>
      <c r="I82" t="str">
        <f t="shared" si="4"/>
        <v>ft</v>
      </c>
      <c r="J82" t="str">
        <f t="shared" si="5"/>
        <v>mi</v>
      </c>
      <c r="K82" t="str">
        <f>_xlfn.CONCAT(OH[[#This Row],[Size]], "_", OH[[#This Row],[Material]])</f>
        <v>605_ACSR</v>
      </c>
      <c r="N82" s="1"/>
    </row>
    <row r="83" spans="1:14" x14ac:dyDescent="0.2">
      <c r="A83" t="str">
        <f>_xlfn.CONCAT(OH[[#This Row],[Size]], "_",OH[[#This Row],[Stranding]], "_", OH[[#This Row],[Material]])</f>
        <v>605_54/7_ACSR</v>
      </c>
      <c r="B83" s="1">
        <v>605</v>
      </c>
      <c r="C83" t="s">
        <v>30</v>
      </c>
      <c r="D83" t="s">
        <v>8</v>
      </c>
      <c r="E83">
        <v>0.95299999999999996</v>
      </c>
      <c r="F83">
        <v>3.2099999999999997E-2</v>
      </c>
      <c r="G83">
        <v>0.17749999999999999</v>
      </c>
      <c r="H83">
        <v>750</v>
      </c>
      <c r="I83" t="str">
        <f t="shared" si="4"/>
        <v>ft</v>
      </c>
      <c r="J83" t="str">
        <f t="shared" si="5"/>
        <v>mi</v>
      </c>
      <c r="K83" t="str">
        <f>_xlfn.CONCAT(OH[[#This Row],[Size]], "_", OH[[#This Row],[Material]])</f>
        <v>605_ACSR</v>
      </c>
      <c r="N83" s="1"/>
    </row>
    <row r="84" spans="1:14" x14ac:dyDescent="0.2">
      <c r="A84" t="str">
        <f>_xlfn.CONCAT(OH[[#This Row],[Size]], "_",OH[[#This Row],[Stranding]], "_", OH[[#This Row],[Material]])</f>
        <v>636_27/7_ACSR</v>
      </c>
      <c r="B84" s="1">
        <v>636</v>
      </c>
      <c r="C84" t="s">
        <v>31</v>
      </c>
      <c r="D84" t="s">
        <v>8</v>
      </c>
      <c r="E84">
        <v>0.99</v>
      </c>
      <c r="F84">
        <v>3.3500000000000002E-2</v>
      </c>
      <c r="G84">
        <v>0.1618</v>
      </c>
      <c r="H84">
        <v>780</v>
      </c>
      <c r="I84" t="str">
        <f t="shared" si="4"/>
        <v>ft</v>
      </c>
      <c r="J84" t="str">
        <f t="shared" si="5"/>
        <v>mi</v>
      </c>
      <c r="K84" t="str">
        <f>_xlfn.CONCAT(OH[[#This Row],[Size]], "_", OH[[#This Row],[Material]])</f>
        <v>636_ACSR</v>
      </c>
      <c r="N84" s="1"/>
    </row>
    <row r="85" spans="1:14" x14ac:dyDescent="0.2">
      <c r="A85" t="str">
        <f>_xlfn.CONCAT(OH[[#This Row],[Size]], "_",OH[[#This Row],[Stranding]], "_", OH[[#This Row],[Material]])</f>
        <v>636_30/19_ACSR</v>
      </c>
      <c r="B85" s="1">
        <v>636</v>
      </c>
      <c r="C85" t="s">
        <v>32</v>
      </c>
      <c r="D85" t="s">
        <v>8</v>
      </c>
      <c r="E85">
        <v>1.0189999999999999</v>
      </c>
      <c r="F85">
        <v>3.5099999999999999E-2</v>
      </c>
      <c r="G85">
        <v>0.1618</v>
      </c>
      <c r="H85">
        <v>780</v>
      </c>
      <c r="I85" t="str">
        <f t="shared" si="4"/>
        <v>ft</v>
      </c>
      <c r="J85" t="str">
        <f t="shared" si="5"/>
        <v>mi</v>
      </c>
      <c r="K85" t="str">
        <f>_xlfn.CONCAT(OH[[#This Row],[Size]], "_", OH[[#This Row],[Material]])</f>
        <v>636_ACSR</v>
      </c>
      <c r="N85" s="1"/>
    </row>
    <row r="86" spans="1:14" x14ac:dyDescent="0.2">
      <c r="A86" t="str">
        <f>_xlfn.CONCAT(OH[[#This Row],[Size]], "_",OH[[#This Row],[Stranding]], "_", OH[[#This Row],[Material]])</f>
        <v>636_54/7_ACSR</v>
      </c>
      <c r="B86" s="1">
        <v>636</v>
      </c>
      <c r="C86" t="s">
        <v>30</v>
      </c>
      <c r="D86" t="s">
        <v>8</v>
      </c>
      <c r="E86">
        <v>0.97699999999999998</v>
      </c>
      <c r="F86">
        <v>3.2899999999999999E-2</v>
      </c>
      <c r="G86">
        <v>0.16880000000000001</v>
      </c>
      <c r="H86">
        <v>770</v>
      </c>
      <c r="I86" t="str">
        <f t="shared" si="4"/>
        <v>ft</v>
      </c>
      <c r="J86" t="str">
        <f t="shared" si="5"/>
        <v>mi</v>
      </c>
      <c r="K86" t="str">
        <f>_xlfn.CONCAT(OH[[#This Row],[Size]], "_", OH[[#This Row],[Material]])</f>
        <v>636_ACSR</v>
      </c>
      <c r="N86" s="1"/>
    </row>
    <row r="87" spans="1:14" x14ac:dyDescent="0.2">
      <c r="A87" t="str">
        <f>_xlfn.CONCAT(OH[[#This Row],[Size]], "_",OH[[#This Row],[Stranding]], "_", OH[[#This Row],[Material]])</f>
        <v>636_CLASS A_AA</v>
      </c>
      <c r="B87" s="1">
        <v>636</v>
      </c>
      <c r="C87" t="s">
        <v>11</v>
      </c>
      <c r="D87" t="s">
        <v>12</v>
      </c>
      <c r="E87">
        <v>0.91800000000000004</v>
      </c>
      <c r="F87">
        <v>2.9399999999999999E-2</v>
      </c>
      <c r="G87">
        <v>0.16300000000000001</v>
      </c>
      <c r="H87">
        <v>620</v>
      </c>
      <c r="I87" t="str">
        <f t="shared" si="4"/>
        <v>ft</v>
      </c>
      <c r="J87" t="str">
        <f t="shared" si="5"/>
        <v>mi</v>
      </c>
      <c r="K87" t="str">
        <f>_xlfn.CONCAT(OH[[#This Row],[Size]], "_", OH[[#This Row],[Material]])</f>
        <v>636_AA</v>
      </c>
      <c r="N87" s="1"/>
    </row>
    <row r="88" spans="1:14" x14ac:dyDescent="0.2">
      <c r="A88" t="str">
        <f>_xlfn.CONCAT(OH[[#This Row],[Size]], "_",OH[[#This Row],[Stranding]], "_", OH[[#This Row],[Material]])</f>
        <v>666.6_54/7_ACSR</v>
      </c>
      <c r="B88" s="1">
        <v>666.6</v>
      </c>
      <c r="C88" t="s">
        <v>30</v>
      </c>
      <c r="D88" t="s">
        <v>8</v>
      </c>
      <c r="E88">
        <v>1</v>
      </c>
      <c r="F88">
        <v>3.3700000000000001E-2</v>
      </c>
      <c r="G88">
        <v>0.16009999999999999</v>
      </c>
      <c r="H88">
        <v>800</v>
      </c>
      <c r="I88" t="str">
        <f t="shared" si="4"/>
        <v>ft</v>
      </c>
      <c r="J88" t="str">
        <f t="shared" si="5"/>
        <v>mi</v>
      </c>
      <c r="K88" t="str">
        <f>_xlfn.CONCAT(OH[[#This Row],[Size]], "_", OH[[#This Row],[Material]])</f>
        <v>666.6_ACSR</v>
      </c>
      <c r="N88" s="1"/>
    </row>
    <row r="89" spans="1:14" x14ac:dyDescent="0.2">
      <c r="A89" t="str">
        <f>_xlfn.CONCAT(OH[[#This Row],[Size]], "_",OH[[#This Row],[Stranding]], "_", OH[[#This Row],[Material]])</f>
        <v>700_37 STRD_Copper</v>
      </c>
      <c r="B89" s="1">
        <v>700</v>
      </c>
      <c r="C89" t="s">
        <v>29</v>
      </c>
      <c r="D89" t="s">
        <v>10</v>
      </c>
      <c r="E89">
        <v>0.96299999999999997</v>
      </c>
      <c r="F89">
        <v>3.0800000000000001E-2</v>
      </c>
      <c r="G89">
        <v>9.4700000000000006E-2</v>
      </c>
      <c r="H89">
        <v>1040</v>
      </c>
      <c r="I89" t="str">
        <f t="shared" si="4"/>
        <v>ft</v>
      </c>
      <c r="J89" t="str">
        <f t="shared" si="5"/>
        <v>mi</v>
      </c>
      <c r="K89" t="str">
        <f>_xlfn.CONCAT(OH[[#This Row],[Size]], "_", OH[[#This Row],[Material]])</f>
        <v>700_Copper</v>
      </c>
      <c r="N89" s="1"/>
    </row>
    <row r="90" spans="1:14" x14ac:dyDescent="0.2">
      <c r="A90" t="str">
        <f>_xlfn.CONCAT(OH[[#This Row],[Size]], "_",OH[[#This Row],[Stranding]], "_", OH[[#This Row],[Material]])</f>
        <v>700_CON LAY_AA</v>
      </c>
      <c r="B90" s="1">
        <v>700</v>
      </c>
      <c r="C90" t="s">
        <v>25</v>
      </c>
      <c r="D90" t="s">
        <v>12</v>
      </c>
      <c r="E90">
        <v>0.96299999999999997</v>
      </c>
      <c r="F90">
        <v>3.0800000000000001E-2</v>
      </c>
      <c r="G90">
        <v>0.14799999999999999</v>
      </c>
      <c r="H90">
        <v>580</v>
      </c>
      <c r="I90" t="str">
        <f t="shared" si="4"/>
        <v>ft</v>
      </c>
      <c r="J90" t="str">
        <f t="shared" si="5"/>
        <v>mi</v>
      </c>
      <c r="K90" t="str">
        <f>_xlfn.CONCAT(OH[[#This Row],[Size]], "_", OH[[#This Row],[Material]])</f>
        <v>700_AA</v>
      </c>
      <c r="N90" s="1"/>
    </row>
    <row r="91" spans="1:14" x14ac:dyDescent="0.2">
      <c r="A91" t="str">
        <f>_xlfn.CONCAT(OH[[#This Row],[Size]], "_",OH[[#This Row],[Stranding]], "_", OH[[#This Row],[Material]])</f>
        <v>715.5_26/7_ACSR</v>
      </c>
      <c r="B91" s="1">
        <v>715.5</v>
      </c>
      <c r="C91" t="s">
        <v>26</v>
      </c>
      <c r="D91" t="s">
        <v>8</v>
      </c>
      <c r="E91">
        <v>1.0509999999999999</v>
      </c>
      <c r="F91">
        <v>3.5499999999999997E-2</v>
      </c>
      <c r="G91">
        <v>0.14419999999999999</v>
      </c>
      <c r="H91">
        <v>840</v>
      </c>
      <c r="I91" t="str">
        <f t="shared" si="4"/>
        <v>ft</v>
      </c>
      <c r="J91" t="str">
        <f t="shared" si="5"/>
        <v>mi</v>
      </c>
      <c r="K91" t="str">
        <f>_xlfn.CONCAT(OH[[#This Row],[Size]], "_", OH[[#This Row],[Material]])</f>
        <v>715.5_ACSR</v>
      </c>
      <c r="N91" s="1"/>
    </row>
    <row r="92" spans="1:14" x14ac:dyDescent="0.2">
      <c r="A92" t="str">
        <f>_xlfn.CONCAT(OH[[#This Row],[Size]], "_",OH[[#This Row],[Stranding]], "_", OH[[#This Row],[Material]])</f>
        <v>715.5_30/19_ACSR</v>
      </c>
      <c r="B92" s="1">
        <v>715.5</v>
      </c>
      <c r="C92" t="s">
        <v>32</v>
      </c>
      <c r="D92" t="s">
        <v>8</v>
      </c>
      <c r="E92">
        <v>1.081</v>
      </c>
      <c r="F92">
        <v>3.7199999999999997E-2</v>
      </c>
      <c r="G92">
        <v>0.14419999999999999</v>
      </c>
      <c r="H92">
        <v>840</v>
      </c>
      <c r="I92" t="str">
        <f t="shared" si="4"/>
        <v>ft</v>
      </c>
      <c r="J92" t="str">
        <f t="shared" si="5"/>
        <v>mi</v>
      </c>
      <c r="K92" t="str">
        <f>_xlfn.CONCAT(OH[[#This Row],[Size]], "_", OH[[#This Row],[Material]])</f>
        <v>715.5_ACSR</v>
      </c>
      <c r="N92" s="1"/>
    </row>
    <row r="93" spans="1:14" x14ac:dyDescent="0.2">
      <c r="A93" t="str">
        <f>_xlfn.CONCAT(OH[[#This Row],[Size]], "_",OH[[#This Row],[Stranding]], "_", OH[[#This Row],[Material]])</f>
        <v>715.5_54/7_ACSR</v>
      </c>
      <c r="B93" s="1">
        <v>715.5</v>
      </c>
      <c r="C93" t="s">
        <v>30</v>
      </c>
      <c r="D93" t="s">
        <v>8</v>
      </c>
      <c r="E93">
        <v>1.036</v>
      </c>
      <c r="F93">
        <v>3.49E-2</v>
      </c>
      <c r="G93">
        <v>0.1482</v>
      </c>
      <c r="H93">
        <v>830</v>
      </c>
      <c r="I93" t="str">
        <f t="shared" si="4"/>
        <v>ft</v>
      </c>
      <c r="J93" t="str">
        <f t="shared" si="5"/>
        <v>mi</v>
      </c>
      <c r="K93" t="str">
        <f>_xlfn.CONCAT(OH[[#This Row],[Size]], "_", OH[[#This Row],[Material]])</f>
        <v>715.5_ACSR</v>
      </c>
      <c r="N93" s="1"/>
    </row>
    <row r="94" spans="1:14" x14ac:dyDescent="0.2">
      <c r="A94" t="str">
        <f>_xlfn.CONCAT(OH[[#This Row],[Size]], "_",OH[[#This Row],[Stranding]], "_", OH[[#This Row],[Material]])</f>
        <v>715.5_CLASS A_AA</v>
      </c>
      <c r="B94" s="1">
        <v>715.5</v>
      </c>
      <c r="C94" t="s">
        <v>11</v>
      </c>
      <c r="D94" t="s">
        <v>12</v>
      </c>
      <c r="E94">
        <v>0.97399999999999998</v>
      </c>
      <c r="F94">
        <v>3.1199999999999999E-2</v>
      </c>
      <c r="G94">
        <v>0.14499999999999999</v>
      </c>
      <c r="H94">
        <v>680</v>
      </c>
      <c r="I94" t="str">
        <f t="shared" si="4"/>
        <v>ft</v>
      </c>
      <c r="J94" t="str">
        <f t="shared" si="5"/>
        <v>mi</v>
      </c>
      <c r="K94" t="str">
        <f>_xlfn.CONCAT(OH[[#This Row],[Size]], "_", OH[[#This Row],[Material]])</f>
        <v>715.5_AA</v>
      </c>
      <c r="N94" s="1"/>
    </row>
    <row r="95" spans="1:14" x14ac:dyDescent="0.2">
      <c r="A95" t="str">
        <f>_xlfn.CONCAT(OH[[#This Row],[Size]], "_",OH[[#This Row],[Stranding]], "_", OH[[#This Row],[Material]])</f>
        <v>750_37 STRD_AA</v>
      </c>
      <c r="B95" s="1">
        <v>750</v>
      </c>
      <c r="C95" t="s">
        <v>29</v>
      </c>
      <c r="D95" t="s">
        <v>12</v>
      </c>
      <c r="E95">
        <v>0.997</v>
      </c>
      <c r="F95">
        <v>3.1899999999999998E-2</v>
      </c>
      <c r="G95">
        <v>8.8800000000000004E-2</v>
      </c>
      <c r="H95">
        <v>1090</v>
      </c>
      <c r="I95" t="str">
        <f t="shared" si="4"/>
        <v>ft</v>
      </c>
      <c r="J95" t="str">
        <f t="shared" si="5"/>
        <v>mi</v>
      </c>
      <c r="K95" t="str">
        <f>_xlfn.CONCAT(OH[[#This Row],[Size]], "_", OH[[#This Row],[Material]])</f>
        <v>750_AA</v>
      </c>
      <c r="N95" s="1"/>
    </row>
    <row r="96" spans="1:14" x14ac:dyDescent="0.2">
      <c r="A96" t="str">
        <f>_xlfn.CONCAT(OH[[#This Row],[Size]], "_",OH[[#This Row],[Stranding]], "_", OH[[#This Row],[Material]])</f>
        <v>750_CON LAY_AA</v>
      </c>
      <c r="B96" s="1">
        <v>750</v>
      </c>
      <c r="C96" t="s">
        <v>25</v>
      </c>
      <c r="D96" t="s">
        <v>12</v>
      </c>
      <c r="E96">
        <v>0.997</v>
      </c>
      <c r="F96">
        <v>3.1899999999999998E-2</v>
      </c>
      <c r="G96">
        <v>0.13900000000000001</v>
      </c>
      <c r="H96">
        <v>602</v>
      </c>
      <c r="I96" t="str">
        <f t="shared" si="4"/>
        <v>ft</v>
      </c>
      <c r="J96" t="str">
        <f t="shared" si="5"/>
        <v>mi</v>
      </c>
      <c r="K96" t="str">
        <f>_xlfn.CONCAT(OH[[#This Row],[Size]], "_", OH[[#This Row],[Material]])</f>
        <v>750_AA</v>
      </c>
      <c r="N96" s="1"/>
    </row>
    <row r="97" spans="1:14" x14ac:dyDescent="0.2">
      <c r="A97" t="str">
        <f>_xlfn.CONCAT(OH[[#This Row],[Size]], "_",OH[[#This Row],[Stranding]], "_", OH[[#This Row],[Material]])</f>
        <v>795_26/7_ACSR</v>
      </c>
      <c r="B97" s="1">
        <v>795</v>
      </c>
      <c r="C97" t="s">
        <v>26</v>
      </c>
      <c r="D97" t="s">
        <v>8</v>
      </c>
      <c r="E97">
        <v>1.1080000000000001</v>
      </c>
      <c r="F97">
        <v>3.7499999999999999E-2</v>
      </c>
      <c r="G97">
        <v>0.1288</v>
      </c>
      <c r="H97">
        <v>900</v>
      </c>
      <c r="I97" t="str">
        <f t="shared" si="4"/>
        <v>ft</v>
      </c>
      <c r="J97" t="str">
        <f t="shared" si="5"/>
        <v>mi</v>
      </c>
      <c r="K97" t="str">
        <f>_xlfn.CONCAT(OH[[#This Row],[Size]], "_", OH[[#This Row],[Material]])</f>
        <v>795_ACSR</v>
      </c>
      <c r="N97" s="1"/>
    </row>
    <row r="98" spans="1:14" x14ac:dyDescent="0.2">
      <c r="A98" t="str">
        <f>_xlfn.CONCAT(OH[[#This Row],[Size]], "_",OH[[#This Row],[Stranding]], "_", OH[[#This Row],[Material]])</f>
        <v>795_30/19_ACSR</v>
      </c>
      <c r="B98" s="1">
        <v>795</v>
      </c>
      <c r="C98" t="s">
        <v>32</v>
      </c>
      <c r="D98" t="s">
        <v>8</v>
      </c>
      <c r="E98">
        <v>1.1399999999999999</v>
      </c>
      <c r="F98">
        <v>3.9300000000000002E-2</v>
      </c>
      <c r="G98">
        <v>0.1288</v>
      </c>
      <c r="H98">
        <v>910</v>
      </c>
      <c r="I98" t="str">
        <f t="shared" si="4"/>
        <v>ft</v>
      </c>
      <c r="J98" t="str">
        <f t="shared" si="5"/>
        <v>mi</v>
      </c>
      <c r="K98" t="str">
        <f>_xlfn.CONCAT(OH[[#This Row],[Size]], "_", OH[[#This Row],[Material]])</f>
        <v>795_ACSR</v>
      </c>
      <c r="N98" s="1"/>
    </row>
    <row r="99" spans="1:14" x14ac:dyDescent="0.2">
      <c r="A99" t="str">
        <f>_xlfn.CONCAT(OH[[#This Row],[Size]], "_",OH[[#This Row],[Stranding]], "_", OH[[#This Row],[Material]])</f>
        <v>795_54/7_ACSR</v>
      </c>
      <c r="B99" s="1">
        <v>795</v>
      </c>
      <c r="C99" t="s">
        <v>30</v>
      </c>
      <c r="D99" t="s">
        <v>8</v>
      </c>
      <c r="E99">
        <v>1.093</v>
      </c>
      <c r="F99">
        <v>3.6799999999999999E-2</v>
      </c>
      <c r="G99">
        <v>0.13780000000000001</v>
      </c>
      <c r="H99">
        <v>900</v>
      </c>
      <c r="I99" t="str">
        <f t="shared" si="4"/>
        <v>ft</v>
      </c>
      <c r="J99" t="str">
        <f t="shared" si="5"/>
        <v>mi</v>
      </c>
      <c r="K99" t="str">
        <f>_xlfn.CONCAT(OH[[#This Row],[Size]], "_", OH[[#This Row],[Material]])</f>
        <v>795_ACSR</v>
      </c>
      <c r="N99" s="1"/>
    </row>
    <row r="100" spans="1:14" x14ac:dyDescent="0.2">
      <c r="A100" t="str">
        <f>_xlfn.CONCAT(OH[[#This Row],[Size]], "_",OH[[#This Row],[Stranding]], "_", OH[[#This Row],[Material]])</f>
        <v>795_CLASS A_AA</v>
      </c>
      <c r="B100" s="1">
        <v>795</v>
      </c>
      <c r="C100" t="s">
        <v>11</v>
      </c>
      <c r="D100" t="s">
        <v>12</v>
      </c>
      <c r="E100">
        <v>1.026</v>
      </c>
      <c r="F100">
        <v>3.2800000000000003E-2</v>
      </c>
      <c r="G100">
        <v>0.13100000000000001</v>
      </c>
      <c r="H100">
        <v>720</v>
      </c>
      <c r="I100" t="str">
        <f t="shared" si="4"/>
        <v>ft</v>
      </c>
      <c r="J100" t="str">
        <f t="shared" si="5"/>
        <v>mi</v>
      </c>
      <c r="K100" t="str">
        <f>_xlfn.CONCAT(OH[[#This Row],[Size]], "_", OH[[#This Row],[Material]])</f>
        <v>795_AA</v>
      </c>
      <c r="N100" s="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AA9E-251E-2D4D-A9AC-C0697DAD560B}">
  <dimension ref="A1:V20"/>
  <sheetViews>
    <sheetView workbookViewId="0">
      <selection activeCell="Q9" sqref="Q9"/>
    </sheetView>
  </sheetViews>
  <sheetFormatPr baseColWidth="10" defaultRowHeight="16" x14ac:dyDescent="0.2"/>
  <cols>
    <col min="1" max="1" width="16.1640625" customWidth="1"/>
    <col min="2" max="3" width="9.83203125" customWidth="1"/>
    <col min="4" max="4" width="16.83203125" customWidth="1"/>
    <col min="5" max="5" width="12.1640625" customWidth="1"/>
    <col min="6" max="6" width="11.1640625" customWidth="1"/>
    <col min="7" max="7" width="10.1640625" customWidth="1"/>
    <col min="8" max="8" width="9" customWidth="1"/>
    <col min="9" max="9" width="13.33203125" customWidth="1"/>
    <col min="11" max="11" width="8.5" customWidth="1"/>
  </cols>
  <sheetData>
    <row r="1" spans="1:22" s="2" customFormat="1" ht="60" customHeight="1" x14ac:dyDescent="0.2">
      <c r="A1" s="2" t="s">
        <v>33</v>
      </c>
      <c r="B1" s="2" t="s">
        <v>60</v>
      </c>
      <c r="C1" s="2" t="s">
        <v>61</v>
      </c>
      <c r="D1" s="2" t="s">
        <v>91</v>
      </c>
      <c r="E1" s="2" t="s">
        <v>168</v>
      </c>
      <c r="F1" s="2" t="s">
        <v>63</v>
      </c>
      <c r="G1" s="2" t="s">
        <v>167</v>
      </c>
      <c r="H1" s="2" t="s">
        <v>65</v>
      </c>
      <c r="I1" s="2" t="s">
        <v>66</v>
      </c>
      <c r="J1" s="2" t="s">
        <v>73</v>
      </c>
      <c r="K1" s="2" t="s">
        <v>92</v>
      </c>
      <c r="L1" s="2" t="s">
        <v>90</v>
      </c>
      <c r="M1" s="2" t="s">
        <v>86</v>
      </c>
      <c r="N1" s="2" t="s">
        <v>87</v>
      </c>
      <c r="O1" s="2" t="s">
        <v>88</v>
      </c>
      <c r="P1" s="2" t="s">
        <v>96</v>
      </c>
      <c r="Q1" s="2" t="s">
        <v>89</v>
      </c>
      <c r="R1" s="2" t="s">
        <v>85</v>
      </c>
      <c r="S1" s="2" t="s">
        <v>166</v>
      </c>
      <c r="T1" s="2" t="s">
        <v>94</v>
      </c>
      <c r="U1" s="2" t="s">
        <v>169</v>
      </c>
      <c r="V1" s="2" t="s">
        <v>108</v>
      </c>
    </row>
    <row r="2" spans="1:22" x14ac:dyDescent="0.2">
      <c r="A2" s="7" t="str">
        <f>_xlfn.CONCAT(CN[[#This Row],[Neutral Ampacity]], "_", CN[[#This Row],[Conductor Size]])</f>
        <v>Full_2(7×)</v>
      </c>
      <c r="B2" s="3" t="s">
        <v>34</v>
      </c>
      <c r="C2" s="3" t="s">
        <v>35</v>
      </c>
      <c r="D2" s="3" t="str">
        <f>_xlfn.XLOOKUP(_xlfn.CONCAT(LEFT(CN[[#This Row],[Conductor Size]], SEARCH("(", CN[[#This Row],[Conductor Size]])-1), "_AA"), OH[Size_Material], OH[Type], NA(),-1)</f>
        <v>2_CLASS A_AA</v>
      </c>
      <c r="E2" s="3">
        <v>0.78</v>
      </c>
      <c r="F2" s="3">
        <v>0.85</v>
      </c>
      <c r="G2" s="3">
        <v>0.98</v>
      </c>
      <c r="H2" s="3" t="s">
        <v>36</v>
      </c>
      <c r="I2" s="3">
        <v>120</v>
      </c>
      <c r="J2" s="7">
        <v>15</v>
      </c>
      <c r="K2" s="8">
        <f>VALUE(RIGHT(CN[[#This Row],[Copper Neutral]],2))</f>
        <v>14</v>
      </c>
      <c r="L2" s="7">
        <f>_xlfn.XLOOKUP(CN[[#This Row],[Neutral Strand AWG]], OH[Size], OH[rac])</f>
        <v>14.872199999999999</v>
      </c>
      <c r="M2" s="7">
        <f>VALUE(LEFT(CN[[#This Row],[Copper Neutral]], SEARCH(" ",CN[[#This Row],[Copper Neutral]])-1))</f>
        <v>10</v>
      </c>
      <c r="N2">
        <f>_xlfn.XLOOKUP(CN[[#This Row],[Phase Conductor Name]], OH[Type], OH[GMRac])</f>
        <v>8.8299999999999993E-3</v>
      </c>
      <c r="O2">
        <f>_xlfn.XLOOKUP(CN[[#This Row],[Neutral Strand AWG]], OH[Size], OH[GMRac])</f>
        <v>2.0799999999999998E-3</v>
      </c>
      <c r="P2" t="s">
        <v>81</v>
      </c>
      <c r="Q2">
        <f>_xlfn.XLOOKUP(CN[[#This Row],[Phase Conductor Name]],OH[Type], OH[rac])</f>
        <v>1.5409999999999999</v>
      </c>
      <c r="R2" t="str">
        <f>_xlfn.XLOOKUP(CN[[#This Row],[Phase Conductor Name]],OH[Type], OH[runits])</f>
        <v>mi</v>
      </c>
      <c r="S2">
        <f>_xlfn.XLOOKUP(CN[[#This Row],[Phase Conductor Name]],OH[Type], OH[Diam])</f>
        <v>0.29199999999999998</v>
      </c>
      <c r="T2">
        <f>_xlfn.XLOOKUP(CN[[#This Row],[Phase Conductor Name]],OH[Type], OH[normamps])</f>
        <v>156</v>
      </c>
      <c r="U2">
        <f>_xlfn.XLOOKUP(CN[[#This Row],[Neutral Strand AWG]], OH[Size], OH[Diam])</f>
        <v>6.4100000000000004E-2</v>
      </c>
      <c r="V2" t="s">
        <v>82</v>
      </c>
    </row>
    <row r="3" spans="1:22" x14ac:dyDescent="0.2">
      <c r="A3" s="3" t="str">
        <f>_xlfn.CONCAT(CN[[#This Row],[Neutral Ampacity]], "_", CN[[#This Row],[Conductor Size]])</f>
        <v>Full_1(19×)</v>
      </c>
      <c r="B3" s="3" t="s">
        <v>34</v>
      </c>
      <c r="C3" s="3" t="s">
        <v>37</v>
      </c>
      <c r="D3" s="3" t="str">
        <f>_xlfn.XLOOKUP(_xlfn.CONCAT(LEFT(CN[[#This Row],[Conductor Size]], SEARCH("(", CN[[#This Row],[Conductor Size]])-1), "_AA"), OH[Size_Material], OH[Type], NA(),-1)</f>
        <v>1_CLASS A_AA</v>
      </c>
      <c r="E3" s="3">
        <v>0.81</v>
      </c>
      <c r="F3" s="3">
        <v>0.89</v>
      </c>
      <c r="G3" s="3">
        <v>1.02</v>
      </c>
      <c r="H3" s="3" t="s">
        <v>38</v>
      </c>
      <c r="I3" s="3">
        <v>135</v>
      </c>
      <c r="J3" s="7">
        <v>15</v>
      </c>
      <c r="K3" s="8">
        <f>VALUE(RIGHT(CN[[#This Row],[Copper Neutral]],2))</f>
        <v>14</v>
      </c>
      <c r="L3" s="3">
        <f>_xlfn.XLOOKUP(CN[[#This Row],[Neutral Strand AWG]], OH[Size], OH[rac])</f>
        <v>14.872199999999999</v>
      </c>
      <c r="M3" s="3">
        <f>VALUE(LEFT(CN[[#This Row],[Copper Neutral]], SEARCH(" ",CN[[#This Row],[Copper Neutral]])-1))</f>
        <v>13</v>
      </c>
      <c r="N3">
        <f>_xlfn.XLOOKUP(CN[[#This Row],[Phase Conductor Name]], OH[Type], OH[GMRac])</f>
        <v>9.9100000000000004E-3</v>
      </c>
      <c r="O3">
        <f>_xlfn.XLOOKUP(CN[[#This Row],[Neutral Strand AWG]], OH[Size], OH[GMRac])</f>
        <v>2.0799999999999998E-3</v>
      </c>
      <c r="P3" t="s">
        <v>81</v>
      </c>
      <c r="Q3">
        <f>_xlfn.XLOOKUP(CN[[#This Row],[Phase Conductor Name]],OH[Type], OH[rac])</f>
        <v>1.224</v>
      </c>
      <c r="R3" t="str">
        <f>_xlfn.XLOOKUP(CN[[#This Row],[Phase Conductor Name]],OH[Type], OH[runits])</f>
        <v>mi</v>
      </c>
      <c r="S3">
        <f>_xlfn.XLOOKUP(CN[[#This Row],[Phase Conductor Name]],OH[Type], OH[Diam])</f>
        <v>0.32800000000000001</v>
      </c>
      <c r="T3">
        <f>_xlfn.XLOOKUP(CN[[#This Row],[Phase Conductor Name]],OH[Type], OH[normamps])</f>
        <v>177</v>
      </c>
      <c r="U3">
        <f>_xlfn.XLOOKUP(CN[[#This Row],[Neutral Strand AWG]], OH[Size], OH[Diam])</f>
        <v>6.4100000000000004E-2</v>
      </c>
      <c r="V3" t="s">
        <v>82</v>
      </c>
    </row>
    <row r="4" spans="1:22" x14ac:dyDescent="0.2">
      <c r="A4" s="3" t="str">
        <f>_xlfn.CONCAT(CN[[#This Row],[Neutral Ampacity]], "_", CN[[#This Row],[Conductor Size]])</f>
        <v>Full_1/0(19×)</v>
      </c>
      <c r="B4" s="3" t="s">
        <v>34</v>
      </c>
      <c r="C4" s="3" t="s">
        <v>39</v>
      </c>
      <c r="D4" s="3" t="str">
        <f>_xlfn.XLOOKUP(_xlfn.CONCAT(LEFT(CN[[#This Row],[Conductor Size]], SEARCH("(", CN[[#This Row],[Conductor Size]])-1), "_AA"), OH[Size_Material], OH[Type], NA(),-1)</f>
        <v>1/0_CLASS A_AA</v>
      </c>
      <c r="E4" s="3">
        <v>0.85</v>
      </c>
      <c r="F4" s="3">
        <v>0.93</v>
      </c>
      <c r="G4" s="3">
        <v>1.06</v>
      </c>
      <c r="H4" s="3" t="s">
        <v>40</v>
      </c>
      <c r="I4" s="3">
        <v>155</v>
      </c>
      <c r="J4" s="7">
        <v>15</v>
      </c>
      <c r="K4" s="8">
        <f>VALUE(RIGHT(CN[[#This Row],[Copper Neutral]],2))</f>
        <v>14</v>
      </c>
      <c r="L4" s="3">
        <f>_xlfn.XLOOKUP(CN[[#This Row],[Neutral Strand AWG]], OH[Size], OH[rac])</f>
        <v>14.872199999999999</v>
      </c>
      <c r="M4" s="3">
        <f>VALUE(LEFT(CN[[#This Row],[Copper Neutral]], SEARCH(" ",CN[[#This Row],[Copper Neutral]])-1))</f>
        <v>16</v>
      </c>
      <c r="N4">
        <f>_xlfn.XLOOKUP(CN[[#This Row],[Phase Conductor Name]], OH[Type], OH[GMRac])</f>
        <v>1.11E-2</v>
      </c>
      <c r="O4">
        <f>_xlfn.XLOOKUP(CN[[#This Row],[Neutral Strand AWG]], OH[Size], OH[GMRac])</f>
        <v>2.0799999999999998E-3</v>
      </c>
      <c r="P4" t="s">
        <v>81</v>
      </c>
      <c r="Q4">
        <f>_xlfn.XLOOKUP(CN[[#This Row],[Phase Conductor Name]],OH[Type], OH[rac])</f>
        <v>0.97</v>
      </c>
      <c r="R4" t="str">
        <f>_xlfn.XLOOKUP(CN[[#This Row],[Phase Conductor Name]],OH[Type], OH[runits])</f>
        <v>mi</v>
      </c>
      <c r="S4">
        <f>_xlfn.XLOOKUP(CN[[#This Row],[Phase Conductor Name]],OH[Type], OH[Diam])</f>
        <v>0.36799999999999999</v>
      </c>
      <c r="T4">
        <f>_xlfn.XLOOKUP(CN[[#This Row],[Phase Conductor Name]],OH[Type], OH[normamps])</f>
        <v>202</v>
      </c>
      <c r="U4">
        <f>_xlfn.XLOOKUP(CN[[#This Row],[Neutral Strand AWG]], OH[Size], OH[Diam])</f>
        <v>6.4100000000000004E-2</v>
      </c>
      <c r="V4" t="s">
        <v>82</v>
      </c>
    </row>
    <row r="5" spans="1:22" x14ac:dyDescent="0.2">
      <c r="A5" s="3" t="str">
        <f>_xlfn.CONCAT(CN[[#This Row],[Neutral Ampacity]], "_", CN[[#This Row],[Conductor Size]])</f>
        <v>Full_2/0(19×)</v>
      </c>
      <c r="B5" s="3" t="s">
        <v>34</v>
      </c>
      <c r="C5" s="3" t="s">
        <v>41</v>
      </c>
      <c r="D5" s="3" t="str">
        <f>_xlfn.XLOOKUP(_xlfn.CONCAT(LEFT(CN[[#This Row],[Conductor Size]], SEARCH("(", CN[[#This Row],[Conductor Size]])-1), "_AA"), OH[Size_Material], OH[Type], NA(),-1)</f>
        <v>2/0_CLASS A_AA</v>
      </c>
      <c r="E5" s="3">
        <v>0.9</v>
      </c>
      <c r="F5" s="3">
        <v>0.97</v>
      </c>
      <c r="G5" s="3">
        <v>1.1299999999999999</v>
      </c>
      <c r="H5" s="3" t="s">
        <v>42</v>
      </c>
      <c r="I5" s="3">
        <v>175</v>
      </c>
      <c r="J5" s="7">
        <v>15</v>
      </c>
      <c r="K5" s="8">
        <f>VALUE(RIGHT(CN[[#This Row],[Copper Neutral]],2))</f>
        <v>12</v>
      </c>
      <c r="L5" s="3">
        <f>_xlfn.XLOOKUP(CN[[#This Row],[Neutral Strand AWG]], OH[Size], OH[rac])</f>
        <v>9.3747000000000007</v>
      </c>
      <c r="M5" s="3">
        <f>VALUE(LEFT(CN[[#This Row],[Copper Neutral]], SEARCH(" ",CN[[#This Row],[Copper Neutral]])-1))</f>
        <v>13</v>
      </c>
      <c r="N5">
        <f>_xlfn.XLOOKUP(CN[[#This Row],[Phase Conductor Name]], OH[Type], OH[GMRac])</f>
        <v>1.2500000000000001E-2</v>
      </c>
      <c r="O5">
        <f>_xlfn.XLOOKUP(CN[[#This Row],[Neutral Strand AWG]], OH[Size], OH[GMRac])</f>
        <v>2.6199999999999999E-3</v>
      </c>
      <c r="P5" t="s">
        <v>81</v>
      </c>
      <c r="Q5">
        <f>_xlfn.XLOOKUP(CN[[#This Row],[Phase Conductor Name]],OH[Type], OH[rac])</f>
        <v>0.76900000000000002</v>
      </c>
      <c r="R5" t="str">
        <f>_xlfn.XLOOKUP(CN[[#This Row],[Phase Conductor Name]],OH[Type], OH[runits])</f>
        <v>mi</v>
      </c>
      <c r="S5">
        <f>_xlfn.XLOOKUP(CN[[#This Row],[Phase Conductor Name]],OH[Type], OH[Diam])</f>
        <v>0.41399999999999998</v>
      </c>
      <c r="T5">
        <f>_xlfn.XLOOKUP(CN[[#This Row],[Phase Conductor Name]],OH[Type], OH[normamps])</f>
        <v>230</v>
      </c>
      <c r="U5">
        <f>_xlfn.XLOOKUP(CN[[#This Row],[Neutral Strand AWG]], OH[Size], OH[Diam])</f>
        <v>8.0799999999999997E-2</v>
      </c>
      <c r="V5" t="s">
        <v>82</v>
      </c>
    </row>
    <row r="6" spans="1:22" x14ac:dyDescent="0.2">
      <c r="A6" s="3" t="str">
        <f>_xlfn.CONCAT(CN[[#This Row],[Neutral Ampacity]], "_", CN[[#This Row],[Conductor Size]])</f>
        <v>Full_3/0(19×)</v>
      </c>
      <c r="B6" s="3" t="s">
        <v>34</v>
      </c>
      <c r="C6" s="3" t="s">
        <v>43</v>
      </c>
      <c r="D6" s="3" t="str">
        <f>_xlfn.XLOOKUP(_xlfn.CONCAT(LEFT(CN[[#This Row],[Conductor Size]], SEARCH("(", CN[[#This Row],[Conductor Size]])-1), "_AA"), OH[Size_Material], OH[Type], NA(),-1)</f>
        <v>3/0_CLASS A_AA</v>
      </c>
      <c r="E6" s="3">
        <v>0.95</v>
      </c>
      <c r="F6" s="3">
        <v>1.02</v>
      </c>
      <c r="G6" s="3">
        <v>1.18</v>
      </c>
      <c r="H6" s="3" t="s">
        <v>44</v>
      </c>
      <c r="I6" s="3">
        <v>200</v>
      </c>
      <c r="J6" s="7">
        <v>15</v>
      </c>
      <c r="K6" s="8">
        <f>VALUE(RIGHT(CN[[#This Row],[Copper Neutral]],2))</f>
        <v>12</v>
      </c>
      <c r="L6" s="3">
        <f>_xlfn.XLOOKUP(CN[[#This Row],[Neutral Strand AWG]], OH[Size], OH[rac])</f>
        <v>9.3747000000000007</v>
      </c>
      <c r="M6" s="3">
        <f>VALUE(LEFT(CN[[#This Row],[Copper Neutral]], SEARCH(" ",CN[[#This Row],[Copper Neutral]])-1))</f>
        <v>16</v>
      </c>
      <c r="N6">
        <f>_xlfn.XLOOKUP(CN[[#This Row],[Phase Conductor Name]], OH[Type], OH[GMRac])</f>
        <v>1.4E-2</v>
      </c>
      <c r="O6">
        <f>_xlfn.XLOOKUP(CN[[#This Row],[Neutral Strand AWG]], OH[Size], OH[GMRac])</f>
        <v>2.6199999999999999E-3</v>
      </c>
      <c r="P6" t="s">
        <v>81</v>
      </c>
      <c r="Q6">
        <f>_xlfn.XLOOKUP(CN[[#This Row],[Phase Conductor Name]],OH[Type], OH[rac])</f>
        <v>0.61099999999999999</v>
      </c>
      <c r="R6" t="str">
        <f>_xlfn.XLOOKUP(CN[[#This Row],[Phase Conductor Name]],OH[Type], OH[runits])</f>
        <v>mi</v>
      </c>
      <c r="S6">
        <f>_xlfn.XLOOKUP(CN[[#This Row],[Phase Conductor Name]],OH[Type], OH[Diam])</f>
        <v>0.46400000000000002</v>
      </c>
      <c r="T6">
        <f>_xlfn.XLOOKUP(CN[[#This Row],[Phase Conductor Name]],OH[Type], OH[normamps])</f>
        <v>263</v>
      </c>
      <c r="U6">
        <f>_xlfn.XLOOKUP(CN[[#This Row],[Neutral Strand AWG]], OH[Size], OH[Diam])</f>
        <v>8.0799999999999997E-2</v>
      </c>
      <c r="V6" t="s">
        <v>82</v>
      </c>
    </row>
    <row r="7" spans="1:22" x14ac:dyDescent="0.2">
      <c r="A7" s="3" t="str">
        <f>_xlfn.CONCAT(CN[[#This Row],[Neutral Ampacity]], "_", CN[[#This Row],[Conductor Size]])</f>
        <v>Full_4/0(19×)</v>
      </c>
      <c r="B7" s="3" t="s">
        <v>34</v>
      </c>
      <c r="C7" s="3" t="s">
        <v>45</v>
      </c>
      <c r="D7" s="3" t="str">
        <f>_xlfn.XLOOKUP(_xlfn.CONCAT(LEFT(CN[[#This Row],[Conductor Size]], SEARCH("(", CN[[#This Row],[Conductor Size]])-1), "_AA"), OH[Size_Material], OH[Type], NA(),-1)</f>
        <v>4/0_CLASS A_AA</v>
      </c>
      <c r="E7" s="3">
        <v>1.01</v>
      </c>
      <c r="F7" s="3">
        <v>1.08</v>
      </c>
      <c r="G7" s="3">
        <v>1.28</v>
      </c>
      <c r="H7" s="3" t="s">
        <v>46</v>
      </c>
      <c r="I7" s="3">
        <v>230</v>
      </c>
      <c r="J7" s="7">
        <v>15</v>
      </c>
      <c r="K7" s="8">
        <f>VALUE(RIGHT(CN[[#This Row],[Copper Neutral]],2))</f>
        <v>10</v>
      </c>
      <c r="L7" s="3">
        <f>_xlfn.XLOOKUP(CN[[#This Row],[Neutral Strand AWG]], OH[Size], OH[rac])</f>
        <v>5.9025999999999996</v>
      </c>
      <c r="M7" s="3">
        <f>VALUE(LEFT(CN[[#This Row],[Copper Neutral]], SEARCH(" ",CN[[#This Row],[Copper Neutral]])-1))</f>
        <v>13</v>
      </c>
      <c r="N7">
        <f>_xlfn.XLOOKUP(CN[[#This Row],[Phase Conductor Name]], OH[Type], OH[GMRac])</f>
        <v>1.5800000000000002E-2</v>
      </c>
      <c r="O7">
        <f>_xlfn.XLOOKUP(CN[[#This Row],[Neutral Strand AWG]], OH[Size], OH[GMRac])</f>
        <v>3.3E-3</v>
      </c>
      <c r="P7" t="s">
        <v>81</v>
      </c>
      <c r="Q7">
        <f>_xlfn.XLOOKUP(CN[[#This Row],[Phase Conductor Name]],OH[Type], OH[rac])</f>
        <v>0.48399999999999999</v>
      </c>
      <c r="R7" t="str">
        <f>_xlfn.XLOOKUP(CN[[#This Row],[Phase Conductor Name]],OH[Type], OH[runits])</f>
        <v>mi</v>
      </c>
      <c r="S7">
        <f>_xlfn.XLOOKUP(CN[[#This Row],[Phase Conductor Name]],OH[Type], OH[Diam])</f>
        <v>0.52200000000000002</v>
      </c>
      <c r="T7">
        <f>_xlfn.XLOOKUP(CN[[#This Row],[Phase Conductor Name]],OH[Type], OH[normamps])</f>
        <v>299</v>
      </c>
      <c r="U7">
        <f>_xlfn.XLOOKUP(CN[[#This Row],[Neutral Strand AWG]], OH[Size], OH[Diam])</f>
        <v>0.1019</v>
      </c>
      <c r="V7" t="s">
        <v>82</v>
      </c>
    </row>
    <row r="8" spans="1:22" x14ac:dyDescent="0.2">
      <c r="A8" s="3" t="str">
        <f>_xlfn.CONCAT(CN[[#This Row],[Neutral Ampacity]], "_", CN[[#This Row],[Conductor Size]])</f>
        <v>Full_250(37×)</v>
      </c>
      <c r="B8" s="3" t="s">
        <v>34</v>
      </c>
      <c r="C8" s="3" t="s">
        <v>47</v>
      </c>
      <c r="D8" s="3" t="str">
        <f>_xlfn.XLOOKUP(_xlfn.CONCAT(LEFT(CN[[#This Row],[Conductor Size]], SEARCH("(", CN[[#This Row],[Conductor Size]])-1), "_AA"), OH[Size_Material], OH[Type], NA(),-1)</f>
        <v>250_CON LAY_AA</v>
      </c>
      <c r="E8" s="3">
        <v>1.06</v>
      </c>
      <c r="F8" s="3">
        <v>1.1599999999999999</v>
      </c>
      <c r="G8" s="3">
        <v>1.37</v>
      </c>
      <c r="H8" s="3" t="s">
        <v>48</v>
      </c>
      <c r="I8" s="3">
        <v>255</v>
      </c>
      <c r="J8" s="7">
        <v>15</v>
      </c>
      <c r="K8" s="8">
        <f>VALUE(RIGHT(CN[[#This Row],[Copper Neutral]],2))</f>
        <v>10</v>
      </c>
      <c r="L8" s="3">
        <f>_xlfn.XLOOKUP(CN[[#This Row],[Neutral Strand AWG]], OH[Size], OH[rac])</f>
        <v>5.9025999999999996</v>
      </c>
      <c r="M8" s="3">
        <f>VALUE(LEFT(CN[[#This Row],[Copper Neutral]], SEARCH(" ",CN[[#This Row],[Copper Neutral]])-1))</f>
        <v>16</v>
      </c>
      <c r="N8">
        <f>_xlfn.XLOOKUP(CN[[#This Row],[Phase Conductor Name]], OH[Type], OH[GMRac])</f>
        <v>1.7100000000000001E-2</v>
      </c>
      <c r="O8">
        <f>_xlfn.XLOOKUP(CN[[#This Row],[Neutral Strand AWG]], OH[Size], OH[GMRac])</f>
        <v>3.3E-3</v>
      </c>
      <c r="P8" t="s">
        <v>81</v>
      </c>
      <c r="Q8">
        <f>_xlfn.XLOOKUP(CN[[#This Row],[Phase Conductor Name]],OH[Type], OH[rac])</f>
        <v>0.41</v>
      </c>
      <c r="R8" t="str">
        <f>_xlfn.XLOOKUP(CN[[#This Row],[Phase Conductor Name]],OH[Type], OH[runits])</f>
        <v>mi</v>
      </c>
      <c r="S8">
        <f>_xlfn.XLOOKUP(CN[[#This Row],[Phase Conductor Name]],OH[Type], OH[Diam])</f>
        <v>0.56699999999999995</v>
      </c>
      <c r="T8">
        <f>_xlfn.XLOOKUP(CN[[#This Row],[Phase Conductor Name]],OH[Type], OH[normamps])</f>
        <v>329</v>
      </c>
      <c r="U8">
        <f>_xlfn.XLOOKUP(CN[[#This Row],[Neutral Strand AWG]], OH[Size], OH[Diam])</f>
        <v>0.1019</v>
      </c>
      <c r="V8" t="s">
        <v>82</v>
      </c>
    </row>
    <row r="9" spans="1:22" x14ac:dyDescent="0.2">
      <c r="A9" s="3" t="str">
        <f>_xlfn.CONCAT(CN[[#This Row],[Neutral Ampacity]], "_", CN[[#This Row],[Conductor Size]])</f>
        <v>Full_350(37×)</v>
      </c>
      <c r="B9" s="3" t="s">
        <v>34</v>
      </c>
      <c r="C9" s="3" t="s">
        <v>49</v>
      </c>
      <c r="D9" s="3" t="str">
        <f>_xlfn.XLOOKUP(_xlfn.CONCAT(LEFT(CN[[#This Row],[Conductor Size]], SEARCH("(", CN[[#This Row],[Conductor Size]])-1), "_AA"), OH[Size_Material], OH[Type], NA(),-1)</f>
        <v>350_CON LAY_AA</v>
      </c>
      <c r="E9" s="3">
        <v>1.17</v>
      </c>
      <c r="F9" s="3">
        <v>1.27</v>
      </c>
      <c r="G9" s="3">
        <v>1.47</v>
      </c>
      <c r="H9" s="3" t="s">
        <v>50</v>
      </c>
      <c r="I9" s="3">
        <v>300</v>
      </c>
      <c r="J9" s="7">
        <v>15</v>
      </c>
      <c r="K9" s="8">
        <f>VALUE(RIGHT(CN[[#This Row],[Copper Neutral]],2))</f>
        <v>10</v>
      </c>
      <c r="L9" s="3">
        <f>_xlfn.XLOOKUP(CN[[#This Row],[Neutral Strand AWG]], OH[Size], OH[rac])</f>
        <v>5.9025999999999996</v>
      </c>
      <c r="M9" s="3">
        <f>VALUE(LEFT(CN[[#This Row],[Copper Neutral]], SEARCH(" ",CN[[#This Row],[Copper Neutral]])-1))</f>
        <v>20</v>
      </c>
      <c r="N9">
        <f>_xlfn.XLOOKUP(CN[[#This Row],[Phase Conductor Name]], OH[Type], OH[GMRac])</f>
        <v>2.1399999999999999E-2</v>
      </c>
      <c r="O9">
        <f>_xlfn.XLOOKUP(CN[[#This Row],[Neutral Strand AWG]], OH[Size], OH[GMRac])</f>
        <v>3.3E-3</v>
      </c>
      <c r="P9" t="s">
        <v>81</v>
      </c>
      <c r="Q9">
        <f>_xlfn.XLOOKUP(CN[[#This Row],[Phase Conductor Name]],OH[Type], OH[rac])</f>
        <v>0.29399999999999998</v>
      </c>
      <c r="R9" t="str">
        <f>_xlfn.XLOOKUP(CN[[#This Row],[Phase Conductor Name]],OH[Type], OH[runits])</f>
        <v>mi</v>
      </c>
      <c r="S9">
        <f>_xlfn.XLOOKUP(CN[[#This Row],[Phase Conductor Name]],OH[Type], OH[Diam])</f>
        <v>0.67900000000000005</v>
      </c>
      <c r="T9">
        <f>_xlfn.XLOOKUP(CN[[#This Row],[Phase Conductor Name]],OH[Type], OH[normamps])</f>
        <v>399</v>
      </c>
      <c r="U9">
        <f>_xlfn.XLOOKUP(CN[[#This Row],[Neutral Strand AWG]], OH[Size], OH[Diam])</f>
        <v>0.1019</v>
      </c>
      <c r="V9" t="s">
        <v>82</v>
      </c>
    </row>
    <row r="10" spans="1:22" x14ac:dyDescent="0.2">
      <c r="A10" s="3" t="str">
        <f>_xlfn.CONCAT(CN[[#This Row],[Neutral Ampacity]], "_", CN[[#This Row],[Conductor Size]])</f>
        <v>1/3_2(7×)</v>
      </c>
      <c r="B10" s="4" t="s">
        <v>59</v>
      </c>
      <c r="C10" s="3" t="s">
        <v>35</v>
      </c>
      <c r="D10" s="3" t="str">
        <f>_xlfn.XLOOKUP(_xlfn.CONCAT(LEFT(CN[[#This Row],[Conductor Size]], SEARCH("(", CN[[#This Row],[Conductor Size]])-1), "_AA"), OH[Size_Material], OH[Type], NA(),-1)</f>
        <v>2_CLASS A_AA</v>
      </c>
      <c r="E10" s="3">
        <v>0.78</v>
      </c>
      <c r="F10" s="3">
        <v>0.85</v>
      </c>
      <c r="G10" s="3">
        <v>0.98</v>
      </c>
      <c r="H10" s="3" t="s">
        <v>51</v>
      </c>
      <c r="I10" s="3">
        <v>135</v>
      </c>
      <c r="J10" s="7">
        <v>15</v>
      </c>
      <c r="K10" s="8">
        <f>VALUE(RIGHT(CN[[#This Row],[Copper Neutral]],2))</f>
        <v>14</v>
      </c>
      <c r="L10" s="3">
        <f>_xlfn.XLOOKUP(CN[[#This Row],[Neutral Strand AWG]], OH[Size], OH[rac])</f>
        <v>14.872199999999999</v>
      </c>
      <c r="M10" s="3">
        <f>VALUE(LEFT(CN[[#This Row],[Copper Neutral]], SEARCH(" ",CN[[#This Row],[Copper Neutral]])-1))</f>
        <v>6</v>
      </c>
      <c r="N10">
        <f>_xlfn.XLOOKUP(CN[[#This Row],[Phase Conductor Name]], OH[Type], OH[GMRac])</f>
        <v>8.8299999999999993E-3</v>
      </c>
      <c r="O10">
        <f>_xlfn.XLOOKUP(CN[[#This Row],[Neutral Strand AWG]], OH[Size], OH[GMRac])</f>
        <v>2.0799999999999998E-3</v>
      </c>
      <c r="P10" t="s">
        <v>81</v>
      </c>
      <c r="Q10">
        <f>_xlfn.XLOOKUP(CN[[#This Row],[Phase Conductor Name]],OH[Type], OH[rac])</f>
        <v>1.5409999999999999</v>
      </c>
      <c r="R10" t="str">
        <f>_xlfn.XLOOKUP(CN[[#This Row],[Phase Conductor Name]],OH[Type], OH[runits])</f>
        <v>mi</v>
      </c>
      <c r="S10">
        <f>_xlfn.XLOOKUP(CN[[#This Row],[Phase Conductor Name]],OH[Type], OH[Diam])</f>
        <v>0.29199999999999998</v>
      </c>
      <c r="T10">
        <f>_xlfn.XLOOKUP(CN[[#This Row],[Phase Conductor Name]],OH[Type], OH[normamps])</f>
        <v>156</v>
      </c>
      <c r="U10">
        <f>_xlfn.XLOOKUP(CN[[#This Row],[Neutral Strand AWG]], OH[Size], OH[Diam])</f>
        <v>6.4100000000000004E-2</v>
      </c>
      <c r="V10" t="s">
        <v>82</v>
      </c>
    </row>
    <row r="11" spans="1:22" x14ac:dyDescent="0.2">
      <c r="A11" s="3" t="str">
        <f>_xlfn.CONCAT(CN[[#This Row],[Neutral Ampacity]], "_", CN[[#This Row],[Conductor Size]])</f>
        <v>1/3_1(19×)</v>
      </c>
      <c r="B11" s="4" t="s">
        <v>59</v>
      </c>
      <c r="C11" s="3" t="s">
        <v>37</v>
      </c>
      <c r="D11" s="3" t="str">
        <f>_xlfn.XLOOKUP(_xlfn.CONCAT(LEFT(CN[[#This Row],[Conductor Size]], SEARCH("(", CN[[#This Row],[Conductor Size]])-1), "_AA"), OH[Size_Material], OH[Type], NA(),-1)</f>
        <v>1_CLASS A_AA</v>
      </c>
      <c r="E11" s="3">
        <v>0.81</v>
      </c>
      <c r="F11" s="3">
        <v>0.89</v>
      </c>
      <c r="G11" s="3">
        <v>1.02</v>
      </c>
      <c r="H11" s="3" t="s">
        <v>51</v>
      </c>
      <c r="I11" s="3">
        <v>155</v>
      </c>
      <c r="J11" s="7">
        <v>15</v>
      </c>
      <c r="K11" s="8">
        <f>VALUE(RIGHT(CN[[#This Row],[Copper Neutral]],2))</f>
        <v>14</v>
      </c>
      <c r="L11" s="3">
        <f>_xlfn.XLOOKUP(CN[[#This Row],[Neutral Strand AWG]], OH[Size], OH[rac])</f>
        <v>14.872199999999999</v>
      </c>
      <c r="M11" s="3">
        <f>VALUE(LEFT(CN[[#This Row],[Copper Neutral]], SEARCH(" ",CN[[#This Row],[Copper Neutral]])-1))</f>
        <v>6</v>
      </c>
      <c r="N11">
        <f>_xlfn.XLOOKUP(CN[[#This Row],[Phase Conductor Name]], OH[Type], OH[GMRac])</f>
        <v>9.9100000000000004E-3</v>
      </c>
      <c r="O11">
        <f>_xlfn.XLOOKUP(CN[[#This Row],[Neutral Strand AWG]], OH[Size], OH[GMRac])</f>
        <v>2.0799999999999998E-3</v>
      </c>
      <c r="P11" t="s">
        <v>81</v>
      </c>
      <c r="Q11">
        <f>_xlfn.XLOOKUP(CN[[#This Row],[Phase Conductor Name]],OH[Type], OH[rac])</f>
        <v>1.224</v>
      </c>
      <c r="R11" t="str">
        <f>_xlfn.XLOOKUP(CN[[#This Row],[Phase Conductor Name]],OH[Type], OH[runits])</f>
        <v>mi</v>
      </c>
      <c r="S11">
        <f>_xlfn.XLOOKUP(CN[[#This Row],[Phase Conductor Name]],OH[Type], OH[Diam])</f>
        <v>0.32800000000000001</v>
      </c>
      <c r="T11">
        <f>_xlfn.XLOOKUP(CN[[#This Row],[Phase Conductor Name]],OH[Type], OH[normamps])</f>
        <v>177</v>
      </c>
      <c r="U11">
        <f>_xlfn.XLOOKUP(CN[[#This Row],[Neutral Strand AWG]], OH[Size], OH[Diam])</f>
        <v>6.4100000000000004E-2</v>
      </c>
      <c r="V11" t="s">
        <v>82</v>
      </c>
    </row>
    <row r="12" spans="1:22" x14ac:dyDescent="0.2">
      <c r="A12" s="3" t="str">
        <f>_xlfn.CONCAT(CN[[#This Row],[Neutral Ampacity]], "_", CN[[#This Row],[Conductor Size]])</f>
        <v>1/3_1/0(19×)</v>
      </c>
      <c r="B12" s="4" t="s">
        <v>59</v>
      </c>
      <c r="C12" s="3" t="s">
        <v>39</v>
      </c>
      <c r="D12" s="3" t="str">
        <f>_xlfn.XLOOKUP(_xlfn.CONCAT(LEFT(CN[[#This Row],[Conductor Size]], SEARCH("(", CN[[#This Row],[Conductor Size]])-1), "_AA"), OH[Size_Material], OH[Type], NA(),-1)</f>
        <v>1/0_CLASS A_AA</v>
      </c>
      <c r="E12" s="3">
        <v>0.85</v>
      </c>
      <c r="F12" s="3">
        <v>0.93</v>
      </c>
      <c r="G12" s="3">
        <v>1.06</v>
      </c>
      <c r="H12" s="3" t="s">
        <v>51</v>
      </c>
      <c r="I12" s="3">
        <v>175</v>
      </c>
      <c r="J12" s="7">
        <v>15</v>
      </c>
      <c r="K12" s="8">
        <f>VALUE(RIGHT(CN[[#This Row],[Copper Neutral]],2))</f>
        <v>14</v>
      </c>
      <c r="L12" s="3">
        <f>_xlfn.XLOOKUP(CN[[#This Row],[Neutral Strand AWG]], OH[Size], OH[rac])</f>
        <v>14.872199999999999</v>
      </c>
      <c r="M12" s="3">
        <f>VALUE(LEFT(CN[[#This Row],[Copper Neutral]], SEARCH(" ",CN[[#This Row],[Copper Neutral]])-1))</f>
        <v>6</v>
      </c>
      <c r="N12">
        <f>_xlfn.XLOOKUP(CN[[#This Row],[Phase Conductor Name]], OH[Type], OH[GMRac])</f>
        <v>1.11E-2</v>
      </c>
      <c r="O12">
        <f>_xlfn.XLOOKUP(CN[[#This Row],[Neutral Strand AWG]], OH[Size], OH[GMRac])</f>
        <v>2.0799999999999998E-3</v>
      </c>
      <c r="P12" t="s">
        <v>81</v>
      </c>
      <c r="Q12">
        <f>_xlfn.XLOOKUP(CN[[#This Row],[Phase Conductor Name]],OH[Type], OH[rac])</f>
        <v>0.97</v>
      </c>
      <c r="R12" t="str">
        <f>_xlfn.XLOOKUP(CN[[#This Row],[Phase Conductor Name]],OH[Type], OH[runits])</f>
        <v>mi</v>
      </c>
      <c r="S12">
        <f>_xlfn.XLOOKUP(CN[[#This Row],[Phase Conductor Name]],OH[Type], OH[Diam])</f>
        <v>0.36799999999999999</v>
      </c>
      <c r="T12">
        <f>_xlfn.XLOOKUP(CN[[#This Row],[Phase Conductor Name]],OH[Type], OH[normamps])</f>
        <v>202</v>
      </c>
      <c r="U12">
        <f>_xlfn.XLOOKUP(CN[[#This Row],[Neutral Strand AWG]], OH[Size], OH[Diam])</f>
        <v>6.4100000000000004E-2</v>
      </c>
      <c r="V12" t="s">
        <v>82</v>
      </c>
    </row>
    <row r="13" spans="1:22" x14ac:dyDescent="0.2">
      <c r="A13" s="3" t="str">
        <f>_xlfn.CONCAT(CN[[#This Row],[Neutral Ampacity]], "_", CN[[#This Row],[Conductor Size]])</f>
        <v>1/3_2/0(19×)</v>
      </c>
      <c r="B13" s="4" t="s">
        <v>59</v>
      </c>
      <c r="C13" s="3" t="s">
        <v>41</v>
      </c>
      <c r="D13" s="3" t="str">
        <f>_xlfn.XLOOKUP(_xlfn.CONCAT(LEFT(CN[[#This Row],[Conductor Size]], SEARCH("(", CN[[#This Row],[Conductor Size]])-1), "_AA"), OH[Size_Material], OH[Type], NA(),-1)</f>
        <v>2/0_CLASS A_AA</v>
      </c>
      <c r="E13" s="3">
        <v>0.9</v>
      </c>
      <c r="F13" s="3">
        <v>0.97</v>
      </c>
      <c r="G13" s="3">
        <v>1.1000000000000001</v>
      </c>
      <c r="H13" s="3" t="s">
        <v>52</v>
      </c>
      <c r="I13" s="3">
        <v>200</v>
      </c>
      <c r="J13" s="7">
        <v>15</v>
      </c>
      <c r="K13" s="8">
        <f>VALUE(RIGHT(CN[[#This Row],[Copper Neutral]],2))</f>
        <v>14</v>
      </c>
      <c r="L13" s="3">
        <f>_xlfn.XLOOKUP(CN[[#This Row],[Neutral Strand AWG]], OH[Size], OH[rac])</f>
        <v>14.872199999999999</v>
      </c>
      <c r="M13" s="3">
        <f>VALUE(LEFT(CN[[#This Row],[Copper Neutral]], SEARCH(" ",CN[[#This Row],[Copper Neutral]])-1))</f>
        <v>7</v>
      </c>
      <c r="N13">
        <f>_xlfn.XLOOKUP(CN[[#This Row],[Phase Conductor Name]], OH[Type], OH[GMRac])</f>
        <v>1.2500000000000001E-2</v>
      </c>
      <c r="O13">
        <f>_xlfn.XLOOKUP(CN[[#This Row],[Neutral Strand AWG]], OH[Size], OH[GMRac])</f>
        <v>2.0799999999999998E-3</v>
      </c>
      <c r="P13" t="s">
        <v>81</v>
      </c>
      <c r="Q13">
        <f>_xlfn.XLOOKUP(CN[[#This Row],[Phase Conductor Name]],OH[Type], OH[rac])</f>
        <v>0.76900000000000002</v>
      </c>
      <c r="R13" t="str">
        <f>_xlfn.XLOOKUP(CN[[#This Row],[Phase Conductor Name]],OH[Type], OH[runits])</f>
        <v>mi</v>
      </c>
      <c r="S13">
        <f>_xlfn.XLOOKUP(CN[[#This Row],[Phase Conductor Name]],OH[Type], OH[Diam])</f>
        <v>0.41399999999999998</v>
      </c>
      <c r="T13">
        <f>_xlfn.XLOOKUP(CN[[#This Row],[Phase Conductor Name]],OH[Type], OH[normamps])</f>
        <v>230</v>
      </c>
      <c r="U13">
        <f>_xlfn.XLOOKUP(CN[[#This Row],[Neutral Strand AWG]], OH[Size], OH[Diam])</f>
        <v>6.4100000000000004E-2</v>
      </c>
      <c r="V13" t="s">
        <v>82</v>
      </c>
    </row>
    <row r="14" spans="1:22" x14ac:dyDescent="0.2">
      <c r="A14" s="3" t="str">
        <f>_xlfn.CONCAT(CN[[#This Row],[Neutral Ampacity]], "_", CN[[#This Row],[Conductor Size]])</f>
        <v>1/3_3/0(19×)</v>
      </c>
      <c r="B14" s="4" t="s">
        <v>59</v>
      </c>
      <c r="C14" s="3" t="s">
        <v>43</v>
      </c>
      <c r="D14" s="3" t="str">
        <f>_xlfn.XLOOKUP(_xlfn.CONCAT(LEFT(CN[[#This Row],[Conductor Size]], SEARCH("(", CN[[#This Row],[Conductor Size]])-1), "_AA"), OH[Size_Material], OH[Type], NA(),-1)</f>
        <v>3/0_CLASS A_AA</v>
      </c>
      <c r="E14" s="3">
        <v>0.95</v>
      </c>
      <c r="F14" s="3">
        <v>1.02</v>
      </c>
      <c r="G14" s="3">
        <v>1.1499999999999999</v>
      </c>
      <c r="H14" s="3" t="s">
        <v>53</v>
      </c>
      <c r="I14" s="3">
        <v>230</v>
      </c>
      <c r="J14" s="7">
        <v>15</v>
      </c>
      <c r="K14" s="8">
        <f>VALUE(RIGHT(CN[[#This Row],[Copper Neutral]],2))</f>
        <v>14</v>
      </c>
      <c r="L14" s="3">
        <f>_xlfn.XLOOKUP(CN[[#This Row],[Neutral Strand AWG]], OH[Size], OH[rac])</f>
        <v>14.872199999999999</v>
      </c>
      <c r="M14" s="3">
        <f>VALUE(LEFT(CN[[#This Row],[Copper Neutral]], SEARCH(" ",CN[[#This Row],[Copper Neutral]])-1))</f>
        <v>9</v>
      </c>
      <c r="N14">
        <f>_xlfn.XLOOKUP(CN[[#This Row],[Phase Conductor Name]], OH[Type], OH[GMRac])</f>
        <v>1.4E-2</v>
      </c>
      <c r="O14">
        <f>_xlfn.XLOOKUP(CN[[#This Row],[Neutral Strand AWG]], OH[Size], OH[GMRac])</f>
        <v>2.0799999999999998E-3</v>
      </c>
      <c r="P14" t="s">
        <v>81</v>
      </c>
      <c r="Q14">
        <f>_xlfn.XLOOKUP(CN[[#This Row],[Phase Conductor Name]],OH[Type], OH[rac])</f>
        <v>0.61099999999999999</v>
      </c>
      <c r="R14" t="str">
        <f>_xlfn.XLOOKUP(CN[[#This Row],[Phase Conductor Name]],OH[Type], OH[runits])</f>
        <v>mi</v>
      </c>
      <c r="S14">
        <f>_xlfn.XLOOKUP(CN[[#This Row],[Phase Conductor Name]],OH[Type], OH[Diam])</f>
        <v>0.46400000000000002</v>
      </c>
      <c r="T14">
        <f>_xlfn.XLOOKUP(CN[[#This Row],[Phase Conductor Name]],OH[Type], OH[normamps])</f>
        <v>263</v>
      </c>
      <c r="U14">
        <f>_xlfn.XLOOKUP(CN[[#This Row],[Neutral Strand AWG]], OH[Size], OH[Diam])</f>
        <v>6.4100000000000004E-2</v>
      </c>
      <c r="V14" t="s">
        <v>82</v>
      </c>
    </row>
    <row r="15" spans="1:22" x14ac:dyDescent="0.2">
      <c r="A15" s="3" t="str">
        <f>_xlfn.CONCAT(CN[[#This Row],[Neutral Ampacity]], "_", CN[[#This Row],[Conductor Size]])</f>
        <v>1/3_4/0(19×)</v>
      </c>
      <c r="B15" s="4" t="s">
        <v>59</v>
      </c>
      <c r="C15" s="3" t="s">
        <v>45</v>
      </c>
      <c r="D15" s="3" t="str">
        <f>_xlfn.XLOOKUP(_xlfn.CONCAT(LEFT(CN[[#This Row],[Conductor Size]], SEARCH("(", CN[[#This Row],[Conductor Size]])-1), "_AA"), OH[Size_Material], OH[Type], NA(),-1)</f>
        <v>4/0_CLASS A_AA</v>
      </c>
      <c r="E15" s="3">
        <v>1.01</v>
      </c>
      <c r="F15" s="3">
        <v>1.08</v>
      </c>
      <c r="G15" s="3">
        <v>1.21</v>
      </c>
      <c r="H15" s="3" t="s">
        <v>54</v>
      </c>
      <c r="I15" s="3">
        <v>240</v>
      </c>
      <c r="J15" s="7">
        <v>15</v>
      </c>
      <c r="K15" s="8">
        <f>VALUE(RIGHT(CN[[#This Row],[Copper Neutral]],2))</f>
        <v>14</v>
      </c>
      <c r="L15" s="3">
        <f>_xlfn.XLOOKUP(CN[[#This Row],[Neutral Strand AWG]], OH[Size], OH[rac])</f>
        <v>14.872199999999999</v>
      </c>
      <c r="M15" s="3">
        <f>VALUE(LEFT(CN[[#This Row],[Copper Neutral]], SEARCH(" ",CN[[#This Row],[Copper Neutral]])-1))</f>
        <v>11</v>
      </c>
      <c r="N15">
        <f>_xlfn.XLOOKUP(CN[[#This Row],[Phase Conductor Name]], OH[Type], OH[GMRac])</f>
        <v>1.5800000000000002E-2</v>
      </c>
      <c r="O15">
        <f>_xlfn.XLOOKUP(CN[[#This Row],[Neutral Strand AWG]], OH[Size], OH[GMRac])</f>
        <v>2.0799999999999998E-3</v>
      </c>
      <c r="P15" t="s">
        <v>81</v>
      </c>
      <c r="Q15">
        <f>_xlfn.XLOOKUP(CN[[#This Row],[Phase Conductor Name]],OH[Type], OH[rac])</f>
        <v>0.48399999999999999</v>
      </c>
      <c r="R15" t="str">
        <f>_xlfn.XLOOKUP(CN[[#This Row],[Phase Conductor Name]],OH[Type], OH[runits])</f>
        <v>mi</v>
      </c>
      <c r="S15">
        <f>_xlfn.XLOOKUP(CN[[#This Row],[Phase Conductor Name]],OH[Type], OH[Diam])</f>
        <v>0.52200000000000002</v>
      </c>
      <c r="T15">
        <f>_xlfn.XLOOKUP(CN[[#This Row],[Phase Conductor Name]],OH[Type], OH[normamps])</f>
        <v>299</v>
      </c>
      <c r="U15">
        <f>_xlfn.XLOOKUP(CN[[#This Row],[Neutral Strand AWG]], OH[Size], OH[Diam])</f>
        <v>6.4100000000000004E-2</v>
      </c>
      <c r="V15" t="s">
        <v>82</v>
      </c>
    </row>
    <row r="16" spans="1:22" x14ac:dyDescent="0.2">
      <c r="A16" s="3" t="str">
        <f>_xlfn.CONCAT(CN[[#This Row],[Neutral Ampacity]], "_", CN[[#This Row],[Conductor Size]])</f>
        <v>1/3_250(37×)</v>
      </c>
      <c r="B16" s="4" t="s">
        <v>59</v>
      </c>
      <c r="C16" s="3" t="s">
        <v>47</v>
      </c>
      <c r="D16" s="3" t="str">
        <f>_xlfn.XLOOKUP(_xlfn.CONCAT(LEFT(CN[[#This Row],[Conductor Size]], SEARCH("(", CN[[#This Row],[Conductor Size]])-1), "_AA"), OH[Size_Material], OH[Type], NA(),-1)</f>
        <v>250_CON LAY_AA</v>
      </c>
      <c r="E16" s="3">
        <v>1.06</v>
      </c>
      <c r="F16" s="3">
        <v>1.1599999999999999</v>
      </c>
      <c r="G16" s="3">
        <v>1.29</v>
      </c>
      <c r="H16" s="3" t="s">
        <v>38</v>
      </c>
      <c r="I16" s="3">
        <v>260</v>
      </c>
      <c r="J16" s="7">
        <v>15</v>
      </c>
      <c r="K16" s="8">
        <f>VALUE(RIGHT(CN[[#This Row],[Copper Neutral]],2))</f>
        <v>14</v>
      </c>
      <c r="L16" s="3">
        <f>_xlfn.XLOOKUP(CN[[#This Row],[Neutral Strand AWG]], OH[Size], OH[rac])</f>
        <v>14.872199999999999</v>
      </c>
      <c r="M16" s="3">
        <f>VALUE(LEFT(CN[[#This Row],[Copper Neutral]], SEARCH(" ",CN[[#This Row],[Copper Neutral]])-1))</f>
        <v>13</v>
      </c>
      <c r="N16">
        <f>_xlfn.XLOOKUP(CN[[#This Row],[Phase Conductor Name]], OH[Type], OH[GMRac])</f>
        <v>1.7100000000000001E-2</v>
      </c>
      <c r="O16">
        <f>_xlfn.XLOOKUP(CN[[#This Row],[Neutral Strand AWG]], OH[Size], OH[GMRac])</f>
        <v>2.0799999999999998E-3</v>
      </c>
      <c r="P16" t="s">
        <v>81</v>
      </c>
      <c r="Q16">
        <f>_xlfn.XLOOKUP(CN[[#This Row],[Phase Conductor Name]],OH[Type], OH[rac])</f>
        <v>0.41</v>
      </c>
      <c r="R16" t="str">
        <f>_xlfn.XLOOKUP(CN[[#This Row],[Phase Conductor Name]],OH[Type], OH[runits])</f>
        <v>mi</v>
      </c>
      <c r="S16">
        <f>_xlfn.XLOOKUP(CN[[#This Row],[Phase Conductor Name]],OH[Type], OH[Diam])</f>
        <v>0.56699999999999995</v>
      </c>
      <c r="T16">
        <f>_xlfn.XLOOKUP(CN[[#This Row],[Phase Conductor Name]],OH[Type], OH[normamps])</f>
        <v>329</v>
      </c>
      <c r="U16">
        <f>_xlfn.XLOOKUP(CN[[#This Row],[Neutral Strand AWG]], OH[Size], OH[Diam])</f>
        <v>6.4100000000000004E-2</v>
      </c>
      <c r="V16" t="s">
        <v>82</v>
      </c>
    </row>
    <row r="17" spans="1:22" x14ac:dyDescent="0.2">
      <c r="A17" s="3" t="str">
        <f>_xlfn.CONCAT(CN[[#This Row],[Neutral Ampacity]], "_", CN[[#This Row],[Conductor Size]])</f>
        <v>1/3_350(37×)</v>
      </c>
      <c r="B17" s="4" t="s">
        <v>59</v>
      </c>
      <c r="C17" s="3" t="s">
        <v>49</v>
      </c>
      <c r="D17" s="3" t="str">
        <f>_xlfn.XLOOKUP(_xlfn.CONCAT(LEFT(CN[[#This Row],[Conductor Size]], SEARCH("(", CN[[#This Row],[Conductor Size]])-1), "_AA"), OH[Size_Material], OH[Type], NA(),-1)</f>
        <v>350_CON LAY_AA</v>
      </c>
      <c r="E17" s="3">
        <v>1.17</v>
      </c>
      <c r="F17" s="3">
        <v>1.27</v>
      </c>
      <c r="G17" s="3">
        <v>1.39</v>
      </c>
      <c r="H17" s="3" t="s">
        <v>55</v>
      </c>
      <c r="I17" s="3">
        <v>320</v>
      </c>
      <c r="J17" s="7">
        <v>15</v>
      </c>
      <c r="K17" s="8">
        <f>VALUE(RIGHT(CN[[#This Row],[Copper Neutral]],2))</f>
        <v>14</v>
      </c>
      <c r="L17" s="3">
        <f>_xlfn.XLOOKUP(CN[[#This Row],[Neutral Strand AWG]], OH[Size], OH[rac])</f>
        <v>14.872199999999999</v>
      </c>
      <c r="M17" s="3">
        <f>VALUE(LEFT(CN[[#This Row],[Copper Neutral]], SEARCH(" ",CN[[#This Row],[Copper Neutral]])-1))</f>
        <v>18</v>
      </c>
      <c r="N17">
        <f>_xlfn.XLOOKUP(CN[[#This Row],[Phase Conductor Name]], OH[Type], OH[GMRac])</f>
        <v>2.1399999999999999E-2</v>
      </c>
      <c r="O17">
        <f>_xlfn.XLOOKUP(CN[[#This Row],[Neutral Strand AWG]], OH[Size], OH[GMRac])</f>
        <v>2.0799999999999998E-3</v>
      </c>
      <c r="P17" t="s">
        <v>81</v>
      </c>
      <c r="Q17">
        <f>_xlfn.XLOOKUP(CN[[#This Row],[Phase Conductor Name]],OH[Type], OH[rac])</f>
        <v>0.29399999999999998</v>
      </c>
      <c r="R17" t="str">
        <f>_xlfn.XLOOKUP(CN[[#This Row],[Phase Conductor Name]],OH[Type], OH[runits])</f>
        <v>mi</v>
      </c>
      <c r="S17">
        <f>_xlfn.XLOOKUP(CN[[#This Row],[Phase Conductor Name]],OH[Type], OH[Diam])</f>
        <v>0.67900000000000005</v>
      </c>
      <c r="T17">
        <f>_xlfn.XLOOKUP(CN[[#This Row],[Phase Conductor Name]],OH[Type], OH[normamps])</f>
        <v>399</v>
      </c>
      <c r="U17">
        <f>_xlfn.XLOOKUP(CN[[#This Row],[Neutral Strand AWG]], OH[Size], OH[Diam])</f>
        <v>6.4100000000000004E-2</v>
      </c>
      <c r="V17" t="s">
        <v>82</v>
      </c>
    </row>
    <row r="18" spans="1:22" x14ac:dyDescent="0.2">
      <c r="A18" s="3" t="str">
        <f>_xlfn.CONCAT(CN[[#This Row],[Neutral Ampacity]], "_", CN[[#This Row],[Conductor Size]])</f>
        <v>1/3_500(37×)</v>
      </c>
      <c r="B18" s="4" t="s">
        <v>59</v>
      </c>
      <c r="C18" s="3" t="s">
        <v>56</v>
      </c>
      <c r="D18" s="3" t="str">
        <f>_xlfn.XLOOKUP(_xlfn.CONCAT(LEFT(CN[[#This Row],[Conductor Size]], SEARCH("(", CN[[#This Row],[Conductor Size]])-1), "_AA"), OH[Size_Material], OH[Type], NA(),-1)</f>
        <v>500_CON LAY_AA</v>
      </c>
      <c r="E18" s="3">
        <v>1.29</v>
      </c>
      <c r="F18" s="3">
        <v>1.39</v>
      </c>
      <c r="G18" s="3">
        <v>1.56</v>
      </c>
      <c r="H18" s="3" t="s">
        <v>44</v>
      </c>
      <c r="I18" s="3">
        <v>385</v>
      </c>
      <c r="J18" s="7">
        <v>15</v>
      </c>
      <c r="K18" s="8">
        <f>VALUE(RIGHT(CN[[#This Row],[Copper Neutral]],2))</f>
        <v>12</v>
      </c>
      <c r="L18" s="3">
        <f>_xlfn.XLOOKUP(CN[[#This Row],[Neutral Strand AWG]], OH[Size], OH[rac])</f>
        <v>9.3747000000000007</v>
      </c>
      <c r="M18" s="3">
        <f>VALUE(LEFT(CN[[#This Row],[Copper Neutral]], SEARCH(" ",CN[[#This Row],[Copper Neutral]])-1))</f>
        <v>16</v>
      </c>
      <c r="N18">
        <f>_xlfn.XLOOKUP(CN[[#This Row],[Phase Conductor Name]], OH[Type], OH[GMRac])</f>
        <v>2.5999999999999999E-2</v>
      </c>
      <c r="O18">
        <f>_xlfn.XLOOKUP(CN[[#This Row],[Neutral Strand AWG]], OH[Size], OH[GMRac])</f>
        <v>2.6199999999999999E-3</v>
      </c>
      <c r="P18" t="s">
        <v>81</v>
      </c>
      <c r="Q18">
        <f>_xlfn.XLOOKUP(CN[[#This Row],[Phase Conductor Name]],OH[Type], OH[rac])</f>
        <v>0.20599999999999999</v>
      </c>
      <c r="R18" t="str">
        <f>_xlfn.XLOOKUP(CN[[#This Row],[Phase Conductor Name]],OH[Type], OH[runits])</f>
        <v>mi</v>
      </c>
      <c r="S18">
        <f>_xlfn.XLOOKUP(CN[[#This Row],[Phase Conductor Name]],OH[Type], OH[Diam])</f>
        <v>0.81299999999999994</v>
      </c>
      <c r="T18">
        <f>_xlfn.XLOOKUP(CN[[#This Row],[Phase Conductor Name]],OH[Type], OH[normamps])</f>
        <v>483</v>
      </c>
      <c r="U18">
        <f>_xlfn.XLOOKUP(CN[[#This Row],[Neutral Strand AWG]], OH[Size], OH[Diam])</f>
        <v>8.0799999999999997E-2</v>
      </c>
      <c r="V18" t="s">
        <v>82</v>
      </c>
    </row>
    <row r="19" spans="1:22" x14ac:dyDescent="0.2">
      <c r="A19" s="3" t="str">
        <f>_xlfn.CONCAT(CN[[#This Row],[Neutral Ampacity]], "_", CN[[#This Row],[Conductor Size]])</f>
        <v>1/3_750(61×)</v>
      </c>
      <c r="B19" s="4" t="s">
        <v>59</v>
      </c>
      <c r="C19" s="3" t="s">
        <v>57</v>
      </c>
      <c r="D19" s="3" t="str">
        <f>_xlfn.XLOOKUP(_xlfn.CONCAT(LEFT(CN[[#This Row],[Conductor Size]], SEARCH("(", CN[[#This Row],[Conductor Size]])-1), "_AA"), OH[Size_Material], OH[Type], NA(),-1)</f>
        <v>750_37 STRD_AA</v>
      </c>
      <c r="E19" s="3">
        <v>1.49</v>
      </c>
      <c r="F19" s="3">
        <v>1.59</v>
      </c>
      <c r="G19" s="3">
        <v>1.79</v>
      </c>
      <c r="H19" s="3" t="s">
        <v>58</v>
      </c>
      <c r="I19" s="3">
        <v>470</v>
      </c>
      <c r="J19" s="7">
        <v>15</v>
      </c>
      <c r="K19" s="8">
        <f>VALUE(RIGHT(CN[[#This Row],[Copper Neutral]],2))</f>
        <v>10</v>
      </c>
      <c r="L19" s="3">
        <f>_xlfn.XLOOKUP(CN[[#This Row],[Neutral Strand AWG]], OH[Size], OH[rac])</f>
        <v>5.9025999999999996</v>
      </c>
      <c r="M19" s="3">
        <f>VALUE(LEFT(CN[[#This Row],[Copper Neutral]], SEARCH(" ",CN[[#This Row],[Copper Neutral]])-1))</f>
        <v>15</v>
      </c>
      <c r="N19">
        <f>_xlfn.XLOOKUP(CN[[#This Row],[Phase Conductor Name]], OH[Type], OH[GMRac])</f>
        <v>3.1899999999999998E-2</v>
      </c>
      <c r="O19">
        <f>_xlfn.XLOOKUP(CN[[#This Row],[Neutral Strand AWG]], OH[Size], OH[GMRac])</f>
        <v>3.3E-3</v>
      </c>
      <c r="P19" t="s">
        <v>81</v>
      </c>
      <c r="Q19">
        <f>_xlfn.XLOOKUP(CN[[#This Row],[Phase Conductor Name]],OH[Type], OH[rac])</f>
        <v>8.8800000000000004E-2</v>
      </c>
      <c r="R19" t="str">
        <f>_xlfn.XLOOKUP(CN[[#This Row],[Phase Conductor Name]],OH[Type], OH[runits])</f>
        <v>mi</v>
      </c>
      <c r="S19">
        <f>_xlfn.XLOOKUP(CN[[#This Row],[Phase Conductor Name]],OH[Type], OH[Diam])</f>
        <v>0.997</v>
      </c>
      <c r="T19">
        <f>_xlfn.XLOOKUP(CN[[#This Row],[Phase Conductor Name]],OH[Type], OH[normamps])</f>
        <v>1090</v>
      </c>
      <c r="U19">
        <f>_xlfn.XLOOKUP(CN[[#This Row],[Neutral Strand AWG]], OH[Size], OH[Diam])</f>
        <v>0.1019</v>
      </c>
      <c r="V19" t="s">
        <v>82</v>
      </c>
    </row>
    <row r="20" spans="1:22" x14ac:dyDescent="0.2">
      <c r="A20" s="6"/>
      <c r="B20" s="5"/>
      <c r="C20" s="6"/>
      <c r="D20" s="6"/>
      <c r="E20" s="6"/>
      <c r="F20" s="6"/>
      <c r="G20" s="6"/>
      <c r="H20" s="6"/>
      <c r="I20" s="6"/>
      <c r="J20" s="7"/>
      <c r="K20" s="9"/>
      <c r="L20" s="6"/>
      <c r="M20" s="6"/>
    </row>
  </sheetData>
  <dataValidations count="1">
    <dataValidation type="list" allowBlank="1" showInputMessage="1" showErrorMessage="1" sqref="P2:P19" xr:uid="{626A39F2-CE05-A843-9CF0-FD1D44F0AA76}">
      <formula1>INDIRECT("Units")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2CAF-D40E-2344-8B7E-ABD55E102AF6}">
  <dimension ref="A1:G10"/>
  <sheetViews>
    <sheetView workbookViewId="0">
      <selection activeCell="J28" sqref="J28"/>
    </sheetView>
  </sheetViews>
  <sheetFormatPr baseColWidth="10" defaultRowHeight="16" x14ac:dyDescent="0.2"/>
  <cols>
    <col min="1" max="1" width="10.33203125" customWidth="1"/>
    <col min="2" max="2" width="14.1640625" customWidth="1"/>
    <col min="3" max="3" width="13.33203125" customWidth="1"/>
    <col min="4" max="4" width="14.1640625" customWidth="1"/>
    <col min="5" max="5" width="10.83203125" customWidth="1"/>
    <col min="6" max="6" width="12.33203125" customWidth="1"/>
    <col min="7" max="7" width="12" customWidth="1"/>
  </cols>
  <sheetData>
    <row r="1" spans="1:7" s="2" customFormat="1" ht="52" customHeight="1" x14ac:dyDescent="0.2">
      <c r="A1" s="2" t="s">
        <v>33</v>
      </c>
      <c r="B1" s="2" t="s">
        <v>62</v>
      </c>
      <c r="C1" s="2" t="s">
        <v>63</v>
      </c>
      <c r="D1" s="2" t="s">
        <v>67</v>
      </c>
      <c r="E1" s="2" t="s">
        <v>64</v>
      </c>
      <c r="F1" s="2" t="s">
        <v>68</v>
      </c>
      <c r="G1" s="2" t="s">
        <v>69</v>
      </c>
    </row>
    <row r="2" spans="1:7" x14ac:dyDescent="0.2">
      <c r="A2" s="1" t="s">
        <v>16</v>
      </c>
      <c r="B2">
        <v>0.82</v>
      </c>
      <c r="C2">
        <v>0.88</v>
      </c>
      <c r="D2">
        <v>80</v>
      </c>
      <c r="E2">
        <v>1.06</v>
      </c>
      <c r="F2">
        <v>165</v>
      </c>
      <c r="G2">
        <v>15</v>
      </c>
    </row>
    <row r="3" spans="1:7" x14ac:dyDescent="0.2">
      <c r="A3" s="1" t="s">
        <v>17</v>
      </c>
      <c r="B3">
        <v>0.87</v>
      </c>
      <c r="C3">
        <v>0.93</v>
      </c>
      <c r="D3">
        <v>80</v>
      </c>
      <c r="E3">
        <v>1.1000000000000001</v>
      </c>
      <c r="F3">
        <v>190</v>
      </c>
      <c r="G3">
        <v>15</v>
      </c>
    </row>
    <row r="4" spans="1:7" x14ac:dyDescent="0.2">
      <c r="A4" s="1" t="s">
        <v>18</v>
      </c>
      <c r="B4">
        <v>0.91</v>
      </c>
      <c r="C4">
        <v>0.97</v>
      </c>
      <c r="D4">
        <v>80</v>
      </c>
      <c r="E4">
        <v>1.1599999999999999</v>
      </c>
      <c r="F4">
        <v>215</v>
      </c>
      <c r="G4">
        <v>15</v>
      </c>
    </row>
    <row r="5" spans="1:7" x14ac:dyDescent="0.2">
      <c r="A5" s="1" t="s">
        <v>23</v>
      </c>
      <c r="B5">
        <v>0.96</v>
      </c>
      <c r="C5">
        <v>1.02</v>
      </c>
      <c r="D5">
        <v>80</v>
      </c>
      <c r="E5">
        <v>1.21</v>
      </c>
      <c r="F5">
        <v>245</v>
      </c>
      <c r="G5">
        <v>15</v>
      </c>
    </row>
    <row r="6" spans="1:7" x14ac:dyDescent="0.2">
      <c r="A6" s="1">
        <v>250</v>
      </c>
      <c r="B6">
        <v>1.01</v>
      </c>
      <c r="C6">
        <v>1.08</v>
      </c>
      <c r="D6">
        <v>80</v>
      </c>
      <c r="E6">
        <v>1.27</v>
      </c>
      <c r="F6">
        <v>270</v>
      </c>
      <c r="G6">
        <v>15</v>
      </c>
    </row>
    <row r="7" spans="1:7" x14ac:dyDescent="0.2">
      <c r="A7" s="1">
        <v>350</v>
      </c>
      <c r="B7">
        <v>1.1100000000000001</v>
      </c>
      <c r="C7">
        <v>1.18</v>
      </c>
      <c r="D7">
        <v>80</v>
      </c>
      <c r="E7">
        <v>1.37</v>
      </c>
      <c r="F7">
        <v>330</v>
      </c>
      <c r="G7">
        <v>15</v>
      </c>
    </row>
    <row r="8" spans="1:7" x14ac:dyDescent="0.2">
      <c r="A8" s="1">
        <v>500</v>
      </c>
      <c r="B8">
        <v>1.22</v>
      </c>
      <c r="C8">
        <v>1.3</v>
      </c>
      <c r="D8">
        <v>80</v>
      </c>
      <c r="E8">
        <v>1.49</v>
      </c>
      <c r="F8">
        <v>400</v>
      </c>
      <c r="G8">
        <v>15</v>
      </c>
    </row>
    <row r="9" spans="1:7" x14ac:dyDescent="0.2">
      <c r="A9" s="1">
        <v>750</v>
      </c>
      <c r="B9">
        <v>1.4</v>
      </c>
      <c r="C9">
        <v>1.48</v>
      </c>
      <c r="D9">
        <v>110</v>
      </c>
      <c r="E9">
        <v>1.73</v>
      </c>
      <c r="F9">
        <v>490</v>
      </c>
      <c r="G9">
        <v>15</v>
      </c>
    </row>
    <row r="10" spans="1:7" x14ac:dyDescent="0.2">
      <c r="A10" s="1">
        <v>1000</v>
      </c>
      <c r="B10">
        <v>1.56</v>
      </c>
      <c r="C10">
        <v>1.66</v>
      </c>
      <c r="D10">
        <v>110</v>
      </c>
      <c r="E10">
        <v>1.91</v>
      </c>
      <c r="F10">
        <v>565</v>
      </c>
      <c r="G10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07D-491D-7543-AB0A-060D869CCAA9}">
  <dimension ref="A1:P7"/>
  <sheetViews>
    <sheetView workbookViewId="0">
      <selection activeCell="E4" sqref="E4"/>
    </sheetView>
  </sheetViews>
  <sheetFormatPr baseColWidth="10" defaultRowHeight="16" x14ac:dyDescent="0.2"/>
  <cols>
    <col min="1" max="1" width="13.6640625" customWidth="1"/>
    <col min="3" max="3" width="16.83203125" customWidth="1"/>
    <col min="4" max="4" width="17.83203125" customWidth="1"/>
    <col min="5" max="5" width="7.83203125" customWidth="1"/>
    <col min="6" max="6" width="12" customWidth="1"/>
  </cols>
  <sheetData>
    <row r="1" spans="1:16" x14ac:dyDescent="0.2">
      <c r="A1" t="s">
        <v>149</v>
      </c>
      <c r="B1" t="s">
        <v>33</v>
      </c>
      <c r="C1" t="s">
        <v>172</v>
      </c>
      <c r="D1" t="s">
        <v>173</v>
      </c>
      <c r="E1" t="s">
        <v>171</v>
      </c>
      <c r="F1" t="s">
        <v>170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84</v>
      </c>
      <c r="P1" t="s">
        <v>176</v>
      </c>
    </row>
    <row r="2" spans="1:16" x14ac:dyDescent="0.2">
      <c r="A2" t="s">
        <v>0</v>
      </c>
      <c r="B2" t="s">
        <v>70</v>
      </c>
      <c r="C2" t="s">
        <v>74</v>
      </c>
      <c r="D2" t="s">
        <v>75</v>
      </c>
      <c r="E2">
        <v>3</v>
      </c>
      <c r="F2">
        <v>4</v>
      </c>
      <c r="G2">
        <v>-5</v>
      </c>
      <c r="H2">
        <v>28</v>
      </c>
      <c r="I2">
        <v>0</v>
      </c>
      <c r="J2">
        <v>28</v>
      </c>
      <c r="K2">
        <v>5</v>
      </c>
      <c r="L2">
        <v>28</v>
      </c>
      <c r="M2">
        <v>0.5</v>
      </c>
      <c r="N2">
        <v>24</v>
      </c>
      <c r="O2" t="s">
        <v>81</v>
      </c>
      <c r="P2" t="s">
        <v>175</v>
      </c>
    </row>
    <row r="3" spans="1:16" x14ac:dyDescent="0.2">
      <c r="A3" t="s">
        <v>1</v>
      </c>
      <c r="B3" t="s">
        <v>70</v>
      </c>
      <c r="C3" t="s">
        <v>75</v>
      </c>
      <c r="E3">
        <v>2</v>
      </c>
      <c r="F3">
        <v>2</v>
      </c>
      <c r="G3">
        <v>-5</v>
      </c>
      <c r="H3">
        <v>28</v>
      </c>
      <c r="I3">
        <v>5</v>
      </c>
      <c r="J3">
        <v>28</v>
      </c>
      <c r="O3" t="s">
        <v>81</v>
      </c>
      <c r="P3" t="s">
        <v>174</v>
      </c>
    </row>
    <row r="4" spans="1:16" x14ac:dyDescent="0.2">
      <c r="A4" t="s">
        <v>2</v>
      </c>
      <c r="B4" t="s">
        <v>70</v>
      </c>
      <c r="C4" t="s">
        <v>75</v>
      </c>
      <c r="D4" t="s">
        <v>75</v>
      </c>
      <c r="E4">
        <v>1</v>
      </c>
      <c r="F4">
        <v>2</v>
      </c>
      <c r="G4">
        <v>0</v>
      </c>
      <c r="H4">
        <v>28</v>
      </c>
      <c r="I4">
        <v>0.5</v>
      </c>
      <c r="J4">
        <v>24</v>
      </c>
      <c r="O4" t="s">
        <v>81</v>
      </c>
      <c r="P4" t="s">
        <v>177</v>
      </c>
    </row>
    <row r="5" spans="1:16" x14ac:dyDescent="0.2">
      <c r="A5" t="s">
        <v>3</v>
      </c>
      <c r="B5" t="s">
        <v>71</v>
      </c>
      <c r="C5" t="s">
        <v>98</v>
      </c>
      <c r="D5" t="s">
        <v>77</v>
      </c>
      <c r="E5">
        <v>3</v>
      </c>
      <c r="F5">
        <v>3</v>
      </c>
      <c r="G5">
        <f>-5/12</f>
        <v>-0.41666666666666669</v>
      </c>
      <c r="H5">
        <v>-4</v>
      </c>
      <c r="I5">
        <v>0</v>
      </c>
      <c r="J5">
        <v>-4</v>
      </c>
      <c r="K5">
        <f>5/12</f>
        <v>0.41666666666666669</v>
      </c>
      <c r="L5">
        <v>-4</v>
      </c>
      <c r="O5" t="s">
        <v>81</v>
      </c>
      <c r="P5" t="s">
        <v>175</v>
      </c>
    </row>
    <row r="6" spans="1:16" x14ac:dyDescent="0.2">
      <c r="A6" t="s">
        <v>4</v>
      </c>
      <c r="B6" t="s">
        <v>71</v>
      </c>
      <c r="C6" t="s">
        <v>99</v>
      </c>
      <c r="D6" t="s">
        <v>76</v>
      </c>
      <c r="E6">
        <v>1</v>
      </c>
      <c r="F6">
        <v>1</v>
      </c>
      <c r="G6">
        <v>0</v>
      </c>
      <c r="H6">
        <v>-4</v>
      </c>
      <c r="O6" t="s">
        <v>81</v>
      </c>
      <c r="P6" t="s">
        <v>177</v>
      </c>
    </row>
    <row r="7" spans="1:16" x14ac:dyDescent="0.2">
      <c r="A7" t="s">
        <v>200</v>
      </c>
      <c r="B7" t="s">
        <v>70</v>
      </c>
      <c r="C7" t="s">
        <v>74</v>
      </c>
      <c r="E7">
        <v>3</v>
      </c>
      <c r="F7">
        <v>3</v>
      </c>
      <c r="G7">
        <v>-5</v>
      </c>
      <c r="H7">
        <v>28</v>
      </c>
      <c r="I7">
        <v>0</v>
      </c>
      <c r="J7">
        <v>28</v>
      </c>
      <c r="K7">
        <v>5</v>
      </c>
      <c r="L7">
        <v>28</v>
      </c>
      <c r="O7" t="s">
        <v>81</v>
      </c>
      <c r="P7" t="s">
        <v>175</v>
      </c>
    </row>
  </sheetData>
  <dataValidations count="5">
    <dataValidation type="list" allowBlank="1" showInputMessage="1" showErrorMessage="1" sqref="B2:B7" xr:uid="{369739C0-1C03-AA46-834B-834C1A7F5EC8}">
      <formula1>INDIRECT("type")</formula1>
    </dataValidation>
    <dataValidation type="list" allowBlank="1" showInputMessage="1" showErrorMessage="1" sqref="C2:C7" xr:uid="{F2115741-0DDA-D442-A913-2F77794FD5E7}">
      <formula1>INDIRECT("OH[Type]")</formula1>
    </dataValidation>
    <dataValidation type="list" allowBlank="1" showInputMessage="1" showErrorMessage="1" sqref="D2:D7" xr:uid="{6F50BFB6-CAAE-F043-B319-4F03AA1C2AA9}">
      <formula1>INDIRECT($B2&amp;"[Type]")</formula1>
    </dataValidation>
    <dataValidation type="list" allowBlank="1" showInputMessage="1" showErrorMessage="1" sqref="O2:O7" xr:uid="{C8CE36A8-15BC-CB4B-B80E-0326594F9F84}">
      <formula1>INDIRECT("Units")</formula1>
    </dataValidation>
    <dataValidation type="list" allowBlank="1" showInputMessage="1" showErrorMessage="1" sqref="P2:P7" xr:uid="{BBB7062F-A88A-A541-8E3E-2FE149FD666C}">
      <formula1>INDIRECT("Phases")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959F-BA38-1C45-8F28-8937DDD91101}">
  <dimension ref="A1:G39"/>
  <sheetViews>
    <sheetView workbookViewId="0">
      <selection activeCell="A2" sqref="A2"/>
    </sheetView>
  </sheetViews>
  <sheetFormatPr baseColWidth="10" defaultRowHeight="16" x14ac:dyDescent="0.2"/>
  <cols>
    <col min="3" max="3" width="13.5" customWidth="1"/>
    <col min="4" max="4" width="15.5" customWidth="1"/>
  </cols>
  <sheetData>
    <row r="1" spans="1:7" x14ac:dyDescent="0.2">
      <c r="A1" s="11" t="s">
        <v>163</v>
      </c>
      <c r="B1" s="11" t="s">
        <v>164</v>
      </c>
      <c r="C1" s="11" t="s">
        <v>150</v>
      </c>
      <c r="D1" s="11" t="s">
        <v>162</v>
      </c>
      <c r="E1" s="11" t="s">
        <v>84</v>
      </c>
      <c r="F1" s="11" t="s">
        <v>195</v>
      </c>
      <c r="G1" s="11" t="s">
        <v>176</v>
      </c>
    </row>
    <row r="2" spans="1:7" x14ac:dyDescent="0.2">
      <c r="A2" s="10" t="s">
        <v>109</v>
      </c>
      <c r="B2" s="10" t="s">
        <v>110</v>
      </c>
      <c r="C2" s="12">
        <v>3</v>
      </c>
      <c r="D2" s="10" t="s">
        <v>0</v>
      </c>
      <c r="E2" s="10" t="s">
        <v>78</v>
      </c>
      <c r="F2" s="10">
        <f>_xlfn.XLOOKUP(Lines[[#This Row],[LineGeometry]],LineGeo[LineGeo],LineGeo[Nphases],0,0)</f>
        <v>3</v>
      </c>
      <c r="G2" s="10"/>
    </row>
    <row r="3" spans="1:7" x14ac:dyDescent="0.2">
      <c r="A3" s="10" t="s">
        <v>110</v>
      </c>
      <c r="B3" s="10" t="s">
        <v>111</v>
      </c>
      <c r="C3" s="12">
        <v>3</v>
      </c>
      <c r="D3" s="10" t="s">
        <v>0</v>
      </c>
      <c r="E3" s="10" t="s">
        <v>78</v>
      </c>
      <c r="F3" s="10">
        <f>_xlfn.XLOOKUP(Lines[[#This Row],[LineGeometry]],LineGeo[LineGeo],LineGeo[Nphases],0,0)</f>
        <v>3</v>
      </c>
      <c r="G3" s="10"/>
    </row>
    <row r="4" spans="1:7" x14ac:dyDescent="0.2">
      <c r="A4" s="10" t="s">
        <v>111</v>
      </c>
      <c r="B4" s="10" t="s">
        <v>112</v>
      </c>
      <c r="C4" s="12">
        <v>3</v>
      </c>
      <c r="D4" s="10" t="s">
        <v>0</v>
      </c>
      <c r="E4" s="10" t="s">
        <v>78</v>
      </c>
      <c r="F4" s="10">
        <f>_xlfn.XLOOKUP(Lines[[#This Row],[LineGeometry]],LineGeo[LineGeo],LineGeo[Nphases],0,0)</f>
        <v>3</v>
      </c>
      <c r="G4" s="10"/>
    </row>
    <row r="5" spans="1:7" x14ac:dyDescent="0.2">
      <c r="A5" s="10" t="s">
        <v>112</v>
      </c>
      <c r="B5" s="10" t="s">
        <v>113</v>
      </c>
      <c r="C5" s="12">
        <v>3</v>
      </c>
      <c r="D5" s="10" t="s">
        <v>0</v>
      </c>
      <c r="E5" s="10" t="s">
        <v>78</v>
      </c>
      <c r="F5" s="10">
        <f>_xlfn.XLOOKUP(Lines[[#This Row],[LineGeometry]],LineGeo[LineGeo],LineGeo[Nphases],0,0)</f>
        <v>3</v>
      </c>
      <c r="G5" s="10"/>
    </row>
    <row r="6" spans="1:7" x14ac:dyDescent="0.2">
      <c r="A6" s="10" t="s">
        <v>113</v>
      </c>
      <c r="B6" s="10" t="s">
        <v>114</v>
      </c>
      <c r="C6" s="12">
        <v>3</v>
      </c>
      <c r="D6" s="10" t="s">
        <v>0</v>
      </c>
      <c r="E6" s="10" t="s">
        <v>78</v>
      </c>
      <c r="F6" s="10">
        <f>_xlfn.XLOOKUP(Lines[[#This Row],[LineGeometry]],LineGeo[LineGeo],LineGeo[Nphases],0,0)</f>
        <v>3</v>
      </c>
      <c r="G6" s="10"/>
    </row>
    <row r="7" spans="1:7" x14ac:dyDescent="0.2">
      <c r="A7" s="10" t="s">
        <v>114</v>
      </c>
      <c r="B7" s="10" t="s">
        <v>115</v>
      </c>
      <c r="C7" s="12">
        <v>3</v>
      </c>
      <c r="D7" s="10" t="s">
        <v>0</v>
      </c>
      <c r="E7" s="10" t="s">
        <v>78</v>
      </c>
      <c r="F7" s="10">
        <f>_xlfn.XLOOKUP(Lines[[#This Row],[LineGeometry]],LineGeo[LineGeo],LineGeo[Nphases],0,0)</f>
        <v>3</v>
      </c>
      <c r="G7" s="10"/>
    </row>
    <row r="8" spans="1:7" x14ac:dyDescent="0.2">
      <c r="A8" s="10" t="s">
        <v>115</v>
      </c>
      <c r="B8" s="10" t="s">
        <v>116</v>
      </c>
      <c r="C8" s="12">
        <v>3</v>
      </c>
      <c r="D8" s="10" t="s">
        <v>2</v>
      </c>
      <c r="E8" s="10" t="s">
        <v>78</v>
      </c>
      <c r="F8" s="10">
        <f>_xlfn.XLOOKUP(Lines[[#This Row],[LineGeometry]],LineGeo[LineGeo],LineGeo[Nphases],0,0)</f>
        <v>1</v>
      </c>
      <c r="G8" s="10"/>
    </row>
    <row r="9" spans="1:7" x14ac:dyDescent="0.2">
      <c r="A9" s="10" t="s">
        <v>115</v>
      </c>
      <c r="B9" s="10" t="s">
        <v>117</v>
      </c>
      <c r="C9" s="12">
        <v>3</v>
      </c>
      <c r="D9" s="10" t="s">
        <v>0</v>
      </c>
      <c r="E9" s="10" t="s">
        <v>78</v>
      </c>
      <c r="F9" s="10">
        <f>_xlfn.XLOOKUP(Lines[[#This Row],[LineGeometry]],LineGeo[LineGeo],LineGeo[Nphases],0,0)</f>
        <v>3</v>
      </c>
      <c r="G9" s="10"/>
    </row>
    <row r="10" spans="1:7" x14ac:dyDescent="0.2">
      <c r="A10" s="10" t="s">
        <v>117</v>
      </c>
      <c r="B10" s="10" t="s">
        <v>118</v>
      </c>
      <c r="C10" s="12">
        <v>3</v>
      </c>
      <c r="D10" s="10" t="s">
        <v>0</v>
      </c>
      <c r="E10" s="10" t="s">
        <v>78</v>
      </c>
      <c r="F10" s="10">
        <f>_xlfn.XLOOKUP(Lines[[#This Row],[LineGeometry]],LineGeo[LineGeo],LineGeo[Nphases],0,0)</f>
        <v>3</v>
      </c>
      <c r="G10" s="10"/>
    </row>
    <row r="11" spans="1:7" x14ac:dyDescent="0.2">
      <c r="A11" s="10" t="s">
        <v>118</v>
      </c>
      <c r="B11" s="10" t="s">
        <v>119</v>
      </c>
      <c r="C11" s="12">
        <v>3</v>
      </c>
      <c r="D11" s="10" t="s">
        <v>0</v>
      </c>
      <c r="E11" s="10" t="s">
        <v>78</v>
      </c>
      <c r="F11" s="10">
        <f>_xlfn.XLOOKUP(Lines[[#This Row],[LineGeometry]],LineGeo[LineGeo],LineGeo[Nphases],0,0)</f>
        <v>3</v>
      </c>
      <c r="G11" s="10"/>
    </row>
    <row r="12" spans="1:7" x14ac:dyDescent="0.2">
      <c r="A12" s="10" t="s">
        <v>120</v>
      </c>
      <c r="B12" s="10" t="s">
        <v>121</v>
      </c>
      <c r="C12" s="12">
        <v>100</v>
      </c>
      <c r="D12" s="10" t="s">
        <v>1</v>
      </c>
      <c r="E12" s="10" t="s">
        <v>81</v>
      </c>
      <c r="F12" s="10">
        <f>_xlfn.XLOOKUP(Lines[[#This Row],[LineGeometry]],LineGeo[LineGeo],LineGeo[Nphases],0,0)</f>
        <v>2</v>
      </c>
      <c r="G12" s="10"/>
    </row>
    <row r="13" spans="1:7" x14ac:dyDescent="0.2">
      <c r="A13" s="10" t="s">
        <v>121</v>
      </c>
      <c r="B13" s="10" t="s">
        <v>122</v>
      </c>
      <c r="C13" s="12">
        <v>100</v>
      </c>
      <c r="D13" s="10" t="s">
        <v>1</v>
      </c>
      <c r="E13" s="10" t="s">
        <v>81</v>
      </c>
      <c r="F13" s="10">
        <f>_xlfn.XLOOKUP(Lines[[#This Row],[LineGeometry]],LineGeo[LineGeo],LineGeo[Nphases],0,0)</f>
        <v>2</v>
      </c>
      <c r="G13" s="10"/>
    </row>
    <row r="14" spans="1:7" x14ac:dyDescent="0.2">
      <c r="A14" s="10" t="s">
        <v>122</v>
      </c>
      <c r="B14" s="10" t="s">
        <v>123</v>
      </c>
      <c r="C14" s="12">
        <v>100</v>
      </c>
      <c r="D14" s="10" t="s">
        <v>1</v>
      </c>
      <c r="E14" s="10" t="s">
        <v>81</v>
      </c>
      <c r="F14" s="10">
        <f>_xlfn.XLOOKUP(Lines[[#This Row],[LineGeometry]],LineGeo[LineGeo],LineGeo[Nphases],0,0)</f>
        <v>2</v>
      </c>
      <c r="G14" s="10"/>
    </row>
    <row r="15" spans="1:7" x14ac:dyDescent="0.2">
      <c r="A15" s="10" t="s">
        <v>122</v>
      </c>
      <c r="B15" s="10" t="s">
        <v>124</v>
      </c>
      <c r="C15" s="12">
        <v>100</v>
      </c>
      <c r="D15" s="10" t="s">
        <v>1</v>
      </c>
      <c r="E15" s="10" t="s">
        <v>81</v>
      </c>
      <c r="F15" s="10">
        <f>_xlfn.XLOOKUP(Lines[[#This Row],[LineGeometry]],LineGeo[LineGeo],LineGeo[Nphases],0,0)</f>
        <v>2</v>
      </c>
      <c r="G15" s="10"/>
    </row>
    <row r="16" spans="1:7" x14ac:dyDescent="0.2">
      <c r="A16" s="10" t="s">
        <v>124</v>
      </c>
      <c r="B16" s="10" t="s">
        <v>125</v>
      </c>
      <c r="C16" s="12">
        <v>100</v>
      </c>
      <c r="D16" s="10" t="s">
        <v>1</v>
      </c>
      <c r="E16" s="10" t="s">
        <v>81</v>
      </c>
      <c r="F16" s="10">
        <f>_xlfn.XLOOKUP(Lines[[#This Row],[LineGeometry]],LineGeo[LineGeo],LineGeo[Nphases],0,0)</f>
        <v>2</v>
      </c>
      <c r="G16" s="10"/>
    </row>
    <row r="17" spans="1:7" x14ac:dyDescent="0.2">
      <c r="A17" s="10" t="s">
        <v>125</v>
      </c>
      <c r="B17" s="10" t="s">
        <v>126</v>
      </c>
      <c r="C17" s="12">
        <v>100</v>
      </c>
      <c r="D17" s="10" t="s">
        <v>1</v>
      </c>
      <c r="E17" s="10" t="s">
        <v>81</v>
      </c>
      <c r="F17" s="10">
        <f>_xlfn.XLOOKUP(Lines[[#This Row],[LineGeometry]],LineGeo[LineGeo],LineGeo[Nphases],0,0)</f>
        <v>2</v>
      </c>
      <c r="G17" s="10"/>
    </row>
    <row r="18" spans="1:7" x14ac:dyDescent="0.2">
      <c r="A18" s="10" t="s">
        <v>126</v>
      </c>
      <c r="B18" s="10" t="s">
        <v>127</v>
      </c>
      <c r="C18" s="12">
        <v>100</v>
      </c>
      <c r="D18" s="10" t="s">
        <v>1</v>
      </c>
      <c r="E18" s="10" t="s">
        <v>81</v>
      </c>
      <c r="F18" s="10">
        <f>_xlfn.XLOOKUP(Lines[[#This Row],[LineGeometry]],LineGeo[LineGeo],LineGeo[Nphases],0,0)</f>
        <v>2</v>
      </c>
      <c r="G18" s="10"/>
    </row>
    <row r="19" spans="1:7" x14ac:dyDescent="0.2">
      <c r="A19" s="10" t="s">
        <v>121</v>
      </c>
      <c r="B19" s="10" t="s">
        <v>128</v>
      </c>
      <c r="C19" s="12">
        <v>100</v>
      </c>
      <c r="D19" s="10" t="s">
        <v>1</v>
      </c>
      <c r="E19" s="10" t="s">
        <v>81</v>
      </c>
      <c r="F19" s="10">
        <f>_xlfn.XLOOKUP(Lines[[#This Row],[LineGeometry]],LineGeo[LineGeo],LineGeo[Nphases],0,0)</f>
        <v>2</v>
      </c>
      <c r="G19" s="10"/>
    </row>
    <row r="20" spans="1:7" x14ac:dyDescent="0.2">
      <c r="A20" s="10" t="s">
        <v>128</v>
      </c>
      <c r="B20" s="10" t="s">
        <v>129</v>
      </c>
      <c r="C20" s="12">
        <v>100</v>
      </c>
      <c r="D20" s="10" t="s">
        <v>1</v>
      </c>
      <c r="E20" s="10" t="s">
        <v>81</v>
      </c>
      <c r="F20" s="10">
        <f>_xlfn.XLOOKUP(Lines[[#This Row],[LineGeometry]],LineGeo[LineGeo],LineGeo[Nphases],0,0)</f>
        <v>2</v>
      </c>
      <c r="G20" s="10"/>
    </row>
    <row r="21" spans="1:7" x14ac:dyDescent="0.2">
      <c r="A21" s="10" t="s">
        <v>129</v>
      </c>
      <c r="B21" s="10" t="s">
        <v>130</v>
      </c>
      <c r="C21" s="12">
        <v>100</v>
      </c>
      <c r="D21" s="10" t="s">
        <v>1</v>
      </c>
      <c r="E21" s="10" t="s">
        <v>81</v>
      </c>
      <c r="F21" s="10">
        <f>_xlfn.XLOOKUP(Lines[[#This Row],[LineGeometry]],LineGeo[LineGeo],LineGeo[Nphases],0,0)</f>
        <v>2</v>
      </c>
      <c r="G21" s="10"/>
    </row>
    <row r="22" spans="1:7" x14ac:dyDescent="0.2">
      <c r="A22" s="10" t="s">
        <v>130</v>
      </c>
      <c r="B22" s="10" t="s">
        <v>131</v>
      </c>
      <c r="C22" s="12">
        <v>100</v>
      </c>
      <c r="D22" s="10" t="s">
        <v>1</v>
      </c>
      <c r="E22" s="10" t="s">
        <v>81</v>
      </c>
      <c r="F22" s="10">
        <f>_xlfn.XLOOKUP(Lines[[#This Row],[LineGeometry]],LineGeo[LineGeo],LineGeo[Nphases],0,0)</f>
        <v>2</v>
      </c>
      <c r="G22" s="10"/>
    </row>
    <row r="23" spans="1:7" x14ac:dyDescent="0.2">
      <c r="A23" s="10" t="s">
        <v>116</v>
      </c>
      <c r="B23" s="10" t="s">
        <v>132</v>
      </c>
      <c r="C23" s="12">
        <v>3</v>
      </c>
      <c r="D23" s="10" t="s">
        <v>2</v>
      </c>
      <c r="E23" s="10" t="s">
        <v>78</v>
      </c>
      <c r="F23" s="10">
        <f>_xlfn.XLOOKUP(Lines[[#This Row],[LineGeometry]],LineGeo[LineGeo],LineGeo[Nphases],0,0)</f>
        <v>1</v>
      </c>
      <c r="G23" s="10"/>
    </row>
    <row r="24" spans="1:7" x14ac:dyDescent="0.2">
      <c r="A24" s="10" t="s">
        <v>132</v>
      </c>
      <c r="B24" s="10" t="s">
        <v>133</v>
      </c>
      <c r="C24" s="12">
        <v>3</v>
      </c>
      <c r="D24" s="10" t="s">
        <v>2</v>
      </c>
      <c r="E24" s="10" t="s">
        <v>78</v>
      </c>
      <c r="F24" s="10">
        <f>_xlfn.XLOOKUP(Lines[[#This Row],[LineGeometry]],LineGeo[LineGeo],LineGeo[Nphases],0,0)</f>
        <v>1</v>
      </c>
      <c r="G24" s="10"/>
    </row>
    <row r="25" spans="1:7" x14ac:dyDescent="0.2">
      <c r="A25" s="10" t="s">
        <v>134</v>
      </c>
      <c r="B25" s="10" t="s">
        <v>135</v>
      </c>
      <c r="C25" s="12">
        <v>100</v>
      </c>
      <c r="D25" s="10" t="s">
        <v>2</v>
      </c>
      <c r="E25" s="10" t="s">
        <v>81</v>
      </c>
      <c r="F25" s="10">
        <f>_xlfn.XLOOKUP(Lines[[#This Row],[LineGeometry]],LineGeo[LineGeo],LineGeo[Nphases],0,0)</f>
        <v>1</v>
      </c>
      <c r="G25" s="10"/>
    </row>
    <row r="26" spans="1:7" x14ac:dyDescent="0.2">
      <c r="A26" s="10" t="s">
        <v>135</v>
      </c>
      <c r="B26" s="10" t="s">
        <v>136</v>
      </c>
      <c r="C26" s="12">
        <v>100</v>
      </c>
      <c r="D26" s="10" t="s">
        <v>2</v>
      </c>
      <c r="E26" s="10" t="s">
        <v>81</v>
      </c>
      <c r="F26" s="10">
        <f>_xlfn.XLOOKUP(Lines[[#This Row],[LineGeometry]],LineGeo[LineGeo],LineGeo[Nphases],0,0)</f>
        <v>1</v>
      </c>
      <c r="G26" s="10"/>
    </row>
    <row r="27" spans="1:7" x14ac:dyDescent="0.2">
      <c r="A27" s="10" t="s">
        <v>134</v>
      </c>
      <c r="B27" s="10" t="s">
        <v>137</v>
      </c>
      <c r="C27" s="12">
        <v>100</v>
      </c>
      <c r="D27" s="10" t="s">
        <v>2</v>
      </c>
      <c r="E27" s="10" t="s">
        <v>81</v>
      </c>
      <c r="F27" s="10">
        <f>_xlfn.XLOOKUP(Lines[[#This Row],[LineGeometry]],LineGeo[LineGeo],LineGeo[Nphases],0,0)</f>
        <v>1</v>
      </c>
      <c r="G27" s="10"/>
    </row>
    <row r="28" spans="1:7" x14ac:dyDescent="0.2">
      <c r="A28" s="10" t="s">
        <v>137</v>
      </c>
      <c r="B28" s="10" t="s">
        <v>138</v>
      </c>
      <c r="C28" s="12">
        <v>100</v>
      </c>
      <c r="D28" s="10" t="s">
        <v>2</v>
      </c>
      <c r="E28" s="10" t="s">
        <v>81</v>
      </c>
      <c r="F28" s="10">
        <f>_xlfn.XLOOKUP(Lines[[#This Row],[LineGeometry]],LineGeo[LineGeo],LineGeo[Nphases],0,0)</f>
        <v>1</v>
      </c>
      <c r="G28" s="10"/>
    </row>
    <row r="29" spans="1:7" x14ac:dyDescent="0.2">
      <c r="A29" s="10" t="s">
        <v>109</v>
      </c>
      <c r="B29" s="10" t="s">
        <v>139</v>
      </c>
      <c r="C29" s="12">
        <v>3</v>
      </c>
      <c r="D29" s="10" t="s">
        <v>3</v>
      </c>
      <c r="E29" s="10" t="s">
        <v>78</v>
      </c>
      <c r="F29" s="10">
        <f>_xlfn.XLOOKUP(Lines[[#This Row],[LineGeometry]],LineGeo[LineGeo],LineGeo[Nphases],0,0)</f>
        <v>3</v>
      </c>
      <c r="G29" s="10"/>
    </row>
    <row r="30" spans="1:7" x14ac:dyDescent="0.2">
      <c r="A30" s="10" t="s">
        <v>139</v>
      </c>
      <c r="B30" s="10" t="s">
        <v>140</v>
      </c>
      <c r="C30" s="12">
        <v>3</v>
      </c>
      <c r="D30" s="10" t="s">
        <v>3</v>
      </c>
      <c r="E30" s="10" t="s">
        <v>78</v>
      </c>
      <c r="F30" s="10">
        <f>_xlfn.XLOOKUP(Lines[[#This Row],[LineGeometry]],LineGeo[LineGeo],LineGeo[Nphases],0,0)</f>
        <v>3</v>
      </c>
      <c r="G30" s="10"/>
    </row>
    <row r="31" spans="1:7" x14ac:dyDescent="0.2">
      <c r="A31" s="10" t="s">
        <v>140</v>
      </c>
      <c r="B31" s="10" t="s">
        <v>141</v>
      </c>
      <c r="C31" s="12">
        <v>3</v>
      </c>
      <c r="D31" s="10" t="s">
        <v>3</v>
      </c>
      <c r="E31" s="10" t="s">
        <v>78</v>
      </c>
      <c r="F31" s="10">
        <f>_xlfn.XLOOKUP(Lines[[#This Row],[LineGeometry]],LineGeo[LineGeo],LineGeo[Nphases],0,0)</f>
        <v>3</v>
      </c>
      <c r="G31" s="10"/>
    </row>
    <row r="32" spans="1:7" x14ac:dyDescent="0.2">
      <c r="A32" s="10" t="s">
        <v>141</v>
      </c>
      <c r="B32" s="10" t="s">
        <v>142</v>
      </c>
      <c r="C32" s="12">
        <v>3</v>
      </c>
      <c r="D32" s="10" t="s">
        <v>3</v>
      </c>
      <c r="E32" s="10" t="s">
        <v>78</v>
      </c>
      <c r="F32" s="10">
        <f>_xlfn.XLOOKUP(Lines[[#This Row],[LineGeometry]],LineGeo[LineGeo],LineGeo[Nphases],0,0)</f>
        <v>3</v>
      </c>
      <c r="G32" s="10"/>
    </row>
    <row r="33" spans="1:7" x14ac:dyDescent="0.2">
      <c r="A33" s="10" t="s">
        <v>142</v>
      </c>
      <c r="B33" s="10" t="s">
        <v>143</v>
      </c>
      <c r="C33" s="12">
        <v>3</v>
      </c>
      <c r="D33" s="10" t="s">
        <v>3</v>
      </c>
      <c r="E33" s="10" t="s">
        <v>78</v>
      </c>
      <c r="F33" s="10">
        <f>_xlfn.XLOOKUP(Lines[[#This Row],[LineGeometry]],LineGeo[LineGeo],LineGeo[Nphases],0,0)</f>
        <v>3</v>
      </c>
      <c r="G33" s="10"/>
    </row>
    <row r="34" spans="1:7" x14ac:dyDescent="0.2">
      <c r="A34" s="10" t="s">
        <v>143</v>
      </c>
      <c r="B34" s="10" t="s">
        <v>144</v>
      </c>
      <c r="C34" s="12">
        <v>3</v>
      </c>
      <c r="D34" s="10" t="s">
        <v>3</v>
      </c>
      <c r="E34" s="10" t="s">
        <v>78</v>
      </c>
      <c r="F34" s="10">
        <f>_xlfn.XLOOKUP(Lines[[#This Row],[LineGeometry]],LineGeo[LineGeo],LineGeo[Nphases],0,0)</f>
        <v>3</v>
      </c>
      <c r="G34" s="10"/>
    </row>
    <row r="35" spans="1:7" x14ac:dyDescent="0.2">
      <c r="A35" s="10" t="s">
        <v>140</v>
      </c>
      <c r="B35" s="10" t="s">
        <v>145</v>
      </c>
      <c r="C35" s="12">
        <v>3</v>
      </c>
      <c r="D35" s="10" t="s">
        <v>4</v>
      </c>
      <c r="E35" s="10" t="s">
        <v>78</v>
      </c>
      <c r="F35" s="10">
        <f>_xlfn.XLOOKUP(Lines[[#This Row],[LineGeometry]],LineGeo[LineGeo],LineGeo[Nphases],0,0)</f>
        <v>1</v>
      </c>
      <c r="G35" s="10"/>
    </row>
    <row r="36" spans="1:7" x14ac:dyDescent="0.2">
      <c r="A36" s="10" t="s">
        <v>145</v>
      </c>
      <c r="B36" s="10" t="s">
        <v>146</v>
      </c>
      <c r="C36" s="12">
        <v>3</v>
      </c>
      <c r="D36" s="10" t="s">
        <v>4</v>
      </c>
      <c r="E36" s="10" t="s">
        <v>78</v>
      </c>
      <c r="F36" s="10">
        <f>_xlfn.XLOOKUP(Lines[[#This Row],[LineGeometry]],LineGeo[LineGeo],LineGeo[Nphases],0,0)</f>
        <v>1</v>
      </c>
      <c r="G36" s="10"/>
    </row>
    <row r="37" spans="1:7" x14ac:dyDescent="0.2">
      <c r="A37" s="10" t="s">
        <v>146</v>
      </c>
      <c r="B37" s="10" t="s">
        <v>147</v>
      </c>
      <c r="C37" s="12">
        <v>3</v>
      </c>
      <c r="D37" s="10" t="s">
        <v>4</v>
      </c>
      <c r="E37" s="10" t="s">
        <v>78</v>
      </c>
      <c r="F37" s="10">
        <f>_xlfn.XLOOKUP(Lines[[#This Row],[LineGeometry]],LineGeo[LineGeo],LineGeo[Nphases],0,0)</f>
        <v>1</v>
      </c>
      <c r="G37" s="10"/>
    </row>
    <row r="38" spans="1:7" x14ac:dyDescent="0.2">
      <c r="A38" s="10" t="s">
        <v>147</v>
      </c>
      <c r="B38" s="10" t="s">
        <v>148</v>
      </c>
      <c r="C38" s="12">
        <v>3</v>
      </c>
      <c r="D38" s="10" t="s">
        <v>4</v>
      </c>
      <c r="E38" s="10" t="s">
        <v>78</v>
      </c>
      <c r="F38" s="10">
        <f>_xlfn.XLOOKUP(Lines[[#This Row],[LineGeometry]],LineGeo[LineGeo],LineGeo[Nphases],0,0)</f>
        <v>1</v>
      </c>
      <c r="G38" s="10"/>
    </row>
    <row r="39" spans="1:7" x14ac:dyDescent="0.2">
      <c r="A39" s="10" t="s">
        <v>156</v>
      </c>
      <c r="B39" s="10" t="s">
        <v>157</v>
      </c>
      <c r="C39" s="12">
        <v>100</v>
      </c>
      <c r="D39" s="10" t="s">
        <v>200</v>
      </c>
      <c r="E39" s="10" t="s">
        <v>81</v>
      </c>
      <c r="F39" s="10">
        <f>_xlfn.XLOOKUP(Lines[[#This Row],[LineGeometry]],LineGeo[LineGeo],LineGeo[Nphases],0,0)</f>
        <v>3</v>
      </c>
      <c r="G39" s="10"/>
    </row>
  </sheetData>
  <dataValidations count="3">
    <dataValidation type="list" allowBlank="1" showInputMessage="1" showErrorMessage="1" errorTitle="Undefined LineGeometery" error="Use a defined LineGeometry, or make a new geometry" sqref="D2:D39" xr:uid="{FB0F891B-6660-7D4C-AC5B-0346D13948B8}">
      <formula1>INDIRECT("LineGeo[LineGeo]")</formula1>
    </dataValidation>
    <dataValidation type="list" allowBlank="1" showInputMessage="1" showErrorMessage="1" sqref="E2:E39" xr:uid="{B4F4E3E6-2E21-244D-ADFB-DDC8B351103E}">
      <formula1>INDIRECT("Units")</formula1>
    </dataValidation>
    <dataValidation type="list" allowBlank="1" showInputMessage="1" showErrorMessage="1" sqref="A2:B39" xr:uid="{49F4DC04-A3BE-1845-8DA3-7CDFAE95089C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5D94-A9C5-924E-AFCA-D6295E4B752D}">
  <dimension ref="A1:M4"/>
  <sheetViews>
    <sheetView tabSelected="1" workbookViewId="0">
      <selection activeCell="A2" sqref="A2"/>
    </sheetView>
  </sheetViews>
  <sheetFormatPr baseColWidth="10" defaultRowHeight="16" x14ac:dyDescent="0.2"/>
  <cols>
    <col min="12" max="12" width="13.1640625" customWidth="1"/>
  </cols>
  <sheetData>
    <row r="1" spans="1:13" x14ac:dyDescent="0.2">
      <c r="A1" t="s">
        <v>201</v>
      </c>
      <c r="B1" t="s">
        <v>236</v>
      </c>
      <c r="C1" t="s">
        <v>195</v>
      </c>
      <c r="D1" t="s">
        <v>239</v>
      </c>
      <c r="E1" t="s">
        <v>237</v>
      </c>
      <c r="F1" t="s">
        <v>238</v>
      </c>
      <c r="G1" t="s">
        <v>240</v>
      </c>
      <c r="H1" t="s">
        <v>243</v>
      </c>
      <c r="I1" t="s">
        <v>241</v>
      </c>
      <c r="J1" t="s">
        <v>242</v>
      </c>
      <c r="K1" t="s">
        <v>246</v>
      </c>
      <c r="L1" t="s">
        <v>247</v>
      </c>
      <c r="M1" t="s">
        <v>248</v>
      </c>
    </row>
    <row r="2" spans="1:13" x14ac:dyDescent="0.2">
      <c r="A2" t="s">
        <v>109</v>
      </c>
      <c r="B2">
        <v>5000</v>
      </c>
      <c r="C2">
        <v>3</v>
      </c>
      <c r="D2">
        <v>120</v>
      </c>
      <c r="E2">
        <v>126</v>
      </c>
      <c r="F2">
        <v>2</v>
      </c>
      <c r="G2">
        <v>600</v>
      </c>
      <c r="H2">
        <v>5</v>
      </c>
      <c r="I2">
        <f t="shared" ref="I2:I4" si="0">5*60</f>
        <v>300</v>
      </c>
      <c r="J2">
        <f t="shared" ref="J2:J4" si="1">5*60</f>
        <v>300</v>
      </c>
      <c r="K2" t="b">
        <v>1</v>
      </c>
      <c r="L2" t="s">
        <v>244</v>
      </c>
    </row>
    <row r="3" spans="1:13" x14ac:dyDescent="0.2">
      <c r="A3" t="s">
        <v>112</v>
      </c>
      <c r="B3">
        <v>750</v>
      </c>
      <c r="C3">
        <v>3</v>
      </c>
      <c r="D3">
        <v>120</v>
      </c>
      <c r="E3">
        <v>124</v>
      </c>
      <c r="F3">
        <v>2</v>
      </c>
      <c r="G3">
        <v>600</v>
      </c>
      <c r="H3">
        <v>5</v>
      </c>
      <c r="I3">
        <f>2*60</f>
        <v>120</v>
      </c>
      <c r="J3">
        <f>3*60</f>
        <v>180</v>
      </c>
      <c r="K3" t="b">
        <v>0</v>
      </c>
      <c r="L3" t="s">
        <v>245</v>
      </c>
    </row>
    <row r="4" spans="1:13" x14ac:dyDescent="0.2">
      <c r="A4" t="s">
        <v>114</v>
      </c>
      <c r="B4">
        <v>750</v>
      </c>
      <c r="C4">
        <v>3</v>
      </c>
      <c r="D4">
        <v>120</v>
      </c>
      <c r="E4">
        <v>124</v>
      </c>
      <c r="F4">
        <v>2</v>
      </c>
      <c r="G4">
        <v>600</v>
      </c>
      <c r="H4">
        <v>5</v>
      </c>
      <c r="I4">
        <v>60</v>
      </c>
      <c r="J4">
        <v>120</v>
      </c>
      <c r="K4" t="b">
        <v>0</v>
      </c>
      <c r="L4" t="s">
        <v>245</v>
      </c>
    </row>
  </sheetData>
  <dataValidations count="4">
    <dataValidation type="list" allowBlank="1" showInputMessage="1" showErrorMessage="1" sqref="A2:A4" xr:uid="{B78B59D8-45A0-C54C-8EC5-DA8054832273}">
      <formula1>INDIRECT("Buses[Bus]")</formula1>
    </dataValidation>
    <dataValidation type="list" allowBlank="1" showInputMessage="1" showErrorMessage="1" sqref="K2:K4" xr:uid="{9CD073CE-2EDF-E04A-B90B-9353F47D920D}">
      <formula1>INDIRECT("bool")</formula1>
    </dataValidation>
    <dataValidation type="list" allowBlank="1" showInputMessage="1" showErrorMessage="1" sqref="L2:L4" xr:uid="{0BFF41A3-5099-D14F-9B6E-4181E575BEF9}">
      <formula1>INDIRECT("RegType")</formula1>
    </dataValidation>
    <dataValidation type="list" allowBlank="1" showInputMessage="1" showErrorMessage="1" sqref="M2:M4" xr:uid="{0A80DBA4-4327-3B47-B1BB-2A72C8D138E7}">
      <formula1>INDIRECT("xfmr_config")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584-74FB-4243-A125-89ADE808B1CA}">
  <dimension ref="A1:Q8"/>
  <sheetViews>
    <sheetView workbookViewId="0">
      <selection activeCell="Q8" sqref="Q8"/>
    </sheetView>
  </sheetViews>
  <sheetFormatPr baseColWidth="10" defaultRowHeight="16" x14ac:dyDescent="0.2"/>
  <cols>
    <col min="3" max="3" width="24.83203125" customWidth="1"/>
  </cols>
  <sheetData>
    <row r="1" spans="1:17" x14ac:dyDescent="0.2">
      <c r="A1" t="s">
        <v>163</v>
      </c>
      <c r="B1" t="s">
        <v>164</v>
      </c>
      <c r="C1" t="s">
        <v>193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195</v>
      </c>
      <c r="K1" t="s">
        <v>222</v>
      </c>
      <c r="L1" t="s">
        <v>189</v>
      </c>
      <c r="M1" t="s">
        <v>190</v>
      </c>
      <c r="N1" t="s">
        <v>221</v>
      </c>
      <c r="O1" t="s">
        <v>219</v>
      </c>
      <c r="P1" t="s">
        <v>220</v>
      </c>
      <c r="Q1" t="s">
        <v>224</v>
      </c>
    </row>
    <row r="2" spans="1:17" x14ac:dyDescent="0.2">
      <c r="A2" t="s">
        <v>154</v>
      </c>
      <c r="B2" t="s">
        <v>109</v>
      </c>
      <c r="C2" t="s">
        <v>196</v>
      </c>
      <c r="D2">
        <f>_xlfn.XLOOKUP(xfmrs[[#This Row],[xfmr]],xfmr_info[name],xfmr_info[kV_hv])</f>
        <v>120</v>
      </c>
      <c r="E2">
        <f>_xlfn.XLOOKUP(xfmrs[[#This Row],[xfmr]],xfmr_info[name],xfmr_info[kV_lv])</f>
        <v>12.47</v>
      </c>
      <c r="F2">
        <f>_xlfn.XLOOKUP(xfmrs[[#This Row],[xfmr]],xfmr_info[name],xfmr_info[kVA_hv])</f>
        <v>2000</v>
      </c>
      <c r="G2">
        <f>_xlfn.XLOOKUP(xfmrs[[#This Row],[xfmr]],xfmr_info[name],xfmr_info[kVA_lv])</f>
        <v>2000</v>
      </c>
      <c r="H2" t="str">
        <f>_xlfn.XLOOKUP(xfmrs[[#This Row],[xfmr]],xfmr_info[name],xfmr_info[Conn_hv])</f>
        <v>delta</v>
      </c>
      <c r="I2" t="str">
        <f>_xlfn.XLOOKUP(xfmrs[[#This Row],[xfmr]],xfmr_info[name],xfmr_info[Conn_lv])</f>
        <v>wye</v>
      </c>
      <c r="J2">
        <f>_xlfn.XLOOKUP(xfmrs[[#This Row],[xfmr]],xfmr_info[name],xfmr_info[Phases])</f>
        <v>3</v>
      </c>
      <c r="K2">
        <f>_xlfn.XLOOKUP(xfmrs[[#This Row],[xfmr]],xfmr_info[name],xfmr_info[Windings])</f>
        <v>2</v>
      </c>
      <c r="L2">
        <f>_xlfn.XLOOKUP(xfmrs[[#This Row],[xfmr]],xfmr_info[name],xfmr_info[R])</f>
        <v>0.35799999999999998</v>
      </c>
      <c r="M2">
        <f>_xlfn.XLOOKUP(xfmrs[[#This Row],[xfmr]],xfmr_info[name],xfmr_info[X])</f>
        <v>5.6360000000000001</v>
      </c>
      <c r="N2">
        <f>_xlfn.XLOOKUP(xfmrs[[#This Row],[xfmr]],xfmr_info[name],xfmr_info[nll])</f>
        <v>0.1</v>
      </c>
      <c r="O2" s="1" t="s">
        <v>209</v>
      </c>
      <c r="P2" s="1" t="s">
        <v>209</v>
      </c>
      <c r="Q2" s="13"/>
    </row>
    <row r="3" spans="1:17" x14ac:dyDescent="0.2">
      <c r="A3" t="s">
        <v>110</v>
      </c>
      <c r="B3" t="s">
        <v>156</v>
      </c>
      <c r="C3" t="s">
        <v>197</v>
      </c>
      <c r="D3">
        <f>_xlfn.XLOOKUP(xfmrs[[#This Row],[xfmr]],xfmr_info[name],xfmr_info[kV_hv])</f>
        <v>12.47</v>
      </c>
      <c r="E3">
        <f>_xlfn.XLOOKUP(xfmrs[[#This Row],[xfmr]],xfmr_info[name],xfmr_info[kV_lv])</f>
        <v>0.41599999999999998</v>
      </c>
      <c r="F3">
        <f>_xlfn.XLOOKUP(xfmrs[[#This Row],[xfmr]],xfmr_info[name],xfmr_info[kVA_hv])</f>
        <v>150</v>
      </c>
      <c r="G3">
        <f>_xlfn.XLOOKUP(xfmrs[[#This Row],[xfmr]],xfmr_info[name],xfmr_info[kVA_lv])</f>
        <v>150</v>
      </c>
      <c r="H3" t="str">
        <f>_xlfn.XLOOKUP(xfmrs[[#This Row],[xfmr]],xfmr_info[name],xfmr_info[Conn_hv])</f>
        <v>wye</v>
      </c>
      <c r="I3" t="str">
        <f>_xlfn.XLOOKUP(xfmrs[[#This Row],[xfmr]],xfmr_info[name],xfmr_info[Conn_lv])</f>
        <v>delta</v>
      </c>
      <c r="J3">
        <f>_xlfn.XLOOKUP(xfmrs[[#This Row],[xfmr]],xfmr_info[name],xfmr_info[Phases])</f>
        <v>3</v>
      </c>
      <c r="K3">
        <f>_xlfn.XLOOKUP(xfmrs[[#This Row],[xfmr]],xfmr_info[name],xfmr_info[Windings])</f>
        <v>2</v>
      </c>
      <c r="L3">
        <f>_xlfn.XLOOKUP(xfmrs[[#This Row],[xfmr]],xfmr_info[name],xfmr_info[R])</f>
        <v>1</v>
      </c>
      <c r="M3">
        <f>_xlfn.XLOOKUP(xfmrs[[#This Row],[xfmr]],xfmr_info[name],xfmr_info[X])</f>
        <v>1.9</v>
      </c>
      <c r="N3">
        <f>_xlfn.XLOOKUP(xfmrs[[#This Row],[xfmr]],xfmr_info[name],xfmr_info[nll])</f>
        <v>0.18</v>
      </c>
      <c r="O3" s="1" t="s">
        <v>209</v>
      </c>
      <c r="P3" s="1" t="s">
        <v>209</v>
      </c>
      <c r="Q3" s="13"/>
    </row>
    <row r="4" spans="1:17" x14ac:dyDescent="0.2">
      <c r="A4" t="s">
        <v>111</v>
      </c>
      <c r="B4" t="s">
        <v>155</v>
      </c>
      <c r="C4" t="s">
        <v>197</v>
      </c>
      <c r="D4">
        <f>_xlfn.XLOOKUP(xfmrs[[#This Row],[xfmr]],xfmr_info[name],xfmr_info[kV_hv])</f>
        <v>12.47</v>
      </c>
      <c r="E4">
        <f>_xlfn.XLOOKUP(xfmrs[[#This Row],[xfmr]],xfmr_info[name],xfmr_info[kV_lv])</f>
        <v>0.41599999999999998</v>
      </c>
      <c r="F4">
        <f>_xlfn.XLOOKUP(xfmrs[[#This Row],[xfmr]],xfmr_info[name],xfmr_info[kVA_hv])</f>
        <v>150</v>
      </c>
      <c r="G4">
        <f>_xlfn.XLOOKUP(xfmrs[[#This Row],[xfmr]],xfmr_info[name],xfmr_info[kVA_lv])</f>
        <v>150</v>
      </c>
      <c r="H4" t="str">
        <f>_xlfn.XLOOKUP(xfmrs[[#This Row],[xfmr]],xfmr_info[name],xfmr_info[Conn_hv])</f>
        <v>wye</v>
      </c>
      <c r="I4" t="str">
        <f>_xlfn.XLOOKUP(xfmrs[[#This Row],[xfmr]],xfmr_info[name],xfmr_info[Conn_lv])</f>
        <v>delta</v>
      </c>
      <c r="J4">
        <f>_xlfn.XLOOKUP(xfmrs[[#This Row],[xfmr]],xfmr_info[name],xfmr_info[Phases])</f>
        <v>3</v>
      </c>
      <c r="K4">
        <f>_xlfn.XLOOKUP(xfmrs[[#This Row],[xfmr]],xfmr_info[name],xfmr_info[Windings])</f>
        <v>2</v>
      </c>
      <c r="L4">
        <f>_xlfn.XLOOKUP(xfmrs[[#This Row],[xfmr]],xfmr_info[name],xfmr_info[R])</f>
        <v>1</v>
      </c>
      <c r="M4">
        <f>_xlfn.XLOOKUP(xfmrs[[#This Row],[xfmr]],xfmr_info[name],xfmr_info[X])</f>
        <v>1.9</v>
      </c>
      <c r="N4">
        <f>_xlfn.XLOOKUP(xfmrs[[#This Row],[xfmr]],xfmr_info[name],xfmr_info[nll])</f>
        <v>0.18</v>
      </c>
      <c r="O4" s="1" t="s">
        <v>209</v>
      </c>
      <c r="P4" s="1" t="s">
        <v>209</v>
      </c>
      <c r="Q4" s="13"/>
    </row>
    <row r="5" spans="1:17" x14ac:dyDescent="0.2">
      <c r="A5" t="s">
        <v>113</v>
      </c>
      <c r="B5" t="s">
        <v>120</v>
      </c>
      <c r="C5" t="s">
        <v>235</v>
      </c>
      <c r="D5">
        <f>_xlfn.XLOOKUP(xfmrs[[#This Row],[xfmr]],xfmr_info[name],xfmr_info[kV_hv])</f>
        <v>12.47</v>
      </c>
      <c r="E5">
        <f>_xlfn.XLOOKUP(xfmrs[[#This Row],[xfmr]],xfmr_info[name],xfmr_info[kV_lv])</f>
        <v>0.41599999999999998</v>
      </c>
      <c r="F5">
        <f>_xlfn.XLOOKUP(xfmrs[[#This Row],[xfmr]],xfmr_info[name],xfmr_info[kVA_hv])</f>
        <v>75</v>
      </c>
      <c r="G5">
        <f>_xlfn.XLOOKUP(xfmrs[[#This Row],[xfmr]],xfmr_info[name],xfmr_info[kVA_lv])</f>
        <v>75</v>
      </c>
      <c r="H5" t="str">
        <f>_xlfn.XLOOKUP(xfmrs[[#This Row],[xfmr]],xfmr_info[name],xfmr_info[Conn_hv])</f>
        <v>delta</v>
      </c>
      <c r="I5" t="str">
        <f>_xlfn.XLOOKUP(xfmrs[[#This Row],[xfmr]],xfmr_info[name],xfmr_info[Conn_lv])</f>
        <v>delta</v>
      </c>
      <c r="J5">
        <f>_xlfn.XLOOKUP(xfmrs[[#This Row],[xfmr]],xfmr_info[name],xfmr_info[Phases])</f>
        <v>2</v>
      </c>
      <c r="K5">
        <f>_xlfn.XLOOKUP(xfmrs[[#This Row],[xfmr]],xfmr_info[name],xfmr_info[Windings])</f>
        <v>2</v>
      </c>
      <c r="L5">
        <f>_xlfn.XLOOKUP(xfmrs[[#This Row],[xfmr]],xfmr_info[name],xfmr_info[R])</f>
        <v>1</v>
      </c>
      <c r="M5">
        <f>_xlfn.XLOOKUP(xfmrs[[#This Row],[xfmr]],xfmr_info[name],xfmr_info[X])</f>
        <v>2</v>
      </c>
      <c r="N5">
        <f>_xlfn.XLOOKUP(xfmrs[[#This Row],[xfmr]],xfmr_info[name],xfmr_info[nll])</f>
        <v>0.18</v>
      </c>
      <c r="O5" s="1">
        <v>1.3</v>
      </c>
      <c r="P5" s="1">
        <v>1.3</v>
      </c>
      <c r="Q5" s="13"/>
    </row>
    <row r="6" spans="1:17" x14ac:dyDescent="0.2">
      <c r="A6" t="s">
        <v>141</v>
      </c>
      <c r="B6" t="s">
        <v>158</v>
      </c>
      <c r="C6" t="s">
        <v>197</v>
      </c>
      <c r="D6">
        <f>_xlfn.XLOOKUP(xfmrs[[#This Row],[xfmr]],xfmr_info[name],xfmr_info[kV_hv])</f>
        <v>12.47</v>
      </c>
      <c r="E6">
        <f>_xlfn.XLOOKUP(xfmrs[[#This Row],[xfmr]],xfmr_info[name],xfmr_info[kV_lv])</f>
        <v>0.41599999999999998</v>
      </c>
      <c r="F6">
        <f>_xlfn.XLOOKUP(xfmrs[[#This Row],[xfmr]],xfmr_info[name],xfmr_info[kVA_hv])</f>
        <v>150</v>
      </c>
      <c r="G6">
        <f>_xlfn.XLOOKUP(xfmrs[[#This Row],[xfmr]],xfmr_info[name],xfmr_info[kVA_lv])</f>
        <v>150</v>
      </c>
      <c r="H6" t="str">
        <f>_xlfn.XLOOKUP(xfmrs[[#This Row],[xfmr]],xfmr_info[name],xfmr_info[Conn_hv])</f>
        <v>wye</v>
      </c>
      <c r="I6" t="str">
        <f>_xlfn.XLOOKUP(xfmrs[[#This Row],[xfmr]],xfmr_info[name],xfmr_info[Conn_lv])</f>
        <v>delta</v>
      </c>
      <c r="J6">
        <f>_xlfn.XLOOKUP(xfmrs[[#This Row],[xfmr]],xfmr_info[name],xfmr_info[Phases])</f>
        <v>3</v>
      </c>
      <c r="K6">
        <f>_xlfn.XLOOKUP(xfmrs[[#This Row],[xfmr]],xfmr_info[name],xfmr_info[Windings])</f>
        <v>2</v>
      </c>
      <c r="L6">
        <f>_xlfn.XLOOKUP(xfmrs[[#This Row],[xfmr]],xfmr_info[name],xfmr_info[R])</f>
        <v>1</v>
      </c>
      <c r="M6">
        <f>_xlfn.XLOOKUP(xfmrs[[#This Row],[xfmr]],xfmr_info[name],xfmr_info[X])</f>
        <v>1.9</v>
      </c>
      <c r="N6">
        <f>_xlfn.XLOOKUP(xfmrs[[#This Row],[xfmr]],xfmr_info[name],xfmr_info[nll])</f>
        <v>0.18</v>
      </c>
      <c r="O6" s="1" t="s">
        <v>209</v>
      </c>
      <c r="P6" s="1" t="s">
        <v>209</v>
      </c>
      <c r="Q6" s="13"/>
    </row>
    <row r="7" spans="1:17" x14ac:dyDescent="0.2">
      <c r="A7" t="s">
        <v>116</v>
      </c>
      <c r="B7" t="s">
        <v>134</v>
      </c>
      <c r="C7" t="s">
        <v>199</v>
      </c>
      <c r="D7">
        <f>_xlfn.XLOOKUP(xfmrs[[#This Row],[xfmr]],xfmr_info[name],xfmr_info[kV_hv])</f>
        <v>7.2</v>
      </c>
      <c r="E7">
        <f>_xlfn.XLOOKUP(xfmrs[[#This Row],[xfmr]],xfmr_info[name],xfmr_info[kV_lv])</f>
        <v>0.24</v>
      </c>
      <c r="F7">
        <f>_xlfn.XLOOKUP(xfmrs[[#This Row],[xfmr]],xfmr_info[name],xfmr_info[kVA_hv])</f>
        <v>50</v>
      </c>
      <c r="G7">
        <f>_xlfn.XLOOKUP(xfmrs[[#This Row],[xfmr]],xfmr_info[name],xfmr_info[kVA_lv])</f>
        <v>50</v>
      </c>
      <c r="H7" t="str">
        <f>_xlfn.XLOOKUP(xfmrs[[#This Row],[xfmr]],xfmr_info[name],xfmr_info[Conn_hv])</f>
        <v>wye</v>
      </c>
      <c r="I7" t="str">
        <f>_xlfn.XLOOKUP(xfmrs[[#This Row],[xfmr]],xfmr_info[name],xfmr_info[Conn_lv])</f>
        <v>wye</v>
      </c>
      <c r="J7">
        <f>_xlfn.XLOOKUP(xfmrs[[#This Row],[xfmr]],xfmr_info[name],xfmr_info[Phases])</f>
        <v>1</v>
      </c>
      <c r="K7">
        <f>_xlfn.XLOOKUP(xfmrs[[#This Row],[xfmr]],xfmr_info[name],xfmr_info[Windings])</f>
        <v>2</v>
      </c>
      <c r="L7">
        <f>_xlfn.XLOOKUP(xfmrs[[#This Row],[xfmr]],xfmr_info[name],xfmr_info[R])</f>
        <v>1.2</v>
      </c>
      <c r="M7">
        <f>_xlfn.XLOOKUP(xfmrs[[#This Row],[xfmr]],xfmr_info[name],xfmr_info[X])</f>
        <v>2</v>
      </c>
      <c r="N7">
        <f>_xlfn.XLOOKUP(xfmrs[[#This Row],[xfmr]],xfmr_info[name],xfmr_info[nll])</f>
        <v>0.2</v>
      </c>
      <c r="O7" s="1">
        <v>2</v>
      </c>
      <c r="P7" s="1">
        <v>2</v>
      </c>
      <c r="Q7" s="13"/>
    </row>
    <row r="8" spans="1:17" x14ac:dyDescent="0.2">
      <c r="A8" t="s">
        <v>119</v>
      </c>
      <c r="B8" t="s">
        <v>161</v>
      </c>
      <c r="C8" t="s">
        <v>198</v>
      </c>
      <c r="D8">
        <f>_xlfn.XLOOKUP(xfmrs[[#This Row],[xfmr]],xfmr_info[name],xfmr_info[kV_hv])</f>
        <v>12.47</v>
      </c>
      <c r="E8">
        <f>_xlfn.XLOOKUP(xfmrs[[#This Row],[xfmr]],xfmr_info[name],xfmr_info[kV_lv])</f>
        <v>0.41599999999999998</v>
      </c>
      <c r="F8">
        <f>_xlfn.XLOOKUP(xfmrs[[#This Row],[xfmr]],xfmr_info[name],xfmr_info[kVA_hv])</f>
        <v>300</v>
      </c>
      <c r="G8">
        <f>_xlfn.XLOOKUP(xfmrs[[#This Row],[xfmr]],xfmr_info[name],xfmr_info[kVA_lv])</f>
        <v>300</v>
      </c>
      <c r="H8" t="str">
        <f>_xlfn.XLOOKUP(xfmrs[[#This Row],[xfmr]],xfmr_info[name],xfmr_info[Conn_hv])</f>
        <v>wye</v>
      </c>
      <c r="I8" t="str">
        <f>_xlfn.XLOOKUP(xfmrs[[#This Row],[xfmr]],xfmr_info[name],xfmr_info[Conn_lv])</f>
        <v>delta</v>
      </c>
      <c r="J8">
        <f>_xlfn.XLOOKUP(xfmrs[[#This Row],[xfmr]],xfmr_info[name],xfmr_info[Phases])</f>
        <v>3</v>
      </c>
      <c r="K8">
        <f>_xlfn.XLOOKUP(xfmrs[[#This Row],[xfmr]],xfmr_info[name],xfmr_info[Windings])</f>
        <v>2</v>
      </c>
      <c r="L8">
        <f>_xlfn.XLOOKUP(xfmrs[[#This Row],[xfmr]],xfmr_info[name],xfmr_info[R])</f>
        <v>0.7</v>
      </c>
      <c r="M8">
        <f>_xlfn.XLOOKUP(xfmrs[[#This Row],[xfmr]],xfmr_info[name],xfmr_info[X])</f>
        <v>3.21</v>
      </c>
      <c r="N8">
        <f>_xlfn.XLOOKUP(xfmrs[[#This Row],[xfmr]],xfmr_info[name],xfmr_info[nll])</f>
        <v>0.12</v>
      </c>
      <c r="O8" s="1" t="s">
        <v>209</v>
      </c>
      <c r="P8" s="1" t="s">
        <v>209</v>
      </c>
      <c r="Q8" s="13"/>
    </row>
  </sheetData>
  <phoneticPr fontId="3" type="noConversion"/>
  <dataValidations count="4">
    <dataValidation type="list" allowBlank="1" showInputMessage="1" showErrorMessage="1" sqref="A2:B8" xr:uid="{4FC38A72-6BA9-6D48-A52C-0F1200763F66}">
      <formula1>INDIRECT("Buses[Bus]")</formula1>
    </dataValidation>
    <dataValidation type="list" allowBlank="1" showInputMessage="1" showErrorMessage="1" sqref="C2:C8" xr:uid="{942121FD-6BAF-0047-87F6-B247FFBF584A}">
      <formula1>INDIRECT("xfmr_info[name]")</formula1>
    </dataValidation>
    <dataValidation type="list" allowBlank="1" showInputMessage="1" showErrorMessage="1" sqref="H2:I8" xr:uid="{BEC9D138-089C-E644-9A8E-DB79ED397A48}">
      <formula1>INDIRECT("xfmr_config")</formula1>
    </dataValidation>
    <dataValidation type="list" allowBlank="1" showInputMessage="1" showErrorMessage="1" sqref="O2:P8 Q2:Q8" xr:uid="{B0646BDA-B820-6F40-8FBB-00C4A9E6A417}">
      <formula1>INDIRECT("Terminals")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3467-53F9-1D42-8F2F-AAAB7E7A2D5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E620-6DAF-9740-B217-2EB0E7DBF9CC}">
  <dimension ref="A1:L10"/>
  <sheetViews>
    <sheetView workbookViewId="0">
      <selection activeCell="G20" sqref="G20"/>
    </sheetView>
  </sheetViews>
  <sheetFormatPr baseColWidth="10" defaultRowHeight="16" x14ac:dyDescent="0.2"/>
  <cols>
    <col min="12" max="12" width="20" customWidth="1"/>
  </cols>
  <sheetData>
    <row r="1" spans="1:12" x14ac:dyDescent="0.2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223</v>
      </c>
      <c r="I1" t="s">
        <v>189</v>
      </c>
      <c r="J1" t="s">
        <v>190</v>
      </c>
      <c r="K1" t="s">
        <v>221</v>
      </c>
      <c r="L1" t="s">
        <v>194</v>
      </c>
    </row>
    <row r="2" spans="1:12" x14ac:dyDescent="0.2">
      <c r="A2">
        <v>120</v>
      </c>
      <c r="B2">
        <v>12.47</v>
      </c>
      <c r="C2">
        <v>2000</v>
      </c>
      <c r="D2">
        <v>2000</v>
      </c>
      <c r="E2" t="s">
        <v>191</v>
      </c>
      <c r="F2" t="s">
        <v>192</v>
      </c>
      <c r="G2">
        <v>3</v>
      </c>
      <c r="H2">
        <v>2</v>
      </c>
      <c r="I2">
        <v>0.35799999999999998</v>
      </c>
      <c r="J2">
        <v>5.6360000000000001</v>
      </c>
      <c r="K2">
        <v>0.1</v>
      </c>
      <c r="L2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3p_120_12.47_2000_dw</v>
      </c>
    </row>
    <row r="3" spans="1:12" x14ac:dyDescent="0.2">
      <c r="A3">
        <v>12.47</v>
      </c>
      <c r="B3">
        <v>0.41599999999999998</v>
      </c>
      <c r="C3">
        <v>500</v>
      </c>
      <c r="D3">
        <v>500</v>
      </c>
      <c r="E3" t="s">
        <v>192</v>
      </c>
      <c r="F3" t="s">
        <v>191</v>
      </c>
      <c r="G3">
        <v>3</v>
      </c>
      <c r="H3">
        <v>2</v>
      </c>
      <c r="I3">
        <v>0.9</v>
      </c>
      <c r="J3">
        <v>4.75</v>
      </c>
      <c r="K3">
        <v>0.1</v>
      </c>
      <c r="L3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3p_12.47_0.416_500_wd</v>
      </c>
    </row>
    <row r="4" spans="1:12" x14ac:dyDescent="0.2">
      <c r="A4">
        <v>12.47</v>
      </c>
      <c r="B4">
        <v>0.41599999999999998</v>
      </c>
      <c r="C4">
        <v>300</v>
      </c>
      <c r="D4">
        <v>300</v>
      </c>
      <c r="E4" t="s">
        <v>192</v>
      </c>
      <c r="F4" t="s">
        <v>191</v>
      </c>
      <c r="G4">
        <v>3</v>
      </c>
      <c r="H4">
        <v>2</v>
      </c>
      <c r="I4">
        <v>0.7</v>
      </c>
      <c r="J4">
        <v>3.21</v>
      </c>
      <c r="K4">
        <v>0.12</v>
      </c>
      <c r="L4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3p_12.47_0.416_300_wd</v>
      </c>
    </row>
    <row r="5" spans="1:12" x14ac:dyDescent="0.2">
      <c r="A5">
        <v>12.47</v>
      </c>
      <c r="B5">
        <v>0.41599999999999998</v>
      </c>
      <c r="C5">
        <v>150</v>
      </c>
      <c r="D5">
        <v>150</v>
      </c>
      <c r="E5" t="s">
        <v>192</v>
      </c>
      <c r="F5" t="s">
        <v>191</v>
      </c>
      <c r="G5">
        <v>3</v>
      </c>
      <c r="H5">
        <v>2</v>
      </c>
      <c r="I5">
        <v>1</v>
      </c>
      <c r="J5">
        <v>1.9</v>
      </c>
      <c r="K5">
        <v>0.18</v>
      </c>
      <c r="L5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3p_12.47_0.416_150_wd</v>
      </c>
    </row>
    <row r="6" spans="1:12" x14ac:dyDescent="0.2">
      <c r="A6">
        <v>7.2</v>
      </c>
      <c r="B6">
        <v>0.24</v>
      </c>
      <c r="C6">
        <v>100</v>
      </c>
      <c r="D6">
        <v>100</v>
      </c>
      <c r="E6" t="s">
        <v>192</v>
      </c>
      <c r="F6" t="s">
        <v>192</v>
      </c>
      <c r="G6">
        <v>1</v>
      </c>
      <c r="H6">
        <v>2</v>
      </c>
      <c r="I6">
        <v>0.8</v>
      </c>
      <c r="J6">
        <v>2.2000000000000002</v>
      </c>
      <c r="K6">
        <v>0.2</v>
      </c>
      <c r="L6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1p_7.2_0.24_100_ww</v>
      </c>
    </row>
    <row r="7" spans="1:12" x14ac:dyDescent="0.2">
      <c r="A7">
        <v>7.2</v>
      </c>
      <c r="B7">
        <v>0.24</v>
      </c>
      <c r="C7">
        <v>75</v>
      </c>
      <c r="D7">
        <v>75</v>
      </c>
      <c r="E7" t="s">
        <v>192</v>
      </c>
      <c r="F7" t="s">
        <v>192</v>
      </c>
      <c r="G7">
        <v>1</v>
      </c>
      <c r="H7">
        <v>2</v>
      </c>
      <c r="I7">
        <v>1</v>
      </c>
      <c r="J7">
        <v>2</v>
      </c>
      <c r="K7">
        <v>0.2</v>
      </c>
      <c r="L7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1p_7.2_0.24_75_ww</v>
      </c>
    </row>
    <row r="8" spans="1:12" x14ac:dyDescent="0.2">
      <c r="A8">
        <v>12.47</v>
      </c>
      <c r="B8">
        <v>0.41599999999999998</v>
      </c>
      <c r="C8">
        <v>75</v>
      </c>
      <c r="D8">
        <v>75</v>
      </c>
      <c r="E8" t="s">
        <v>191</v>
      </c>
      <c r="F8" t="s">
        <v>191</v>
      </c>
      <c r="G8">
        <v>2</v>
      </c>
      <c r="H8">
        <v>2</v>
      </c>
      <c r="I8">
        <v>1</v>
      </c>
      <c r="J8">
        <v>2</v>
      </c>
      <c r="K8">
        <v>0.18</v>
      </c>
      <c r="L8" t="str">
        <f>_xlfn.CONCAT(xfmr_info[[#This Row],[Phases]],"p_",xfmr_info[[#This Row],[kV_hv]],"_",xfmr_info[[#This Row],[kV_lv]],"_",xfmr_info[[#This Row],[kVA_hv]],"_",LEFT(xfmr_info[[#This Row],[Conn_hv]],1),LEFT(xfmr_info[[#This Row],[Conn_lv]],1))</f>
        <v>2p_12.47_0.416_75_dd</v>
      </c>
    </row>
    <row r="9" spans="1:12" x14ac:dyDescent="0.2">
      <c r="A9">
        <v>7.2</v>
      </c>
      <c r="B9">
        <v>0.24</v>
      </c>
      <c r="C9">
        <v>50</v>
      </c>
      <c r="D9">
        <v>50</v>
      </c>
      <c r="E9" t="s">
        <v>192</v>
      </c>
      <c r="F9" t="s">
        <v>192</v>
      </c>
      <c r="G9">
        <v>1</v>
      </c>
      <c r="H9">
        <v>2</v>
      </c>
      <c r="I9">
        <v>1.2</v>
      </c>
      <c r="J9">
        <v>2</v>
      </c>
      <c r="K9">
        <v>0.2</v>
      </c>
      <c r="L9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1p_7.2_0.24_50_ww</v>
      </c>
    </row>
    <row r="10" spans="1:12" x14ac:dyDescent="0.2">
      <c r="A10">
        <v>7.2</v>
      </c>
      <c r="B10">
        <v>0.24</v>
      </c>
      <c r="C10">
        <v>25</v>
      </c>
      <c r="D10">
        <v>25</v>
      </c>
      <c r="E10" t="s">
        <v>192</v>
      </c>
      <c r="F10" t="s">
        <v>192</v>
      </c>
      <c r="G10">
        <v>1</v>
      </c>
      <c r="H10">
        <v>2</v>
      </c>
      <c r="I10">
        <v>1.6</v>
      </c>
      <c r="J10">
        <v>2.5</v>
      </c>
      <c r="K10">
        <v>0.2</v>
      </c>
      <c r="L10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1p_7.2_0.24_25_ww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CFF8-7828-B948-AF88-0BAE820E01A6}">
  <dimension ref="A1:F28"/>
  <sheetViews>
    <sheetView workbookViewId="0">
      <selection activeCell="F5" sqref="F5"/>
    </sheetView>
  </sheetViews>
  <sheetFormatPr baseColWidth="10" defaultRowHeight="16" x14ac:dyDescent="0.2"/>
  <sheetData>
    <row r="1" spans="1:6" x14ac:dyDescent="0.2">
      <c r="A1" s="11" t="s">
        <v>151</v>
      </c>
      <c r="B1" s="11" t="s">
        <v>188</v>
      </c>
      <c r="C1" s="11" t="s">
        <v>159</v>
      </c>
      <c r="D1" s="11" t="s">
        <v>160</v>
      </c>
      <c r="E1" s="20" t="s">
        <v>233</v>
      </c>
      <c r="F1" s="20" t="s">
        <v>234</v>
      </c>
    </row>
    <row r="2" spans="1:6" x14ac:dyDescent="0.2">
      <c r="A2" s="10" t="s">
        <v>125</v>
      </c>
      <c r="B2" s="10">
        <f>_xlfn.XLOOKUP(Loads[[#This Row],[Bus]],Lines[bus2],Lines[phases],_xlfn.XLOOKUP(Loads[[#This Row],[Bus]],xfmrs[bus2],xfmrs[phases],0,0),0)</f>
        <v>2</v>
      </c>
      <c r="C2" s="10">
        <v>7</v>
      </c>
      <c r="D2" s="10">
        <v>2</v>
      </c>
      <c r="E2" s="21">
        <v>1.3</v>
      </c>
      <c r="F2" s="10">
        <v>0.24</v>
      </c>
    </row>
    <row r="3" spans="1:6" x14ac:dyDescent="0.2">
      <c r="A3" s="10" t="s">
        <v>126</v>
      </c>
      <c r="B3" s="10">
        <f>_xlfn.XLOOKUP(Loads[[#This Row],[Bus]],Lines[bus2],Lines[phases],_xlfn.XLOOKUP(Loads[[#This Row],[Bus]],xfmrs[bus2],xfmrs[phases],0,0),0)</f>
        <v>2</v>
      </c>
      <c r="C3" s="10">
        <v>6</v>
      </c>
      <c r="D3" s="10">
        <v>2</v>
      </c>
      <c r="E3" s="21">
        <v>1.3</v>
      </c>
      <c r="F3" s="10">
        <v>0.24</v>
      </c>
    </row>
    <row r="4" spans="1:6" x14ac:dyDescent="0.2">
      <c r="A4" s="10" t="s">
        <v>127</v>
      </c>
      <c r="B4" s="10">
        <f>_xlfn.XLOOKUP(Loads[[#This Row],[Bus]],Lines[bus2],Lines[phases],_xlfn.XLOOKUP(Loads[[#This Row],[Bus]],xfmrs[bus2],xfmrs[phases],0,0),0)</f>
        <v>2</v>
      </c>
      <c r="C4" s="10">
        <v>15</v>
      </c>
      <c r="D4" s="10">
        <v>4.5</v>
      </c>
      <c r="E4" s="21">
        <v>1.3</v>
      </c>
      <c r="F4" s="10">
        <v>0.24</v>
      </c>
    </row>
    <row r="5" spans="1:6" x14ac:dyDescent="0.2">
      <c r="A5" s="10" t="s">
        <v>123</v>
      </c>
      <c r="B5" s="10">
        <f>_xlfn.XLOOKUP(Loads[[#This Row],[Bus]],Lines[bus2],Lines[phases],_xlfn.XLOOKUP(Loads[[#This Row],[Bus]],xfmrs[bus2],xfmrs[phases],0,0),0)</f>
        <v>2</v>
      </c>
      <c r="C5" s="10">
        <v>10</v>
      </c>
      <c r="D5" s="10">
        <v>4</v>
      </c>
      <c r="E5" s="21">
        <v>1.3</v>
      </c>
      <c r="F5" s="10">
        <v>0.24</v>
      </c>
    </row>
    <row r="6" spans="1:6" x14ac:dyDescent="0.2">
      <c r="A6" s="10" t="s">
        <v>155</v>
      </c>
      <c r="B6" s="10">
        <f>_xlfn.XLOOKUP(Loads[[#This Row],[Bus]],Lines[bus2],Lines[phases],_xlfn.XLOOKUP(Loads[[#This Row],[Bus]],xfmrs[bus2],xfmrs[phases],0,0),0)</f>
        <v>3</v>
      </c>
      <c r="C6" s="10">
        <v>50</v>
      </c>
      <c r="D6" s="10">
        <v>20</v>
      </c>
      <c r="E6" s="21" t="s">
        <v>209</v>
      </c>
      <c r="F6" s="10">
        <v>0.41599999999999998</v>
      </c>
    </row>
    <row r="7" spans="1:6" x14ac:dyDescent="0.2">
      <c r="A7" s="10" t="s">
        <v>129</v>
      </c>
      <c r="B7" s="10">
        <f>_xlfn.XLOOKUP(Loads[[#This Row],[Bus]],Lines[bus2],Lines[phases],_xlfn.XLOOKUP(Loads[[#This Row],[Bus]],xfmrs[bus2],xfmrs[phases],0,0),0)</f>
        <v>2</v>
      </c>
      <c r="C7" s="10">
        <v>2</v>
      </c>
      <c r="D7" s="10">
        <v>0.5</v>
      </c>
      <c r="E7" s="21">
        <v>1.3</v>
      </c>
      <c r="F7" s="10">
        <v>0.24</v>
      </c>
    </row>
    <row r="8" spans="1:6" x14ac:dyDescent="0.2">
      <c r="A8" s="10" t="s">
        <v>130</v>
      </c>
      <c r="B8" s="10">
        <f>_xlfn.XLOOKUP(Loads[[#This Row],[Bus]],Lines[bus2],Lines[phases],_xlfn.XLOOKUP(Loads[[#This Row],[Bus]],xfmrs[bus2],xfmrs[phases],0,0),0)</f>
        <v>2</v>
      </c>
      <c r="C8" s="10">
        <v>3</v>
      </c>
      <c r="D8" s="10">
        <v>1</v>
      </c>
      <c r="E8" s="21">
        <v>1.3</v>
      </c>
      <c r="F8" s="10">
        <v>0.24</v>
      </c>
    </row>
    <row r="9" spans="1:6" x14ac:dyDescent="0.2">
      <c r="A9" s="10" t="s">
        <v>131</v>
      </c>
      <c r="B9" s="10">
        <f>_xlfn.XLOOKUP(Loads[[#This Row],[Bus]],Lines[bus2],Lines[phases],_xlfn.XLOOKUP(Loads[[#This Row],[Bus]],xfmrs[bus2],xfmrs[phases],0,0),0)</f>
        <v>2</v>
      </c>
      <c r="C9" s="10">
        <v>10</v>
      </c>
      <c r="D9" s="10">
        <v>4</v>
      </c>
      <c r="E9" s="21">
        <v>1.3</v>
      </c>
      <c r="F9" s="10">
        <v>0.24</v>
      </c>
    </row>
    <row r="10" spans="1:6" x14ac:dyDescent="0.2">
      <c r="A10" s="10" t="s">
        <v>112</v>
      </c>
      <c r="B10" s="10">
        <f>_xlfn.XLOOKUP(Loads[[#This Row],[Bus]],Lines[bus2],Lines[phases],_xlfn.XLOOKUP(Loads[[#This Row],[Bus]],xfmrs[bus2],xfmrs[phases],0,0),0)</f>
        <v>3</v>
      </c>
      <c r="C10" s="10">
        <v>70</v>
      </c>
      <c r="D10" s="10">
        <v>10</v>
      </c>
      <c r="E10" s="21" t="s">
        <v>209</v>
      </c>
      <c r="F10" s="10">
        <v>12.47</v>
      </c>
    </row>
    <row r="11" spans="1:6" x14ac:dyDescent="0.2">
      <c r="A11" s="10" t="s">
        <v>114</v>
      </c>
      <c r="B11" s="10">
        <f>_xlfn.XLOOKUP(Loads[[#This Row],[Bus]],Lines[bus2],Lines[phases],_xlfn.XLOOKUP(Loads[[#This Row],[Bus]],xfmrs[bus2],xfmrs[phases],0,0),0)</f>
        <v>3</v>
      </c>
      <c r="C11" s="10">
        <v>30</v>
      </c>
      <c r="D11" s="10">
        <v>13</v>
      </c>
      <c r="E11" s="21" t="s">
        <v>209</v>
      </c>
      <c r="F11" s="10">
        <v>12.47</v>
      </c>
    </row>
    <row r="12" spans="1:6" x14ac:dyDescent="0.2">
      <c r="A12" s="10" t="s">
        <v>117</v>
      </c>
      <c r="B12" s="10">
        <f>_xlfn.XLOOKUP(Loads[[#This Row],[Bus]],Lines[bus2],Lines[phases],_xlfn.XLOOKUP(Loads[[#This Row],[Bus]],xfmrs[bus2],xfmrs[phases],0,0),0)</f>
        <v>3</v>
      </c>
      <c r="C12" s="10">
        <v>60</v>
      </c>
      <c r="D12" s="10">
        <v>20</v>
      </c>
      <c r="E12" s="21" t="s">
        <v>209</v>
      </c>
      <c r="F12" s="10">
        <v>12.47</v>
      </c>
    </row>
    <row r="13" spans="1:6" x14ac:dyDescent="0.2">
      <c r="A13" s="10" t="s">
        <v>157</v>
      </c>
      <c r="B13" s="10">
        <f>_xlfn.XLOOKUP(Loads[[#This Row],[Bus]],Lines[bus2],Lines[phases],_xlfn.XLOOKUP(Loads[[#This Row],[Bus]],xfmrs[bus2],xfmrs[phases],0,0),0)</f>
        <v>3</v>
      </c>
      <c r="C13" s="10">
        <v>60</v>
      </c>
      <c r="D13" s="10">
        <v>15</v>
      </c>
      <c r="E13" s="21" t="s">
        <v>209</v>
      </c>
      <c r="F13" s="10">
        <v>0.41599999999999998</v>
      </c>
    </row>
    <row r="14" spans="1:6" x14ac:dyDescent="0.2">
      <c r="A14" s="10" t="s">
        <v>132</v>
      </c>
      <c r="B14" s="10">
        <f>_xlfn.XLOOKUP(Loads[[#This Row],[Bus]],Lines[bus2],Lines[phases],_xlfn.XLOOKUP(Loads[[#This Row],[Bus]],xfmrs[bus2],xfmrs[phases],0,0),0)</f>
        <v>1</v>
      </c>
      <c r="C14" s="10">
        <v>130</v>
      </c>
      <c r="D14" s="10">
        <v>35</v>
      </c>
      <c r="E14" s="21">
        <v>2</v>
      </c>
      <c r="F14" s="10">
        <v>7.2</v>
      </c>
    </row>
    <row r="15" spans="1:6" x14ac:dyDescent="0.2">
      <c r="A15" s="10" t="s">
        <v>133</v>
      </c>
      <c r="B15" s="10">
        <f>_xlfn.XLOOKUP(Loads[[#This Row],[Bus]],Lines[bus2],Lines[phases],_xlfn.XLOOKUP(Loads[[#This Row],[Bus]],xfmrs[bus2],xfmrs[phases],0,0),0)</f>
        <v>1</v>
      </c>
      <c r="C15" s="10">
        <v>90</v>
      </c>
      <c r="D15" s="10">
        <v>33</v>
      </c>
      <c r="E15" s="21">
        <v>2</v>
      </c>
      <c r="F15" s="10">
        <v>7.2</v>
      </c>
    </row>
    <row r="16" spans="1:6" x14ac:dyDescent="0.2">
      <c r="A16" s="10" t="s">
        <v>158</v>
      </c>
      <c r="B16" s="10">
        <f>_xlfn.XLOOKUP(Loads[[#This Row],[Bus]],Lines[bus2],Lines[phases],_xlfn.XLOOKUP(Loads[[#This Row],[Bus]],xfmrs[bus2],xfmrs[phases],0,0),0)</f>
        <v>3</v>
      </c>
      <c r="C16" s="10">
        <v>115</v>
      </c>
      <c r="D16" s="10">
        <v>60</v>
      </c>
      <c r="E16" s="21" t="s">
        <v>209</v>
      </c>
      <c r="F16" s="10">
        <v>0.41599999999999998</v>
      </c>
    </row>
    <row r="17" spans="1:6" x14ac:dyDescent="0.2">
      <c r="A17" s="10" t="s">
        <v>139</v>
      </c>
      <c r="B17" s="10">
        <f>_xlfn.XLOOKUP(Loads[[#This Row],[Bus]],Lines[bus2],Lines[phases],_xlfn.XLOOKUP(Loads[[#This Row],[Bus]],xfmrs[bus2],xfmrs[phases],0,0),0)</f>
        <v>3</v>
      </c>
      <c r="C17" s="10">
        <v>66</v>
      </c>
      <c r="D17" s="10">
        <v>23</v>
      </c>
      <c r="E17" s="21" t="s">
        <v>209</v>
      </c>
      <c r="F17" s="10">
        <v>12.47</v>
      </c>
    </row>
    <row r="18" spans="1:6" x14ac:dyDescent="0.2">
      <c r="A18" s="10" t="s">
        <v>142</v>
      </c>
      <c r="B18" s="10">
        <f>_xlfn.XLOOKUP(Loads[[#This Row],[Bus]],Lines[bus2],Lines[phases],_xlfn.XLOOKUP(Loads[[#This Row],[Bus]],xfmrs[bus2],xfmrs[phases],0,0),0)</f>
        <v>3</v>
      </c>
      <c r="C18" s="10">
        <v>70</v>
      </c>
      <c r="D18" s="10">
        <v>20</v>
      </c>
      <c r="E18" s="21" t="s">
        <v>209</v>
      </c>
      <c r="F18" s="10">
        <v>12.47</v>
      </c>
    </row>
    <row r="19" spans="1:6" x14ac:dyDescent="0.2">
      <c r="A19" s="10" t="s">
        <v>143</v>
      </c>
      <c r="B19" s="10">
        <f>_xlfn.XLOOKUP(Loads[[#This Row],[Bus]],Lines[bus2],Lines[phases],_xlfn.XLOOKUP(Loads[[#This Row],[Bus]],xfmrs[bus2],xfmrs[phases],0,0),0)</f>
        <v>3</v>
      </c>
      <c r="C19" s="10">
        <v>25</v>
      </c>
      <c r="D19" s="10">
        <v>10</v>
      </c>
      <c r="E19" s="21" t="s">
        <v>209</v>
      </c>
      <c r="F19" s="10">
        <v>12.47</v>
      </c>
    </row>
    <row r="20" spans="1:6" x14ac:dyDescent="0.2">
      <c r="A20" s="10" t="s">
        <v>144</v>
      </c>
      <c r="B20" s="10">
        <f>_xlfn.XLOOKUP(Loads[[#This Row],[Bus]],Lines[bus2],Lines[phases],_xlfn.XLOOKUP(Loads[[#This Row],[Bus]],xfmrs[bus2],xfmrs[phases],0,0),0)</f>
        <v>3</v>
      </c>
      <c r="C20" s="10">
        <v>35</v>
      </c>
      <c r="D20" s="10">
        <v>12</v>
      </c>
      <c r="E20" s="21" t="s">
        <v>209</v>
      </c>
      <c r="F20" s="10">
        <v>12.47</v>
      </c>
    </row>
    <row r="21" spans="1:6" x14ac:dyDescent="0.2">
      <c r="A21" s="10" t="s">
        <v>146</v>
      </c>
      <c r="B21" s="10">
        <f>_xlfn.XLOOKUP(Loads[[#This Row],[Bus]],Lines[bus2],Lines[phases],_xlfn.XLOOKUP(Loads[[#This Row],[Bus]],xfmrs[bus2],xfmrs[phases],0,0),0)</f>
        <v>1</v>
      </c>
      <c r="C21" s="10">
        <v>30</v>
      </c>
      <c r="D21" s="10">
        <v>16</v>
      </c>
      <c r="E21" s="21">
        <v>2</v>
      </c>
      <c r="F21" s="10">
        <v>7.2</v>
      </c>
    </row>
    <row r="22" spans="1:6" x14ac:dyDescent="0.2">
      <c r="A22" s="10" t="s">
        <v>147</v>
      </c>
      <c r="B22" s="10">
        <f>_xlfn.XLOOKUP(Loads[[#This Row],[Bus]],Lines[bus2],Lines[phases],_xlfn.XLOOKUP(Loads[[#This Row],[Bus]],xfmrs[bus2],xfmrs[phases],0,0),0)</f>
        <v>1</v>
      </c>
      <c r="C22" s="10">
        <v>95</v>
      </c>
      <c r="D22" s="10">
        <v>25</v>
      </c>
      <c r="E22" s="21">
        <v>2</v>
      </c>
      <c r="F22" s="10">
        <v>7.2</v>
      </c>
    </row>
    <row r="23" spans="1:6" x14ac:dyDescent="0.2">
      <c r="A23" s="10" t="s">
        <v>148</v>
      </c>
      <c r="B23" s="10">
        <f>_xlfn.XLOOKUP(Loads[[#This Row],[Bus]],Lines[bus2],Lines[phases],_xlfn.XLOOKUP(Loads[[#This Row],[Bus]],xfmrs[bus2],xfmrs[phases],0,0),0)</f>
        <v>1</v>
      </c>
      <c r="C23" s="10">
        <v>40</v>
      </c>
      <c r="D23" s="10">
        <v>16</v>
      </c>
      <c r="E23" s="21">
        <v>2</v>
      </c>
      <c r="F23" s="10">
        <v>7.2</v>
      </c>
    </row>
    <row r="24" spans="1:6" x14ac:dyDescent="0.2">
      <c r="A24" s="10" t="s">
        <v>135</v>
      </c>
      <c r="B24" s="10">
        <f>_xlfn.XLOOKUP(Loads[[#This Row],[Bus]],Lines[bus2],Lines[phases],_xlfn.XLOOKUP(Loads[[#This Row],[Bus]],xfmrs[bus2],xfmrs[phases],0,0),0)</f>
        <v>1</v>
      </c>
      <c r="C24" s="10">
        <v>7</v>
      </c>
      <c r="D24" s="10">
        <v>2</v>
      </c>
      <c r="E24" s="21">
        <v>2</v>
      </c>
      <c r="F24" s="10">
        <v>0.24</v>
      </c>
    </row>
    <row r="25" spans="1:6" x14ac:dyDescent="0.2">
      <c r="A25" s="10" t="s">
        <v>136</v>
      </c>
      <c r="B25" s="10">
        <f>_xlfn.XLOOKUP(Loads[[#This Row],[Bus]],Lines[bus2],Lines[phases],_xlfn.XLOOKUP(Loads[[#This Row],[Bus]],xfmrs[bus2],xfmrs[phases],0,0),0)</f>
        <v>1</v>
      </c>
      <c r="C25" s="10">
        <v>6</v>
      </c>
      <c r="D25" s="10">
        <v>3</v>
      </c>
      <c r="E25" s="21">
        <v>2</v>
      </c>
      <c r="F25" s="10">
        <v>0.24</v>
      </c>
    </row>
    <row r="26" spans="1:6" x14ac:dyDescent="0.2">
      <c r="A26" s="10" t="s">
        <v>137</v>
      </c>
      <c r="B26" s="10">
        <f>_xlfn.XLOOKUP(Loads[[#This Row],[Bus]],Lines[bus2],Lines[phases],_xlfn.XLOOKUP(Loads[[#This Row],[Bus]],xfmrs[bus2],xfmrs[phases],0,0),0)</f>
        <v>1</v>
      </c>
      <c r="C26" s="10">
        <v>7</v>
      </c>
      <c r="D26" s="10">
        <v>2</v>
      </c>
      <c r="E26" s="21">
        <v>2</v>
      </c>
      <c r="F26" s="10">
        <v>0.24</v>
      </c>
    </row>
    <row r="27" spans="1:6" x14ac:dyDescent="0.2">
      <c r="A27" s="10" t="s">
        <v>138</v>
      </c>
      <c r="B27" s="10">
        <f>_xlfn.XLOOKUP(Loads[[#This Row],[Bus]],Lines[bus2],Lines[phases],_xlfn.XLOOKUP(Loads[[#This Row],[Bus]],xfmrs[bus2],xfmrs[phases],0,0),0)</f>
        <v>1</v>
      </c>
      <c r="C27" s="10">
        <v>14</v>
      </c>
      <c r="D27" s="10">
        <v>7</v>
      </c>
      <c r="E27" s="21">
        <v>2</v>
      </c>
      <c r="F27" s="10">
        <v>0.24</v>
      </c>
    </row>
    <row r="28" spans="1:6" x14ac:dyDescent="0.2">
      <c r="A28" s="10" t="s">
        <v>161</v>
      </c>
      <c r="B28" s="10">
        <f>_xlfn.XLOOKUP(Loads[[#This Row],[Bus]],Lines[bus2],Lines[phases],_xlfn.XLOOKUP(Loads[[#This Row],[Bus]],xfmrs[bus2],xfmrs[phases],0,0),0)</f>
        <v>3</v>
      </c>
      <c r="C28" s="10">
        <v>140</v>
      </c>
      <c r="D28" s="10">
        <v>70</v>
      </c>
      <c r="E28" s="21" t="s">
        <v>209</v>
      </c>
      <c r="F28" s="10">
        <v>0.41599999999999998</v>
      </c>
    </row>
  </sheetData>
  <phoneticPr fontId="3" type="noConversion"/>
  <dataValidations count="2">
    <dataValidation type="list" allowBlank="1" showInputMessage="1" showErrorMessage="1" sqref="A2:A28" xr:uid="{2CD306AF-C17F-0245-A541-447F0C38ED7C}">
      <formula1>INDIRECT("Buses[Bus]")</formula1>
    </dataValidation>
    <dataValidation type="list" allowBlank="1" showInputMessage="1" showErrorMessage="1" sqref="E2:E28" xr:uid="{6A80706E-2360-C14F-AB3A-5ADD747CB583}">
      <formula1>INDIRECT("Terminals")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C359-2114-0F40-A6CA-BD1154039BEE}">
  <dimension ref="A1:H2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t="s">
        <v>206</v>
      </c>
      <c r="B1" t="s">
        <v>207</v>
      </c>
      <c r="C1" t="s">
        <v>202</v>
      </c>
      <c r="D1" t="s">
        <v>195</v>
      </c>
      <c r="E1" t="s">
        <v>203</v>
      </c>
      <c r="F1" t="s">
        <v>204</v>
      </c>
      <c r="G1" t="s">
        <v>205</v>
      </c>
      <c r="H1" t="s">
        <v>208</v>
      </c>
    </row>
    <row r="2" spans="1:8" x14ac:dyDescent="0.2">
      <c r="A2" t="s">
        <v>154</v>
      </c>
      <c r="B2">
        <v>120</v>
      </c>
      <c r="C2">
        <v>1.0329999999999999</v>
      </c>
      <c r="D2">
        <v>3</v>
      </c>
      <c r="E2">
        <v>0.3</v>
      </c>
      <c r="F2">
        <v>0.3</v>
      </c>
      <c r="G2">
        <v>0.7</v>
      </c>
      <c r="H2">
        <v>0.7</v>
      </c>
    </row>
  </sheetData>
  <dataValidations count="1">
    <dataValidation type="list" allowBlank="1" showInputMessage="1" showErrorMessage="1" sqref="A2" xr:uid="{0468B437-E2D3-304F-BB27-E264FA9991A9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Buses</vt:lpstr>
      <vt:lpstr>LineGeometry</vt:lpstr>
      <vt:lpstr>Lines</vt:lpstr>
      <vt:lpstr>Regulators</vt:lpstr>
      <vt:lpstr>Transformers</vt:lpstr>
      <vt:lpstr>Meters</vt:lpstr>
      <vt:lpstr>Transformer Info</vt:lpstr>
      <vt:lpstr>Loads</vt:lpstr>
      <vt:lpstr>circuit</vt:lpstr>
      <vt:lpstr>Ref</vt:lpstr>
      <vt:lpstr>WireData</vt:lpstr>
      <vt:lpstr>CNData</vt:lpstr>
      <vt:lpstr>TSData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Spencer Egan</cp:lastModifiedBy>
  <dcterms:created xsi:type="dcterms:W3CDTF">2022-10-08T11:59:03Z</dcterms:created>
  <dcterms:modified xsi:type="dcterms:W3CDTF">2022-11-18T16:53:15Z</dcterms:modified>
</cp:coreProperties>
</file>