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72CD6436-E154-8E48-9A6D-9F2FD5B9F630}" xr6:coauthVersionLast="47" xr6:coauthVersionMax="47" xr10:uidLastSave="{00000000-0000-0000-0000-000000000000}"/>
  <bookViews>
    <workbookView xWindow="6640" yWindow="760" windowWidth="23600" windowHeight="17440" activeTab="6" xr2:uid="{7AEC5E2E-397B-8345-871E-9ED757579969}"/>
  </bookViews>
  <sheets>
    <sheet name="Buses" sheetId="7" r:id="rId1"/>
    <sheet name="LineGeometry" sheetId="1" r:id="rId2"/>
    <sheet name="Lines" sheetId="6" r:id="rId3"/>
    <sheet name="Loads" sheetId="8" r:id="rId4"/>
    <sheet name="Ref" sheetId="5" r:id="rId5"/>
    <sheet name="WireData" sheetId="2" r:id="rId6"/>
    <sheet name="CNData" sheetId="3" r:id="rId7"/>
    <sheet name="TSData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R2" i="3" s="1"/>
  <c r="D3" i="3"/>
  <c r="R3" i="3" s="1"/>
  <c r="D4" i="3"/>
  <c r="Q4" i="3" s="1"/>
  <c r="D5" i="3"/>
  <c r="Q5" i="3" s="1"/>
  <c r="D6" i="3"/>
  <c r="Q6" i="3" s="1"/>
  <c r="D7" i="3"/>
  <c r="Q7" i="3" s="1"/>
  <c r="D8" i="3"/>
  <c r="N8" i="3" s="1"/>
  <c r="D9" i="3"/>
  <c r="N9" i="3" s="1"/>
  <c r="D10" i="3"/>
  <c r="N10" i="3" s="1"/>
  <c r="D11" i="3"/>
  <c r="R11" i="3" s="1"/>
  <c r="D12" i="3"/>
  <c r="R12" i="3" s="1"/>
  <c r="D13" i="3"/>
  <c r="R13" i="3" s="1"/>
  <c r="D14" i="3"/>
  <c r="Q14" i="3" s="1"/>
  <c r="D15" i="3"/>
  <c r="Q15" i="3" s="1"/>
  <c r="D16" i="3"/>
  <c r="Q16" i="3" s="1"/>
  <c r="D17" i="3"/>
  <c r="Q17" i="3" s="1"/>
  <c r="D18" i="3"/>
  <c r="N18" i="3" s="1"/>
  <c r="D19" i="3"/>
  <c r="N19" i="3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U11" i="3" l="1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9" i="3"/>
  <c r="T18" i="3"/>
  <c r="T8" i="3"/>
  <c r="T17" i="3"/>
  <c r="T7" i="3"/>
  <c r="T16" i="3"/>
  <c r="T6" i="3"/>
  <c r="T15" i="3"/>
  <c r="T5" i="3"/>
  <c r="N11" i="3"/>
  <c r="T14" i="3"/>
  <c r="T4" i="3"/>
  <c r="N2" i="3"/>
  <c r="T13" i="3"/>
  <c r="T3" i="3"/>
  <c r="Q2" i="3"/>
  <c r="T12" i="3"/>
  <c r="T2" i="3"/>
  <c r="N12" i="3"/>
  <c r="S11" i="3"/>
  <c r="N6" i="3"/>
  <c r="S19" i="3"/>
  <c r="S9" i="3"/>
  <c r="N5" i="3"/>
  <c r="S18" i="3"/>
  <c r="S8" i="3"/>
  <c r="S17" i="3"/>
  <c r="S7" i="3"/>
  <c r="O14" i="3"/>
  <c r="S16" i="3"/>
  <c r="S6" i="3"/>
  <c r="O4" i="3"/>
  <c r="S15" i="3"/>
  <c r="S5" i="3"/>
  <c r="Q12" i="3"/>
  <c r="S14" i="3"/>
  <c r="S4" i="3"/>
  <c r="N16" i="3"/>
  <c r="Q11" i="3"/>
  <c r="S13" i="3"/>
  <c r="S3" i="3"/>
  <c r="N15" i="3"/>
  <c r="Q10" i="3"/>
  <c r="S12" i="3"/>
  <c r="S2" i="3"/>
  <c r="N17" i="3"/>
  <c r="N7" i="3"/>
  <c r="O15" i="3"/>
  <c r="O5" i="3"/>
  <c r="Q13" i="3"/>
  <c r="Q3" i="3"/>
  <c r="O13" i="3"/>
  <c r="O3" i="3"/>
  <c r="R19" i="3"/>
  <c r="R9" i="3"/>
  <c r="N14" i="3"/>
  <c r="N4" i="3"/>
  <c r="O12" i="3"/>
  <c r="O2" i="3"/>
  <c r="R18" i="3"/>
  <c r="R8" i="3"/>
  <c r="N13" i="3"/>
  <c r="N3" i="3"/>
  <c r="O11" i="3"/>
  <c r="Q19" i="3"/>
  <c r="Q9" i="3"/>
  <c r="R17" i="3"/>
  <c r="R7" i="3"/>
  <c r="O10" i="3"/>
  <c r="Q18" i="3"/>
  <c r="Q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</calcChain>
</file>

<file path=xl/sharedStrings.xml><?xml version="1.0" encoding="utf-8"?>
<sst xmlns="http://schemas.openxmlformats.org/spreadsheetml/2006/main" count="626" uniqueCount="174">
  <si>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</si>
  <si>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</si>
  <si>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</si>
  <si>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</si>
  <si>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</si>
  <si>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</si>
  <si>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</si>
  <si>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</si>
  <si>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</si>
  <si>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</si>
  <si>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</si>
  <si>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</si>
  <si>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</si>
  <si>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</si>
  <si>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</si>
  <si>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</si>
  <si>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</si>
  <si>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</si>
  <si>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</si>
  <si>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</si>
  <si>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</si>
  <si>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</si>
  <si>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</si>
  <si>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</si>
  <si>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</si>
  <si>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</si>
  <si>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</si>
  <si>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</si>
  <si>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</si>
  <si>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</si>
  <si>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</si>
  <si>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</si>
  <si>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</si>
  <si>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</si>
  <si>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</si>
  <si>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</si>
  <si>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</si>
  <si>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</si>
  <si>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</si>
  <si>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</si>
  <si>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</si>
  <si>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</si>
  <si>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</si>
  <si>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</si>
  <si>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</si>
  <si>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</si>
  <si>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</si>
  <si>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</si>
  <si>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</si>
  <si>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</si>
  <si>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</si>
  <si>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</si>
  <si>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</si>
  <si>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</si>
  <si>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</si>
  <si>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</si>
  <si>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</si>
  <si>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</si>
  <si>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</si>
  <si>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</si>
  <si>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</si>
  <si>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</si>
  <si>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</si>
  <si>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</si>
  <si>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</si>
  <si>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</si>
  <si>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</si>
  <si>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</si>
  <si>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</si>
  <si>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</si>
  <si>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</si>
  <si>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</si>
  <si>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</si>
  <si>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</si>
  <si>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</si>
  <si>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</si>
  <si>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</si>
  <si>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</si>
  <si>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Phases</t>
  </si>
  <si>
    <t>Conductors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</si>
  <si>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</si>
  <si>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</si>
  <si>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</si>
  <si>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</si>
  <si>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</si>
  <si>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</si>
  <si>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</si>
  <si>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</si>
  <si>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</si>
  <si>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</si>
  <si>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</si>
  <si>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</si>
  <si>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</si>
  <si>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</si>
  <si>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</si>
  <si>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</si>
  <si>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</si>
  <si>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</si>
  <si>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</si>
  <si>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</si>
  <si>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</si>
  <si>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</si>
  <si>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</si>
  <si>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</si>
  <si>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</si>
  <si>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</si>
  <si>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</si>
  <si>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</si>
  <si>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</si>
  <si>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</si>
  <si>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</si>
  <si>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</si>
  <si>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</si>
  <si>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</si>
  <si>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</si>
  <si>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</si>
  <si>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</si>
  <si>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</si>
  <si>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</si>
  <si>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</si>
  <si>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</si>
  <si>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</si>
  <si>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</si>
  <si>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</si>
  <si>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</si>
  <si>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</si>
  <si>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</si>
  <si>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</si>
  <si>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</si>
  <si>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</si>
  <si>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</si>
  <si>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</si>
  <si>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</si>
  <si>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</si>
  <si>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</si>
  <si>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</si>
  <si>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</si>
  <si>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</si>
  <si>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</si>
  <si>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</si>
  <si>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</si>
  <si>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</si>
  <si>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</si>
  <si>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</si>
  <si>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</si>
  <si>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</si>
  <si>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</si>
  <si>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</si>
  <si>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</si>
  <si>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</si>
  <si>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</si>
  <si>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</si>
  <si>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</si>
  <si>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</si>
  <si>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</si>
  <si>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</si>
  <si>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</si>
  <si>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</si>
  <si>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</si>
  <si>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</si>
  <si>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</si>
  <si>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</si>
  <si>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</si>
  <si>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</si>
  <si>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</si>
  <si>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</si>
  <si>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</si>
  <si>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phase_conductor</t>
  </si>
  <si>
    <t>neutral_conductor</t>
  </si>
  <si>
    <t>runits</t>
  </si>
  <si>
    <t>diam</t>
  </si>
  <si>
    <t>DiaCable</t>
  </si>
  <si>
    <t>DiaIns</t>
  </si>
  <si>
    <t>DiaStrand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</si>
</sst>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0" xfId="0" applyFill="1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3" xfId="0" applyFont="1" applyFill="1" applyBorder="1"/>
    <xf numFmtId="49" fontId="0" fillId="0" borderId="0" xfId="0" applyNumberFormat="1" applyFont="1" applyFill="1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4" fillId="0" borderId="0" xfId="0" applyFont="1"/>
    <xf numFmtId="0" fontId="2" fillId="0" borderId="0" xfId="0" applyFont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7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10"/>
    <tableColumn id="2" xr3:uid="{41D4B11A-15CC-A540-9052-95C4F3006357}" name="Graph_Loc_x" dataDxfId="9"/>
    <tableColumn id="3" xr3:uid="{871540F1-C33C-6346-9F71-C67E6A5F5C63}" name="Graph_Loc_y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O6" totalsRowShown="0">
  <autoFilter ref="A1:O6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2280FF94-C83E-444E-8E42-3510351A4DF6}" name="LineGeo"/>
    <tableColumn id="2" xr3:uid="{3DDFC765-300B-7846-9085-AB03B6A261F4}" name="Type"/>
    <tableColumn id="3" xr3:uid="{02F910B6-BE16-CE4C-89A1-71F43049235B}" name="phase_conductor"/>
    <tableColumn id="4" xr3:uid="{520CD3FE-AB23-3943-8829-73CAAC013F53}" name="neutral_conductor" dataDxfId="35">
      <calculatedColumnFormula>IF(LineGeo[[#This Row],[Type]]="OH",1,0)</calculatedColumnFormula>
    </tableColumn>
    <tableColumn id="13" xr3:uid="{DE9BDE1B-5E39-604D-9957-E0C3A3473BC8}" name="Phases"/>
    <tableColumn id="14" xr3:uid="{A59E67A1-D1C4-254C-9BE2-796679103A71}" name="Conductor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Table7" displayName="Table7" ref="A1:E38" totalsRowShown="0" headerRowDxfId="12" dataDxfId="13">
  <autoFilter ref="A1:E38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26205E-98EF-F34B-B24D-F8218A008415}" name="bus1" dataDxfId="17"/>
    <tableColumn id="2" xr3:uid="{D2CD9147-9358-C04D-8316-3FB3A9A16CB0}" name="bus2" dataDxfId="16"/>
    <tableColumn id="3" xr3:uid="{99BA8C9D-330B-A24F-BC6C-A45D5466D8F3}" name="Length" dataDxfId="15"/>
    <tableColumn id="4" xr3:uid="{24B6C05D-6629-B248-BB9C-1AF1BAA7ADB7}" name="LineGeometry" dataDxfId="14"/>
    <tableColumn id="5" xr3:uid="{CDFF2292-878E-CE4B-BF6E-6CE7168C35B8}" name="Unit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Table9" displayName="Table9" ref="A1:C28" totalsRowShown="0" headerRowDxfId="2" dataDxfId="3">
  <autoFilter ref="A1:C28" xr:uid="{CDAC5F4F-CC5E-714A-A10A-32F2E90176D7}">
    <filterColumn colId="0" hiddenButton="1"/>
    <filterColumn colId="1" hiddenButton="1"/>
    <filterColumn colId="2" hiddenButton="1"/>
  </autoFilter>
  <tableColumns count="3">
    <tableColumn id="1" xr3:uid="{49EC89B8-2142-0A4A-B8EF-264BCDD715FA}" name="Bus" dataDxfId="6"/>
    <tableColumn id="2" xr3:uid="{13C1D0C2-6357-484D-ADEB-105711D6B1A5}" name="kW" dataDxfId="5"/>
    <tableColumn id="3" xr3:uid="{A5C493EA-CBB6-854A-A97A-1FDDCAB8D84F}" name="kVAr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2:C8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27">
      <calculatedColumnFormula>_xlfn.CONCAT(OH[[#This Row],[Size]], "_",OH[[#This Row],[Stranding]], "_", OH[[#This Row],[Material]])</calculatedColumnFormula>
    </tableColumn>
    <tableColumn id="2" xr3:uid="{B69CA351-3694-B545-8563-7479CF50BC67}" name="Size" dataDxfId="26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34">
      <calculatedColumnFormula>"ft"</calculatedColumnFormula>
    </tableColumn>
    <tableColumn id="14" xr3:uid="{2AEFB39D-D6D8-D14D-A990-9BB4F5164639}" name="runits" dataDxfId="33">
      <calculatedColumnFormula>"mi"</calculatedColumnFormula>
    </tableColumn>
    <tableColumn id="15" xr3:uid="{21A61F38-5A94-2142-A9A8-D6E0BB77AB1E}" name="Size_Material" dataDxfId="25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47" dataDxfId="46" tableBorderDxfId="55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38">
      <calculatedColumnFormula>_xlfn.CONCAT(CN[[#This Row],[Neutral Ampacity]], "_", CN[[#This Row],[Conductor Size]])</calculatedColumnFormula>
    </tableColumn>
    <tableColumn id="1" xr3:uid="{1DFBB787-8CEC-A946-969E-C8B3E35D5AEB}" name="Neutral Ampacity" dataDxfId="54"/>
    <tableColumn id="2" xr3:uid="{EFDAEEF3-E5BA-4B49-BA44-2340320EA290}" name="Conductor Size" dataDxfId="53"/>
    <tableColumn id="18" xr3:uid="{703A2A0A-5882-4349-9ACB-A05C1C032238}" name="Phase Conductor Name" dataDxfId="24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2"/>
    <tableColumn id="4" xr3:uid="{D154B6B5-D516-AC44-879B-B0BC6ACADF64}" name="Diameter Over Screen (in)" dataDxfId="51"/>
    <tableColumn id="5" xr3:uid="{51092775-E14C-4945-BD12-6F609313AC1A}" name="DiaCable" dataDxfId="50"/>
    <tableColumn id="6" xr3:uid="{FE25AF87-2C02-C642-B28A-81AF2224011F}" name="Copper Neutral" dataDxfId="49"/>
    <tableColumn id="7" xr3:uid="{167EFF3D-5388-5C47-9405-F0CE90C78333}" name="Ampacity in Underground Duct (A)" dataDxfId="48"/>
    <tableColumn id="8" xr3:uid="{D4CA2780-FAB4-FE44-BAA2-A16B53A68DE8}" name="Voltage Rating (kV)" dataDxfId="32"/>
    <tableColumn id="11" xr3:uid="{830817DB-B122-D444-8DFC-58C1CE7D7901}" name="Neutral Strand AWG" dataDxfId="30" dataCellStyle="Percent">
      <calculatedColumnFormula>VALUE(RIGHT(CN[[#This Row],[Copper Neutral]],2))</calculatedColumnFormula>
    </tableColumn>
    <tableColumn id="10" xr3:uid="{A0775550-BA03-5542-A01E-64482C59971C}" name="Rstrand" dataDxfId="31">
      <calculatedColumnFormula>_xlfn.XLOOKUP(CN[[#This Row],[Neutral Strand AWG]], OH[Size], OH[rac])</calculatedColumnFormula>
    </tableColumn>
    <tableColumn id="12" xr3:uid="{4B541559-291A-4941-9353-F59C621A9E18}" name="k" dataDxfId="29">
      <calculatedColumnFormula>VALUE(LEFT(CN[[#This Row],[Copper Neutral]], SEARCH(" ",CN[[#This Row],[Copper Neutral]])-1))</calculatedColumnFormula>
    </tableColumn>
    <tableColumn id="13" xr3:uid="{60128454-1EE5-9C4B-9AA2-D0CE6F9C4CF7}" name="GMRac" dataDxfId="23">
      <calculatedColumnFormula>_xlfn.XLOOKUP(CN[[#This Row],[Phase Conductor Name]], OH[Type], OH[GMRac])</calculatedColumnFormula>
    </tableColumn>
    <tableColumn id="14" xr3:uid="{AA242217-BC74-AB48-8D9A-86A3970B8399}" name="GmrStrand" dataDxfId="22">
      <calculatedColumnFormula>_xlfn.XLOOKUP(CN[[#This Row],[Neutral Strand AWG]], OH[Size], OH[GMRac])</calculatedColumnFormula>
    </tableColumn>
    <tableColumn id="15" xr3:uid="{BDF03C79-D2AE-394A-9557-0FEAE0AA392C}" name="GMRunits" dataDxfId="28"/>
    <tableColumn id="16" xr3:uid="{E6B7FA4C-2968-AE41-84BD-9EA25CF9A089}" name="Rac" dataDxfId="21">
      <calculatedColumnFormula>_xlfn.XLOOKUP(CN[[#This Row],[Phase Conductor Name]],OH[Type], OH[rac])</calculatedColumnFormula>
    </tableColumn>
    <tableColumn id="17" xr3:uid="{60CA6D09-ACAD-FA47-9A7F-D8BCB54C2191}" name="Runits" dataDxfId="20">
      <calculatedColumnFormula>_xlfn.XLOOKUP(CN[[#This Row],[Phase Conductor Name]],OH[Type], OH[runits])</calculatedColumnFormula>
    </tableColumn>
    <tableColumn id="19" xr3:uid="{A335B60A-8482-494F-9920-64B3CC7615EB}" name="diam" dataDxfId="19">
      <calculatedColumnFormula>_xlfn.XLOOKUP(CN[[#This Row],[Phase Conductor Name]],OH[Type], OH[Diam])</calculatedColumnFormula>
    </tableColumn>
    <tableColumn id="20" xr3:uid="{D37687B3-1580-7845-A711-F39AB1A49147}" name="normamps" dataDxfId="18">
      <calculatedColumnFormula>_xlfn.XLOOKUP(CN[[#This Row],[Phase Conductor Name]],OH[Type], OH[normamps])</calculatedColumnFormula>
    </tableColumn>
    <tableColumn id="22" xr3:uid="{D2E6A1F4-79B9-0D45-BE31-8E41DE3A29BC}" name="DiaStrand" dataDxfId="1">
      <calculatedColumnFormula>_xlfn.XLOOKUP(CN[[#This Row],[Neutral Strand AWG]], OH[Size], OH[Diam])</calculatedColumnFormula>
    </tableColumn>
    <tableColumn id="23" xr3:uid="{E3B20767-C678-7E4D-8C37-6DA7A2305EDB}" name="Radunits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9" dataDxfId="40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6"/>
    <tableColumn id="2" xr3:uid="{C1A0B38B-F04B-0A4C-913A-B68BB0D6C78E}" name="Diameter Over Insulation (in)" dataDxfId="37"/>
    <tableColumn id="3" xr3:uid="{D6D141BB-2B57-4B4B-8667-6762392800DB}" name="Diameter Over Screen (in)" dataDxfId="45"/>
    <tableColumn id="4" xr3:uid="{401114E4-AC5F-DA47-A949-534E36354F8D}" name="Jacket Thickness (mils)" dataDxfId="44"/>
    <tableColumn id="5" xr3:uid="{244E8C6F-E27A-B344-A042-CF80AF18FA7C}" name="Outside Diameter" dataDxfId="43"/>
    <tableColumn id="6" xr3:uid="{D80F22EC-CB8C-E549-AC7C-4BA81E9F5164}" name="Ampacity in UG Duct (A)" dataDxfId="42"/>
    <tableColumn id="7" xr3:uid="{A989CB28-4027-F249-A88C-9A2D66CB1557}" name="Rated Voltage (kV)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workbookViewId="0">
      <selection activeCell="A2" sqref="A2:A26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153</v>
      </c>
      <c r="B1" t="s">
        <v>154</v>
      </c>
      <c r="C1" t="s">
        <v>155</v>
      </c>
    </row>
    <row r="2" spans="1:3" x14ac:dyDescent="0.2">
      <c r="A2" s="17" t="s">
        <v>156</v>
      </c>
      <c r="B2" s="17">
        <v>4</v>
      </c>
      <c r="C2" s="17">
        <v>12</v>
      </c>
    </row>
    <row r="3" spans="1:3" x14ac:dyDescent="0.2">
      <c r="A3" s="17" t="s">
        <v>111</v>
      </c>
      <c r="B3" s="17">
        <v>4</v>
      </c>
      <c r="C3" s="17">
        <v>11</v>
      </c>
    </row>
    <row r="4" spans="1:3" x14ac:dyDescent="0.2">
      <c r="A4" s="17" t="s">
        <v>126</v>
      </c>
      <c r="B4" s="17">
        <v>0</v>
      </c>
      <c r="C4" s="17">
        <v>5</v>
      </c>
    </row>
    <row r="5" spans="1:3" x14ac:dyDescent="0.2">
      <c r="A5" s="17" t="s">
        <v>127</v>
      </c>
      <c r="B5" s="17">
        <v>0</v>
      </c>
      <c r="C5" s="17">
        <v>4</v>
      </c>
    </row>
    <row r="6" spans="1:3" x14ac:dyDescent="0.2">
      <c r="A6" s="17" t="s">
        <v>128</v>
      </c>
      <c r="B6" s="17">
        <v>0</v>
      </c>
      <c r="C6" s="17">
        <v>3</v>
      </c>
    </row>
    <row r="7" spans="1:3" x14ac:dyDescent="0.2">
      <c r="A7" s="17" t="s">
        <v>129</v>
      </c>
      <c r="B7" s="17">
        <v>0</v>
      </c>
      <c r="C7" s="17">
        <v>2</v>
      </c>
    </row>
    <row r="8" spans="1:3" x14ac:dyDescent="0.2">
      <c r="A8" s="17" t="s">
        <v>122</v>
      </c>
      <c r="B8" s="17">
        <v>1</v>
      </c>
      <c r="C8" s="17">
        <v>7</v>
      </c>
    </row>
    <row r="9" spans="1:3" x14ac:dyDescent="0.2">
      <c r="A9" s="17" t="s">
        <v>123</v>
      </c>
      <c r="B9" s="17">
        <v>1</v>
      </c>
      <c r="C9" s="17">
        <v>6</v>
      </c>
    </row>
    <row r="10" spans="1:3" x14ac:dyDescent="0.2">
      <c r="A10" s="17" t="s">
        <v>124</v>
      </c>
      <c r="B10" s="17">
        <v>1</v>
      </c>
      <c r="C10" s="17">
        <v>5</v>
      </c>
    </row>
    <row r="11" spans="1:3" x14ac:dyDescent="0.2">
      <c r="A11" s="17" t="s">
        <v>125</v>
      </c>
      <c r="B11" s="17">
        <v>1</v>
      </c>
      <c r="C11" s="17">
        <v>4</v>
      </c>
    </row>
    <row r="12" spans="1:3" x14ac:dyDescent="0.2">
      <c r="A12" s="17" t="s">
        <v>157</v>
      </c>
      <c r="B12" s="17">
        <v>2</v>
      </c>
      <c r="C12" s="17">
        <v>9</v>
      </c>
    </row>
    <row r="13" spans="1:3" x14ac:dyDescent="0.2">
      <c r="A13" s="17" t="s">
        <v>130</v>
      </c>
      <c r="B13" s="17">
        <v>2</v>
      </c>
      <c r="C13" s="17">
        <v>6</v>
      </c>
    </row>
    <row r="14" spans="1:3" x14ac:dyDescent="0.2">
      <c r="A14" s="17" t="s">
        <v>131</v>
      </c>
      <c r="B14" s="17">
        <v>2</v>
      </c>
      <c r="C14" s="17">
        <v>5</v>
      </c>
    </row>
    <row r="15" spans="1:3" x14ac:dyDescent="0.2">
      <c r="A15" s="17" t="s">
        <v>132</v>
      </c>
      <c r="B15" s="17">
        <v>2</v>
      </c>
      <c r="C15" s="17">
        <v>4</v>
      </c>
    </row>
    <row r="16" spans="1:3" x14ac:dyDescent="0.2">
      <c r="A16" s="17" t="s">
        <v>133</v>
      </c>
      <c r="B16" s="17">
        <v>2</v>
      </c>
      <c r="C16" s="17">
        <v>3</v>
      </c>
    </row>
    <row r="17" spans="1:3" x14ac:dyDescent="0.2">
      <c r="A17" s="17" t="s">
        <v>112</v>
      </c>
      <c r="B17" s="17">
        <v>3</v>
      </c>
      <c r="C17" s="17">
        <v>10</v>
      </c>
    </row>
    <row r="18" spans="1:3" x14ac:dyDescent="0.2">
      <c r="A18" s="17" t="s">
        <v>113</v>
      </c>
      <c r="B18" s="17">
        <v>3</v>
      </c>
      <c r="C18" s="17">
        <v>9</v>
      </c>
    </row>
    <row r="19" spans="1:3" x14ac:dyDescent="0.2">
      <c r="A19" s="17" t="s">
        <v>114</v>
      </c>
      <c r="B19" s="17">
        <v>3</v>
      </c>
      <c r="C19" s="17">
        <v>8</v>
      </c>
    </row>
    <row r="20" spans="1:3" x14ac:dyDescent="0.2">
      <c r="A20" s="17" t="s">
        <v>115</v>
      </c>
      <c r="B20" s="17">
        <v>3</v>
      </c>
      <c r="C20" s="17">
        <v>7</v>
      </c>
    </row>
    <row r="21" spans="1:3" x14ac:dyDescent="0.2">
      <c r="A21" s="17" t="s">
        <v>116</v>
      </c>
      <c r="B21" s="17">
        <v>3</v>
      </c>
      <c r="C21" s="17">
        <v>6</v>
      </c>
    </row>
    <row r="22" spans="1:3" x14ac:dyDescent="0.2">
      <c r="A22" s="17" t="s">
        <v>117</v>
      </c>
      <c r="B22" s="17">
        <v>3</v>
      </c>
      <c r="C22" s="17">
        <v>4</v>
      </c>
    </row>
    <row r="23" spans="1:3" x14ac:dyDescent="0.2">
      <c r="A23" s="17" t="s">
        <v>118</v>
      </c>
      <c r="B23" s="17">
        <v>4</v>
      </c>
      <c r="C23" s="17">
        <v>4</v>
      </c>
    </row>
    <row r="24" spans="1:3" x14ac:dyDescent="0.2">
      <c r="A24" s="17" t="s">
        <v>119</v>
      </c>
      <c r="B24" s="17">
        <v>3</v>
      </c>
      <c r="C24" s="17">
        <v>2</v>
      </c>
    </row>
    <row r="25" spans="1:3" x14ac:dyDescent="0.2">
      <c r="A25" s="17" t="s">
        <v>120</v>
      </c>
      <c r="B25" s="17">
        <v>3</v>
      </c>
      <c r="C25" s="17">
        <v>1</v>
      </c>
    </row>
    <row r="26" spans="1:3" x14ac:dyDescent="0.2">
      <c r="A26" s="17" t="s">
        <v>121</v>
      </c>
      <c r="B26" s="17">
        <v>3</v>
      </c>
      <c r="C26" s="17">
        <v>0</v>
      </c>
    </row>
    <row r="27" spans="1:3" x14ac:dyDescent="0.2">
      <c r="A27" s="17" t="s">
        <v>158</v>
      </c>
      <c r="B27" s="17">
        <v>4</v>
      </c>
      <c r="C27" s="17">
        <v>10</v>
      </c>
    </row>
    <row r="28" spans="1:3" x14ac:dyDescent="0.2">
      <c r="A28" s="17" t="s">
        <v>159</v>
      </c>
      <c r="B28" s="17">
        <v>4</v>
      </c>
      <c r="C28" s="17">
        <v>9</v>
      </c>
    </row>
    <row r="29" spans="1:3" x14ac:dyDescent="0.2">
      <c r="A29" s="17" t="s">
        <v>134</v>
      </c>
      <c r="B29" s="17">
        <v>4</v>
      </c>
      <c r="C29" s="17">
        <v>3</v>
      </c>
    </row>
    <row r="30" spans="1:3" x14ac:dyDescent="0.2">
      <c r="A30" s="17" t="s">
        <v>135</v>
      </c>
      <c r="B30" s="17">
        <v>4</v>
      </c>
      <c r="C30" s="17">
        <v>2</v>
      </c>
    </row>
    <row r="31" spans="1:3" x14ac:dyDescent="0.2">
      <c r="A31" s="17" t="s">
        <v>160</v>
      </c>
      <c r="B31" s="17">
        <v>4</v>
      </c>
      <c r="C31" s="17">
        <v>8</v>
      </c>
    </row>
    <row r="32" spans="1:3" x14ac:dyDescent="0.2">
      <c r="A32" s="17" t="s">
        <v>141</v>
      </c>
      <c r="B32" s="17">
        <v>5</v>
      </c>
      <c r="C32" s="17">
        <v>10</v>
      </c>
    </row>
    <row r="33" spans="1:3" x14ac:dyDescent="0.2">
      <c r="A33" s="17" t="s">
        <v>142</v>
      </c>
      <c r="B33" s="17">
        <v>5</v>
      </c>
      <c r="C33" s="17">
        <v>9</v>
      </c>
    </row>
    <row r="34" spans="1:3" x14ac:dyDescent="0.2">
      <c r="A34" s="17" t="s">
        <v>143</v>
      </c>
      <c r="B34" s="17">
        <v>5</v>
      </c>
      <c r="C34" s="17">
        <v>8</v>
      </c>
    </row>
    <row r="35" spans="1:3" x14ac:dyDescent="0.2">
      <c r="A35" s="17" t="s">
        <v>144</v>
      </c>
      <c r="B35" s="17">
        <v>5</v>
      </c>
      <c r="C35" s="17">
        <v>7</v>
      </c>
    </row>
    <row r="36" spans="1:3" x14ac:dyDescent="0.2">
      <c r="A36" s="17" t="s">
        <v>145</v>
      </c>
      <c r="B36" s="17">
        <v>5</v>
      </c>
      <c r="C36" s="17">
        <v>6</v>
      </c>
    </row>
    <row r="37" spans="1:3" x14ac:dyDescent="0.2">
      <c r="A37" s="17" t="s">
        <v>146</v>
      </c>
      <c r="B37" s="17">
        <v>5</v>
      </c>
      <c r="C37" s="17">
        <v>5</v>
      </c>
    </row>
    <row r="38" spans="1:3" x14ac:dyDescent="0.2">
      <c r="A38" s="17" t="s">
        <v>147</v>
      </c>
      <c r="B38" s="17">
        <v>6</v>
      </c>
      <c r="C38" s="17">
        <v>9</v>
      </c>
    </row>
    <row r="39" spans="1:3" x14ac:dyDescent="0.2">
      <c r="A39" s="17" t="s">
        <v>148</v>
      </c>
      <c r="B39" s="17">
        <v>6</v>
      </c>
      <c r="C39" s="17">
        <v>8</v>
      </c>
    </row>
    <row r="40" spans="1:3" x14ac:dyDescent="0.2">
      <c r="A40" s="17" t="s">
        <v>149</v>
      </c>
      <c r="B40" s="17">
        <v>6</v>
      </c>
      <c r="C40" s="17">
        <v>7</v>
      </c>
    </row>
    <row r="41" spans="1:3" x14ac:dyDescent="0.2">
      <c r="A41" s="17" t="s">
        <v>150</v>
      </c>
      <c r="B41" s="17">
        <v>6</v>
      </c>
      <c r="C41" s="17">
        <v>6</v>
      </c>
    </row>
    <row r="42" spans="1:3" x14ac:dyDescent="0.2">
      <c r="A42" s="17" t="s">
        <v>136</v>
      </c>
      <c r="B42" s="17">
        <v>5</v>
      </c>
      <c r="C42" s="17">
        <v>4</v>
      </c>
    </row>
    <row r="43" spans="1:3" x14ac:dyDescent="0.2">
      <c r="A43" s="17" t="s">
        <v>137</v>
      </c>
      <c r="B43" s="17">
        <v>5</v>
      </c>
      <c r="C43" s="17">
        <v>2</v>
      </c>
    </row>
    <row r="44" spans="1:3" x14ac:dyDescent="0.2">
      <c r="A44" s="17" t="s">
        <v>138</v>
      </c>
      <c r="B44" s="17">
        <v>5</v>
      </c>
      <c r="C44" s="17">
        <v>1</v>
      </c>
    </row>
    <row r="45" spans="1:3" x14ac:dyDescent="0.2">
      <c r="A45" s="17" t="s">
        <v>139</v>
      </c>
      <c r="B45" s="17">
        <v>6</v>
      </c>
      <c r="C45" s="17">
        <v>4</v>
      </c>
    </row>
    <row r="46" spans="1:3" x14ac:dyDescent="0.2">
      <c r="A46" s="17" t="s">
        <v>140</v>
      </c>
      <c r="B46" s="17">
        <v>6</v>
      </c>
      <c r="C46" s="17">
        <v>3</v>
      </c>
    </row>
    <row r="47" spans="1:3" x14ac:dyDescent="0.2">
      <c r="A47" s="17" t="s">
        <v>163</v>
      </c>
      <c r="B47" s="17">
        <v>3</v>
      </c>
      <c r="C47" s="17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O6"/>
  <sheetViews>
    <sheetView workbookViewId="0">
      <selection activeCell="C15" sqref="C15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5" x14ac:dyDescent="0.2">
      <c r="A1" t="s">
        <v>151</v>
      </c>
      <c r="B1" t="s">
        <v>33</v>
      </c>
      <c r="C1" t="s">
        <v>167</v>
      </c>
      <c r="D1" t="s">
        <v>168</v>
      </c>
      <c r="E1" t="s">
        <v>78</v>
      </c>
      <c r="F1" t="s">
        <v>79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86</v>
      </c>
    </row>
    <row r="2" spans="1:15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83</v>
      </c>
    </row>
    <row r="3" spans="1:15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83</v>
      </c>
    </row>
    <row r="4" spans="1:15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83</v>
      </c>
    </row>
    <row r="5" spans="1:15" x14ac:dyDescent="0.2">
      <c r="A5" t="s">
        <v>3</v>
      </c>
      <c r="B5" t="s">
        <v>71</v>
      </c>
      <c r="C5" t="s">
        <v>100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83</v>
      </c>
    </row>
    <row r="6" spans="1:15" x14ac:dyDescent="0.2">
      <c r="A6" t="s">
        <v>4</v>
      </c>
      <c r="B6" t="s">
        <v>71</v>
      </c>
      <c r="C6" t="s">
        <v>101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83</v>
      </c>
    </row>
  </sheetData>
  <dataValidations count="4">
    <dataValidation type="list" allowBlank="1" showInputMessage="1" showErrorMessage="1" sqref="B2:B6" xr:uid="{369739C0-1C03-AA46-834B-834C1A7F5EC8}">
      <formula1>INDIRECT("type")</formula1>
    </dataValidation>
    <dataValidation type="list" allowBlank="1" showInputMessage="1" showErrorMessage="1" sqref="C2:C6" xr:uid="{F2115741-0DDA-D442-A913-2F77794FD5E7}">
      <formula1>INDIRECT("OH[Type]")</formula1>
    </dataValidation>
    <dataValidation type="list" allowBlank="1" showInputMessage="1" showErrorMessage="1" sqref="D2:D6" xr:uid="{6F50BFB6-CAAE-F043-B319-4F03AA1C2AA9}">
      <formula1>INDIRECT($B2&amp;"[Type]")</formula1>
    </dataValidation>
    <dataValidation type="list" allowBlank="1" showInputMessage="1" showErrorMessage="1" sqref="O2:O6" xr:uid="{C8CE36A8-15BC-CB4B-B80E-0326594F9F84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E38"/>
  <sheetViews>
    <sheetView workbookViewId="0">
      <selection activeCell="D2" sqref="D2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5" x14ac:dyDescent="0.2">
      <c r="A1" s="18" t="s">
        <v>165</v>
      </c>
      <c r="B1" s="18" t="s">
        <v>166</v>
      </c>
      <c r="C1" s="18" t="s">
        <v>152</v>
      </c>
      <c r="D1" s="18" t="s">
        <v>164</v>
      </c>
      <c r="E1" s="18" t="s">
        <v>86</v>
      </c>
    </row>
    <row r="2" spans="1:5" x14ac:dyDescent="0.2">
      <c r="A2" s="17" t="s">
        <v>111</v>
      </c>
      <c r="B2" s="17" t="s">
        <v>112</v>
      </c>
      <c r="C2" s="17">
        <v>15840</v>
      </c>
      <c r="D2" s="17" t="s">
        <v>0</v>
      </c>
      <c r="E2" s="17" t="s">
        <v>83</v>
      </c>
    </row>
    <row r="3" spans="1:5" x14ac:dyDescent="0.2">
      <c r="A3" s="17" t="s">
        <v>112</v>
      </c>
      <c r="B3" s="17" t="s">
        <v>113</v>
      </c>
      <c r="C3" s="17">
        <v>15840</v>
      </c>
      <c r="D3" s="17" t="s">
        <v>0</v>
      </c>
      <c r="E3" s="17" t="s">
        <v>83</v>
      </c>
    </row>
    <row r="4" spans="1:5" x14ac:dyDescent="0.2">
      <c r="A4" s="17" t="s">
        <v>113</v>
      </c>
      <c r="B4" s="17" t="s">
        <v>114</v>
      </c>
      <c r="C4" s="17">
        <v>15840</v>
      </c>
      <c r="D4" s="17" t="s">
        <v>0</v>
      </c>
      <c r="E4" s="17" t="s">
        <v>83</v>
      </c>
    </row>
    <row r="5" spans="1:5" x14ac:dyDescent="0.2">
      <c r="A5" s="17" t="s">
        <v>114</v>
      </c>
      <c r="B5" s="17" t="s">
        <v>115</v>
      </c>
      <c r="C5" s="17">
        <v>15840</v>
      </c>
      <c r="D5" s="17" t="s">
        <v>0</v>
      </c>
      <c r="E5" s="17" t="s">
        <v>83</v>
      </c>
    </row>
    <row r="6" spans="1:5" x14ac:dyDescent="0.2">
      <c r="A6" s="17" t="s">
        <v>115</v>
      </c>
      <c r="B6" s="17" t="s">
        <v>116</v>
      </c>
      <c r="C6" s="17">
        <v>15840</v>
      </c>
      <c r="D6" s="17" t="s">
        <v>0</v>
      </c>
      <c r="E6" s="17" t="s">
        <v>83</v>
      </c>
    </row>
    <row r="7" spans="1:5" x14ac:dyDescent="0.2">
      <c r="A7" s="17" t="s">
        <v>116</v>
      </c>
      <c r="B7" s="17" t="s">
        <v>117</v>
      </c>
      <c r="C7" s="17">
        <v>15840</v>
      </c>
      <c r="D7" s="17" t="s">
        <v>0</v>
      </c>
      <c r="E7" s="17" t="s">
        <v>83</v>
      </c>
    </row>
    <row r="8" spans="1:5" x14ac:dyDescent="0.2">
      <c r="A8" s="17" t="s">
        <v>117</v>
      </c>
      <c r="B8" s="17" t="s">
        <v>118</v>
      </c>
      <c r="C8" s="17">
        <v>15840</v>
      </c>
      <c r="D8" s="17" t="s">
        <v>2</v>
      </c>
      <c r="E8" s="17" t="s">
        <v>83</v>
      </c>
    </row>
    <row r="9" spans="1:5" x14ac:dyDescent="0.2">
      <c r="A9" s="17" t="s">
        <v>117</v>
      </c>
      <c r="B9" s="17" t="s">
        <v>119</v>
      </c>
      <c r="C9" s="17">
        <v>15840</v>
      </c>
      <c r="D9" s="17" t="s">
        <v>0</v>
      </c>
      <c r="E9" s="17" t="s">
        <v>83</v>
      </c>
    </row>
    <row r="10" spans="1:5" x14ac:dyDescent="0.2">
      <c r="A10" s="17" t="s">
        <v>119</v>
      </c>
      <c r="B10" s="17" t="s">
        <v>120</v>
      </c>
      <c r="C10" s="17">
        <v>15840</v>
      </c>
      <c r="D10" s="17" t="s">
        <v>0</v>
      </c>
      <c r="E10" s="17" t="s">
        <v>83</v>
      </c>
    </row>
    <row r="11" spans="1:5" x14ac:dyDescent="0.2">
      <c r="A11" s="17" t="s">
        <v>120</v>
      </c>
      <c r="B11" s="17" t="s">
        <v>121</v>
      </c>
      <c r="C11" s="17">
        <v>15840</v>
      </c>
      <c r="D11" s="17" t="s">
        <v>0</v>
      </c>
      <c r="E11" s="17" t="s">
        <v>83</v>
      </c>
    </row>
    <row r="12" spans="1:5" x14ac:dyDescent="0.2">
      <c r="A12" s="17" t="s">
        <v>122</v>
      </c>
      <c r="B12" s="17" t="s">
        <v>123</v>
      </c>
      <c r="C12" s="17">
        <v>100</v>
      </c>
      <c r="D12" s="17" t="s">
        <v>1</v>
      </c>
      <c r="E12" s="17" t="s">
        <v>83</v>
      </c>
    </row>
    <row r="13" spans="1:5" x14ac:dyDescent="0.2">
      <c r="A13" s="17" t="s">
        <v>123</v>
      </c>
      <c r="B13" s="17" t="s">
        <v>124</v>
      </c>
      <c r="C13" s="17">
        <v>100</v>
      </c>
      <c r="D13" s="17" t="s">
        <v>1</v>
      </c>
      <c r="E13" s="17" t="s">
        <v>83</v>
      </c>
    </row>
    <row r="14" spans="1:5" x14ac:dyDescent="0.2">
      <c r="A14" s="17" t="s">
        <v>124</v>
      </c>
      <c r="B14" s="17" t="s">
        <v>125</v>
      </c>
      <c r="C14" s="17">
        <v>100</v>
      </c>
      <c r="D14" s="17" t="s">
        <v>1</v>
      </c>
      <c r="E14" s="17" t="s">
        <v>83</v>
      </c>
    </row>
    <row r="15" spans="1:5" x14ac:dyDescent="0.2">
      <c r="A15" s="17" t="s">
        <v>124</v>
      </c>
      <c r="B15" s="17" t="s">
        <v>126</v>
      </c>
      <c r="C15" s="17">
        <v>100</v>
      </c>
      <c r="D15" s="17" t="s">
        <v>1</v>
      </c>
      <c r="E15" s="17" t="s">
        <v>83</v>
      </c>
    </row>
    <row r="16" spans="1:5" x14ac:dyDescent="0.2">
      <c r="A16" s="17" t="s">
        <v>126</v>
      </c>
      <c r="B16" s="17" t="s">
        <v>127</v>
      </c>
      <c r="C16" s="17">
        <v>100</v>
      </c>
      <c r="D16" s="17" t="s">
        <v>1</v>
      </c>
      <c r="E16" s="17" t="s">
        <v>83</v>
      </c>
    </row>
    <row r="17" spans="1:5" x14ac:dyDescent="0.2">
      <c r="A17" s="17" t="s">
        <v>127</v>
      </c>
      <c r="B17" s="17" t="s">
        <v>128</v>
      </c>
      <c r="C17" s="17">
        <v>100</v>
      </c>
      <c r="D17" s="17" t="s">
        <v>1</v>
      </c>
      <c r="E17" s="17" t="s">
        <v>83</v>
      </c>
    </row>
    <row r="18" spans="1:5" x14ac:dyDescent="0.2">
      <c r="A18" s="17" t="s">
        <v>128</v>
      </c>
      <c r="B18" s="17" t="s">
        <v>129</v>
      </c>
      <c r="C18" s="17">
        <v>100</v>
      </c>
      <c r="D18" s="17" t="s">
        <v>1</v>
      </c>
      <c r="E18" s="17" t="s">
        <v>83</v>
      </c>
    </row>
    <row r="19" spans="1:5" x14ac:dyDescent="0.2">
      <c r="A19" s="17" t="s">
        <v>123</v>
      </c>
      <c r="B19" s="17" t="s">
        <v>130</v>
      </c>
      <c r="C19" s="17">
        <v>100</v>
      </c>
      <c r="D19" s="17" t="s">
        <v>1</v>
      </c>
      <c r="E19" s="17" t="s">
        <v>83</v>
      </c>
    </row>
    <row r="20" spans="1:5" x14ac:dyDescent="0.2">
      <c r="A20" s="17" t="s">
        <v>130</v>
      </c>
      <c r="B20" s="17" t="s">
        <v>131</v>
      </c>
      <c r="C20" s="17">
        <v>100</v>
      </c>
      <c r="D20" s="17" t="s">
        <v>1</v>
      </c>
      <c r="E20" s="17" t="s">
        <v>83</v>
      </c>
    </row>
    <row r="21" spans="1:5" x14ac:dyDescent="0.2">
      <c r="A21" s="17" t="s">
        <v>131</v>
      </c>
      <c r="B21" s="17" t="s">
        <v>132</v>
      </c>
      <c r="C21" s="17">
        <v>100</v>
      </c>
      <c r="D21" s="17" t="s">
        <v>1</v>
      </c>
      <c r="E21" s="17" t="s">
        <v>83</v>
      </c>
    </row>
    <row r="22" spans="1:5" x14ac:dyDescent="0.2">
      <c r="A22" s="17" t="s">
        <v>132</v>
      </c>
      <c r="B22" s="17" t="s">
        <v>133</v>
      </c>
      <c r="C22" s="17">
        <v>100</v>
      </c>
      <c r="D22" s="17" t="s">
        <v>1</v>
      </c>
      <c r="E22" s="17" t="s">
        <v>83</v>
      </c>
    </row>
    <row r="23" spans="1:5" x14ac:dyDescent="0.2">
      <c r="A23" s="17" t="s">
        <v>118</v>
      </c>
      <c r="B23" s="17" t="s">
        <v>134</v>
      </c>
      <c r="C23" s="17">
        <v>15840</v>
      </c>
      <c r="D23" s="17" t="s">
        <v>2</v>
      </c>
      <c r="E23" s="17" t="s">
        <v>83</v>
      </c>
    </row>
    <row r="24" spans="1:5" x14ac:dyDescent="0.2">
      <c r="A24" s="17" t="s">
        <v>134</v>
      </c>
      <c r="B24" s="17" t="s">
        <v>135</v>
      </c>
      <c r="C24" s="17">
        <v>15840</v>
      </c>
      <c r="D24" s="17" t="s">
        <v>2</v>
      </c>
      <c r="E24" s="17" t="s">
        <v>83</v>
      </c>
    </row>
    <row r="25" spans="1:5" x14ac:dyDescent="0.2">
      <c r="A25" s="17" t="s">
        <v>136</v>
      </c>
      <c r="B25" s="17" t="s">
        <v>137</v>
      </c>
      <c r="C25" s="17">
        <v>100</v>
      </c>
      <c r="D25" s="17" t="s">
        <v>2</v>
      </c>
      <c r="E25" s="17" t="s">
        <v>83</v>
      </c>
    </row>
    <row r="26" spans="1:5" x14ac:dyDescent="0.2">
      <c r="A26" s="17" t="s">
        <v>137</v>
      </c>
      <c r="B26" s="17" t="s">
        <v>138</v>
      </c>
      <c r="C26" s="17">
        <v>100</v>
      </c>
      <c r="D26" s="17" t="s">
        <v>2</v>
      </c>
      <c r="E26" s="17" t="s">
        <v>83</v>
      </c>
    </row>
    <row r="27" spans="1:5" x14ac:dyDescent="0.2">
      <c r="A27" s="17" t="s">
        <v>136</v>
      </c>
      <c r="B27" s="17" t="s">
        <v>139</v>
      </c>
      <c r="C27" s="17">
        <v>100</v>
      </c>
      <c r="D27" s="17" t="s">
        <v>2</v>
      </c>
      <c r="E27" s="17" t="s">
        <v>83</v>
      </c>
    </row>
    <row r="28" spans="1:5" x14ac:dyDescent="0.2">
      <c r="A28" s="17" t="s">
        <v>139</v>
      </c>
      <c r="B28" s="17" t="s">
        <v>140</v>
      </c>
      <c r="C28" s="17">
        <v>100</v>
      </c>
      <c r="D28" s="17" t="s">
        <v>2</v>
      </c>
      <c r="E28" s="17" t="s">
        <v>83</v>
      </c>
    </row>
    <row r="29" spans="1:5" x14ac:dyDescent="0.2">
      <c r="A29" s="17" t="s">
        <v>111</v>
      </c>
      <c r="B29" s="17" t="s">
        <v>141</v>
      </c>
      <c r="C29" s="17">
        <v>15840</v>
      </c>
      <c r="D29" s="17" t="s">
        <v>3</v>
      </c>
      <c r="E29" s="17" t="s">
        <v>83</v>
      </c>
    </row>
    <row r="30" spans="1:5" x14ac:dyDescent="0.2">
      <c r="A30" s="17" t="s">
        <v>141</v>
      </c>
      <c r="B30" s="17" t="s">
        <v>142</v>
      </c>
      <c r="C30" s="17">
        <v>15840</v>
      </c>
      <c r="D30" s="17" t="s">
        <v>3</v>
      </c>
      <c r="E30" s="17" t="s">
        <v>83</v>
      </c>
    </row>
    <row r="31" spans="1:5" x14ac:dyDescent="0.2">
      <c r="A31" s="17" t="s">
        <v>142</v>
      </c>
      <c r="B31" s="17" t="s">
        <v>143</v>
      </c>
      <c r="C31" s="17">
        <v>15840</v>
      </c>
      <c r="D31" s="17" t="s">
        <v>3</v>
      </c>
      <c r="E31" s="17" t="s">
        <v>83</v>
      </c>
    </row>
    <row r="32" spans="1:5" x14ac:dyDescent="0.2">
      <c r="A32" s="17" t="s">
        <v>143</v>
      </c>
      <c r="B32" s="17" t="s">
        <v>144</v>
      </c>
      <c r="C32" s="17">
        <v>15840</v>
      </c>
      <c r="D32" s="17" t="s">
        <v>3</v>
      </c>
      <c r="E32" s="17" t="s">
        <v>83</v>
      </c>
    </row>
    <row r="33" spans="1:5" x14ac:dyDescent="0.2">
      <c r="A33" s="17" t="s">
        <v>144</v>
      </c>
      <c r="B33" s="17" t="s">
        <v>145</v>
      </c>
      <c r="C33" s="17">
        <v>15840</v>
      </c>
      <c r="D33" s="17" t="s">
        <v>3</v>
      </c>
      <c r="E33" s="17" t="s">
        <v>83</v>
      </c>
    </row>
    <row r="34" spans="1:5" x14ac:dyDescent="0.2">
      <c r="A34" s="17" t="s">
        <v>145</v>
      </c>
      <c r="B34" s="17" t="s">
        <v>146</v>
      </c>
      <c r="C34" s="17">
        <v>15840</v>
      </c>
      <c r="D34" s="17" t="s">
        <v>3</v>
      </c>
      <c r="E34" s="17" t="s">
        <v>83</v>
      </c>
    </row>
    <row r="35" spans="1:5" x14ac:dyDescent="0.2">
      <c r="A35" s="17" t="s">
        <v>142</v>
      </c>
      <c r="B35" s="17" t="s">
        <v>147</v>
      </c>
      <c r="C35" s="17">
        <v>15840</v>
      </c>
      <c r="D35" s="17" t="s">
        <v>4</v>
      </c>
      <c r="E35" s="17" t="s">
        <v>83</v>
      </c>
    </row>
    <row r="36" spans="1:5" x14ac:dyDescent="0.2">
      <c r="A36" s="17" t="s">
        <v>147</v>
      </c>
      <c r="B36" s="17" t="s">
        <v>148</v>
      </c>
      <c r="C36" s="17">
        <v>15840</v>
      </c>
      <c r="D36" s="17" t="s">
        <v>4</v>
      </c>
      <c r="E36" s="17" t="s">
        <v>83</v>
      </c>
    </row>
    <row r="37" spans="1:5" x14ac:dyDescent="0.2">
      <c r="A37" s="17" t="s">
        <v>148</v>
      </c>
      <c r="B37" s="17" t="s">
        <v>149</v>
      </c>
      <c r="C37" s="17">
        <v>15840</v>
      </c>
      <c r="D37" s="17" t="s">
        <v>4</v>
      </c>
      <c r="E37" s="17" t="s">
        <v>83</v>
      </c>
    </row>
    <row r="38" spans="1:5" x14ac:dyDescent="0.2">
      <c r="A38" s="17" t="s">
        <v>149</v>
      </c>
      <c r="B38" s="17" t="s">
        <v>150</v>
      </c>
      <c r="C38" s="17">
        <v>15840</v>
      </c>
      <c r="D38" s="17" t="s">
        <v>4</v>
      </c>
      <c r="E38" s="17" t="s">
        <v>83</v>
      </c>
    </row>
  </sheetData>
  <dataValidations count="3">
    <dataValidation type="list" allowBlank="1" showInputMessage="1" showErrorMessage="1" errorTitle="Undefined LineGeometery" error="Use a defined LineGeometry, or make a new geometry" sqref="D2:D38" xr:uid="{FB0F891B-6660-7D4C-AC5B-0346D13948B8}">
      <formula1>INDIRECT("LineGeo[LineGeo]")</formula1>
    </dataValidation>
    <dataValidation type="list" allowBlank="1" showInputMessage="1" showErrorMessage="1" sqref="E2:E38" xr:uid="{B4F4E3E6-2E21-244D-ADFB-DDC8B351103E}">
      <formula1>INDIRECT("Units")</formula1>
    </dataValidation>
    <dataValidation type="list" allowBlank="1" showInputMessage="1" showErrorMessage="1" sqref="A2:B38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C28"/>
  <sheetViews>
    <sheetView workbookViewId="0">
      <selection activeCell="B32" sqref="B32"/>
    </sheetView>
  </sheetViews>
  <sheetFormatPr baseColWidth="10" defaultRowHeight="16" x14ac:dyDescent="0.2"/>
  <sheetData>
    <row r="1" spans="1:3" x14ac:dyDescent="0.2">
      <c r="A1" s="19" t="s">
        <v>153</v>
      </c>
      <c r="B1" s="19" t="s">
        <v>161</v>
      </c>
      <c r="C1" s="19" t="s">
        <v>162</v>
      </c>
    </row>
    <row r="2" spans="1:3" x14ac:dyDescent="0.2">
      <c r="A2" s="17" t="s">
        <v>127</v>
      </c>
      <c r="B2" s="17">
        <v>7</v>
      </c>
      <c r="C2" s="17">
        <v>2</v>
      </c>
    </row>
    <row r="3" spans="1:3" x14ac:dyDescent="0.2">
      <c r="A3" s="17" t="s">
        <v>128</v>
      </c>
      <c r="B3" s="17">
        <v>6</v>
      </c>
      <c r="C3" s="17">
        <v>2</v>
      </c>
    </row>
    <row r="4" spans="1:3" x14ac:dyDescent="0.2">
      <c r="A4" s="17" t="s">
        <v>129</v>
      </c>
      <c r="B4" s="17">
        <v>15</v>
      </c>
      <c r="C4" s="17">
        <v>4.5</v>
      </c>
    </row>
    <row r="5" spans="1:3" x14ac:dyDescent="0.2">
      <c r="A5" s="17" t="s">
        <v>125</v>
      </c>
      <c r="B5" s="17">
        <v>10</v>
      </c>
      <c r="C5" s="17">
        <v>4</v>
      </c>
    </row>
    <row r="6" spans="1:3" x14ac:dyDescent="0.2">
      <c r="A6" s="17" t="s">
        <v>157</v>
      </c>
      <c r="B6" s="17">
        <v>50</v>
      </c>
      <c r="C6" s="17">
        <v>20</v>
      </c>
    </row>
    <row r="7" spans="1:3" x14ac:dyDescent="0.2">
      <c r="A7" s="17" t="s">
        <v>131</v>
      </c>
      <c r="B7" s="17">
        <v>2</v>
      </c>
      <c r="C7" s="17">
        <v>0.5</v>
      </c>
    </row>
    <row r="8" spans="1:3" x14ac:dyDescent="0.2">
      <c r="A8" s="17" t="s">
        <v>132</v>
      </c>
      <c r="B8" s="17">
        <v>3</v>
      </c>
      <c r="C8" s="17">
        <v>1</v>
      </c>
    </row>
    <row r="9" spans="1:3" x14ac:dyDescent="0.2">
      <c r="A9" s="17" t="s">
        <v>133</v>
      </c>
      <c r="B9" s="17">
        <v>10</v>
      </c>
      <c r="C9" s="17">
        <v>4</v>
      </c>
    </row>
    <row r="10" spans="1:3" x14ac:dyDescent="0.2">
      <c r="A10" s="17" t="s">
        <v>114</v>
      </c>
      <c r="B10" s="17">
        <v>70</v>
      </c>
      <c r="C10" s="17">
        <v>10</v>
      </c>
    </row>
    <row r="11" spans="1:3" x14ac:dyDescent="0.2">
      <c r="A11" s="17" t="s">
        <v>116</v>
      </c>
      <c r="B11" s="17">
        <v>30</v>
      </c>
      <c r="C11" s="17">
        <v>13</v>
      </c>
    </row>
    <row r="12" spans="1:3" x14ac:dyDescent="0.2">
      <c r="A12" s="17" t="s">
        <v>119</v>
      </c>
      <c r="B12" s="17">
        <v>60</v>
      </c>
      <c r="C12" s="17">
        <v>20</v>
      </c>
    </row>
    <row r="13" spans="1:3" x14ac:dyDescent="0.2">
      <c r="A13" s="17" t="s">
        <v>159</v>
      </c>
      <c r="B13" s="17">
        <v>60</v>
      </c>
      <c r="C13" s="17">
        <v>15</v>
      </c>
    </row>
    <row r="14" spans="1:3" x14ac:dyDescent="0.2">
      <c r="A14" s="17" t="s">
        <v>134</v>
      </c>
      <c r="B14" s="17">
        <v>130</v>
      </c>
      <c r="C14" s="17">
        <v>35</v>
      </c>
    </row>
    <row r="15" spans="1:3" x14ac:dyDescent="0.2">
      <c r="A15" s="17" t="s">
        <v>135</v>
      </c>
      <c r="B15" s="17">
        <v>90</v>
      </c>
      <c r="C15" s="17">
        <v>33</v>
      </c>
    </row>
    <row r="16" spans="1:3" x14ac:dyDescent="0.2">
      <c r="A16" s="17" t="s">
        <v>160</v>
      </c>
      <c r="B16" s="17">
        <v>115</v>
      </c>
      <c r="C16" s="17">
        <v>60</v>
      </c>
    </row>
    <row r="17" spans="1:3" x14ac:dyDescent="0.2">
      <c r="A17" s="17" t="s">
        <v>141</v>
      </c>
      <c r="B17" s="17">
        <v>66</v>
      </c>
      <c r="C17" s="17">
        <v>23</v>
      </c>
    </row>
    <row r="18" spans="1:3" x14ac:dyDescent="0.2">
      <c r="A18" s="17" t="s">
        <v>144</v>
      </c>
      <c r="B18" s="17">
        <v>70</v>
      </c>
      <c r="C18" s="17">
        <v>20</v>
      </c>
    </row>
    <row r="19" spans="1:3" x14ac:dyDescent="0.2">
      <c r="A19" s="17" t="s">
        <v>145</v>
      </c>
      <c r="B19" s="17">
        <v>25</v>
      </c>
      <c r="C19" s="17">
        <v>10</v>
      </c>
    </row>
    <row r="20" spans="1:3" x14ac:dyDescent="0.2">
      <c r="A20" s="17" t="s">
        <v>146</v>
      </c>
      <c r="B20" s="17">
        <v>35</v>
      </c>
      <c r="C20" s="17">
        <v>12</v>
      </c>
    </row>
    <row r="21" spans="1:3" x14ac:dyDescent="0.2">
      <c r="A21" s="17" t="s">
        <v>148</v>
      </c>
      <c r="B21" s="17">
        <v>30</v>
      </c>
      <c r="C21" s="17">
        <v>16</v>
      </c>
    </row>
    <row r="22" spans="1:3" x14ac:dyDescent="0.2">
      <c r="A22" s="17" t="s">
        <v>149</v>
      </c>
      <c r="B22" s="17">
        <v>95</v>
      </c>
      <c r="C22" s="17">
        <v>25</v>
      </c>
    </row>
    <row r="23" spans="1:3" x14ac:dyDescent="0.2">
      <c r="A23" s="17" t="s">
        <v>150</v>
      </c>
      <c r="B23" s="17">
        <v>40</v>
      </c>
      <c r="C23" s="17">
        <v>16</v>
      </c>
    </row>
    <row r="24" spans="1:3" x14ac:dyDescent="0.2">
      <c r="A24" s="17" t="s">
        <v>137</v>
      </c>
      <c r="B24" s="17">
        <v>7</v>
      </c>
      <c r="C24" s="17">
        <v>2</v>
      </c>
    </row>
    <row r="25" spans="1:3" x14ac:dyDescent="0.2">
      <c r="A25" s="17" t="s">
        <v>138</v>
      </c>
      <c r="B25" s="17">
        <v>6</v>
      </c>
      <c r="C25" s="17">
        <v>3</v>
      </c>
    </row>
    <row r="26" spans="1:3" x14ac:dyDescent="0.2">
      <c r="A26" s="17" t="s">
        <v>139</v>
      </c>
      <c r="B26" s="17">
        <v>7</v>
      </c>
      <c r="C26" s="17">
        <v>2</v>
      </c>
    </row>
    <row r="27" spans="1:3" x14ac:dyDescent="0.2">
      <c r="A27" s="17" t="s">
        <v>140</v>
      </c>
      <c r="B27" s="17">
        <v>14</v>
      </c>
      <c r="C27" s="17">
        <v>7</v>
      </c>
    </row>
    <row r="28" spans="1:3" x14ac:dyDescent="0.2">
      <c r="A28" s="17" t="s">
        <v>163</v>
      </c>
      <c r="B28" s="17">
        <v>140</v>
      </c>
      <c r="C28" s="17">
        <v>70</v>
      </c>
    </row>
  </sheetData>
  <dataValidations count="1">
    <dataValidation type="list" allowBlank="1" showInputMessage="1" showErrorMessage="1" sqref="A2:A28" xr:uid="{2CD306AF-C17F-0245-A541-447F0C38ED7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C8"/>
  <sheetViews>
    <sheetView topLeftCell="A2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70</v>
      </c>
    </row>
    <row r="2" spans="1:3" x14ac:dyDescent="0.2">
      <c r="A2" t="s">
        <v>71</v>
      </c>
      <c r="C2" t="s">
        <v>80</v>
      </c>
    </row>
    <row r="3" spans="1:3" x14ac:dyDescent="0.2">
      <c r="A3" t="s">
        <v>72</v>
      </c>
      <c r="C3" t="s">
        <v>81</v>
      </c>
    </row>
    <row r="4" spans="1:3" x14ac:dyDescent="0.2">
      <c r="C4" t="s">
        <v>82</v>
      </c>
    </row>
    <row r="5" spans="1:3" x14ac:dyDescent="0.2">
      <c r="C5" t="s">
        <v>80</v>
      </c>
    </row>
    <row r="6" spans="1:3" x14ac:dyDescent="0.2">
      <c r="C6" t="s">
        <v>83</v>
      </c>
    </row>
    <row r="7" spans="1:3" x14ac:dyDescent="0.2">
      <c r="C7" t="s">
        <v>84</v>
      </c>
    </row>
    <row r="8" spans="1:3" x14ac:dyDescent="0.2">
      <c r="C8" t="s">
        <v>85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95</v>
      </c>
      <c r="F1" t="s">
        <v>89</v>
      </c>
      <c r="G1" t="s">
        <v>97</v>
      </c>
      <c r="H1" t="s">
        <v>96</v>
      </c>
      <c r="I1" t="s">
        <v>98</v>
      </c>
      <c r="J1" t="s">
        <v>169</v>
      </c>
      <c r="K1" t="s">
        <v>99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tabSelected="1" workbookViewId="0">
      <selection activeCell="P1" sqref="P1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3" customFormat="1" ht="60" customHeight="1" x14ac:dyDescent="0.2">
      <c r="A1" s="3" t="s">
        <v>33</v>
      </c>
      <c r="B1" s="3" t="s">
        <v>60</v>
      </c>
      <c r="C1" s="3" t="s">
        <v>61</v>
      </c>
      <c r="D1" s="3" t="s">
        <v>93</v>
      </c>
      <c r="E1" s="3" t="s">
        <v>172</v>
      </c>
      <c r="F1" s="3" t="s">
        <v>63</v>
      </c>
      <c r="G1" s="3" t="s">
        <v>171</v>
      </c>
      <c r="H1" s="3" t="s">
        <v>65</v>
      </c>
      <c r="I1" s="3" t="s">
        <v>66</v>
      </c>
      <c r="J1" s="3" t="s">
        <v>73</v>
      </c>
      <c r="K1" s="3" t="s">
        <v>94</v>
      </c>
      <c r="L1" s="3" t="s">
        <v>92</v>
      </c>
      <c r="M1" s="3" t="s">
        <v>88</v>
      </c>
      <c r="N1" s="3" t="s">
        <v>89</v>
      </c>
      <c r="O1" s="3" t="s">
        <v>90</v>
      </c>
      <c r="P1" s="3" t="s">
        <v>98</v>
      </c>
      <c r="Q1" s="3" t="s">
        <v>91</v>
      </c>
      <c r="R1" s="3" t="s">
        <v>87</v>
      </c>
      <c r="S1" s="3" t="s">
        <v>170</v>
      </c>
      <c r="T1" s="3" t="s">
        <v>96</v>
      </c>
      <c r="U1" s="3" t="s">
        <v>173</v>
      </c>
      <c r="V1" s="3" t="s">
        <v>110</v>
      </c>
    </row>
    <row r="2" spans="1:22" s="5" customFormat="1" x14ac:dyDescent="0.2">
      <c r="A2" s="11" t="str">
        <f>_xlfn.CONCAT(CN[[#This Row],[Neutral Ampacity]], "_", CN[[#This Row],[Conductor Size]])</f>
        <v>Full_2(7×)</v>
      </c>
      <c r="B2" s="4" t="s">
        <v>34</v>
      </c>
      <c r="C2" s="4" t="s">
        <v>35</v>
      </c>
      <c r="D2" s="4" t="str">
        <f>_xlfn.XLOOKUP(_xlfn.CONCAT(LEFT(CN[[#This Row],[Conductor Size]], SEARCH("(", CN[[#This Row],[Conductor Size]])-1), "_AA"), OH[Size_Material], OH[Type], NA(),-1)</f>
        <v>2_CLASS A_AA</v>
      </c>
      <c r="E2" s="4">
        <v>0.78</v>
      </c>
      <c r="F2" s="4">
        <v>0.85</v>
      </c>
      <c r="G2" s="4">
        <v>0.98</v>
      </c>
      <c r="H2" s="4" t="s">
        <v>36</v>
      </c>
      <c r="I2" s="4">
        <v>120</v>
      </c>
      <c r="J2" s="11">
        <v>15</v>
      </c>
      <c r="K2" s="13">
        <f>VALUE(RIGHT(CN[[#This Row],[Copper Neutral]],2))</f>
        <v>14</v>
      </c>
      <c r="L2" s="11">
        <f>_xlfn.XLOOKUP(CN[[#This Row],[Neutral Strand AWG]], OH[Size], OH[rac])</f>
        <v>14.872199999999999</v>
      </c>
      <c r="M2" s="11">
        <f>VALUE(LEFT(CN[[#This Row],[Copper Neutral]], SEARCH(" ",CN[[#This Row],[Copper Neutral]])-1))</f>
        <v>10</v>
      </c>
      <c r="N2" s="15">
        <f>_xlfn.XLOOKUP(CN[[#This Row],[Phase Conductor Name]], OH[Type], OH[GMRac])</f>
        <v>8.8299999999999993E-3</v>
      </c>
      <c r="O2" s="15">
        <f>_xlfn.XLOOKUP(CN[[#This Row],[Neutral Strand AWG]], OH[Size], OH[GMRac])</f>
        <v>2.0799999999999998E-3</v>
      </c>
      <c r="P2" s="15" t="s">
        <v>83</v>
      </c>
      <c r="Q2" s="15">
        <f>_xlfn.XLOOKUP(CN[[#This Row],[Phase Conductor Name]],OH[Type], OH[rac])</f>
        <v>1.5409999999999999</v>
      </c>
      <c r="R2" s="15" t="str">
        <f>_xlfn.XLOOKUP(CN[[#This Row],[Phase Conductor Name]],OH[Type], OH[runits])</f>
        <v>mi</v>
      </c>
      <c r="S2" s="16">
        <f>_xlfn.XLOOKUP(CN[[#This Row],[Phase Conductor Name]],OH[Type], OH[Diam])</f>
        <v>0.29199999999999998</v>
      </c>
      <c r="T2" s="16">
        <f>_xlfn.XLOOKUP(CN[[#This Row],[Phase Conductor Name]],OH[Type], OH[normamps])</f>
        <v>156</v>
      </c>
      <c r="U2" s="16">
        <f>_xlfn.XLOOKUP(CN[[#This Row],[Neutral Strand AWG]], OH[Size], OH[Diam])</f>
        <v>6.4100000000000004E-2</v>
      </c>
      <c r="V2" s="16" t="s">
        <v>84</v>
      </c>
    </row>
    <row r="3" spans="1:22" s="5" customFormat="1" x14ac:dyDescent="0.2">
      <c r="A3" s="4" t="str">
        <f>_xlfn.CONCAT(CN[[#This Row],[Neutral Ampacity]], "_", CN[[#This Row],[Conductor Size]])</f>
        <v>Full_1(19×)</v>
      </c>
      <c r="B3" s="4" t="s">
        <v>34</v>
      </c>
      <c r="C3" s="4" t="s">
        <v>37</v>
      </c>
      <c r="D3" s="4" t="str">
        <f>_xlfn.XLOOKUP(_xlfn.CONCAT(LEFT(CN[[#This Row],[Conductor Size]], SEARCH("(", CN[[#This Row],[Conductor Size]])-1), "_AA"), OH[Size_Material], OH[Type], NA(),-1)</f>
        <v>1_CLASS A_AA</v>
      </c>
      <c r="E3" s="4">
        <v>0.81</v>
      </c>
      <c r="F3" s="4">
        <v>0.89</v>
      </c>
      <c r="G3" s="4">
        <v>1.02</v>
      </c>
      <c r="H3" s="4" t="s">
        <v>38</v>
      </c>
      <c r="I3" s="4">
        <v>135</v>
      </c>
      <c r="J3" s="11">
        <v>15</v>
      </c>
      <c r="K3" s="13">
        <f>VALUE(RIGHT(CN[[#This Row],[Copper Neutral]],2))</f>
        <v>14</v>
      </c>
      <c r="L3" s="4">
        <f>_xlfn.XLOOKUP(CN[[#This Row],[Neutral Strand AWG]], OH[Size], OH[rac])</f>
        <v>14.872199999999999</v>
      </c>
      <c r="M3" s="4">
        <f>VALUE(LEFT(CN[[#This Row],[Copper Neutral]], SEARCH(" ",CN[[#This Row],[Copper Neutral]])-1))</f>
        <v>13</v>
      </c>
      <c r="N3" s="15">
        <f>_xlfn.XLOOKUP(CN[[#This Row],[Phase Conductor Name]], OH[Type], OH[GMRac])</f>
        <v>9.9100000000000004E-3</v>
      </c>
      <c r="O3" s="15">
        <f>_xlfn.XLOOKUP(CN[[#This Row],[Neutral Strand AWG]], OH[Size], OH[GMRac])</f>
        <v>2.0799999999999998E-3</v>
      </c>
      <c r="P3" s="15" t="s">
        <v>83</v>
      </c>
      <c r="Q3" s="15">
        <f>_xlfn.XLOOKUP(CN[[#This Row],[Phase Conductor Name]],OH[Type], OH[rac])</f>
        <v>1.224</v>
      </c>
      <c r="R3" s="15" t="str">
        <f>_xlfn.XLOOKUP(CN[[#This Row],[Phase Conductor Name]],OH[Type], OH[runits])</f>
        <v>mi</v>
      </c>
      <c r="S3" s="16">
        <f>_xlfn.XLOOKUP(CN[[#This Row],[Phase Conductor Name]],OH[Type], OH[Diam])</f>
        <v>0.32800000000000001</v>
      </c>
      <c r="T3" s="16">
        <f>_xlfn.XLOOKUP(CN[[#This Row],[Phase Conductor Name]],OH[Type], OH[normamps])</f>
        <v>177</v>
      </c>
      <c r="U3" s="16">
        <f>_xlfn.XLOOKUP(CN[[#This Row],[Neutral Strand AWG]], OH[Size], OH[Diam])</f>
        <v>6.4100000000000004E-2</v>
      </c>
      <c r="V3" s="16" t="s">
        <v>84</v>
      </c>
    </row>
    <row r="4" spans="1:22" s="5" customFormat="1" x14ac:dyDescent="0.2">
      <c r="A4" s="4" t="str">
        <f>_xlfn.CONCAT(CN[[#This Row],[Neutral Ampacity]], "_", CN[[#This Row],[Conductor Size]])</f>
        <v>Full_1/0(19×)</v>
      </c>
      <c r="B4" s="4" t="s">
        <v>34</v>
      </c>
      <c r="C4" s="4" t="s">
        <v>39</v>
      </c>
      <c r="D4" s="4" t="str">
        <f>_xlfn.XLOOKUP(_xlfn.CONCAT(LEFT(CN[[#This Row],[Conductor Size]], SEARCH("(", CN[[#This Row],[Conductor Size]])-1), "_AA"), OH[Size_Material], OH[Type], NA(),-1)</f>
        <v>1/0_CLASS A_AA</v>
      </c>
      <c r="E4" s="4">
        <v>0.85</v>
      </c>
      <c r="F4" s="4">
        <v>0.93</v>
      </c>
      <c r="G4" s="4">
        <v>1.06</v>
      </c>
      <c r="H4" s="4" t="s">
        <v>40</v>
      </c>
      <c r="I4" s="4">
        <v>155</v>
      </c>
      <c r="J4" s="11">
        <v>15</v>
      </c>
      <c r="K4" s="13">
        <f>VALUE(RIGHT(CN[[#This Row],[Copper Neutral]],2))</f>
        <v>14</v>
      </c>
      <c r="L4" s="4">
        <f>_xlfn.XLOOKUP(CN[[#This Row],[Neutral Strand AWG]], OH[Size], OH[rac])</f>
        <v>14.872199999999999</v>
      </c>
      <c r="M4" s="4">
        <f>VALUE(LEFT(CN[[#This Row],[Copper Neutral]], SEARCH(" ",CN[[#This Row],[Copper Neutral]])-1))</f>
        <v>16</v>
      </c>
      <c r="N4" s="15">
        <f>_xlfn.XLOOKUP(CN[[#This Row],[Phase Conductor Name]], OH[Type], OH[GMRac])</f>
        <v>1.11E-2</v>
      </c>
      <c r="O4" s="15">
        <f>_xlfn.XLOOKUP(CN[[#This Row],[Neutral Strand AWG]], OH[Size], OH[GMRac])</f>
        <v>2.0799999999999998E-3</v>
      </c>
      <c r="P4" s="15" t="s">
        <v>83</v>
      </c>
      <c r="Q4" s="15">
        <f>_xlfn.XLOOKUP(CN[[#This Row],[Phase Conductor Name]],OH[Type], OH[rac])</f>
        <v>0.97</v>
      </c>
      <c r="R4" s="15" t="str">
        <f>_xlfn.XLOOKUP(CN[[#This Row],[Phase Conductor Name]],OH[Type], OH[runits])</f>
        <v>mi</v>
      </c>
      <c r="S4" s="16">
        <f>_xlfn.XLOOKUP(CN[[#This Row],[Phase Conductor Name]],OH[Type], OH[Diam])</f>
        <v>0.36799999999999999</v>
      </c>
      <c r="T4" s="16">
        <f>_xlfn.XLOOKUP(CN[[#This Row],[Phase Conductor Name]],OH[Type], OH[normamps])</f>
        <v>202</v>
      </c>
      <c r="U4" s="16">
        <f>_xlfn.XLOOKUP(CN[[#This Row],[Neutral Strand AWG]], OH[Size], OH[Diam])</f>
        <v>6.4100000000000004E-2</v>
      </c>
      <c r="V4" s="16" t="s">
        <v>84</v>
      </c>
    </row>
    <row r="5" spans="1:22" s="5" customFormat="1" x14ac:dyDescent="0.2">
      <c r="A5" s="4" t="str">
        <f>_xlfn.CONCAT(CN[[#This Row],[Neutral Ampacity]], "_", CN[[#This Row],[Conductor Size]])</f>
        <v>Full_2/0(19×)</v>
      </c>
      <c r="B5" s="4" t="s">
        <v>34</v>
      </c>
      <c r="C5" s="4" t="s">
        <v>41</v>
      </c>
      <c r="D5" s="4" t="str">
        <f>_xlfn.XLOOKUP(_xlfn.CONCAT(LEFT(CN[[#This Row],[Conductor Size]], SEARCH("(", CN[[#This Row],[Conductor Size]])-1), "_AA"), OH[Size_Material], OH[Type], NA(),-1)</f>
        <v>2/0_CLASS A_AA</v>
      </c>
      <c r="E5" s="4">
        <v>0.9</v>
      </c>
      <c r="F5" s="4">
        <v>0.97</v>
      </c>
      <c r="G5" s="4">
        <v>1.1299999999999999</v>
      </c>
      <c r="H5" s="4" t="s">
        <v>42</v>
      </c>
      <c r="I5" s="4">
        <v>175</v>
      </c>
      <c r="J5" s="11">
        <v>15</v>
      </c>
      <c r="K5" s="13">
        <f>VALUE(RIGHT(CN[[#This Row],[Copper Neutral]],2))</f>
        <v>12</v>
      </c>
      <c r="L5" s="4">
        <f>_xlfn.XLOOKUP(CN[[#This Row],[Neutral Strand AWG]], OH[Size], OH[rac])</f>
        <v>9.3747000000000007</v>
      </c>
      <c r="M5" s="4">
        <f>VALUE(LEFT(CN[[#This Row],[Copper Neutral]], SEARCH(" ",CN[[#This Row],[Copper Neutral]])-1))</f>
        <v>13</v>
      </c>
      <c r="N5" s="15">
        <f>_xlfn.XLOOKUP(CN[[#This Row],[Phase Conductor Name]], OH[Type], OH[GMRac])</f>
        <v>1.2500000000000001E-2</v>
      </c>
      <c r="O5" s="15">
        <f>_xlfn.XLOOKUP(CN[[#This Row],[Neutral Strand AWG]], OH[Size], OH[GMRac])</f>
        <v>2.6199999999999999E-3</v>
      </c>
      <c r="P5" s="15" t="s">
        <v>83</v>
      </c>
      <c r="Q5" s="15">
        <f>_xlfn.XLOOKUP(CN[[#This Row],[Phase Conductor Name]],OH[Type], OH[rac])</f>
        <v>0.76900000000000002</v>
      </c>
      <c r="R5" s="15" t="str">
        <f>_xlfn.XLOOKUP(CN[[#This Row],[Phase Conductor Name]],OH[Type], OH[runits])</f>
        <v>mi</v>
      </c>
      <c r="S5" s="16">
        <f>_xlfn.XLOOKUP(CN[[#This Row],[Phase Conductor Name]],OH[Type], OH[Diam])</f>
        <v>0.41399999999999998</v>
      </c>
      <c r="T5" s="16">
        <f>_xlfn.XLOOKUP(CN[[#This Row],[Phase Conductor Name]],OH[Type], OH[normamps])</f>
        <v>230</v>
      </c>
      <c r="U5" s="16">
        <f>_xlfn.XLOOKUP(CN[[#This Row],[Neutral Strand AWG]], OH[Size], OH[Diam])</f>
        <v>8.0799999999999997E-2</v>
      </c>
      <c r="V5" s="16" t="s">
        <v>84</v>
      </c>
    </row>
    <row r="6" spans="1:22" s="5" customFormat="1" x14ac:dyDescent="0.2">
      <c r="A6" s="4" t="str">
        <f>_xlfn.CONCAT(CN[[#This Row],[Neutral Ampacity]], "_", CN[[#This Row],[Conductor Size]])</f>
        <v>Full_3/0(19×)</v>
      </c>
      <c r="B6" s="4" t="s">
        <v>34</v>
      </c>
      <c r="C6" s="4" t="s">
        <v>43</v>
      </c>
      <c r="D6" s="4" t="str">
        <f>_xlfn.XLOOKUP(_xlfn.CONCAT(LEFT(CN[[#This Row],[Conductor Size]], SEARCH("(", CN[[#This Row],[Conductor Size]])-1), "_AA"), OH[Size_Material], OH[Type], NA(),-1)</f>
        <v>3/0_CLASS A_AA</v>
      </c>
      <c r="E6" s="4">
        <v>0.95</v>
      </c>
      <c r="F6" s="4">
        <v>1.02</v>
      </c>
      <c r="G6" s="4">
        <v>1.18</v>
      </c>
      <c r="H6" s="4" t="s">
        <v>44</v>
      </c>
      <c r="I6" s="4">
        <v>200</v>
      </c>
      <c r="J6" s="11">
        <v>15</v>
      </c>
      <c r="K6" s="13">
        <f>VALUE(RIGHT(CN[[#This Row],[Copper Neutral]],2))</f>
        <v>12</v>
      </c>
      <c r="L6" s="4">
        <f>_xlfn.XLOOKUP(CN[[#This Row],[Neutral Strand AWG]], OH[Size], OH[rac])</f>
        <v>9.3747000000000007</v>
      </c>
      <c r="M6" s="4">
        <f>VALUE(LEFT(CN[[#This Row],[Copper Neutral]], SEARCH(" ",CN[[#This Row],[Copper Neutral]])-1))</f>
        <v>16</v>
      </c>
      <c r="N6" s="15">
        <f>_xlfn.XLOOKUP(CN[[#This Row],[Phase Conductor Name]], OH[Type], OH[GMRac])</f>
        <v>1.4E-2</v>
      </c>
      <c r="O6" s="15">
        <f>_xlfn.XLOOKUP(CN[[#This Row],[Neutral Strand AWG]], OH[Size], OH[GMRac])</f>
        <v>2.6199999999999999E-3</v>
      </c>
      <c r="P6" s="15" t="s">
        <v>83</v>
      </c>
      <c r="Q6" s="15">
        <f>_xlfn.XLOOKUP(CN[[#This Row],[Phase Conductor Name]],OH[Type], OH[rac])</f>
        <v>0.61099999999999999</v>
      </c>
      <c r="R6" s="15" t="str">
        <f>_xlfn.XLOOKUP(CN[[#This Row],[Phase Conductor Name]],OH[Type], OH[runits])</f>
        <v>mi</v>
      </c>
      <c r="S6" s="16">
        <f>_xlfn.XLOOKUP(CN[[#This Row],[Phase Conductor Name]],OH[Type], OH[Diam])</f>
        <v>0.46400000000000002</v>
      </c>
      <c r="T6" s="16">
        <f>_xlfn.XLOOKUP(CN[[#This Row],[Phase Conductor Name]],OH[Type], OH[normamps])</f>
        <v>263</v>
      </c>
      <c r="U6" s="16">
        <f>_xlfn.XLOOKUP(CN[[#This Row],[Neutral Strand AWG]], OH[Size], OH[Diam])</f>
        <v>8.0799999999999997E-2</v>
      </c>
      <c r="V6" s="16" t="s">
        <v>84</v>
      </c>
    </row>
    <row r="7" spans="1:22" s="5" customFormat="1" x14ac:dyDescent="0.2">
      <c r="A7" s="4" t="str">
        <f>_xlfn.CONCAT(CN[[#This Row],[Neutral Ampacity]], "_", CN[[#This Row],[Conductor Size]])</f>
        <v>Full_4/0(19×)</v>
      </c>
      <c r="B7" s="4" t="s">
        <v>34</v>
      </c>
      <c r="C7" s="4" t="s">
        <v>45</v>
      </c>
      <c r="D7" s="4" t="str">
        <f>_xlfn.XLOOKUP(_xlfn.CONCAT(LEFT(CN[[#This Row],[Conductor Size]], SEARCH("(", CN[[#This Row],[Conductor Size]])-1), "_AA"), OH[Size_Material], OH[Type], NA(),-1)</f>
        <v>4/0_CLASS A_AA</v>
      </c>
      <c r="E7" s="4">
        <v>1.01</v>
      </c>
      <c r="F7" s="4">
        <v>1.08</v>
      </c>
      <c r="G7" s="4">
        <v>1.28</v>
      </c>
      <c r="H7" s="4" t="s">
        <v>46</v>
      </c>
      <c r="I7" s="4">
        <v>230</v>
      </c>
      <c r="J7" s="11">
        <v>15</v>
      </c>
      <c r="K7" s="13">
        <f>VALUE(RIGHT(CN[[#This Row],[Copper Neutral]],2))</f>
        <v>10</v>
      </c>
      <c r="L7" s="4">
        <f>_xlfn.XLOOKUP(CN[[#This Row],[Neutral Strand AWG]], OH[Size], OH[rac])</f>
        <v>5.9025999999999996</v>
      </c>
      <c r="M7" s="4">
        <f>VALUE(LEFT(CN[[#This Row],[Copper Neutral]], SEARCH(" ",CN[[#This Row],[Copper Neutral]])-1))</f>
        <v>13</v>
      </c>
      <c r="N7" s="15">
        <f>_xlfn.XLOOKUP(CN[[#This Row],[Phase Conductor Name]], OH[Type], OH[GMRac])</f>
        <v>1.5800000000000002E-2</v>
      </c>
      <c r="O7" s="15">
        <f>_xlfn.XLOOKUP(CN[[#This Row],[Neutral Strand AWG]], OH[Size], OH[GMRac])</f>
        <v>3.3E-3</v>
      </c>
      <c r="P7" s="15" t="s">
        <v>83</v>
      </c>
      <c r="Q7" s="15">
        <f>_xlfn.XLOOKUP(CN[[#This Row],[Phase Conductor Name]],OH[Type], OH[rac])</f>
        <v>0.48399999999999999</v>
      </c>
      <c r="R7" s="15" t="str">
        <f>_xlfn.XLOOKUP(CN[[#This Row],[Phase Conductor Name]],OH[Type], OH[runits])</f>
        <v>mi</v>
      </c>
      <c r="S7" s="16">
        <f>_xlfn.XLOOKUP(CN[[#This Row],[Phase Conductor Name]],OH[Type], OH[Diam])</f>
        <v>0.52200000000000002</v>
      </c>
      <c r="T7" s="16">
        <f>_xlfn.XLOOKUP(CN[[#This Row],[Phase Conductor Name]],OH[Type], OH[normamps])</f>
        <v>299</v>
      </c>
      <c r="U7" s="16">
        <f>_xlfn.XLOOKUP(CN[[#This Row],[Neutral Strand AWG]], OH[Size], OH[Diam])</f>
        <v>0.1019</v>
      </c>
      <c r="V7" s="16" t="s">
        <v>84</v>
      </c>
    </row>
    <row r="8" spans="1:22" s="5" customFormat="1" x14ac:dyDescent="0.2">
      <c r="A8" s="4" t="str">
        <f>_xlfn.CONCAT(CN[[#This Row],[Neutral Ampacity]], "_", CN[[#This Row],[Conductor Size]])</f>
        <v>Full_250(37×)</v>
      </c>
      <c r="B8" s="4" t="s">
        <v>34</v>
      </c>
      <c r="C8" s="4" t="s">
        <v>47</v>
      </c>
      <c r="D8" s="4" t="str">
        <f>_xlfn.XLOOKUP(_xlfn.CONCAT(LEFT(CN[[#This Row],[Conductor Size]], SEARCH("(", CN[[#This Row],[Conductor Size]])-1), "_AA"), OH[Size_Material], OH[Type], NA(),-1)</f>
        <v>250_CON LAY_AA</v>
      </c>
      <c r="E8" s="4">
        <v>1.06</v>
      </c>
      <c r="F8" s="4">
        <v>1.1599999999999999</v>
      </c>
      <c r="G8" s="4">
        <v>1.37</v>
      </c>
      <c r="H8" s="4" t="s">
        <v>48</v>
      </c>
      <c r="I8" s="4">
        <v>255</v>
      </c>
      <c r="J8" s="11">
        <v>15</v>
      </c>
      <c r="K8" s="13">
        <f>VALUE(RIGHT(CN[[#This Row],[Copper Neutral]],2))</f>
        <v>10</v>
      </c>
      <c r="L8" s="4">
        <f>_xlfn.XLOOKUP(CN[[#This Row],[Neutral Strand AWG]], OH[Size], OH[rac])</f>
        <v>5.9025999999999996</v>
      </c>
      <c r="M8" s="4">
        <f>VALUE(LEFT(CN[[#This Row],[Copper Neutral]], SEARCH(" ",CN[[#This Row],[Copper Neutral]])-1))</f>
        <v>16</v>
      </c>
      <c r="N8" s="15">
        <f>_xlfn.XLOOKUP(CN[[#This Row],[Phase Conductor Name]], OH[Type], OH[GMRac])</f>
        <v>1.7100000000000001E-2</v>
      </c>
      <c r="O8" s="15">
        <f>_xlfn.XLOOKUP(CN[[#This Row],[Neutral Strand AWG]], OH[Size], OH[GMRac])</f>
        <v>3.3E-3</v>
      </c>
      <c r="P8" s="15" t="s">
        <v>83</v>
      </c>
      <c r="Q8" s="15">
        <f>_xlfn.XLOOKUP(CN[[#This Row],[Phase Conductor Name]],OH[Type], OH[rac])</f>
        <v>0.41</v>
      </c>
      <c r="R8" s="15" t="str">
        <f>_xlfn.XLOOKUP(CN[[#This Row],[Phase Conductor Name]],OH[Type], OH[runits])</f>
        <v>mi</v>
      </c>
      <c r="S8" s="16">
        <f>_xlfn.XLOOKUP(CN[[#This Row],[Phase Conductor Name]],OH[Type], OH[Diam])</f>
        <v>0.56699999999999995</v>
      </c>
      <c r="T8" s="16">
        <f>_xlfn.XLOOKUP(CN[[#This Row],[Phase Conductor Name]],OH[Type], OH[normamps])</f>
        <v>329</v>
      </c>
      <c r="U8" s="16">
        <f>_xlfn.XLOOKUP(CN[[#This Row],[Neutral Strand AWG]], OH[Size], OH[Diam])</f>
        <v>0.1019</v>
      </c>
      <c r="V8" s="16" t="s">
        <v>84</v>
      </c>
    </row>
    <row r="9" spans="1:22" s="5" customFormat="1" x14ac:dyDescent="0.2">
      <c r="A9" s="4" t="str">
        <f>_xlfn.CONCAT(CN[[#This Row],[Neutral Ampacity]], "_", CN[[#This Row],[Conductor Size]])</f>
        <v>Full_350(37×)</v>
      </c>
      <c r="B9" s="4" t="s">
        <v>34</v>
      </c>
      <c r="C9" s="4" t="s">
        <v>49</v>
      </c>
      <c r="D9" s="4" t="str">
        <f>_xlfn.XLOOKUP(_xlfn.CONCAT(LEFT(CN[[#This Row],[Conductor Size]], SEARCH("(", CN[[#This Row],[Conductor Size]])-1), "_AA"), OH[Size_Material], OH[Type], NA(),-1)</f>
        <v>350_CON LAY_AA</v>
      </c>
      <c r="E9" s="4">
        <v>1.17</v>
      </c>
      <c r="F9" s="4">
        <v>1.27</v>
      </c>
      <c r="G9" s="4">
        <v>1.47</v>
      </c>
      <c r="H9" s="4" t="s">
        <v>50</v>
      </c>
      <c r="I9" s="4">
        <v>300</v>
      </c>
      <c r="J9" s="11">
        <v>15</v>
      </c>
      <c r="K9" s="13">
        <f>VALUE(RIGHT(CN[[#This Row],[Copper Neutral]],2))</f>
        <v>10</v>
      </c>
      <c r="L9" s="4">
        <f>_xlfn.XLOOKUP(CN[[#This Row],[Neutral Strand AWG]], OH[Size], OH[rac])</f>
        <v>5.9025999999999996</v>
      </c>
      <c r="M9" s="4">
        <f>VALUE(LEFT(CN[[#This Row],[Copper Neutral]], SEARCH(" ",CN[[#This Row],[Copper Neutral]])-1))</f>
        <v>20</v>
      </c>
      <c r="N9" s="15">
        <f>_xlfn.XLOOKUP(CN[[#This Row],[Phase Conductor Name]], OH[Type], OH[GMRac])</f>
        <v>2.1399999999999999E-2</v>
      </c>
      <c r="O9" s="15">
        <f>_xlfn.XLOOKUP(CN[[#This Row],[Neutral Strand AWG]], OH[Size], OH[GMRac])</f>
        <v>3.3E-3</v>
      </c>
      <c r="P9" s="15" t="s">
        <v>83</v>
      </c>
      <c r="Q9" s="15">
        <f>_xlfn.XLOOKUP(CN[[#This Row],[Phase Conductor Name]],OH[Type], OH[rac])</f>
        <v>0.29399999999999998</v>
      </c>
      <c r="R9" s="15" t="str">
        <f>_xlfn.XLOOKUP(CN[[#This Row],[Phase Conductor Name]],OH[Type], OH[runits])</f>
        <v>mi</v>
      </c>
      <c r="S9" s="16">
        <f>_xlfn.XLOOKUP(CN[[#This Row],[Phase Conductor Name]],OH[Type], OH[Diam])</f>
        <v>0.67900000000000005</v>
      </c>
      <c r="T9" s="16">
        <f>_xlfn.XLOOKUP(CN[[#This Row],[Phase Conductor Name]],OH[Type], OH[normamps])</f>
        <v>399</v>
      </c>
      <c r="U9" s="16">
        <f>_xlfn.XLOOKUP(CN[[#This Row],[Neutral Strand AWG]], OH[Size], OH[Diam])</f>
        <v>0.1019</v>
      </c>
      <c r="V9" s="16" t="s">
        <v>84</v>
      </c>
    </row>
    <row r="10" spans="1:22" s="5" customFormat="1" x14ac:dyDescent="0.2">
      <c r="A10" s="4" t="str">
        <f>_xlfn.CONCAT(CN[[#This Row],[Neutral Ampacity]], "_", CN[[#This Row],[Conductor Size]])</f>
        <v>1/3_2(7×)</v>
      </c>
      <c r="B10" s="6" t="s">
        <v>59</v>
      </c>
      <c r="C10" s="4" t="s">
        <v>35</v>
      </c>
      <c r="D10" s="4" t="str">
        <f>_xlfn.XLOOKUP(_xlfn.CONCAT(LEFT(CN[[#This Row],[Conductor Size]], SEARCH("(", CN[[#This Row],[Conductor Size]])-1), "_AA"), OH[Size_Material], OH[Type], NA(),-1)</f>
        <v>2_CLASS A_AA</v>
      </c>
      <c r="E10" s="4">
        <v>0.78</v>
      </c>
      <c r="F10" s="4">
        <v>0.85</v>
      </c>
      <c r="G10" s="4">
        <v>0.98</v>
      </c>
      <c r="H10" s="4" t="s">
        <v>51</v>
      </c>
      <c r="I10" s="4">
        <v>135</v>
      </c>
      <c r="J10" s="11">
        <v>15</v>
      </c>
      <c r="K10" s="13">
        <f>VALUE(RIGHT(CN[[#This Row],[Copper Neutral]],2))</f>
        <v>14</v>
      </c>
      <c r="L10" s="4">
        <f>_xlfn.XLOOKUP(CN[[#This Row],[Neutral Strand AWG]], OH[Size], OH[rac])</f>
        <v>14.872199999999999</v>
      </c>
      <c r="M10" s="4">
        <f>VALUE(LEFT(CN[[#This Row],[Copper Neutral]], SEARCH(" ",CN[[#This Row],[Copper Neutral]])-1))</f>
        <v>6</v>
      </c>
      <c r="N10" s="15">
        <f>_xlfn.XLOOKUP(CN[[#This Row],[Phase Conductor Name]], OH[Type], OH[GMRac])</f>
        <v>8.8299999999999993E-3</v>
      </c>
      <c r="O10" s="15">
        <f>_xlfn.XLOOKUP(CN[[#This Row],[Neutral Strand AWG]], OH[Size], OH[GMRac])</f>
        <v>2.0799999999999998E-3</v>
      </c>
      <c r="P10" s="15" t="s">
        <v>83</v>
      </c>
      <c r="Q10" s="15">
        <f>_xlfn.XLOOKUP(CN[[#This Row],[Phase Conductor Name]],OH[Type], OH[rac])</f>
        <v>1.5409999999999999</v>
      </c>
      <c r="R10" s="15" t="str">
        <f>_xlfn.XLOOKUP(CN[[#This Row],[Phase Conductor Name]],OH[Type], OH[runits])</f>
        <v>mi</v>
      </c>
      <c r="S10" s="16">
        <f>_xlfn.XLOOKUP(CN[[#This Row],[Phase Conductor Name]],OH[Type], OH[Diam])</f>
        <v>0.29199999999999998</v>
      </c>
      <c r="T10" s="16">
        <f>_xlfn.XLOOKUP(CN[[#This Row],[Phase Conductor Name]],OH[Type], OH[normamps])</f>
        <v>156</v>
      </c>
      <c r="U10" s="16">
        <f>_xlfn.XLOOKUP(CN[[#This Row],[Neutral Strand AWG]], OH[Size], OH[Diam])</f>
        <v>6.4100000000000004E-2</v>
      </c>
      <c r="V10" s="16" t="s">
        <v>84</v>
      </c>
    </row>
    <row r="11" spans="1:22" s="5" customFormat="1" x14ac:dyDescent="0.2">
      <c r="A11" s="4" t="str">
        <f>_xlfn.CONCAT(CN[[#This Row],[Neutral Ampacity]], "_", CN[[#This Row],[Conductor Size]])</f>
        <v>1/3_1(19×)</v>
      </c>
      <c r="B11" s="6" t="s">
        <v>59</v>
      </c>
      <c r="C11" s="4" t="s">
        <v>37</v>
      </c>
      <c r="D11" s="4" t="str">
        <f>_xlfn.XLOOKUP(_xlfn.CONCAT(LEFT(CN[[#This Row],[Conductor Size]], SEARCH("(", CN[[#This Row],[Conductor Size]])-1), "_AA"), OH[Size_Material], OH[Type], NA(),-1)</f>
        <v>1_CLASS A_AA</v>
      </c>
      <c r="E11" s="4">
        <v>0.81</v>
      </c>
      <c r="F11" s="4">
        <v>0.89</v>
      </c>
      <c r="G11" s="4">
        <v>1.02</v>
      </c>
      <c r="H11" s="4" t="s">
        <v>51</v>
      </c>
      <c r="I11" s="4">
        <v>155</v>
      </c>
      <c r="J11" s="11">
        <v>15</v>
      </c>
      <c r="K11" s="13">
        <f>VALUE(RIGHT(CN[[#This Row],[Copper Neutral]],2))</f>
        <v>14</v>
      </c>
      <c r="L11" s="4">
        <f>_xlfn.XLOOKUP(CN[[#This Row],[Neutral Strand AWG]], OH[Size], OH[rac])</f>
        <v>14.872199999999999</v>
      </c>
      <c r="M11" s="4">
        <f>VALUE(LEFT(CN[[#This Row],[Copper Neutral]], SEARCH(" ",CN[[#This Row],[Copper Neutral]])-1))</f>
        <v>6</v>
      </c>
      <c r="N11" s="15">
        <f>_xlfn.XLOOKUP(CN[[#This Row],[Phase Conductor Name]], OH[Type], OH[GMRac])</f>
        <v>9.9100000000000004E-3</v>
      </c>
      <c r="O11" s="15">
        <f>_xlfn.XLOOKUP(CN[[#This Row],[Neutral Strand AWG]], OH[Size], OH[GMRac])</f>
        <v>2.0799999999999998E-3</v>
      </c>
      <c r="P11" s="15" t="s">
        <v>83</v>
      </c>
      <c r="Q11" s="15">
        <f>_xlfn.XLOOKUP(CN[[#This Row],[Phase Conductor Name]],OH[Type], OH[rac])</f>
        <v>1.224</v>
      </c>
      <c r="R11" s="15" t="str">
        <f>_xlfn.XLOOKUP(CN[[#This Row],[Phase Conductor Name]],OH[Type], OH[runits])</f>
        <v>mi</v>
      </c>
      <c r="S11" s="16">
        <f>_xlfn.XLOOKUP(CN[[#This Row],[Phase Conductor Name]],OH[Type], OH[Diam])</f>
        <v>0.32800000000000001</v>
      </c>
      <c r="T11" s="16">
        <f>_xlfn.XLOOKUP(CN[[#This Row],[Phase Conductor Name]],OH[Type], OH[normamps])</f>
        <v>177</v>
      </c>
      <c r="U11" s="16">
        <f>_xlfn.XLOOKUP(CN[[#This Row],[Neutral Strand AWG]], OH[Size], OH[Diam])</f>
        <v>6.4100000000000004E-2</v>
      </c>
      <c r="V11" s="16" t="s">
        <v>84</v>
      </c>
    </row>
    <row r="12" spans="1:22" s="5" customFormat="1" x14ac:dyDescent="0.2">
      <c r="A12" s="4" t="str">
        <f>_xlfn.CONCAT(CN[[#This Row],[Neutral Ampacity]], "_", CN[[#This Row],[Conductor Size]])</f>
        <v>1/3_1/0(19×)</v>
      </c>
      <c r="B12" s="6" t="s">
        <v>59</v>
      </c>
      <c r="C12" s="4" t="s">
        <v>39</v>
      </c>
      <c r="D12" s="4" t="str">
        <f>_xlfn.XLOOKUP(_xlfn.CONCAT(LEFT(CN[[#This Row],[Conductor Size]], SEARCH("(", CN[[#This Row],[Conductor Size]])-1), "_AA"), OH[Size_Material], OH[Type], NA(),-1)</f>
        <v>1/0_CLASS A_AA</v>
      </c>
      <c r="E12" s="4">
        <v>0.85</v>
      </c>
      <c r="F12" s="4">
        <v>0.93</v>
      </c>
      <c r="G12" s="4">
        <v>1.06</v>
      </c>
      <c r="H12" s="4" t="s">
        <v>51</v>
      </c>
      <c r="I12" s="4">
        <v>175</v>
      </c>
      <c r="J12" s="11">
        <v>15</v>
      </c>
      <c r="K12" s="13">
        <f>VALUE(RIGHT(CN[[#This Row],[Copper Neutral]],2))</f>
        <v>14</v>
      </c>
      <c r="L12" s="4">
        <f>_xlfn.XLOOKUP(CN[[#This Row],[Neutral Strand AWG]], OH[Size], OH[rac])</f>
        <v>14.872199999999999</v>
      </c>
      <c r="M12" s="4">
        <f>VALUE(LEFT(CN[[#This Row],[Copper Neutral]], SEARCH(" ",CN[[#This Row],[Copper Neutral]])-1))</f>
        <v>6</v>
      </c>
      <c r="N12" s="15">
        <f>_xlfn.XLOOKUP(CN[[#This Row],[Phase Conductor Name]], OH[Type], OH[GMRac])</f>
        <v>1.11E-2</v>
      </c>
      <c r="O12" s="15">
        <f>_xlfn.XLOOKUP(CN[[#This Row],[Neutral Strand AWG]], OH[Size], OH[GMRac])</f>
        <v>2.0799999999999998E-3</v>
      </c>
      <c r="P12" s="15" t="s">
        <v>83</v>
      </c>
      <c r="Q12" s="15">
        <f>_xlfn.XLOOKUP(CN[[#This Row],[Phase Conductor Name]],OH[Type], OH[rac])</f>
        <v>0.97</v>
      </c>
      <c r="R12" s="15" t="str">
        <f>_xlfn.XLOOKUP(CN[[#This Row],[Phase Conductor Name]],OH[Type], OH[runits])</f>
        <v>mi</v>
      </c>
      <c r="S12" s="16">
        <f>_xlfn.XLOOKUP(CN[[#This Row],[Phase Conductor Name]],OH[Type], OH[Diam])</f>
        <v>0.36799999999999999</v>
      </c>
      <c r="T12" s="16">
        <f>_xlfn.XLOOKUP(CN[[#This Row],[Phase Conductor Name]],OH[Type], OH[normamps])</f>
        <v>202</v>
      </c>
      <c r="U12" s="16">
        <f>_xlfn.XLOOKUP(CN[[#This Row],[Neutral Strand AWG]], OH[Size], OH[Diam])</f>
        <v>6.4100000000000004E-2</v>
      </c>
      <c r="V12" s="16" t="s">
        <v>84</v>
      </c>
    </row>
    <row r="13" spans="1:22" s="5" customFormat="1" x14ac:dyDescent="0.2">
      <c r="A13" s="4" t="str">
        <f>_xlfn.CONCAT(CN[[#This Row],[Neutral Ampacity]], "_", CN[[#This Row],[Conductor Size]])</f>
        <v>1/3_2/0(19×)</v>
      </c>
      <c r="B13" s="6" t="s">
        <v>59</v>
      </c>
      <c r="C13" s="4" t="s">
        <v>41</v>
      </c>
      <c r="D13" s="4" t="str">
        <f>_xlfn.XLOOKUP(_xlfn.CONCAT(LEFT(CN[[#This Row],[Conductor Size]], SEARCH("(", CN[[#This Row],[Conductor Size]])-1), "_AA"), OH[Size_Material], OH[Type], NA(),-1)</f>
        <v>2/0_CLASS A_AA</v>
      </c>
      <c r="E13" s="4">
        <v>0.9</v>
      </c>
      <c r="F13" s="4">
        <v>0.97</v>
      </c>
      <c r="G13" s="4">
        <v>1.1000000000000001</v>
      </c>
      <c r="H13" s="4" t="s">
        <v>52</v>
      </c>
      <c r="I13" s="4">
        <v>200</v>
      </c>
      <c r="J13" s="11">
        <v>15</v>
      </c>
      <c r="K13" s="13">
        <f>VALUE(RIGHT(CN[[#This Row],[Copper Neutral]],2))</f>
        <v>14</v>
      </c>
      <c r="L13" s="4">
        <f>_xlfn.XLOOKUP(CN[[#This Row],[Neutral Strand AWG]], OH[Size], OH[rac])</f>
        <v>14.872199999999999</v>
      </c>
      <c r="M13" s="4">
        <f>VALUE(LEFT(CN[[#This Row],[Copper Neutral]], SEARCH(" ",CN[[#This Row],[Copper Neutral]])-1))</f>
        <v>7</v>
      </c>
      <c r="N13" s="15">
        <f>_xlfn.XLOOKUP(CN[[#This Row],[Phase Conductor Name]], OH[Type], OH[GMRac])</f>
        <v>1.2500000000000001E-2</v>
      </c>
      <c r="O13" s="15">
        <f>_xlfn.XLOOKUP(CN[[#This Row],[Neutral Strand AWG]], OH[Size], OH[GMRac])</f>
        <v>2.0799999999999998E-3</v>
      </c>
      <c r="P13" s="15" t="s">
        <v>83</v>
      </c>
      <c r="Q13" s="15">
        <f>_xlfn.XLOOKUP(CN[[#This Row],[Phase Conductor Name]],OH[Type], OH[rac])</f>
        <v>0.76900000000000002</v>
      </c>
      <c r="R13" s="15" t="str">
        <f>_xlfn.XLOOKUP(CN[[#This Row],[Phase Conductor Name]],OH[Type], OH[runits])</f>
        <v>mi</v>
      </c>
      <c r="S13" s="16">
        <f>_xlfn.XLOOKUP(CN[[#This Row],[Phase Conductor Name]],OH[Type], OH[Diam])</f>
        <v>0.41399999999999998</v>
      </c>
      <c r="T13" s="16">
        <f>_xlfn.XLOOKUP(CN[[#This Row],[Phase Conductor Name]],OH[Type], OH[normamps])</f>
        <v>230</v>
      </c>
      <c r="U13" s="16">
        <f>_xlfn.XLOOKUP(CN[[#This Row],[Neutral Strand AWG]], OH[Size], OH[Diam])</f>
        <v>6.4100000000000004E-2</v>
      </c>
      <c r="V13" s="16" t="s">
        <v>84</v>
      </c>
    </row>
    <row r="14" spans="1:22" s="5" customFormat="1" x14ac:dyDescent="0.2">
      <c r="A14" s="4" t="str">
        <f>_xlfn.CONCAT(CN[[#This Row],[Neutral Ampacity]], "_", CN[[#This Row],[Conductor Size]])</f>
        <v>1/3_3/0(19×)</v>
      </c>
      <c r="B14" s="6" t="s">
        <v>59</v>
      </c>
      <c r="C14" s="4" t="s">
        <v>43</v>
      </c>
      <c r="D14" s="4" t="str">
        <f>_xlfn.XLOOKUP(_xlfn.CONCAT(LEFT(CN[[#This Row],[Conductor Size]], SEARCH("(", CN[[#This Row],[Conductor Size]])-1), "_AA"), OH[Size_Material], OH[Type], NA(),-1)</f>
        <v>3/0_CLASS A_AA</v>
      </c>
      <c r="E14" s="4">
        <v>0.95</v>
      </c>
      <c r="F14" s="4">
        <v>1.02</v>
      </c>
      <c r="G14" s="4">
        <v>1.1499999999999999</v>
      </c>
      <c r="H14" s="4" t="s">
        <v>53</v>
      </c>
      <c r="I14" s="4">
        <v>230</v>
      </c>
      <c r="J14" s="11">
        <v>15</v>
      </c>
      <c r="K14" s="13">
        <f>VALUE(RIGHT(CN[[#This Row],[Copper Neutral]],2))</f>
        <v>14</v>
      </c>
      <c r="L14" s="4">
        <f>_xlfn.XLOOKUP(CN[[#This Row],[Neutral Strand AWG]], OH[Size], OH[rac])</f>
        <v>14.872199999999999</v>
      </c>
      <c r="M14" s="4">
        <f>VALUE(LEFT(CN[[#This Row],[Copper Neutral]], SEARCH(" ",CN[[#This Row],[Copper Neutral]])-1))</f>
        <v>9</v>
      </c>
      <c r="N14" s="15">
        <f>_xlfn.XLOOKUP(CN[[#This Row],[Phase Conductor Name]], OH[Type], OH[GMRac])</f>
        <v>1.4E-2</v>
      </c>
      <c r="O14" s="15">
        <f>_xlfn.XLOOKUP(CN[[#This Row],[Neutral Strand AWG]], OH[Size], OH[GMRac])</f>
        <v>2.0799999999999998E-3</v>
      </c>
      <c r="P14" s="15" t="s">
        <v>83</v>
      </c>
      <c r="Q14" s="15">
        <f>_xlfn.XLOOKUP(CN[[#This Row],[Phase Conductor Name]],OH[Type], OH[rac])</f>
        <v>0.61099999999999999</v>
      </c>
      <c r="R14" s="15" t="str">
        <f>_xlfn.XLOOKUP(CN[[#This Row],[Phase Conductor Name]],OH[Type], OH[runits])</f>
        <v>mi</v>
      </c>
      <c r="S14" s="16">
        <f>_xlfn.XLOOKUP(CN[[#This Row],[Phase Conductor Name]],OH[Type], OH[Diam])</f>
        <v>0.46400000000000002</v>
      </c>
      <c r="T14" s="16">
        <f>_xlfn.XLOOKUP(CN[[#This Row],[Phase Conductor Name]],OH[Type], OH[normamps])</f>
        <v>263</v>
      </c>
      <c r="U14" s="16">
        <f>_xlfn.XLOOKUP(CN[[#This Row],[Neutral Strand AWG]], OH[Size], OH[Diam])</f>
        <v>6.4100000000000004E-2</v>
      </c>
      <c r="V14" s="16" t="s">
        <v>84</v>
      </c>
    </row>
    <row r="15" spans="1:22" s="5" customFormat="1" x14ac:dyDescent="0.2">
      <c r="A15" s="4" t="str">
        <f>_xlfn.CONCAT(CN[[#This Row],[Neutral Ampacity]], "_", CN[[#This Row],[Conductor Size]])</f>
        <v>1/3_4/0(19×)</v>
      </c>
      <c r="B15" s="6" t="s">
        <v>59</v>
      </c>
      <c r="C15" s="4" t="s">
        <v>45</v>
      </c>
      <c r="D15" s="4" t="str">
        <f>_xlfn.XLOOKUP(_xlfn.CONCAT(LEFT(CN[[#This Row],[Conductor Size]], SEARCH("(", CN[[#This Row],[Conductor Size]])-1), "_AA"), OH[Size_Material], OH[Type], NA(),-1)</f>
        <v>4/0_CLASS A_AA</v>
      </c>
      <c r="E15" s="4">
        <v>1.01</v>
      </c>
      <c r="F15" s="4">
        <v>1.08</v>
      </c>
      <c r="G15" s="4">
        <v>1.21</v>
      </c>
      <c r="H15" s="4" t="s">
        <v>54</v>
      </c>
      <c r="I15" s="4">
        <v>240</v>
      </c>
      <c r="J15" s="11">
        <v>15</v>
      </c>
      <c r="K15" s="13">
        <f>VALUE(RIGHT(CN[[#This Row],[Copper Neutral]],2))</f>
        <v>14</v>
      </c>
      <c r="L15" s="4">
        <f>_xlfn.XLOOKUP(CN[[#This Row],[Neutral Strand AWG]], OH[Size], OH[rac])</f>
        <v>14.872199999999999</v>
      </c>
      <c r="M15" s="4">
        <f>VALUE(LEFT(CN[[#This Row],[Copper Neutral]], SEARCH(" ",CN[[#This Row],[Copper Neutral]])-1))</f>
        <v>11</v>
      </c>
      <c r="N15" s="15">
        <f>_xlfn.XLOOKUP(CN[[#This Row],[Phase Conductor Name]], OH[Type], OH[GMRac])</f>
        <v>1.5800000000000002E-2</v>
      </c>
      <c r="O15" s="15">
        <f>_xlfn.XLOOKUP(CN[[#This Row],[Neutral Strand AWG]], OH[Size], OH[GMRac])</f>
        <v>2.0799999999999998E-3</v>
      </c>
      <c r="P15" s="15" t="s">
        <v>83</v>
      </c>
      <c r="Q15" s="15">
        <f>_xlfn.XLOOKUP(CN[[#This Row],[Phase Conductor Name]],OH[Type], OH[rac])</f>
        <v>0.48399999999999999</v>
      </c>
      <c r="R15" s="15" t="str">
        <f>_xlfn.XLOOKUP(CN[[#This Row],[Phase Conductor Name]],OH[Type], OH[runits])</f>
        <v>mi</v>
      </c>
      <c r="S15" s="16">
        <f>_xlfn.XLOOKUP(CN[[#This Row],[Phase Conductor Name]],OH[Type], OH[Diam])</f>
        <v>0.52200000000000002</v>
      </c>
      <c r="T15" s="16">
        <f>_xlfn.XLOOKUP(CN[[#This Row],[Phase Conductor Name]],OH[Type], OH[normamps])</f>
        <v>299</v>
      </c>
      <c r="U15" s="16">
        <f>_xlfn.XLOOKUP(CN[[#This Row],[Neutral Strand AWG]], OH[Size], OH[Diam])</f>
        <v>6.4100000000000004E-2</v>
      </c>
      <c r="V15" s="16" t="s">
        <v>84</v>
      </c>
    </row>
    <row r="16" spans="1:22" s="5" customFormat="1" x14ac:dyDescent="0.2">
      <c r="A16" s="4" t="str">
        <f>_xlfn.CONCAT(CN[[#This Row],[Neutral Ampacity]], "_", CN[[#This Row],[Conductor Size]])</f>
        <v>1/3_250(37×)</v>
      </c>
      <c r="B16" s="6" t="s">
        <v>59</v>
      </c>
      <c r="C16" s="4" t="s">
        <v>47</v>
      </c>
      <c r="D16" s="4" t="str">
        <f>_xlfn.XLOOKUP(_xlfn.CONCAT(LEFT(CN[[#This Row],[Conductor Size]], SEARCH("(", CN[[#This Row],[Conductor Size]])-1), "_AA"), OH[Size_Material], OH[Type], NA(),-1)</f>
        <v>250_CON LAY_AA</v>
      </c>
      <c r="E16" s="4">
        <v>1.06</v>
      </c>
      <c r="F16" s="4">
        <v>1.1599999999999999</v>
      </c>
      <c r="G16" s="4">
        <v>1.29</v>
      </c>
      <c r="H16" s="4" t="s">
        <v>38</v>
      </c>
      <c r="I16" s="4">
        <v>260</v>
      </c>
      <c r="J16" s="11">
        <v>15</v>
      </c>
      <c r="K16" s="13">
        <f>VALUE(RIGHT(CN[[#This Row],[Copper Neutral]],2))</f>
        <v>14</v>
      </c>
      <c r="L16" s="4">
        <f>_xlfn.XLOOKUP(CN[[#This Row],[Neutral Strand AWG]], OH[Size], OH[rac])</f>
        <v>14.872199999999999</v>
      </c>
      <c r="M16" s="4">
        <f>VALUE(LEFT(CN[[#This Row],[Copper Neutral]], SEARCH(" ",CN[[#This Row],[Copper Neutral]])-1))</f>
        <v>13</v>
      </c>
      <c r="N16" s="15">
        <f>_xlfn.XLOOKUP(CN[[#This Row],[Phase Conductor Name]], OH[Type], OH[GMRac])</f>
        <v>1.7100000000000001E-2</v>
      </c>
      <c r="O16" s="15">
        <f>_xlfn.XLOOKUP(CN[[#This Row],[Neutral Strand AWG]], OH[Size], OH[GMRac])</f>
        <v>2.0799999999999998E-3</v>
      </c>
      <c r="P16" s="15" t="s">
        <v>83</v>
      </c>
      <c r="Q16" s="15">
        <f>_xlfn.XLOOKUP(CN[[#This Row],[Phase Conductor Name]],OH[Type], OH[rac])</f>
        <v>0.41</v>
      </c>
      <c r="R16" s="15" t="str">
        <f>_xlfn.XLOOKUP(CN[[#This Row],[Phase Conductor Name]],OH[Type], OH[runits])</f>
        <v>mi</v>
      </c>
      <c r="S16" s="16">
        <f>_xlfn.XLOOKUP(CN[[#This Row],[Phase Conductor Name]],OH[Type], OH[Diam])</f>
        <v>0.56699999999999995</v>
      </c>
      <c r="T16" s="16">
        <f>_xlfn.XLOOKUP(CN[[#This Row],[Phase Conductor Name]],OH[Type], OH[normamps])</f>
        <v>329</v>
      </c>
      <c r="U16" s="16">
        <f>_xlfn.XLOOKUP(CN[[#This Row],[Neutral Strand AWG]], OH[Size], OH[Diam])</f>
        <v>6.4100000000000004E-2</v>
      </c>
      <c r="V16" s="16" t="s">
        <v>84</v>
      </c>
    </row>
    <row r="17" spans="1:22" s="5" customFormat="1" x14ac:dyDescent="0.2">
      <c r="A17" s="4" t="str">
        <f>_xlfn.CONCAT(CN[[#This Row],[Neutral Ampacity]], "_", CN[[#This Row],[Conductor Size]])</f>
        <v>1/3_350(37×)</v>
      </c>
      <c r="B17" s="6" t="s">
        <v>59</v>
      </c>
      <c r="C17" s="4" t="s">
        <v>49</v>
      </c>
      <c r="D17" s="4" t="str">
        <f>_xlfn.XLOOKUP(_xlfn.CONCAT(LEFT(CN[[#This Row],[Conductor Size]], SEARCH("(", CN[[#This Row],[Conductor Size]])-1), "_AA"), OH[Size_Material], OH[Type], NA(),-1)</f>
        <v>350_CON LAY_AA</v>
      </c>
      <c r="E17" s="4">
        <v>1.17</v>
      </c>
      <c r="F17" s="4">
        <v>1.27</v>
      </c>
      <c r="G17" s="4">
        <v>1.39</v>
      </c>
      <c r="H17" s="4" t="s">
        <v>55</v>
      </c>
      <c r="I17" s="4">
        <v>320</v>
      </c>
      <c r="J17" s="11">
        <v>15</v>
      </c>
      <c r="K17" s="13">
        <f>VALUE(RIGHT(CN[[#This Row],[Copper Neutral]],2))</f>
        <v>14</v>
      </c>
      <c r="L17" s="4">
        <f>_xlfn.XLOOKUP(CN[[#This Row],[Neutral Strand AWG]], OH[Size], OH[rac])</f>
        <v>14.872199999999999</v>
      </c>
      <c r="M17" s="4">
        <f>VALUE(LEFT(CN[[#This Row],[Copper Neutral]], SEARCH(" ",CN[[#This Row],[Copper Neutral]])-1))</f>
        <v>18</v>
      </c>
      <c r="N17" s="15">
        <f>_xlfn.XLOOKUP(CN[[#This Row],[Phase Conductor Name]], OH[Type], OH[GMRac])</f>
        <v>2.1399999999999999E-2</v>
      </c>
      <c r="O17" s="15">
        <f>_xlfn.XLOOKUP(CN[[#This Row],[Neutral Strand AWG]], OH[Size], OH[GMRac])</f>
        <v>2.0799999999999998E-3</v>
      </c>
      <c r="P17" s="15" t="s">
        <v>83</v>
      </c>
      <c r="Q17" s="15">
        <f>_xlfn.XLOOKUP(CN[[#This Row],[Phase Conductor Name]],OH[Type], OH[rac])</f>
        <v>0.29399999999999998</v>
      </c>
      <c r="R17" s="15" t="str">
        <f>_xlfn.XLOOKUP(CN[[#This Row],[Phase Conductor Name]],OH[Type], OH[runits])</f>
        <v>mi</v>
      </c>
      <c r="S17" s="16">
        <f>_xlfn.XLOOKUP(CN[[#This Row],[Phase Conductor Name]],OH[Type], OH[Diam])</f>
        <v>0.67900000000000005</v>
      </c>
      <c r="T17" s="16">
        <f>_xlfn.XLOOKUP(CN[[#This Row],[Phase Conductor Name]],OH[Type], OH[normamps])</f>
        <v>399</v>
      </c>
      <c r="U17" s="16">
        <f>_xlfn.XLOOKUP(CN[[#This Row],[Neutral Strand AWG]], OH[Size], OH[Diam])</f>
        <v>6.4100000000000004E-2</v>
      </c>
      <c r="V17" s="16" t="s">
        <v>84</v>
      </c>
    </row>
    <row r="18" spans="1:22" s="5" customFormat="1" x14ac:dyDescent="0.2">
      <c r="A18" s="4" t="str">
        <f>_xlfn.CONCAT(CN[[#This Row],[Neutral Ampacity]], "_", CN[[#This Row],[Conductor Size]])</f>
        <v>1/3_500(37×)</v>
      </c>
      <c r="B18" s="6" t="s">
        <v>59</v>
      </c>
      <c r="C18" s="4" t="s">
        <v>56</v>
      </c>
      <c r="D18" s="4" t="str">
        <f>_xlfn.XLOOKUP(_xlfn.CONCAT(LEFT(CN[[#This Row],[Conductor Size]], SEARCH("(", CN[[#This Row],[Conductor Size]])-1), "_AA"), OH[Size_Material], OH[Type], NA(),-1)</f>
        <v>500_CON LAY_AA</v>
      </c>
      <c r="E18" s="4">
        <v>1.29</v>
      </c>
      <c r="F18" s="4">
        <v>1.39</v>
      </c>
      <c r="G18" s="4">
        <v>1.56</v>
      </c>
      <c r="H18" s="4" t="s">
        <v>44</v>
      </c>
      <c r="I18" s="4">
        <v>385</v>
      </c>
      <c r="J18" s="11">
        <v>15</v>
      </c>
      <c r="K18" s="13">
        <f>VALUE(RIGHT(CN[[#This Row],[Copper Neutral]],2))</f>
        <v>12</v>
      </c>
      <c r="L18" s="4">
        <f>_xlfn.XLOOKUP(CN[[#This Row],[Neutral Strand AWG]], OH[Size], OH[rac])</f>
        <v>9.3747000000000007</v>
      </c>
      <c r="M18" s="4">
        <f>VALUE(LEFT(CN[[#This Row],[Copper Neutral]], SEARCH(" ",CN[[#This Row],[Copper Neutral]])-1))</f>
        <v>16</v>
      </c>
      <c r="N18" s="15">
        <f>_xlfn.XLOOKUP(CN[[#This Row],[Phase Conductor Name]], OH[Type], OH[GMRac])</f>
        <v>2.5999999999999999E-2</v>
      </c>
      <c r="O18" s="15">
        <f>_xlfn.XLOOKUP(CN[[#This Row],[Neutral Strand AWG]], OH[Size], OH[GMRac])</f>
        <v>2.6199999999999999E-3</v>
      </c>
      <c r="P18" s="15" t="s">
        <v>83</v>
      </c>
      <c r="Q18" s="15">
        <f>_xlfn.XLOOKUP(CN[[#This Row],[Phase Conductor Name]],OH[Type], OH[rac])</f>
        <v>0.20599999999999999</v>
      </c>
      <c r="R18" s="15" t="str">
        <f>_xlfn.XLOOKUP(CN[[#This Row],[Phase Conductor Name]],OH[Type], OH[runits])</f>
        <v>mi</v>
      </c>
      <c r="S18" s="16">
        <f>_xlfn.XLOOKUP(CN[[#This Row],[Phase Conductor Name]],OH[Type], OH[Diam])</f>
        <v>0.81299999999999994</v>
      </c>
      <c r="T18" s="16">
        <f>_xlfn.XLOOKUP(CN[[#This Row],[Phase Conductor Name]],OH[Type], OH[normamps])</f>
        <v>483</v>
      </c>
      <c r="U18" s="16">
        <f>_xlfn.XLOOKUP(CN[[#This Row],[Neutral Strand AWG]], OH[Size], OH[Diam])</f>
        <v>8.0799999999999997E-2</v>
      </c>
      <c r="V18" s="16" t="s">
        <v>84</v>
      </c>
    </row>
    <row r="19" spans="1:22" s="5" customFormat="1" x14ac:dyDescent="0.2">
      <c r="A19" s="4" t="str">
        <f>_xlfn.CONCAT(CN[[#This Row],[Neutral Ampacity]], "_", CN[[#This Row],[Conductor Size]])</f>
        <v>1/3_750(61×)</v>
      </c>
      <c r="B19" s="6" t="s">
        <v>59</v>
      </c>
      <c r="C19" s="4" t="s">
        <v>57</v>
      </c>
      <c r="D19" s="4" t="str">
        <f>_xlfn.XLOOKUP(_xlfn.CONCAT(LEFT(CN[[#This Row],[Conductor Size]], SEARCH("(", CN[[#This Row],[Conductor Size]])-1), "_AA"), OH[Size_Material], OH[Type], NA(),-1)</f>
        <v>750_37 STRD_AA</v>
      </c>
      <c r="E19" s="4">
        <v>1.49</v>
      </c>
      <c r="F19" s="4">
        <v>1.59</v>
      </c>
      <c r="G19" s="4">
        <v>1.79</v>
      </c>
      <c r="H19" s="4" t="s">
        <v>58</v>
      </c>
      <c r="I19" s="4">
        <v>470</v>
      </c>
      <c r="J19" s="11">
        <v>15</v>
      </c>
      <c r="K19" s="13">
        <f>VALUE(RIGHT(CN[[#This Row],[Copper Neutral]],2))</f>
        <v>10</v>
      </c>
      <c r="L19" s="4">
        <f>_xlfn.XLOOKUP(CN[[#This Row],[Neutral Strand AWG]], OH[Size], OH[rac])</f>
        <v>5.9025999999999996</v>
      </c>
      <c r="M19" s="4">
        <f>VALUE(LEFT(CN[[#This Row],[Copper Neutral]], SEARCH(" ",CN[[#This Row],[Copper Neutral]])-1))</f>
        <v>15</v>
      </c>
      <c r="N19" s="15">
        <f>_xlfn.XLOOKUP(CN[[#This Row],[Phase Conductor Name]], OH[Type], OH[GMRac])</f>
        <v>3.1899999999999998E-2</v>
      </c>
      <c r="O19" s="15">
        <f>_xlfn.XLOOKUP(CN[[#This Row],[Neutral Strand AWG]], OH[Size], OH[GMRac])</f>
        <v>3.3E-3</v>
      </c>
      <c r="P19" s="15" t="s">
        <v>83</v>
      </c>
      <c r="Q19" s="15">
        <f>_xlfn.XLOOKUP(CN[[#This Row],[Phase Conductor Name]],OH[Type], OH[rac])</f>
        <v>8.8800000000000004E-2</v>
      </c>
      <c r="R19" s="15" t="str">
        <f>_xlfn.XLOOKUP(CN[[#This Row],[Phase Conductor Name]],OH[Type], OH[runits])</f>
        <v>mi</v>
      </c>
      <c r="S19" s="16">
        <f>_xlfn.XLOOKUP(CN[[#This Row],[Phase Conductor Name]],OH[Type], OH[Diam])</f>
        <v>0.997</v>
      </c>
      <c r="T19" s="16">
        <f>_xlfn.XLOOKUP(CN[[#This Row],[Phase Conductor Name]],OH[Type], OH[normamps])</f>
        <v>1090</v>
      </c>
      <c r="U19" s="16">
        <f>_xlfn.XLOOKUP(CN[[#This Row],[Neutral Strand AWG]], OH[Size], OH[Diam])</f>
        <v>0.1019</v>
      </c>
      <c r="V19" s="16" t="s">
        <v>84</v>
      </c>
    </row>
    <row r="20" spans="1:22" s="5" customFormat="1" x14ac:dyDescent="0.2">
      <c r="A20" s="8"/>
      <c r="B20" s="7"/>
      <c r="C20" s="8"/>
      <c r="D20" s="8"/>
      <c r="E20" s="8"/>
      <c r="F20" s="8"/>
      <c r="G20" s="8"/>
      <c r="H20" s="8"/>
      <c r="I20" s="8"/>
      <c r="J20" s="11"/>
      <c r="K20" s="14"/>
      <c r="L20" s="8"/>
      <c r="M20" s="8"/>
      <c r="N20" s="15"/>
      <c r="O20" s="15"/>
      <c r="P20" s="15"/>
      <c r="Q20" s="15"/>
      <c r="R20" s="15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s="10" customFormat="1" x14ac:dyDescent="0.2">
      <c r="A2" s="12" t="s">
        <v>16</v>
      </c>
      <c r="B2" s="9">
        <v>0.82</v>
      </c>
      <c r="C2" s="9">
        <v>0.88</v>
      </c>
      <c r="D2" s="9">
        <v>80</v>
      </c>
      <c r="E2" s="9">
        <v>1.06</v>
      </c>
      <c r="F2" s="9">
        <v>165</v>
      </c>
      <c r="G2" s="10">
        <v>15</v>
      </c>
    </row>
    <row r="3" spans="1:7" s="10" customFormat="1" x14ac:dyDescent="0.2">
      <c r="A3" s="12" t="s">
        <v>17</v>
      </c>
      <c r="B3" s="9">
        <v>0.87</v>
      </c>
      <c r="C3" s="9">
        <v>0.93</v>
      </c>
      <c r="D3" s="9">
        <v>80</v>
      </c>
      <c r="E3" s="9">
        <v>1.1000000000000001</v>
      </c>
      <c r="F3" s="9">
        <v>190</v>
      </c>
      <c r="G3" s="10">
        <v>15</v>
      </c>
    </row>
    <row r="4" spans="1:7" s="10" customFormat="1" x14ac:dyDescent="0.2">
      <c r="A4" s="12" t="s">
        <v>18</v>
      </c>
      <c r="B4" s="9">
        <v>0.91</v>
      </c>
      <c r="C4" s="9">
        <v>0.97</v>
      </c>
      <c r="D4" s="9">
        <v>80</v>
      </c>
      <c r="E4" s="9">
        <v>1.1599999999999999</v>
      </c>
      <c r="F4" s="9">
        <v>215</v>
      </c>
      <c r="G4" s="10">
        <v>15</v>
      </c>
    </row>
    <row r="5" spans="1:7" s="10" customFormat="1" x14ac:dyDescent="0.2">
      <c r="A5" s="12" t="s">
        <v>23</v>
      </c>
      <c r="B5" s="9">
        <v>0.96</v>
      </c>
      <c r="C5" s="9">
        <v>1.02</v>
      </c>
      <c r="D5" s="9">
        <v>80</v>
      </c>
      <c r="E5" s="9">
        <v>1.21</v>
      </c>
      <c r="F5" s="9">
        <v>245</v>
      </c>
      <c r="G5" s="10">
        <v>15</v>
      </c>
    </row>
    <row r="6" spans="1:7" s="10" customFormat="1" x14ac:dyDescent="0.2">
      <c r="A6" s="12">
        <v>250</v>
      </c>
      <c r="B6" s="9">
        <v>1.01</v>
      </c>
      <c r="C6" s="9">
        <v>1.08</v>
      </c>
      <c r="D6" s="9">
        <v>80</v>
      </c>
      <c r="E6" s="9">
        <v>1.27</v>
      </c>
      <c r="F6" s="9">
        <v>270</v>
      </c>
      <c r="G6" s="10">
        <v>15</v>
      </c>
    </row>
    <row r="7" spans="1:7" s="10" customFormat="1" x14ac:dyDescent="0.2">
      <c r="A7" s="12">
        <v>350</v>
      </c>
      <c r="B7" s="9">
        <v>1.1100000000000001</v>
      </c>
      <c r="C7" s="9">
        <v>1.18</v>
      </c>
      <c r="D7" s="9">
        <v>80</v>
      </c>
      <c r="E7" s="9">
        <v>1.37</v>
      </c>
      <c r="F7" s="9">
        <v>330</v>
      </c>
      <c r="G7" s="10">
        <v>15</v>
      </c>
    </row>
    <row r="8" spans="1:7" s="10" customFormat="1" x14ac:dyDescent="0.2">
      <c r="A8" s="12">
        <v>500</v>
      </c>
      <c r="B8" s="9">
        <v>1.22</v>
      </c>
      <c r="C8" s="9">
        <v>1.3</v>
      </c>
      <c r="D8" s="9">
        <v>80</v>
      </c>
      <c r="E8" s="9">
        <v>1.49</v>
      </c>
      <c r="F8" s="9">
        <v>400</v>
      </c>
      <c r="G8" s="10">
        <v>15</v>
      </c>
    </row>
    <row r="9" spans="1:7" s="10" customFormat="1" x14ac:dyDescent="0.2">
      <c r="A9" s="12">
        <v>750</v>
      </c>
      <c r="B9" s="9">
        <v>1.4</v>
      </c>
      <c r="C9" s="9">
        <v>1.48</v>
      </c>
      <c r="D9" s="9">
        <v>110</v>
      </c>
      <c r="E9" s="9">
        <v>1.73</v>
      </c>
      <c r="F9" s="9">
        <v>490</v>
      </c>
      <c r="G9" s="10">
        <v>15</v>
      </c>
    </row>
    <row r="10" spans="1:7" s="10" customFormat="1" x14ac:dyDescent="0.2">
      <c r="A10" s="12">
        <v>1000</v>
      </c>
      <c r="B10" s="9">
        <v>1.56</v>
      </c>
      <c r="C10" s="9">
        <v>1.66</v>
      </c>
      <c r="D10" s="9">
        <v>110</v>
      </c>
      <c r="E10" s="9">
        <v>1.91</v>
      </c>
      <c r="F10" s="9">
        <v>565</v>
      </c>
      <c r="G10" s="10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Buses</vt:lpstr>
      <vt:lpstr>LineGeometry</vt:lpstr>
      <vt:lpstr>Lines</vt:lpstr>
      <vt:lpstr>Loads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2022-10-08T11:59:03Z</dcterms:created>
  <dcterms:modified xsi:type="dcterms:W3CDTF">2022-10-13T10:31:21Z</dcterms:modified>
</cp:coreProperties>
</file>