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codeName="ThisWorkbook" autoCompressPictures="0"/>
  <bookViews>
    <workbookView xWindow="1660" yWindow="3080" windowWidth="32200" windowHeight="17680" tabRatio="500"/>
  </bookViews>
  <sheets>
    <sheet name="SIAF" sheetId="1" r:id="rId1"/>
    <sheet name="Plot" sheetId="3" r:id="rId2"/>
    <sheet name="Calc" sheetId="2" r:id="rId3"/>
    <sheet name="XML" sheetId="5" r:id="rId4"/>
    <sheet name="DDC" sheetId="6" r:id="rId5"/>
  </sheets>
  <definedNames>
    <definedName name="DataSheetName">XML!$B$7</definedName>
    <definedName name="HeaderRow">XML!$B$8</definedName>
    <definedName name="LastRow">XML!$B$6</definedName>
    <definedName name="_xlnm.Print_Area" localSheetId="0">SIAF!$B$2:$K$32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2" l="1"/>
  <c r="S33" i="2"/>
  <c r="C103" i="2"/>
  <c r="Q34" i="1"/>
  <c r="D35" i="6"/>
  <c r="B103" i="2"/>
  <c r="P34" i="1"/>
  <c r="C35" i="6"/>
  <c r="D32" i="2"/>
  <c r="S32" i="2"/>
  <c r="C102" i="2"/>
  <c r="Q33" i="1"/>
  <c r="D34" i="6"/>
  <c r="B102" i="2"/>
  <c r="P33" i="1"/>
  <c r="C34" i="6"/>
  <c r="AG68" i="2"/>
  <c r="DH34" i="1"/>
  <c r="AF68" i="2"/>
  <c r="DG34" i="1"/>
  <c r="AE68" i="2"/>
  <c r="DF34" i="1"/>
  <c r="AD68" i="2"/>
  <c r="DE34" i="1"/>
  <c r="AC68" i="2"/>
  <c r="DD34" i="1"/>
  <c r="B33" i="2"/>
  <c r="C33" i="2"/>
  <c r="B68" i="2"/>
  <c r="C68" i="2"/>
  <c r="AB68" i="2"/>
  <c r="DC34" i="1"/>
  <c r="AA68" i="2"/>
  <c r="DB34" i="1"/>
  <c r="Z68" i="2"/>
  <c r="DA34" i="1"/>
  <c r="Y68" i="2"/>
  <c r="CZ34" i="1"/>
  <c r="X68" i="2"/>
  <c r="CY34" i="1"/>
  <c r="W68" i="2"/>
  <c r="CX34" i="1"/>
  <c r="V68" i="2"/>
  <c r="CW34" i="1"/>
  <c r="U68" i="2"/>
  <c r="CV34" i="1"/>
  <c r="T68" i="2"/>
  <c r="CU34" i="1"/>
  <c r="R68" i="2"/>
  <c r="CM34" i="1"/>
  <c r="Q68" i="2"/>
  <c r="CL34" i="1"/>
  <c r="P68" i="2"/>
  <c r="CK34" i="1"/>
  <c r="O68" i="2"/>
  <c r="CJ34" i="1"/>
  <c r="N68" i="2"/>
  <c r="CI34" i="1"/>
  <c r="M68" i="2"/>
  <c r="CH34" i="1"/>
  <c r="L68" i="2"/>
  <c r="CG34" i="1"/>
  <c r="K68" i="2"/>
  <c r="CF34" i="1"/>
  <c r="J68" i="2"/>
  <c r="CE34" i="1"/>
  <c r="I68" i="2"/>
  <c r="CD34" i="1"/>
  <c r="H68" i="2"/>
  <c r="CC34" i="1"/>
  <c r="G68" i="2"/>
  <c r="CB34" i="1"/>
  <c r="F68" i="2"/>
  <c r="CA34" i="1"/>
  <c r="E68" i="2"/>
  <c r="BZ34" i="1"/>
  <c r="AG33" i="2"/>
  <c r="BR34" i="1"/>
  <c r="AF33" i="2"/>
  <c r="BQ34" i="1"/>
  <c r="AE33" i="2"/>
  <c r="BP34" i="1"/>
  <c r="AD33" i="2"/>
  <c r="BO34" i="1"/>
  <c r="AC33" i="2"/>
  <c r="BN34" i="1"/>
  <c r="AB33" i="2"/>
  <c r="BM34" i="1"/>
  <c r="AA33" i="2"/>
  <c r="BL34" i="1"/>
  <c r="Z33" i="2"/>
  <c r="BK34" i="1"/>
  <c r="Y33" i="2"/>
  <c r="BJ34" i="1"/>
  <c r="X33" i="2"/>
  <c r="BI34" i="1"/>
  <c r="W33" i="2"/>
  <c r="BH34" i="1"/>
  <c r="V33" i="2"/>
  <c r="BG34" i="1"/>
  <c r="U33" i="2"/>
  <c r="BF34" i="1"/>
  <c r="T33" i="2"/>
  <c r="BE34" i="1"/>
  <c r="R33" i="2"/>
  <c r="AW34" i="1"/>
  <c r="Q33" i="2"/>
  <c r="AV34" i="1"/>
  <c r="P33" i="2"/>
  <c r="AU34" i="1"/>
  <c r="O33" i="2"/>
  <c r="AT34" i="1"/>
  <c r="N33" i="2"/>
  <c r="AS34" i="1"/>
  <c r="M33" i="2"/>
  <c r="AR34" i="1"/>
  <c r="L33" i="2"/>
  <c r="AQ34" i="1"/>
  <c r="K33" i="2"/>
  <c r="AP34" i="1"/>
  <c r="J33" i="2"/>
  <c r="AO34" i="1"/>
  <c r="I33" i="2"/>
  <c r="AN34" i="1"/>
  <c r="H33" i="2"/>
  <c r="AM34" i="1"/>
  <c r="G33" i="2"/>
  <c r="AL34" i="1"/>
  <c r="F33" i="2"/>
  <c r="AK34" i="1"/>
  <c r="E33" i="2"/>
  <c r="AJ34" i="1"/>
  <c r="S103" i="2"/>
  <c r="AE34" i="1"/>
  <c r="R103" i="2"/>
  <c r="AD34" i="1"/>
  <c r="Q103" i="2"/>
  <c r="AC34" i="1"/>
  <c r="P103" i="2"/>
  <c r="AB34" i="1"/>
  <c r="O103" i="2"/>
  <c r="AA34" i="1"/>
  <c r="N103" i="2"/>
  <c r="Z34" i="1"/>
  <c r="M103" i="2"/>
  <c r="Y34" i="1"/>
  <c r="L103" i="2"/>
  <c r="X34" i="1"/>
  <c r="O34" i="1"/>
  <c r="N34" i="1"/>
  <c r="AG67" i="2"/>
  <c r="DH33" i="1"/>
  <c r="AF67" i="2"/>
  <c r="DG33" i="1"/>
  <c r="AE67" i="2"/>
  <c r="DF33" i="1"/>
  <c r="AD67" i="2"/>
  <c r="DE33" i="1"/>
  <c r="AC67" i="2"/>
  <c r="DD33" i="1"/>
  <c r="B32" i="2"/>
  <c r="C32" i="2"/>
  <c r="B67" i="2"/>
  <c r="C67" i="2"/>
  <c r="AB67" i="2"/>
  <c r="DC33" i="1"/>
  <c r="AA67" i="2"/>
  <c r="DB33" i="1"/>
  <c r="Z67" i="2"/>
  <c r="DA33" i="1"/>
  <c r="Y67" i="2"/>
  <c r="CZ33" i="1"/>
  <c r="X67" i="2"/>
  <c r="CY33" i="1"/>
  <c r="W67" i="2"/>
  <c r="CX33" i="1"/>
  <c r="V67" i="2"/>
  <c r="CW33" i="1"/>
  <c r="U67" i="2"/>
  <c r="CV33" i="1"/>
  <c r="T67" i="2"/>
  <c r="CU33" i="1"/>
  <c r="R67" i="2"/>
  <c r="CM33" i="1"/>
  <c r="Q67" i="2"/>
  <c r="CL33" i="1"/>
  <c r="P67" i="2"/>
  <c r="CK33" i="1"/>
  <c r="O67" i="2"/>
  <c r="CJ33" i="1"/>
  <c r="N67" i="2"/>
  <c r="CI33" i="1"/>
  <c r="M67" i="2"/>
  <c r="CH33" i="1"/>
  <c r="L67" i="2"/>
  <c r="CG33" i="1"/>
  <c r="K67" i="2"/>
  <c r="CF33" i="1"/>
  <c r="J67" i="2"/>
  <c r="CE33" i="1"/>
  <c r="I67" i="2"/>
  <c r="CD33" i="1"/>
  <c r="H67" i="2"/>
  <c r="CC33" i="1"/>
  <c r="G67" i="2"/>
  <c r="CB33" i="1"/>
  <c r="F67" i="2"/>
  <c r="CA33" i="1"/>
  <c r="E67" i="2"/>
  <c r="BZ33" i="1"/>
  <c r="AG32" i="2"/>
  <c r="BR33" i="1"/>
  <c r="AF32" i="2"/>
  <c r="BQ33" i="1"/>
  <c r="AE32" i="2"/>
  <c r="BP33" i="1"/>
  <c r="AD32" i="2"/>
  <c r="BO33" i="1"/>
  <c r="AC32" i="2"/>
  <c r="BN33" i="1"/>
  <c r="AB32" i="2"/>
  <c r="BM33" i="1"/>
  <c r="AA32" i="2"/>
  <c r="BL33" i="1"/>
  <c r="Z32" i="2"/>
  <c r="BK33" i="1"/>
  <c r="Y32" i="2"/>
  <c r="BJ33" i="1"/>
  <c r="X32" i="2"/>
  <c r="BI33" i="1"/>
  <c r="W32" i="2"/>
  <c r="BH33" i="1"/>
  <c r="V32" i="2"/>
  <c r="BG33" i="1"/>
  <c r="U32" i="2"/>
  <c r="BF33" i="1"/>
  <c r="T32" i="2"/>
  <c r="BE33" i="1"/>
  <c r="R32" i="2"/>
  <c r="AW33" i="1"/>
  <c r="Q32" i="2"/>
  <c r="AV33" i="1"/>
  <c r="P32" i="2"/>
  <c r="AU33" i="1"/>
  <c r="O32" i="2"/>
  <c r="AT33" i="1"/>
  <c r="N32" i="2"/>
  <c r="AS33" i="1"/>
  <c r="M32" i="2"/>
  <c r="AR33" i="1"/>
  <c r="L32" i="2"/>
  <c r="AQ33" i="1"/>
  <c r="K32" i="2"/>
  <c r="AP33" i="1"/>
  <c r="J32" i="2"/>
  <c r="AO33" i="1"/>
  <c r="I32" i="2"/>
  <c r="AN33" i="1"/>
  <c r="H32" i="2"/>
  <c r="AM33" i="1"/>
  <c r="G32" i="2"/>
  <c r="AL33" i="1"/>
  <c r="F32" i="2"/>
  <c r="AK33" i="1"/>
  <c r="E32" i="2"/>
  <c r="AJ33" i="1"/>
  <c r="S102" i="2"/>
  <c r="AE33" i="1"/>
  <c r="R102" i="2"/>
  <c r="AD33" i="1"/>
  <c r="Q102" i="2"/>
  <c r="AC33" i="1"/>
  <c r="P102" i="2"/>
  <c r="AB33" i="1"/>
  <c r="O102" i="2"/>
  <c r="AA33" i="1"/>
  <c r="N102" i="2"/>
  <c r="Z33" i="1"/>
  <c r="M102" i="2"/>
  <c r="Y33" i="1"/>
  <c r="L102" i="2"/>
  <c r="X33" i="1"/>
  <c r="O33" i="1"/>
  <c r="N33" i="1"/>
  <c r="E2" i="6"/>
  <c r="E3" i="6"/>
  <c r="E35" i="6"/>
  <c r="D4" i="2"/>
  <c r="S4" i="2"/>
  <c r="B74" i="2"/>
  <c r="P5" i="1"/>
  <c r="F2" i="6"/>
  <c r="C74" i="2"/>
  <c r="Q5" i="1"/>
  <c r="F3" i="6"/>
  <c r="F35" i="6"/>
  <c r="G35" i="6"/>
  <c r="H35" i="6"/>
  <c r="I35" i="6"/>
  <c r="B35" i="6"/>
  <c r="C34" i="1"/>
  <c r="E34" i="6"/>
  <c r="F34" i="6"/>
  <c r="G34" i="6"/>
  <c r="H34" i="6"/>
  <c r="I34" i="6"/>
  <c r="B34" i="6"/>
  <c r="C33" i="1"/>
  <c r="A35" i="6"/>
  <c r="A34" i="6"/>
  <c r="B139" i="2"/>
  <c r="C139" i="2"/>
  <c r="G139" i="2"/>
  <c r="E139" i="2"/>
  <c r="I139" i="2"/>
  <c r="F139" i="2"/>
  <c r="D139" i="2"/>
  <c r="H139" i="2"/>
  <c r="A139" i="2"/>
  <c r="B138" i="2"/>
  <c r="C138" i="2"/>
  <c r="G138" i="2"/>
  <c r="E138" i="2"/>
  <c r="I138" i="2"/>
  <c r="F138" i="2"/>
  <c r="D138" i="2"/>
  <c r="H138" i="2"/>
  <c r="A138" i="2"/>
  <c r="D103" i="2"/>
  <c r="H103" i="2"/>
  <c r="T103" i="2"/>
  <c r="Z103" i="2"/>
  <c r="AD103" i="2"/>
  <c r="G103" i="2"/>
  <c r="J103" i="2"/>
  <c r="K103" i="2"/>
  <c r="AC103" i="2"/>
  <c r="E103" i="2"/>
  <c r="F103" i="2"/>
  <c r="AB103" i="2"/>
  <c r="I103" i="2"/>
  <c r="AA103" i="2"/>
  <c r="U103" i="2"/>
  <c r="Y103" i="2"/>
  <c r="X103" i="2"/>
  <c r="W103" i="2"/>
  <c r="V103" i="2"/>
  <c r="A103" i="2"/>
  <c r="D102" i="2"/>
  <c r="H102" i="2"/>
  <c r="T102" i="2"/>
  <c r="Z102" i="2"/>
  <c r="AD102" i="2"/>
  <c r="G102" i="2"/>
  <c r="J102" i="2"/>
  <c r="K102" i="2"/>
  <c r="AC102" i="2"/>
  <c r="E102" i="2"/>
  <c r="F102" i="2"/>
  <c r="AB102" i="2"/>
  <c r="I102" i="2"/>
  <c r="AA102" i="2"/>
  <c r="U102" i="2"/>
  <c r="Y102" i="2"/>
  <c r="X102" i="2"/>
  <c r="W102" i="2"/>
  <c r="V102" i="2"/>
  <c r="A102" i="2"/>
  <c r="S68" i="2"/>
  <c r="D68" i="2"/>
  <c r="A68" i="2"/>
  <c r="B31" i="2"/>
  <c r="C31" i="2"/>
  <c r="D31" i="2"/>
  <c r="B66" i="2"/>
  <c r="S31" i="2"/>
  <c r="C66" i="2"/>
  <c r="Z66" i="2"/>
  <c r="S67" i="2"/>
  <c r="K66" i="2"/>
  <c r="D67" i="2"/>
  <c r="A67" i="2"/>
  <c r="A33" i="2"/>
  <c r="A32" i="2"/>
  <c r="M34" i="1"/>
  <c r="L34" i="1"/>
  <c r="M33" i="1"/>
  <c r="L33" i="1"/>
  <c r="A33" i="6"/>
  <c r="B73" i="2"/>
  <c r="B101" i="2"/>
  <c r="P32" i="1"/>
  <c r="C33" i="6"/>
  <c r="C73" i="2"/>
  <c r="C101" i="2"/>
  <c r="Q32" i="1"/>
  <c r="D33" i="6"/>
  <c r="E33" i="6"/>
  <c r="B4" i="2"/>
  <c r="C4" i="2"/>
  <c r="F33" i="6"/>
  <c r="G33" i="6"/>
  <c r="H33" i="6"/>
  <c r="I33" i="6"/>
  <c r="B33" i="6"/>
  <c r="C32" i="1"/>
  <c r="A32" i="6"/>
  <c r="B30" i="2"/>
  <c r="C30" i="2"/>
  <c r="D30" i="2"/>
  <c r="S30" i="2"/>
  <c r="B100" i="2"/>
  <c r="P31" i="1"/>
  <c r="C32" i="6"/>
  <c r="C100" i="2"/>
  <c r="Q31" i="1"/>
  <c r="D32" i="6"/>
  <c r="E32" i="6"/>
  <c r="F32" i="6"/>
  <c r="G32" i="6"/>
  <c r="H32" i="6"/>
  <c r="I32" i="6"/>
  <c r="B32" i="6"/>
  <c r="C31" i="1"/>
  <c r="A31" i="6"/>
  <c r="B29" i="2"/>
  <c r="C29" i="2"/>
  <c r="D29" i="2"/>
  <c r="S29" i="2"/>
  <c r="B99" i="2"/>
  <c r="P30" i="1"/>
  <c r="C31" i="6"/>
  <c r="C99" i="2"/>
  <c r="Q30" i="1"/>
  <c r="D31" i="6"/>
  <c r="E31" i="6"/>
  <c r="F31" i="6"/>
  <c r="G31" i="6"/>
  <c r="H31" i="6"/>
  <c r="I31" i="6"/>
  <c r="B31" i="6"/>
  <c r="C30" i="1"/>
  <c r="A30" i="6"/>
  <c r="B28" i="2"/>
  <c r="C28" i="2"/>
  <c r="D28" i="2"/>
  <c r="S28" i="2"/>
  <c r="B98" i="2"/>
  <c r="P29" i="1"/>
  <c r="C30" i="6"/>
  <c r="C98" i="2"/>
  <c r="Q29" i="1"/>
  <c r="D30" i="6"/>
  <c r="E30" i="6"/>
  <c r="F30" i="6"/>
  <c r="G30" i="6"/>
  <c r="H30" i="6"/>
  <c r="I30" i="6"/>
  <c r="B30" i="6"/>
  <c r="C29" i="1"/>
  <c r="B27" i="2"/>
  <c r="C27" i="2"/>
  <c r="D27" i="2"/>
  <c r="S27" i="2"/>
  <c r="B97" i="2"/>
  <c r="P28" i="1"/>
  <c r="A29" i="6"/>
  <c r="C29" i="6"/>
  <c r="C97" i="2"/>
  <c r="Q28" i="1"/>
  <c r="D29" i="6"/>
  <c r="E29" i="6"/>
  <c r="F29" i="6"/>
  <c r="G29" i="6"/>
  <c r="H29" i="6"/>
  <c r="I29" i="6"/>
  <c r="B29" i="6"/>
  <c r="C28" i="1"/>
  <c r="A28" i="6"/>
  <c r="B26" i="2"/>
  <c r="C26" i="2"/>
  <c r="D26" i="2"/>
  <c r="S26" i="2"/>
  <c r="B96" i="2"/>
  <c r="P27" i="1"/>
  <c r="C28" i="6"/>
  <c r="C96" i="2"/>
  <c r="Q27" i="1"/>
  <c r="D28" i="6"/>
  <c r="E28" i="6"/>
  <c r="F28" i="6"/>
  <c r="G28" i="6"/>
  <c r="H28" i="6"/>
  <c r="I28" i="6"/>
  <c r="B28" i="6"/>
  <c r="C27" i="1"/>
  <c r="A27" i="6"/>
  <c r="B25" i="2"/>
  <c r="C25" i="2"/>
  <c r="D25" i="2"/>
  <c r="S25" i="2"/>
  <c r="B95" i="2"/>
  <c r="P26" i="1"/>
  <c r="C27" i="6"/>
  <c r="C95" i="2"/>
  <c r="Q26" i="1"/>
  <c r="D27" i="6"/>
  <c r="E27" i="6"/>
  <c r="F27" i="6"/>
  <c r="G27" i="6"/>
  <c r="H27" i="6"/>
  <c r="I27" i="6"/>
  <c r="B27" i="6"/>
  <c r="C26" i="1"/>
  <c r="A26" i="6"/>
  <c r="B24" i="2"/>
  <c r="C24" i="2"/>
  <c r="D24" i="2"/>
  <c r="S24" i="2"/>
  <c r="B94" i="2"/>
  <c r="P25" i="1"/>
  <c r="C26" i="6"/>
  <c r="C94" i="2"/>
  <c r="Q25" i="1"/>
  <c r="D26" i="6"/>
  <c r="E26" i="6"/>
  <c r="F26" i="6"/>
  <c r="G26" i="6"/>
  <c r="H26" i="6"/>
  <c r="I26" i="6"/>
  <c r="B26" i="6"/>
  <c r="C25" i="1"/>
  <c r="A25" i="6"/>
  <c r="B23" i="2"/>
  <c r="C23" i="2"/>
  <c r="D23" i="2"/>
  <c r="S23" i="2"/>
  <c r="B93" i="2"/>
  <c r="P24" i="1"/>
  <c r="C25" i="6"/>
  <c r="C93" i="2"/>
  <c r="Q24" i="1"/>
  <c r="D25" i="6"/>
  <c r="E25" i="6"/>
  <c r="F25" i="6"/>
  <c r="G25" i="6"/>
  <c r="H25" i="6"/>
  <c r="I25" i="6"/>
  <c r="B25" i="6"/>
  <c r="C24" i="1"/>
  <c r="A24" i="6"/>
  <c r="B22" i="2"/>
  <c r="C22" i="2"/>
  <c r="D22" i="2"/>
  <c r="S22" i="2"/>
  <c r="B92" i="2"/>
  <c r="P23" i="1"/>
  <c r="C24" i="6"/>
  <c r="C92" i="2"/>
  <c r="Q23" i="1"/>
  <c r="D24" i="6"/>
  <c r="E24" i="6"/>
  <c r="F24" i="6"/>
  <c r="G24" i="6"/>
  <c r="H24" i="6"/>
  <c r="I24" i="6"/>
  <c r="B24" i="6"/>
  <c r="C23" i="1"/>
  <c r="A23" i="6"/>
  <c r="B21" i="2"/>
  <c r="C21" i="2"/>
  <c r="D21" i="2"/>
  <c r="S21" i="2"/>
  <c r="B91" i="2"/>
  <c r="P22" i="1"/>
  <c r="C23" i="6"/>
  <c r="C91" i="2"/>
  <c r="Q22" i="1"/>
  <c r="D23" i="6"/>
  <c r="E23" i="6"/>
  <c r="F23" i="6"/>
  <c r="G23" i="6"/>
  <c r="H23" i="6"/>
  <c r="I23" i="6"/>
  <c r="B23" i="6"/>
  <c r="C22" i="1"/>
  <c r="A22" i="6"/>
  <c r="B20" i="2"/>
  <c r="C20" i="2"/>
  <c r="D20" i="2"/>
  <c r="S20" i="2"/>
  <c r="B90" i="2"/>
  <c r="P21" i="1"/>
  <c r="C22" i="6"/>
  <c r="C90" i="2"/>
  <c r="Q21" i="1"/>
  <c r="D22" i="6"/>
  <c r="E22" i="6"/>
  <c r="F22" i="6"/>
  <c r="G22" i="6"/>
  <c r="H22" i="6"/>
  <c r="I22" i="6"/>
  <c r="B22" i="6"/>
  <c r="C21" i="1"/>
  <c r="A21" i="6"/>
  <c r="B19" i="2"/>
  <c r="C19" i="2"/>
  <c r="D19" i="2"/>
  <c r="S19" i="2"/>
  <c r="B89" i="2"/>
  <c r="P20" i="1"/>
  <c r="C21" i="6"/>
  <c r="C89" i="2"/>
  <c r="Q20" i="1"/>
  <c r="D21" i="6"/>
  <c r="E21" i="6"/>
  <c r="F21" i="6"/>
  <c r="G21" i="6"/>
  <c r="H21" i="6"/>
  <c r="I21" i="6"/>
  <c r="B21" i="6"/>
  <c r="C20" i="1"/>
  <c r="A20" i="6"/>
  <c r="B18" i="2"/>
  <c r="C18" i="2"/>
  <c r="D18" i="2"/>
  <c r="S18" i="2"/>
  <c r="B88" i="2"/>
  <c r="P19" i="1"/>
  <c r="C20" i="6"/>
  <c r="C88" i="2"/>
  <c r="Q19" i="1"/>
  <c r="D20" i="6"/>
  <c r="E20" i="6"/>
  <c r="F20" i="6"/>
  <c r="G20" i="6"/>
  <c r="H20" i="6"/>
  <c r="I20" i="6"/>
  <c r="B20" i="6"/>
  <c r="C19" i="1"/>
  <c r="A19" i="6"/>
  <c r="B17" i="2"/>
  <c r="C17" i="2"/>
  <c r="D17" i="2"/>
  <c r="S17" i="2"/>
  <c r="B87" i="2"/>
  <c r="P18" i="1"/>
  <c r="C19" i="6"/>
  <c r="C87" i="2"/>
  <c r="Q18" i="1"/>
  <c r="D19" i="6"/>
  <c r="E19" i="6"/>
  <c r="F19" i="6"/>
  <c r="G19" i="6"/>
  <c r="H19" i="6"/>
  <c r="I19" i="6"/>
  <c r="B19" i="6"/>
  <c r="C18" i="1"/>
  <c r="A18" i="6"/>
  <c r="B16" i="2"/>
  <c r="C16" i="2"/>
  <c r="D16" i="2"/>
  <c r="S16" i="2"/>
  <c r="B86" i="2"/>
  <c r="P17" i="1"/>
  <c r="C18" i="6"/>
  <c r="C86" i="2"/>
  <c r="Q17" i="1"/>
  <c r="D18" i="6"/>
  <c r="E18" i="6"/>
  <c r="F18" i="6"/>
  <c r="G18" i="6"/>
  <c r="H18" i="6"/>
  <c r="I18" i="6"/>
  <c r="B18" i="6"/>
  <c r="C17" i="1"/>
  <c r="A17" i="6"/>
  <c r="B15" i="2"/>
  <c r="C15" i="2"/>
  <c r="D15" i="2"/>
  <c r="S15" i="2"/>
  <c r="B85" i="2"/>
  <c r="P16" i="1"/>
  <c r="C17" i="6"/>
  <c r="C85" i="2"/>
  <c r="Q16" i="1"/>
  <c r="D17" i="6"/>
  <c r="E17" i="6"/>
  <c r="F17" i="6"/>
  <c r="G17" i="6"/>
  <c r="H17" i="6"/>
  <c r="I17" i="6"/>
  <c r="B17" i="6"/>
  <c r="C16" i="1"/>
  <c r="A16" i="6"/>
  <c r="B14" i="2"/>
  <c r="C14" i="2"/>
  <c r="D14" i="2"/>
  <c r="S14" i="2"/>
  <c r="B84" i="2"/>
  <c r="P15" i="1"/>
  <c r="C16" i="6"/>
  <c r="C84" i="2"/>
  <c r="Q15" i="1"/>
  <c r="D16" i="6"/>
  <c r="E16" i="6"/>
  <c r="F16" i="6"/>
  <c r="G16" i="6"/>
  <c r="H16" i="6"/>
  <c r="I16" i="6"/>
  <c r="B16" i="6"/>
  <c r="C15" i="1"/>
  <c r="A15" i="6"/>
  <c r="B13" i="2"/>
  <c r="C13" i="2"/>
  <c r="D13" i="2"/>
  <c r="S13" i="2"/>
  <c r="B83" i="2"/>
  <c r="P14" i="1"/>
  <c r="C15" i="6"/>
  <c r="C83" i="2"/>
  <c r="Q14" i="1"/>
  <c r="D15" i="6"/>
  <c r="E15" i="6"/>
  <c r="F15" i="6"/>
  <c r="G15" i="6"/>
  <c r="H15" i="6"/>
  <c r="I15" i="6"/>
  <c r="B15" i="6"/>
  <c r="C14" i="1"/>
  <c r="A14" i="6"/>
  <c r="B12" i="2"/>
  <c r="C12" i="2"/>
  <c r="D12" i="2"/>
  <c r="S12" i="2"/>
  <c r="B82" i="2"/>
  <c r="P13" i="1"/>
  <c r="C14" i="6"/>
  <c r="C82" i="2"/>
  <c r="Q13" i="1"/>
  <c r="D14" i="6"/>
  <c r="E14" i="6"/>
  <c r="F14" i="6"/>
  <c r="G14" i="6"/>
  <c r="H14" i="6"/>
  <c r="I14" i="6"/>
  <c r="B14" i="6"/>
  <c r="C13" i="1"/>
  <c r="A13" i="6"/>
  <c r="B11" i="2"/>
  <c r="C11" i="2"/>
  <c r="D11" i="2"/>
  <c r="S11" i="2"/>
  <c r="B81" i="2"/>
  <c r="P12" i="1"/>
  <c r="C13" i="6"/>
  <c r="C81" i="2"/>
  <c r="Q12" i="1"/>
  <c r="D13" i="6"/>
  <c r="E13" i="6"/>
  <c r="F13" i="6"/>
  <c r="G13" i="6"/>
  <c r="H13" i="6"/>
  <c r="I13" i="6"/>
  <c r="B13" i="6"/>
  <c r="C12" i="1"/>
  <c r="A12" i="6"/>
  <c r="B10" i="2"/>
  <c r="C10" i="2"/>
  <c r="D10" i="2"/>
  <c r="S10" i="2"/>
  <c r="B80" i="2"/>
  <c r="P11" i="1"/>
  <c r="C12" i="6"/>
  <c r="C80" i="2"/>
  <c r="Q11" i="1"/>
  <c r="D12" i="6"/>
  <c r="E12" i="6"/>
  <c r="F12" i="6"/>
  <c r="G12" i="6"/>
  <c r="H12" i="6"/>
  <c r="I12" i="6"/>
  <c r="B12" i="6"/>
  <c r="C11" i="1"/>
  <c r="A11" i="6"/>
  <c r="B9" i="2"/>
  <c r="C9" i="2"/>
  <c r="D9" i="2"/>
  <c r="S9" i="2"/>
  <c r="B79" i="2"/>
  <c r="P10" i="1"/>
  <c r="C11" i="6"/>
  <c r="C79" i="2"/>
  <c r="Q10" i="1"/>
  <c r="D11" i="6"/>
  <c r="E11" i="6"/>
  <c r="F11" i="6"/>
  <c r="G11" i="6"/>
  <c r="H11" i="6"/>
  <c r="I11" i="6"/>
  <c r="B11" i="6"/>
  <c r="C10" i="1"/>
  <c r="A10" i="6"/>
  <c r="B8" i="2"/>
  <c r="C8" i="2"/>
  <c r="D8" i="2"/>
  <c r="S8" i="2"/>
  <c r="B78" i="2"/>
  <c r="P9" i="1"/>
  <c r="C10" i="6"/>
  <c r="C78" i="2"/>
  <c r="Q9" i="1"/>
  <c r="D10" i="6"/>
  <c r="E10" i="6"/>
  <c r="F10" i="6"/>
  <c r="G10" i="6"/>
  <c r="H10" i="6"/>
  <c r="I10" i="6"/>
  <c r="B10" i="6"/>
  <c r="C9" i="1"/>
  <c r="A9" i="6"/>
  <c r="B7" i="2"/>
  <c r="C7" i="2"/>
  <c r="D7" i="2"/>
  <c r="S7" i="2"/>
  <c r="B77" i="2"/>
  <c r="P8" i="1"/>
  <c r="C9" i="6"/>
  <c r="C77" i="2"/>
  <c r="Q8" i="1"/>
  <c r="D9" i="6"/>
  <c r="E9" i="6"/>
  <c r="F9" i="6"/>
  <c r="G9" i="6"/>
  <c r="H9" i="6"/>
  <c r="I9" i="6"/>
  <c r="B9" i="6"/>
  <c r="C8" i="1"/>
  <c r="A8" i="6"/>
  <c r="B6" i="2"/>
  <c r="C6" i="2"/>
  <c r="D6" i="2"/>
  <c r="S6" i="2"/>
  <c r="B76" i="2"/>
  <c r="P7" i="1"/>
  <c r="C8" i="6"/>
  <c r="C76" i="2"/>
  <c r="Q7" i="1"/>
  <c r="D8" i="6"/>
  <c r="E8" i="6"/>
  <c r="F8" i="6"/>
  <c r="G8" i="6"/>
  <c r="H8" i="6"/>
  <c r="I8" i="6"/>
  <c r="B8" i="6"/>
  <c r="C7" i="1"/>
  <c r="A7" i="6"/>
  <c r="B5" i="2"/>
  <c r="C5" i="2"/>
  <c r="D5" i="2"/>
  <c r="S5" i="2"/>
  <c r="B75" i="2"/>
  <c r="P6" i="1"/>
  <c r="C7" i="6"/>
  <c r="C75" i="2"/>
  <c r="Q6" i="1"/>
  <c r="D7" i="6"/>
  <c r="E7" i="6"/>
  <c r="F7" i="6"/>
  <c r="G7" i="6"/>
  <c r="H7" i="6"/>
  <c r="I7" i="6"/>
  <c r="B7" i="6"/>
  <c r="C6" i="1"/>
  <c r="A6" i="6"/>
  <c r="C6" i="6"/>
  <c r="D6" i="6"/>
  <c r="E6" i="6"/>
  <c r="F6" i="6"/>
  <c r="G6" i="6"/>
  <c r="H6" i="6"/>
  <c r="I6" i="6"/>
  <c r="B6" i="6"/>
  <c r="C5" i="1"/>
  <c r="A5" i="6"/>
  <c r="C5" i="6"/>
  <c r="D5" i="6"/>
  <c r="E5" i="6"/>
  <c r="F5" i="6"/>
  <c r="G5" i="6"/>
  <c r="H5" i="6"/>
  <c r="I5" i="6"/>
  <c r="B5" i="6"/>
  <c r="C4" i="1"/>
  <c r="A4" i="6"/>
  <c r="C4" i="6"/>
  <c r="D4" i="6"/>
  <c r="E4" i="6"/>
  <c r="F4" i="6"/>
  <c r="G4" i="6"/>
  <c r="H4" i="6"/>
  <c r="I4" i="6"/>
  <c r="B4" i="6"/>
  <c r="C3" i="1"/>
  <c r="L7" i="1"/>
  <c r="L8" i="1"/>
  <c r="L6" i="1"/>
  <c r="L5" i="1"/>
  <c r="M8" i="1"/>
  <c r="M7" i="1"/>
  <c r="M6" i="1"/>
  <c r="M5" i="1"/>
  <c r="E9" i="2"/>
  <c r="AJ10" i="1"/>
  <c r="T9" i="2"/>
  <c r="BE10" i="1"/>
  <c r="N10" i="1"/>
  <c r="E8" i="2"/>
  <c r="AJ9" i="1"/>
  <c r="T8" i="2"/>
  <c r="BE9" i="1"/>
  <c r="N9" i="1"/>
  <c r="E7" i="2"/>
  <c r="AJ8" i="1"/>
  <c r="T7" i="2"/>
  <c r="BE8" i="1"/>
  <c r="N8" i="1"/>
  <c r="E6" i="2"/>
  <c r="AJ7" i="1"/>
  <c r="T6" i="2"/>
  <c r="BE7" i="1"/>
  <c r="N7" i="1"/>
  <c r="E5" i="2"/>
  <c r="AJ6" i="1"/>
  <c r="T5" i="2"/>
  <c r="BE6" i="1"/>
  <c r="N6" i="1"/>
  <c r="E4" i="2"/>
  <c r="AJ5" i="1"/>
  <c r="T4" i="2"/>
  <c r="BE5" i="1"/>
  <c r="N5" i="1"/>
  <c r="AG59" i="2"/>
  <c r="DH25" i="1"/>
  <c r="AF59" i="2"/>
  <c r="DG25" i="1"/>
  <c r="AE59" i="2"/>
  <c r="DF25" i="1"/>
  <c r="AD59" i="2"/>
  <c r="DE25" i="1"/>
  <c r="AC59" i="2"/>
  <c r="DD25" i="1"/>
  <c r="B59" i="2"/>
  <c r="C59" i="2"/>
  <c r="AB59" i="2"/>
  <c r="DC25" i="1"/>
  <c r="AA59" i="2"/>
  <c r="DB25" i="1"/>
  <c r="Z59" i="2"/>
  <c r="DA25" i="1"/>
  <c r="Y59" i="2"/>
  <c r="CZ25" i="1"/>
  <c r="X59" i="2"/>
  <c r="CY25" i="1"/>
  <c r="W59" i="2"/>
  <c r="CX25" i="1"/>
  <c r="V59" i="2"/>
  <c r="CW25" i="1"/>
  <c r="U59" i="2"/>
  <c r="CV25" i="1"/>
  <c r="T59" i="2"/>
  <c r="CU25" i="1"/>
  <c r="M28" i="1"/>
  <c r="L28" i="1"/>
  <c r="R59" i="2"/>
  <c r="CM25" i="1"/>
  <c r="Q59" i="2"/>
  <c r="CL25" i="1"/>
  <c r="P59" i="2"/>
  <c r="CK25" i="1"/>
  <c r="O59" i="2"/>
  <c r="CJ25" i="1"/>
  <c r="N59" i="2"/>
  <c r="CI25" i="1"/>
  <c r="M59" i="2"/>
  <c r="CH25" i="1"/>
  <c r="L59" i="2"/>
  <c r="CG25" i="1"/>
  <c r="K59" i="2"/>
  <c r="CF25" i="1"/>
  <c r="J59" i="2"/>
  <c r="CE25" i="1"/>
  <c r="I59" i="2"/>
  <c r="CD25" i="1"/>
  <c r="H59" i="2"/>
  <c r="CC25" i="1"/>
  <c r="G59" i="2"/>
  <c r="CB25" i="1"/>
  <c r="F59" i="2"/>
  <c r="CA25" i="1"/>
  <c r="E59" i="2"/>
  <c r="BZ25" i="1"/>
  <c r="AG24" i="2"/>
  <c r="BR25" i="1"/>
  <c r="AF24" i="2"/>
  <c r="BQ25" i="1"/>
  <c r="AE24" i="2"/>
  <c r="BP25" i="1"/>
  <c r="AD24" i="2"/>
  <c r="BO25" i="1"/>
  <c r="AC24" i="2"/>
  <c r="BN25" i="1"/>
  <c r="AB24" i="2"/>
  <c r="BM25" i="1"/>
  <c r="AA24" i="2"/>
  <c r="BL25" i="1"/>
  <c r="Z24" i="2"/>
  <c r="BK25" i="1"/>
  <c r="Y24" i="2"/>
  <c r="BJ25" i="1"/>
  <c r="X24" i="2"/>
  <c r="BI25" i="1"/>
  <c r="W24" i="2"/>
  <c r="BH25" i="1"/>
  <c r="V24" i="2"/>
  <c r="BG25" i="1"/>
  <c r="U24" i="2"/>
  <c r="BF25" i="1"/>
  <c r="T24" i="2"/>
  <c r="BE25" i="1"/>
  <c r="R24" i="2"/>
  <c r="AW25" i="1"/>
  <c r="Q24" i="2"/>
  <c r="AV25" i="1"/>
  <c r="P24" i="2"/>
  <c r="AU25" i="1"/>
  <c r="O24" i="2"/>
  <c r="AT25" i="1"/>
  <c r="N24" i="2"/>
  <c r="AS25" i="1"/>
  <c r="M24" i="2"/>
  <c r="AR25" i="1"/>
  <c r="L24" i="2"/>
  <c r="AQ25" i="1"/>
  <c r="K24" i="2"/>
  <c r="AP25" i="1"/>
  <c r="J24" i="2"/>
  <c r="AO25" i="1"/>
  <c r="I24" i="2"/>
  <c r="AN25" i="1"/>
  <c r="H24" i="2"/>
  <c r="AM25" i="1"/>
  <c r="G24" i="2"/>
  <c r="AL25" i="1"/>
  <c r="F24" i="2"/>
  <c r="AK25" i="1"/>
  <c r="E24" i="2"/>
  <c r="AJ25" i="1"/>
  <c r="J94" i="2"/>
  <c r="K94" i="2"/>
  <c r="D94" i="2"/>
  <c r="G94" i="2"/>
  <c r="S94" i="2"/>
  <c r="AE25" i="1"/>
  <c r="E94" i="2"/>
  <c r="F94" i="2"/>
  <c r="R94" i="2"/>
  <c r="AD25" i="1"/>
  <c r="H94" i="2"/>
  <c r="I94" i="2"/>
  <c r="Q94" i="2"/>
  <c r="AC25" i="1"/>
  <c r="P94" i="2"/>
  <c r="AB25" i="1"/>
  <c r="O94" i="2"/>
  <c r="AA25" i="1"/>
  <c r="N94" i="2"/>
  <c r="Z25" i="1"/>
  <c r="M94" i="2"/>
  <c r="Y25" i="1"/>
  <c r="L94" i="2"/>
  <c r="X25" i="1"/>
  <c r="O25" i="1"/>
  <c r="N25" i="1"/>
  <c r="B130" i="2"/>
  <c r="C130" i="2"/>
  <c r="G130" i="2"/>
  <c r="E130" i="2"/>
  <c r="I130" i="2"/>
  <c r="F130" i="2"/>
  <c r="D130" i="2"/>
  <c r="H130" i="2"/>
  <c r="A94" i="2"/>
  <c r="A130" i="2"/>
  <c r="T94" i="2"/>
  <c r="Z94" i="2"/>
  <c r="AD94" i="2"/>
  <c r="AC94" i="2"/>
  <c r="AB94" i="2"/>
  <c r="AA94" i="2"/>
  <c r="U94" i="2"/>
  <c r="Y94" i="2"/>
  <c r="X94" i="2"/>
  <c r="W94" i="2"/>
  <c r="V94" i="2"/>
  <c r="K23" i="2"/>
  <c r="Z23" i="2"/>
  <c r="K22" i="2"/>
  <c r="B58" i="2"/>
  <c r="Z22" i="2"/>
  <c r="C58" i="2"/>
  <c r="Z58" i="2"/>
  <c r="S59" i="2"/>
  <c r="K58" i="2"/>
  <c r="D59" i="2"/>
  <c r="A59" i="2"/>
  <c r="A24" i="2"/>
  <c r="AG66" i="2"/>
  <c r="DH32" i="1"/>
  <c r="AF66" i="2"/>
  <c r="DG32" i="1"/>
  <c r="AE66" i="2"/>
  <c r="DF32" i="1"/>
  <c r="AD66" i="2"/>
  <c r="DE32" i="1"/>
  <c r="AC66" i="2"/>
  <c r="DD32" i="1"/>
  <c r="K30" i="2"/>
  <c r="Z30" i="2"/>
  <c r="AB66" i="2"/>
  <c r="DC32" i="1"/>
  <c r="AA66" i="2"/>
  <c r="DB32" i="1"/>
  <c r="DA32" i="1"/>
  <c r="Y66" i="2"/>
  <c r="CZ32" i="1"/>
  <c r="X66" i="2"/>
  <c r="CY32" i="1"/>
  <c r="W66" i="2"/>
  <c r="CX32" i="1"/>
  <c r="V66" i="2"/>
  <c r="CW32" i="1"/>
  <c r="U66" i="2"/>
  <c r="CV32" i="1"/>
  <c r="T66" i="2"/>
  <c r="CU32" i="1"/>
  <c r="R66" i="2"/>
  <c r="CM32" i="1"/>
  <c r="Q66" i="2"/>
  <c r="CL32" i="1"/>
  <c r="P66" i="2"/>
  <c r="CK32" i="1"/>
  <c r="O66" i="2"/>
  <c r="CJ32" i="1"/>
  <c r="N66" i="2"/>
  <c r="CI32" i="1"/>
  <c r="M66" i="2"/>
  <c r="CH32" i="1"/>
  <c r="L66" i="2"/>
  <c r="CG32" i="1"/>
  <c r="CF32" i="1"/>
  <c r="J66" i="2"/>
  <c r="CE32" i="1"/>
  <c r="I66" i="2"/>
  <c r="CD32" i="1"/>
  <c r="H66" i="2"/>
  <c r="CC32" i="1"/>
  <c r="G66" i="2"/>
  <c r="CB32" i="1"/>
  <c r="F66" i="2"/>
  <c r="CA32" i="1"/>
  <c r="E66" i="2"/>
  <c r="BZ32" i="1"/>
  <c r="AG31" i="2"/>
  <c r="BR32" i="1"/>
  <c r="AF31" i="2"/>
  <c r="BQ32" i="1"/>
  <c r="AE31" i="2"/>
  <c r="BP32" i="1"/>
  <c r="AD31" i="2"/>
  <c r="BO32" i="1"/>
  <c r="AC31" i="2"/>
  <c r="BN32" i="1"/>
  <c r="AB31" i="2"/>
  <c r="BM32" i="1"/>
  <c r="AA31" i="2"/>
  <c r="BL32" i="1"/>
  <c r="Z31" i="2"/>
  <c r="BK32" i="1"/>
  <c r="Y31" i="2"/>
  <c r="BJ32" i="1"/>
  <c r="X31" i="2"/>
  <c r="BI32" i="1"/>
  <c r="W31" i="2"/>
  <c r="BH32" i="1"/>
  <c r="V31" i="2"/>
  <c r="BG32" i="1"/>
  <c r="U31" i="2"/>
  <c r="BF32" i="1"/>
  <c r="T31" i="2"/>
  <c r="BE32" i="1"/>
  <c r="R31" i="2"/>
  <c r="AW32" i="1"/>
  <c r="Q31" i="2"/>
  <c r="AV32" i="1"/>
  <c r="P31" i="2"/>
  <c r="AU32" i="1"/>
  <c r="O31" i="2"/>
  <c r="AT32" i="1"/>
  <c r="N31" i="2"/>
  <c r="AS32" i="1"/>
  <c r="M31" i="2"/>
  <c r="AR32" i="1"/>
  <c r="L31" i="2"/>
  <c r="AQ32" i="1"/>
  <c r="K31" i="2"/>
  <c r="AP32" i="1"/>
  <c r="J31" i="2"/>
  <c r="AO32" i="1"/>
  <c r="I31" i="2"/>
  <c r="AN32" i="1"/>
  <c r="H31" i="2"/>
  <c r="AM32" i="1"/>
  <c r="G31" i="2"/>
  <c r="AL32" i="1"/>
  <c r="F31" i="2"/>
  <c r="AK32" i="1"/>
  <c r="E31" i="2"/>
  <c r="AJ32" i="1"/>
  <c r="D101" i="2"/>
  <c r="G101" i="2"/>
  <c r="J101" i="2"/>
  <c r="K101" i="2"/>
  <c r="S101" i="2"/>
  <c r="AE32" i="1"/>
  <c r="E101" i="2"/>
  <c r="F101" i="2"/>
  <c r="R101" i="2"/>
  <c r="AD32" i="1"/>
  <c r="H101" i="2"/>
  <c r="I101" i="2"/>
  <c r="Q101" i="2"/>
  <c r="AC32" i="1"/>
  <c r="P101" i="2"/>
  <c r="AB32" i="1"/>
  <c r="O101" i="2"/>
  <c r="AA32" i="1"/>
  <c r="N101" i="2"/>
  <c r="Z32" i="1"/>
  <c r="M101" i="2"/>
  <c r="Y32" i="1"/>
  <c r="L101" i="2"/>
  <c r="X32" i="1"/>
  <c r="O32" i="1"/>
  <c r="N32" i="1"/>
  <c r="AG65" i="2"/>
  <c r="DH31" i="1"/>
  <c r="AF65" i="2"/>
  <c r="DG31" i="1"/>
  <c r="AE65" i="2"/>
  <c r="DF31" i="1"/>
  <c r="AD65" i="2"/>
  <c r="DE31" i="1"/>
  <c r="AC65" i="2"/>
  <c r="DD31" i="1"/>
  <c r="K29" i="2"/>
  <c r="B65" i="2"/>
  <c r="Z29" i="2"/>
  <c r="C65" i="2"/>
  <c r="AB65" i="2"/>
  <c r="DC31" i="1"/>
  <c r="AA65" i="2"/>
  <c r="DB31" i="1"/>
  <c r="Z65" i="2"/>
  <c r="DA31" i="1"/>
  <c r="Y65" i="2"/>
  <c r="CZ31" i="1"/>
  <c r="X65" i="2"/>
  <c r="CY31" i="1"/>
  <c r="W65" i="2"/>
  <c r="CX31" i="1"/>
  <c r="V65" i="2"/>
  <c r="CW31" i="1"/>
  <c r="U65" i="2"/>
  <c r="CV31" i="1"/>
  <c r="T65" i="2"/>
  <c r="CU31" i="1"/>
  <c r="R65" i="2"/>
  <c r="CM31" i="1"/>
  <c r="Q65" i="2"/>
  <c r="CL31" i="1"/>
  <c r="P65" i="2"/>
  <c r="CK31" i="1"/>
  <c r="O65" i="2"/>
  <c r="CJ31" i="1"/>
  <c r="N65" i="2"/>
  <c r="CI31" i="1"/>
  <c r="M65" i="2"/>
  <c r="CH31" i="1"/>
  <c r="L65" i="2"/>
  <c r="CG31" i="1"/>
  <c r="K65" i="2"/>
  <c r="CF31" i="1"/>
  <c r="J65" i="2"/>
  <c r="CE31" i="1"/>
  <c r="I65" i="2"/>
  <c r="CD31" i="1"/>
  <c r="H65" i="2"/>
  <c r="CC31" i="1"/>
  <c r="G65" i="2"/>
  <c r="CB31" i="1"/>
  <c r="F65" i="2"/>
  <c r="CA31" i="1"/>
  <c r="E65" i="2"/>
  <c r="BZ31" i="1"/>
  <c r="AG30" i="2"/>
  <c r="BR31" i="1"/>
  <c r="AF30" i="2"/>
  <c r="BQ31" i="1"/>
  <c r="AE30" i="2"/>
  <c r="BP31" i="1"/>
  <c r="AD30" i="2"/>
  <c r="BO31" i="1"/>
  <c r="AC30" i="2"/>
  <c r="BN31" i="1"/>
  <c r="AB30" i="2"/>
  <c r="BM31" i="1"/>
  <c r="AA30" i="2"/>
  <c r="BL31" i="1"/>
  <c r="BK31" i="1"/>
  <c r="Y30" i="2"/>
  <c r="BJ31" i="1"/>
  <c r="X30" i="2"/>
  <c r="BI31" i="1"/>
  <c r="W30" i="2"/>
  <c r="BH31" i="1"/>
  <c r="V30" i="2"/>
  <c r="BG31" i="1"/>
  <c r="U30" i="2"/>
  <c r="BF31" i="1"/>
  <c r="T30" i="2"/>
  <c r="BE31" i="1"/>
  <c r="R30" i="2"/>
  <c r="AW31" i="1"/>
  <c r="Q30" i="2"/>
  <c r="AV31" i="1"/>
  <c r="P30" i="2"/>
  <c r="AU31" i="1"/>
  <c r="O30" i="2"/>
  <c r="AT31" i="1"/>
  <c r="N30" i="2"/>
  <c r="AS31" i="1"/>
  <c r="M30" i="2"/>
  <c r="AR31" i="1"/>
  <c r="L30" i="2"/>
  <c r="AQ31" i="1"/>
  <c r="AP31" i="1"/>
  <c r="J30" i="2"/>
  <c r="AO31" i="1"/>
  <c r="I30" i="2"/>
  <c r="AN31" i="1"/>
  <c r="H30" i="2"/>
  <c r="AM31" i="1"/>
  <c r="G30" i="2"/>
  <c r="AL31" i="1"/>
  <c r="F30" i="2"/>
  <c r="AK31" i="1"/>
  <c r="E30" i="2"/>
  <c r="AJ31" i="1"/>
  <c r="D100" i="2"/>
  <c r="G100" i="2"/>
  <c r="J100" i="2"/>
  <c r="K100" i="2"/>
  <c r="S100" i="2"/>
  <c r="AE31" i="1"/>
  <c r="E100" i="2"/>
  <c r="F100" i="2"/>
  <c r="R100" i="2"/>
  <c r="AD31" i="1"/>
  <c r="H100" i="2"/>
  <c r="I100" i="2"/>
  <c r="Q100" i="2"/>
  <c r="AC31" i="1"/>
  <c r="P100" i="2"/>
  <c r="AB31" i="1"/>
  <c r="O100" i="2"/>
  <c r="AA31" i="1"/>
  <c r="N100" i="2"/>
  <c r="Z31" i="1"/>
  <c r="M100" i="2"/>
  <c r="Y31" i="1"/>
  <c r="L100" i="2"/>
  <c r="X31" i="1"/>
  <c r="O31" i="1"/>
  <c r="N31" i="1"/>
  <c r="AG64" i="2"/>
  <c r="DH30" i="1"/>
  <c r="AF64" i="2"/>
  <c r="DG30" i="1"/>
  <c r="AE64" i="2"/>
  <c r="DF30" i="1"/>
  <c r="AD64" i="2"/>
  <c r="DE30" i="1"/>
  <c r="AC64" i="2"/>
  <c r="DD30" i="1"/>
  <c r="K28" i="2"/>
  <c r="B64" i="2"/>
  <c r="Z28" i="2"/>
  <c r="C64" i="2"/>
  <c r="AB64" i="2"/>
  <c r="DC30" i="1"/>
  <c r="AA64" i="2"/>
  <c r="DB30" i="1"/>
  <c r="Z64" i="2"/>
  <c r="DA30" i="1"/>
  <c r="Y64" i="2"/>
  <c r="CZ30" i="1"/>
  <c r="X64" i="2"/>
  <c r="CY30" i="1"/>
  <c r="W64" i="2"/>
  <c r="CX30" i="1"/>
  <c r="V64" i="2"/>
  <c r="CW30" i="1"/>
  <c r="U64" i="2"/>
  <c r="CV30" i="1"/>
  <c r="T64" i="2"/>
  <c r="CU30" i="1"/>
  <c r="R64" i="2"/>
  <c r="CM30" i="1"/>
  <c r="Q64" i="2"/>
  <c r="CL30" i="1"/>
  <c r="P64" i="2"/>
  <c r="CK30" i="1"/>
  <c r="O64" i="2"/>
  <c r="CJ30" i="1"/>
  <c r="N64" i="2"/>
  <c r="CI30" i="1"/>
  <c r="M64" i="2"/>
  <c r="CH30" i="1"/>
  <c r="L64" i="2"/>
  <c r="CG30" i="1"/>
  <c r="K64" i="2"/>
  <c r="CF30" i="1"/>
  <c r="J64" i="2"/>
  <c r="CE30" i="1"/>
  <c r="I64" i="2"/>
  <c r="CD30" i="1"/>
  <c r="H64" i="2"/>
  <c r="CC30" i="1"/>
  <c r="G64" i="2"/>
  <c r="CB30" i="1"/>
  <c r="F64" i="2"/>
  <c r="CA30" i="1"/>
  <c r="E64" i="2"/>
  <c r="BZ30" i="1"/>
  <c r="AG29" i="2"/>
  <c r="BR30" i="1"/>
  <c r="AF29" i="2"/>
  <c r="BQ30" i="1"/>
  <c r="AE29" i="2"/>
  <c r="BP30" i="1"/>
  <c r="AD29" i="2"/>
  <c r="BO30" i="1"/>
  <c r="AC29" i="2"/>
  <c r="BN30" i="1"/>
  <c r="AB29" i="2"/>
  <c r="BM30" i="1"/>
  <c r="AA29" i="2"/>
  <c r="BL30" i="1"/>
  <c r="BK30" i="1"/>
  <c r="Y29" i="2"/>
  <c r="BJ30" i="1"/>
  <c r="X29" i="2"/>
  <c r="BI30" i="1"/>
  <c r="W29" i="2"/>
  <c r="BH30" i="1"/>
  <c r="V29" i="2"/>
  <c r="BG30" i="1"/>
  <c r="U29" i="2"/>
  <c r="BF30" i="1"/>
  <c r="T29" i="2"/>
  <c r="BE30" i="1"/>
  <c r="R29" i="2"/>
  <c r="AW30" i="1"/>
  <c r="Q29" i="2"/>
  <c r="AV30" i="1"/>
  <c r="P29" i="2"/>
  <c r="AU30" i="1"/>
  <c r="O29" i="2"/>
  <c r="AT30" i="1"/>
  <c r="N29" i="2"/>
  <c r="AS30" i="1"/>
  <c r="M29" i="2"/>
  <c r="AR30" i="1"/>
  <c r="L29" i="2"/>
  <c r="AQ30" i="1"/>
  <c r="AP30" i="1"/>
  <c r="J29" i="2"/>
  <c r="AO30" i="1"/>
  <c r="I29" i="2"/>
  <c r="AN30" i="1"/>
  <c r="H29" i="2"/>
  <c r="AM30" i="1"/>
  <c r="G29" i="2"/>
  <c r="AL30" i="1"/>
  <c r="F29" i="2"/>
  <c r="AK30" i="1"/>
  <c r="E29" i="2"/>
  <c r="AJ30" i="1"/>
  <c r="D99" i="2"/>
  <c r="G99" i="2"/>
  <c r="J99" i="2"/>
  <c r="K99" i="2"/>
  <c r="S99" i="2"/>
  <c r="AE30" i="1"/>
  <c r="E99" i="2"/>
  <c r="F99" i="2"/>
  <c r="R99" i="2"/>
  <c r="AD30" i="1"/>
  <c r="H99" i="2"/>
  <c r="I99" i="2"/>
  <c r="Q99" i="2"/>
  <c r="AC30" i="1"/>
  <c r="P99" i="2"/>
  <c r="AB30" i="1"/>
  <c r="O99" i="2"/>
  <c r="AA30" i="1"/>
  <c r="N99" i="2"/>
  <c r="Z30" i="1"/>
  <c r="M99" i="2"/>
  <c r="Y30" i="1"/>
  <c r="L99" i="2"/>
  <c r="X30" i="1"/>
  <c r="O30" i="1"/>
  <c r="N30" i="1"/>
  <c r="AG63" i="2"/>
  <c r="DH29" i="1"/>
  <c r="AF63" i="2"/>
  <c r="DG29" i="1"/>
  <c r="AE63" i="2"/>
  <c r="DF29" i="1"/>
  <c r="AD63" i="2"/>
  <c r="DE29" i="1"/>
  <c r="AC63" i="2"/>
  <c r="DD29" i="1"/>
  <c r="K27" i="2"/>
  <c r="B63" i="2"/>
  <c r="Z27" i="2"/>
  <c r="C63" i="2"/>
  <c r="AB63" i="2"/>
  <c r="DC29" i="1"/>
  <c r="AA63" i="2"/>
  <c r="DB29" i="1"/>
  <c r="Z63" i="2"/>
  <c r="DA29" i="1"/>
  <c r="Y63" i="2"/>
  <c r="CZ29" i="1"/>
  <c r="X63" i="2"/>
  <c r="CY29" i="1"/>
  <c r="W63" i="2"/>
  <c r="CX29" i="1"/>
  <c r="V63" i="2"/>
  <c r="CW29" i="1"/>
  <c r="U63" i="2"/>
  <c r="CV29" i="1"/>
  <c r="T63" i="2"/>
  <c r="CU29" i="1"/>
  <c r="R63" i="2"/>
  <c r="CM29" i="1"/>
  <c r="Q63" i="2"/>
  <c r="CL29" i="1"/>
  <c r="P63" i="2"/>
  <c r="CK29" i="1"/>
  <c r="O63" i="2"/>
  <c r="CJ29" i="1"/>
  <c r="N63" i="2"/>
  <c r="CI29" i="1"/>
  <c r="M63" i="2"/>
  <c r="CH29" i="1"/>
  <c r="L63" i="2"/>
  <c r="CG29" i="1"/>
  <c r="K63" i="2"/>
  <c r="CF29" i="1"/>
  <c r="J63" i="2"/>
  <c r="CE29" i="1"/>
  <c r="I63" i="2"/>
  <c r="CD29" i="1"/>
  <c r="H63" i="2"/>
  <c r="CC29" i="1"/>
  <c r="G63" i="2"/>
  <c r="CB29" i="1"/>
  <c r="F63" i="2"/>
  <c r="CA29" i="1"/>
  <c r="E63" i="2"/>
  <c r="BZ29" i="1"/>
  <c r="AG28" i="2"/>
  <c r="BR29" i="1"/>
  <c r="AF28" i="2"/>
  <c r="BQ29" i="1"/>
  <c r="AE28" i="2"/>
  <c r="BP29" i="1"/>
  <c r="AD28" i="2"/>
  <c r="BO29" i="1"/>
  <c r="AC28" i="2"/>
  <c r="BN29" i="1"/>
  <c r="AB28" i="2"/>
  <c r="BM29" i="1"/>
  <c r="AA28" i="2"/>
  <c r="BL29" i="1"/>
  <c r="BK29" i="1"/>
  <c r="Y28" i="2"/>
  <c r="BJ29" i="1"/>
  <c r="X28" i="2"/>
  <c r="BI29" i="1"/>
  <c r="W28" i="2"/>
  <c r="BH29" i="1"/>
  <c r="V28" i="2"/>
  <c r="BG29" i="1"/>
  <c r="U28" i="2"/>
  <c r="BF29" i="1"/>
  <c r="T28" i="2"/>
  <c r="BE29" i="1"/>
  <c r="R28" i="2"/>
  <c r="AW29" i="1"/>
  <c r="Q28" i="2"/>
  <c r="AV29" i="1"/>
  <c r="P28" i="2"/>
  <c r="AU29" i="1"/>
  <c r="O28" i="2"/>
  <c r="AT29" i="1"/>
  <c r="N28" i="2"/>
  <c r="AS29" i="1"/>
  <c r="M28" i="2"/>
  <c r="AR29" i="1"/>
  <c r="L28" i="2"/>
  <c r="AQ29" i="1"/>
  <c r="AP29" i="1"/>
  <c r="J28" i="2"/>
  <c r="AO29" i="1"/>
  <c r="I28" i="2"/>
  <c r="AN29" i="1"/>
  <c r="H28" i="2"/>
  <c r="AM29" i="1"/>
  <c r="G28" i="2"/>
  <c r="AL29" i="1"/>
  <c r="F28" i="2"/>
  <c r="AK29" i="1"/>
  <c r="E28" i="2"/>
  <c r="AJ29" i="1"/>
  <c r="D98" i="2"/>
  <c r="G98" i="2"/>
  <c r="J98" i="2"/>
  <c r="K98" i="2"/>
  <c r="S98" i="2"/>
  <c r="AE29" i="1"/>
  <c r="E98" i="2"/>
  <c r="F98" i="2"/>
  <c r="R98" i="2"/>
  <c r="AD29" i="1"/>
  <c r="H98" i="2"/>
  <c r="I98" i="2"/>
  <c r="Q98" i="2"/>
  <c r="AC29" i="1"/>
  <c r="P98" i="2"/>
  <c r="AB29" i="1"/>
  <c r="O98" i="2"/>
  <c r="AA29" i="1"/>
  <c r="N98" i="2"/>
  <c r="Z29" i="1"/>
  <c r="M98" i="2"/>
  <c r="Y29" i="1"/>
  <c r="L98" i="2"/>
  <c r="X29" i="1"/>
  <c r="O29" i="1"/>
  <c r="N29" i="1"/>
  <c r="AG62" i="2"/>
  <c r="DH28" i="1"/>
  <c r="AF62" i="2"/>
  <c r="DG28" i="1"/>
  <c r="AE62" i="2"/>
  <c r="DF28" i="1"/>
  <c r="AD62" i="2"/>
  <c r="DE28" i="1"/>
  <c r="AC62" i="2"/>
  <c r="DD28" i="1"/>
  <c r="K26" i="2"/>
  <c r="B62" i="2"/>
  <c r="Z26" i="2"/>
  <c r="C62" i="2"/>
  <c r="AB62" i="2"/>
  <c r="DC28" i="1"/>
  <c r="AA62" i="2"/>
  <c r="DB28" i="1"/>
  <c r="Z62" i="2"/>
  <c r="DA28" i="1"/>
  <c r="Y62" i="2"/>
  <c r="CZ28" i="1"/>
  <c r="X62" i="2"/>
  <c r="CY28" i="1"/>
  <c r="W62" i="2"/>
  <c r="CX28" i="1"/>
  <c r="V62" i="2"/>
  <c r="CW28" i="1"/>
  <c r="U62" i="2"/>
  <c r="CV28" i="1"/>
  <c r="T62" i="2"/>
  <c r="CU28" i="1"/>
  <c r="R62" i="2"/>
  <c r="CM28" i="1"/>
  <c r="Q62" i="2"/>
  <c r="CL28" i="1"/>
  <c r="P62" i="2"/>
  <c r="CK28" i="1"/>
  <c r="O62" i="2"/>
  <c r="CJ28" i="1"/>
  <c r="N62" i="2"/>
  <c r="CI28" i="1"/>
  <c r="M62" i="2"/>
  <c r="CH28" i="1"/>
  <c r="L62" i="2"/>
  <c r="CG28" i="1"/>
  <c r="K62" i="2"/>
  <c r="CF28" i="1"/>
  <c r="J62" i="2"/>
  <c r="CE28" i="1"/>
  <c r="I62" i="2"/>
  <c r="CD28" i="1"/>
  <c r="H62" i="2"/>
  <c r="CC28" i="1"/>
  <c r="G62" i="2"/>
  <c r="CB28" i="1"/>
  <c r="F62" i="2"/>
  <c r="CA28" i="1"/>
  <c r="E62" i="2"/>
  <c r="BZ28" i="1"/>
  <c r="AG27" i="2"/>
  <c r="BR28" i="1"/>
  <c r="AF27" i="2"/>
  <c r="BQ28" i="1"/>
  <c r="AE27" i="2"/>
  <c r="BP28" i="1"/>
  <c r="AD27" i="2"/>
  <c r="BO28" i="1"/>
  <c r="AC27" i="2"/>
  <c r="BN28" i="1"/>
  <c r="AB27" i="2"/>
  <c r="BM28" i="1"/>
  <c r="AA27" i="2"/>
  <c r="BL28" i="1"/>
  <c r="BK28" i="1"/>
  <c r="Y27" i="2"/>
  <c r="BJ28" i="1"/>
  <c r="X27" i="2"/>
  <c r="BI28" i="1"/>
  <c r="W27" i="2"/>
  <c r="BH28" i="1"/>
  <c r="V27" i="2"/>
  <c r="BG28" i="1"/>
  <c r="U27" i="2"/>
  <c r="BF28" i="1"/>
  <c r="T27" i="2"/>
  <c r="BE28" i="1"/>
  <c r="R27" i="2"/>
  <c r="AW28" i="1"/>
  <c r="Q27" i="2"/>
  <c r="AV28" i="1"/>
  <c r="P27" i="2"/>
  <c r="AU28" i="1"/>
  <c r="O27" i="2"/>
  <c r="AT28" i="1"/>
  <c r="N27" i="2"/>
  <c r="AS28" i="1"/>
  <c r="M27" i="2"/>
  <c r="AR28" i="1"/>
  <c r="L27" i="2"/>
  <c r="AQ28" i="1"/>
  <c r="AP28" i="1"/>
  <c r="J27" i="2"/>
  <c r="AO28" i="1"/>
  <c r="I27" i="2"/>
  <c r="AN28" i="1"/>
  <c r="H27" i="2"/>
  <c r="AM28" i="1"/>
  <c r="G27" i="2"/>
  <c r="AL28" i="1"/>
  <c r="F27" i="2"/>
  <c r="AK28" i="1"/>
  <c r="E27" i="2"/>
  <c r="AJ28" i="1"/>
  <c r="D97" i="2"/>
  <c r="G97" i="2"/>
  <c r="J97" i="2"/>
  <c r="K97" i="2"/>
  <c r="S97" i="2"/>
  <c r="AE28" i="1"/>
  <c r="E97" i="2"/>
  <c r="F97" i="2"/>
  <c r="R97" i="2"/>
  <c r="AD28" i="1"/>
  <c r="H97" i="2"/>
  <c r="I97" i="2"/>
  <c r="Q97" i="2"/>
  <c r="AC28" i="1"/>
  <c r="P97" i="2"/>
  <c r="AB28" i="1"/>
  <c r="O97" i="2"/>
  <c r="AA28" i="1"/>
  <c r="N97" i="2"/>
  <c r="Z28" i="1"/>
  <c r="M97" i="2"/>
  <c r="Y28" i="1"/>
  <c r="L97" i="2"/>
  <c r="X28" i="1"/>
  <c r="O28" i="1"/>
  <c r="N28" i="1"/>
  <c r="AG61" i="2"/>
  <c r="DH27" i="1"/>
  <c r="AF61" i="2"/>
  <c r="DG27" i="1"/>
  <c r="AE61" i="2"/>
  <c r="DF27" i="1"/>
  <c r="AD61" i="2"/>
  <c r="DE27" i="1"/>
  <c r="AC61" i="2"/>
  <c r="DD27" i="1"/>
  <c r="K25" i="2"/>
  <c r="B61" i="2"/>
  <c r="Z25" i="2"/>
  <c r="C61" i="2"/>
  <c r="AB61" i="2"/>
  <c r="DC27" i="1"/>
  <c r="AA61" i="2"/>
  <c r="DB27" i="1"/>
  <c r="Z61" i="2"/>
  <c r="DA27" i="1"/>
  <c r="Y61" i="2"/>
  <c r="CZ27" i="1"/>
  <c r="X61" i="2"/>
  <c r="CY27" i="1"/>
  <c r="W61" i="2"/>
  <c r="CX27" i="1"/>
  <c r="V61" i="2"/>
  <c r="CW27" i="1"/>
  <c r="U61" i="2"/>
  <c r="CV27" i="1"/>
  <c r="T61" i="2"/>
  <c r="CU27" i="1"/>
  <c r="AG60" i="2"/>
  <c r="DH26" i="1"/>
  <c r="AF60" i="2"/>
  <c r="DG26" i="1"/>
  <c r="AE60" i="2"/>
  <c r="DF26" i="1"/>
  <c r="AD60" i="2"/>
  <c r="DE26" i="1"/>
  <c r="AC60" i="2"/>
  <c r="DD26" i="1"/>
  <c r="B60" i="2"/>
  <c r="C60" i="2"/>
  <c r="AB60" i="2"/>
  <c r="DC26" i="1"/>
  <c r="AA60" i="2"/>
  <c r="DB26" i="1"/>
  <c r="Z60" i="2"/>
  <c r="DA26" i="1"/>
  <c r="Y60" i="2"/>
  <c r="CZ26" i="1"/>
  <c r="X60" i="2"/>
  <c r="CY26" i="1"/>
  <c r="W60" i="2"/>
  <c r="CX26" i="1"/>
  <c r="V60" i="2"/>
  <c r="CW26" i="1"/>
  <c r="U60" i="2"/>
  <c r="CV26" i="1"/>
  <c r="T60" i="2"/>
  <c r="CU26" i="1"/>
  <c r="B137" i="2"/>
  <c r="C137" i="2"/>
  <c r="G137" i="2"/>
  <c r="E137" i="2"/>
  <c r="I137" i="2"/>
  <c r="F137" i="2"/>
  <c r="D137" i="2"/>
  <c r="H137" i="2"/>
  <c r="B136" i="2"/>
  <c r="C136" i="2"/>
  <c r="G136" i="2"/>
  <c r="E136" i="2"/>
  <c r="I136" i="2"/>
  <c r="F136" i="2"/>
  <c r="D136" i="2"/>
  <c r="H136" i="2"/>
  <c r="B135" i="2"/>
  <c r="C135" i="2"/>
  <c r="G135" i="2"/>
  <c r="E135" i="2"/>
  <c r="I135" i="2"/>
  <c r="F135" i="2"/>
  <c r="D135" i="2"/>
  <c r="H135" i="2"/>
  <c r="B134" i="2"/>
  <c r="C134" i="2"/>
  <c r="G134" i="2"/>
  <c r="E134" i="2"/>
  <c r="I134" i="2"/>
  <c r="F134" i="2"/>
  <c r="D134" i="2"/>
  <c r="H134" i="2"/>
  <c r="B133" i="2"/>
  <c r="C133" i="2"/>
  <c r="G133" i="2"/>
  <c r="E133" i="2"/>
  <c r="I133" i="2"/>
  <c r="F133" i="2"/>
  <c r="D133" i="2"/>
  <c r="H133" i="2"/>
  <c r="A101" i="2"/>
  <c r="A137" i="2"/>
  <c r="A100" i="2"/>
  <c r="A136" i="2"/>
  <c r="A99" i="2"/>
  <c r="A135" i="2"/>
  <c r="A98" i="2"/>
  <c r="A134" i="2"/>
  <c r="A97" i="2"/>
  <c r="A133" i="2"/>
  <c r="T101" i="2"/>
  <c r="Z101" i="2"/>
  <c r="AD101" i="2"/>
  <c r="AC101" i="2"/>
  <c r="AB101" i="2"/>
  <c r="AA101" i="2"/>
  <c r="U101" i="2"/>
  <c r="Y101" i="2"/>
  <c r="X101" i="2"/>
  <c r="W101" i="2"/>
  <c r="V101" i="2"/>
  <c r="T100" i="2"/>
  <c r="Z100" i="2"/>
  <c r="AD100" i="2"/>
  <c r="AC100" i="2"/>
  <c r="AB100" i="2"/>
  <c r="AA100" i="2"/>
  <c r="U100" i="2"/>
  <c r="Y100" i="2"/>
  <c r="X100" i="2"/>
  <c r="W100" i="2"/>
  <c r="V100" i="2"/>
  <c r="T99" i="2"/>
  <c r="Z99" i="2"/>
  <c r="AD99" i="2"/>
  <c r="AC99" i="2"/>
  <c r="AB99" i="2"/>
  <c r="AA99" i="2"/>
  <c r="U99" i="2"/>
  <c r="Y99" i="2"/>
  <c r="X99" i="2"/>
  <c r="W99" i="2"/>
  <c r="V99" i="2"/>
  <c r="T98" i="2"/>
  <c r="Z98" i="2"/>
  <c r="AD98" i="2"/>
  <c r="AC98" i="2"/>
  <c r="AB98" i="2"/>
  <c r="AA98" i="2"/>
  <c r="U98" i="2"/>
  <c r="Y98" i="2"/>
  <c r="X98" i="2"/>
  <c r="W98" i="2"/>
  <c r="V98" i="2"/>
  <c r="T97" i="2"/>
  <c r="Z97" i="2"/>
  <c r="AD97" i="2"/>
  <c r="AC97" i="2"/>
  <c r="AB97" i="2"/>
  <c r="AA97" i="2"/>
  <c r="U97" i="2"/>
  <c r="Y97" i="2"/>
  <c r="X97" i="2"/>
  <c r="W97" i="2"/>
  <c r="V97" i="2"/>
  <c r="S66" i="2"/>
  <c r="D66" i="2"/>
  <c r="S65" i="2"/>
  <c r="D65" i="2"/>
  <c r="S64" i="2"/>
  <c r="D64" i="2"/>
  <c r="S63" i="2"/>
  <c r="D63" i="2"/>
  <c r="S62" i="2"/>
  <c r="K61" i="2"/>
  <c r="D62" i="2"/>
  <c r="A66" i="2"/>
  <c r="A65" i="2"/>
  <c r="A64" i="2"/>
  <c r="A63" i="2"/>
  <c r="A62" i="2"/>
  <c r="A31" i="2"/>
  <c r="A30" i="2"/>
  <c r="A29" i="2"/>
  <c r="A28" i="2"/>
  <c r="A27" i="2"/>
  <c r="M32" i="1"/>
  <c r="L32" i="1"/>
  <c r="M31" i="1"/>
  <c r="L31" i="1"/>
  <c r="M30" i="1"/>
  <c r="L30" i="1"/>
  <c r="M29" i="1"/>
  <c r="L29" i="1"/>
  <c r="R61" i="2"/>
  <c r="CM27" i="1"/>
  <c r="Q61" i="2"/>
  <c r="CL27" i="1"/>
  <c r="P61" i="2"/>
  <c r="CK27" i="1"/>
  <c r="O61" i="2"/>
  <c r="CJ27" i="1"/>
  <c r="N61" i="2"/>
  <c r="CI27" i="1"/>
  <c r="M61" i="2"/>
  <c r="CH27" i="1"/>
  <c r="L61" i="2"/>
  <c r="CG27" i="1"/>
  <c r="CF27" i="1"/>
  <c r="J61" i="2"/>
  <c r="CE27" i="1"/>
  <c r="I61" i="2"/>
  <c r="CD27" i="1"/>
  <c r="H61" i="2"/>
  <c r="CC27" i="1"/>
  <c r="G61" i="2"/>
  <c r="CB27" i="1"/>
  <c r="F61" i="2"/>
  <c r="CA27" i="1"/>
  <c r="E61" i="2"/>
  <c r="BZ27" i="1"/>
  <c r="AG26" i="2"/>
  <c r="BR27" i="1"/>
  <c r="AF26" i="2"/>
  <c r="BQ27" i="1"/>
  <c r="AE26" i="2"/>
  <c r="BP27" i="1"/>
  <c r="AD26" i="2"/>
  <c r="BO27" i="1"/>
  <c r="AC26" i="2"/>
  <c r="BN27" i="1"/>
  <c r="AB26" i="2"/>
  <c r="BM27" i="1"/>
  <c r="AA26" i="2"/>
  <c r="BL27" i="1"/>
  <c r="BK27" i="1"/>
  <c r="Y26" i="2"/>
  <c r="BJ27" i="1"/>
  <c r="X26" i="2"/>
  <c r="BI27" i="1"/>
  <c r="W26" i="2"/>
  <c r="BH27" i="1"/>
  <c r="V26" i="2"/>
  <c r="BG27" i="1"/>
  <c r="U26" i="2"/>
  <c r="BF27" i="1"/>
  <c r="T26" i="2"/>
  <c r="BE27" i="1"/>
  <c r="R26" i="2"/>
  <c r="AW27" i="1"/>
  <c r="Q26" i="2"/>
  <c r="AV27" i="1"/>
  <c r="P26" i="2"/>
  <c r="AU27" i="1"/>
  <c r="O26" i="2"/>
  <c r="AT27" i="1"/>
  <c r="N26" i="2"/>
  <c r="AS27" i="1"/>
  <c r="M26" i="2"/>
  <c r="AR27" i="1"/>
  <c r="L26" i="2"/>
  <c r="AQ27" i="1"/>
  <c r="AP27" i="1"/>
  <c r="J26" i="2"/>
  <c r="AO27" i="1"/>
  <c r="I26" i="2"/>
  <c r="AN27" i="1"/>
  <c r="H26" i="2"/>
  <c r="AM27" i="1"/>
  <c r="G26" i="2"/>
  <c r="AL27" i="1"/>
  <c r="F26" i="2"/>
  <c r="AK27" i="1"/>
  <c r="E26" i="2"/>
  <c r="AJ27" i="1"/>
  <c r="R60" i="2"/>
  <c r="CM26" i="1"/>
  <c r="Q60" i="2"/>
  <c r="CL26" i="1"/>
  <c r="P60" i="2"/>
  <c r="CK26" i="1"/>
  <c r="O60" i="2"/>
  <c r="CJ26" i="1"/>
  <c r="N60" i="2"/>
  <c r="CI26" i="1"/>
  <c r="M60" i="2"/>
  <c r="CH26" i="1"/>
  <c r="L60" i="2"/>
  <c r="CG26" i="1"/>
  <c r="K60" i="2"/>
  <c r="CF26" i="1"/>
  <c r="J60" i="2"/>
  <c r="CE26" i="1"/>
  <c r="I60" i="2"/>
  <c r="CD26" i="1"/>
  <c r="H60" i="2"/>
  <c r="CC26" i="1"/>
  <c r="G60" i="2"/>
  <c r="CB26" i="1"/>
  <c r="F60" i="2"/>
  <c r="CA26" i="1"/>
  <c r="E60" i="2"/>
  <c r="BZ26" i="1"/>
  <c r="AG25" i="2"/>
  <c r="BR26" i="1"/>
  <c r="AF25" i="2"/>
  <c r="BQ26" i="1"/>
  <c r="AE25" i="2"/>
  <c r="BP26" i="1"/>
  <c r="AD25" i="2"/>
  <c r="BO26" i="1"/>
  <c r="AC25" i="2"/>
  <c r="BN26" i="1"/>
  <c r="AB25" i="2"/>
  <c r="BM26" i="1"/>
  <c r="AA25" i="2"/>
  <c r="BL26" i="1"/>
  <c r="BK26" i="1"/>
  <c r="Y25" i="2"/>
  <c r="BJ26" i="1"/>
  <c r="X25" i="2"/>
  <c r="BI26" i="1"/>
  <c r="W25" i="2"/>
  <c r="BH26" i="1"/>
  <c r="V25" i="2"/>
  <c r="BG26" i="1"/>
  <c r="U25" i="2"/>
  <c r="BF26" i="1"/>
  <c r="T25" i="2"/>
  <c r="BE26" i="1"/>
  <c r="R25" i="2"/>
  <c r="AW26" i="1"/>
  <c r="Q25" i="2"/>
  <c r="AV26" i="1"/>
  <c r="P25" i="2"/>
  <c r="AU26" i="1"/>
  <c r="O25" i="2"/>
  <c r="AT26" i="1"/>
  <c r="N25" i="2"/>
  <c r="AS26" i="1"/>
  <c r="M25" i="2"/>
  <c r="AR26" i="1"/>
  <c r="L25" i="2"/>
  <c r="AQ26" i="1"/>
  <c r="AP26" i="1"/>
  <c r="J25" i="2"/>
  <c r="AO26" i="1"/>
  <c r="I25" i="2"/>
  <c r="AN26" i="1"/>
  <c r="H25" i="2"/>
  <c r="AM26" i="1"/>
  <c r="G25" i="2"/>
  <c r="AL26" i="1"/>
  <c r="F25" i="2"/>
  <c r="AK26" i="1"/>
  <c r="E25" i="2"/>
  <c r="AJ26" i="1"/>
  <c r="J96" i="2"/>
  <c r="K96" i="2"/>
  <c r="D96" i="2"/>
  <c r="G96" i="2"/>
  <c r="S96" i="2"/>
  <c r="AE27" i="1"/>
  <c r="E96" i="2"/>
  <c r="F96" i="2"/>
  <c r="R96" i="2"/>
  <c r="AD27" i="1"/>
  <c r="H96" i="2"/>
  <c r="I96" i="2"/>
  <c r="Q96" i="2"/>
  <c r="AC27" i="1"/>
  <c r="P96" i="2"/>
  <c r="AB27" i="1"/>
  <c r="J95" i="2"/>
  <c r="K95" i="2"/>
  <c r="D95" i="2"/>
  <c r="G95" i="2"/>
  <c r="S95" i="2"/>
  <c r="AE26" i="1"/>
  <c r="E95" i="2"/>
  <c r="F95" i="2"/>
  <c r="R95" i="2"/>
  <c r="AD26" i="1"/>
  <c r="H95" i="2"/>
  <c r="I95" i="2"/>
  <c r="Q95" i="2"/>
  <c r="AC26" i="1"/>
  <c r="P95" i="2"/>
  <c r="AB26" i="1"/>
  <c r="T96" i="2"/>
  <c r="T95" i="2"/>
  <c r="B132" i="2"/>
  <c r="C132" i="2"/>
  <c r="B131" i="2"/>
  <c r="C131" i="2"/>
  <c r="A96" i="2"/>
  <c r="A132" i="2"/>
  <c r="A95" i="2"/>
  <c r="A131" i="2"/>
  <c r="S61" i="2"/>
  <c r="D61" i="2"/>
  <c r="S60" i="2"/>
  <c r="D60" i="2"/>
  <c r="A61" i="2"/>
  <c r="A60" i="2"/>
  <c r="A26" i="2"/>
  <c r="A25" i="2"/>
  <c r="AG10" i="2"/>
  <c r="BR11" i="1"/>
  <c r="AF10" i="2"/>
  <c r="BQ11" i="1"/>
  <c r="AE10" i="2"/>
  <c r="BP11" i="1"/>
  <c r="AD10" i="2"/>
  <c r="BO11" i="1"/>
  <c r="AC10" i="2"/>
  <c r="BN11" i="1"/>
  <c r="AB10" i="2"/>
  <c r="BM11" i="1"/>
  <c r="AA10" i="2"/>
  <c r="BL11" i="1"/>
  <c r="Z10" i="2"/>
  <c r="BK11" i="1"/>
  <c r="Y10" i="2"/>
  <c r="BJ11" i="1"/>
  <c r="X10" i="2"/>
  <c r="BI11" i="1"/>
  <c r="W10" i="2"/>
  <c r="BH11" i="1"/>
  <c r="V10" i="2"/>
  <c r="BG11" i="1"/>
  <c r="U10" i="2"/>
  <c r="BF11" i="1"/>
  <c r="T10" i="2"/>
  <c r="BE11" i="1"/>
  <c r="D80" i="2"/>
  <c r="G80" i="2"/>
  <c r="J80" i="2"/>
  <c r="K80" i="2"/>
  <c r="S80" i="2"/>
  <c r="E80" i="2"/>
  <c r="F80" i="2"/>
  <c r="R80" i="2"/>
  <c r="H80" i="2"/>
  <c r="I80" i="2"/>
  <c r="Q80" i="2"/>
  <c r="P80" i="2"/>
  <c r="R10" i="2"/>
  <c r="AW11" i="1"/>
  <c r="Q10" i="2"/>
  <c r="AV11" i="1"/>
  <c r="P10" i="2"/>
  <c r="AU11" i="1"/>
  <c r="O10" i="2"/>
  <c r="AT11" i="1"/>
  <c r="N10" i="2"/>
  <c r="AS11" i="1"/>
  <c r="M10" i="2"/>
  <c r="AR11" i="1"/>
  <c r="L10" i="2"/>
  <c r="AQ11" i="1"/>
  <c r="K10" i="2"/>
  <c r="AP11" i="1"/>
  <c r="J10" i="2"/>
  <c r="AO11" i="1"/>
  <c r="I10" i="2"/>
  <c r="AN11" i="1"/>
  <c r="H10" i="2"/>
  <c r="AM11" i="1"/>
  <c r="G10" i="2"/>
  <c r="AL11" i="1"/>
  <c r="F10" i="2"/>
  <c r="AK11" i="1"/>
  <c r="E10" i="2"/>
  <c r="AJ11" i="1"/>
  <c r="AE11" i="1"/>
  <c r="AD11" i="1"/>
  <c r="AC11" i="1"/>
  <c r="AB11" i="1"/>
  <c r="O80" i="2"/>
  <c r="AA11" i="1"/>
  <c r="N80" i="2"/>
  <c r="Z11" i="1"/>
  <c r="M80" i="2"/>
  <c r="Y11" i="1"/>
  <c r="L80" i="2"/>
  <c r="X11" i="1"/>
  <c r="K9" i="2"/>
  <c r="Z9" i="2"/>
  <c r="O11" i="1"/>
  <c r="N11" i="1"/>
  <c r="B116" i="2"/>
  <c r="C116" i="2"/>
  <c r="G116" i="2"/>
  <c r="E116" i="2"/>
  <c r="I116" i="2"/>
  <c r="F116" i="2"/>
  <c r="D116" i="2"/>
  <c r="H116" i="2"/>
  <c r="A80" i="2"/>
  <c r="A116" i="2"/>
  <c r="T80" i="2"/>
  <c r="Z80" i="2"/>
  <c r="AD80" i="2"/>
  <c r="AC80" i="2"/>
  <c r="AB80" i="2"/>
  <c r="AA80" i="2"/>
  <c r="U80" i="2"/>
  <c r="Y80" i="2"/>
  <c r="X80" i="2"/>
  <c r="W80" i="2"/>
  <c r="V80" i="2"/>
  <c r="AG45" i="2"/>
  <c r="AF45" i="2"/>
  <c r="AE45" i="2"/>
  <c r="AD45" i="2"/>
  <c r="AC45" i="2"/>
  <c r="B45" i="2"/>
  <c r="C45" i="2"/>
  <c r="AB45" i="2"/>
  <c r="AA45" i="2"/>
  <c r="Z45" i="2"/>
  <c r="Y45" i="2"/>
  <c r="X45" i="2"/>
  <c r="W45" i="2"/>
  <c r="V45" i="2"/>
  <c r="U45" i="2"/>
  <c r="T45" i="2"/>
  <c r="K8" i="2"/>
  <c r="B44" i="2"/>
  <c r="Z8" i="2"/>
  <c r="C44" i="2"/>
  <c r="Z44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K44" i="2"/>
  <c r="D45" i="2"/>
  <c r="A45" i="2"/>
  <c r="A10" i="2"/>
  <c r="M11" i="1"/>
  <c r="L11" i="1"/>
  <c r="L21" i="1"/>
  <c r="L20" i="1"/>
  <c r="M14" i="1"/>
  <c r="M13" i="1"/>
  <c r="M19" i="1"/>
  <c r="M18" i="1"/>
  <c r="L16" i="1"/>
  <c r="L15" i="1"/>
  <c r="M17" i="1"/>
  <c r="L17" i="1"/>
  <c r="M12" i="1"/>
  <c r="L12" i="1"/>
  <c r="M4" i="1"/>
  <c r="L4" i="1"/>
  <c r="M3" i="1"/>
  <c r="L3" i="1"/>
  <c r="AJ3" i="1"/>
  <c r="BF3" i="1"/>
  <c r="AG58" i="2"/>
  <c r="DH24" i="1"/>
  <c r="AF58" i="2"/>
  <c r="DG24" i="1"/>
  <c r="AE58" i="2"/>
  <c r="DF24" i="1"/>
  <c r="AD58" i="2"/>
  <c r="DE24" i="1"/>
  <c r="AC58" i="2"/>
  <c r="DD24" i="1"/>
  <c r="AB58" i="2"/>
  <c r="DC24" i="1"/>
  <c r="AA58" i="2"/>
  <c r="DB24" i="1"/>
  <c r="DA24" i="1"/>
  <c r="Y58" i="2"/>
  <c r="CZ24" i="1"/>
  <c r="X58" i="2"/>
  <c r="CY24" i="1"/>
  <c r="W58" i="2"/>
  <c r="CX24" i="1"/>
  <c r="V58" i="2"/>
  <c r="CW24" i="1"/>
  <c r="U58" i="2"/>
  <c r="CV24" i="1"/>
  <c r="T58" i="2"/>
  <c r="CU24" i="1"/>
  <c r="AG57" i="2"/>
  <c r="DH23" i="1"/>
  <c r="AF57" i="2"/>
  <c r="DG23" i="1"/>
  <c r="AE57" i="2"/>
  <c r="DF23" i="1"/>
  <c r="AD57" i="2"/>
  <c r="DE23" i="1"/>
  <c r="AC57" i="2"/>
  <c r="DD23" i="1"/>
  <c r="K21" i="2"/>
  <c r="B57" i="2"/>
  <c r="Z21" i="2"/>
  <c r="C57" i="2"/>
  <c r="AB57" i="2"/>
  <c r="DC23" i="1"/>
  <c r="AA57" i="2"/>
  <c r="DB23" i="1"/>
  <c r="Z57" i="2"/>
  <c r="DA23" i="1"/>
  <c r="Y57" i="2"/>
  <c r="CZ23" i="1"/>
  <c r="X57" i="2"/>
  <c r="CY23" i="1"/>
  <c r="W57" i="2"/>
  <c r="CX23" i="1"/>
  <c r="V57" i="2"/>
  <c r="CW23" i="1"/>
  <c r="U57" i="2"/>
  <c r="CV23" i="1"/>
  <c r="T57" i="2"/>
  <c r="CU23" i="1"/>
  <c r="AG56" i="2"/>
  <c r="DH22" i="1"/>
  <c r="AF56" i="2"/>
  <c r="DG22" i="1"/>
  <c r="AE56" i="2"/>
  <c r="DF22" i="1"/>
  <c r="AD56" i="2"/>
  <c r="DE22" i="1"/>
  <c r="AC56" i="2"/>
  <c r="DD22" i="1"/>
  <c r="K20" i="2"/>
  <c r="B56" i="2"/>
  <c r="Z20" i="2"/>
  <c r="C56" i="2"/>
  <c r="AB56" i="2"/>
  <c r="DC22" i="1"/>
  <c r="AA56" i="2"/>
  <c r="DB22" i="1"/>
  <c r="Z56" i="2"/>
  <c r="DA22" i="1"/>
  <c r="Y56" i="2"/>
  <c r="CZ22" i="1"/>
  <c r="X56" i="2"/>
  <c r="CY22" i="1"/>
  <c r="W56" i="2"/>
  <c r="CX22" i="1"/>
  <c r="V56" i="2"/>
  <c r="CW22" i="1"/>
  <c r="U56" i="2"/>
  <c r="CV22" i="1"/>
  <c r="T56" i="2"/>
  <c r="CU22" i="1"/>
  <c r="AG55" i="2"/>
  <c r="DH21" i="1"/>
  <c r="AF55" i="2"/>
  <c r="DG21" i="1"/>
  <c r="AE55" i="2"/>
  <c r="DF21" i="1"/>
  <c r="AD55" i="2"/>
  <c r="DE21" i="1"/>
  <c r="AC55" i="2"/>
  <c r="DD21" i="1"/>
  <c r="K19" i="2"/>
  <c r="B55" i="2"/>
  <c r="Z19" i="2"/>
  <c r="C55" i="2"/>
  <c r="AB55" i="2"/>
  <c r="DC21" i="1"/>
  <c r="AA55" i="2"/>
  <c r="DB21" i="1"/>
  <c r="Z55" i="2"/>
  <c r="DA21" i="1"/>
  <c r="Y55" i="2"/>
  <c r="CZ21" i="1"/>
  <c r="X55" i="2"/>
  <c r="CY21" i="1"/>
  <c r="W55" i="2"/>
  <c r="CX21" i="1"/>
  <c r="V55" i="2"/>
  <c r="CW21" i="1"/>
  <c r="U55" i="2"/>
  <c r="CV21" i="1"/>
  <c r="T55" i="2"/>
  <c r="CU21" i="1"/>
  <c r="AG54" i="2"/>
  <c r="DH20" i="1"/>
  <c r="AF54" i="2"/>
  <c r="DG20" i="1"/>
  <c r="AE54" i="2"/>
  <c r="DF20" i="1"/>
  <c r="AD54" i="2"/>
  <c r="DE20" i="1"/>
  <c r="AC54" i="2"/>
  <c r="DD20" i="1"/>
  <c r="K18" i="2"/>
  <c r="B54" i="2"/>
  <c r="Z18" i="2"/>
  <c r="C54" i="2"/>
  <c r="AB54" i="2"/>
  <c r="DC20" i="1"/>
  <c r="AA54" i="2"/>
  <c r="DB20" i="1"/>
  <c r="Z54" i="2"/>
  <c r="DA20" i="1"/>
  <c r="Y54" i="2"/>
  <c r="CZ20" i="1"/>
  <c r="X54" i="2"/>
  <c r="CY20" i="1"/>
  <c r="W54" i="2"/>
  <c r="CX20" i="1"/>
  <c r="V54" i="2"/>
  <c r="CW20" i="1"/>
  <c r="U54" i="2"/>
  <c r="CV20" i="1"/>
  <c r="T54" i="2"/>
  <c r="CU20" i="1"/>
  <c r="AG53" i="2"/>
  <c r="DH19" i="1"/>
  <c r="AF53" i="2"/>
  <c r="DG19" i="1"/>
  <c r="AE53" i="2"/>
  <c r="DF19" i="1"/>
  <c r="AD53" i="2"/>
  <c r="DE19" i="1"/>
  <c r="AC53" i="2"/>
  <c r="DD19" i="1"/>
  <c r="K17" i="2"/>
  <c r="B53" i="2"/>
  <c r="Z17" i="2"/>
  <c r="C53" i="2"/>
  <c r="AB53" i="2"/>
  <c r="DC19" i="1"/>
  <c r="AA53" i="2"/>
  <c r="DB19" i="1"/>
  <c r="Z53" i="2"/>
  <c r="DA19" i="1"/>
  <c r="Y53" i="2"/>
  <c r="CZ19" i="1"/>
  <c r="X53" i="2"/>
  <c r="CY19" i="1"/>
  <c r="W53" i="2"/>
  <c r="CX19" i="1"/>
  <c r="V53" i="2"/>
  <c r="CW19" i="1"/>
  <c r="U53" i="2"/>
  <c r="CV19" i="1"/>
  <c r="T53" i="2"/>
  <c r="CU19" i="1"/>
  <c r="AG52" i="2"/>
  <c r="DH18" i="1"/>
  <c r="AF52" i="2"/>
  <c r="DG18" i="1"/>
  <c r="AE52" i="2"/>
  <c r="DF18" i="1"/>
  <c r="AD52" i="2"/>
  <c r="DE18" i="1"/>
  <c r="AC52" i="2"/>
  <c r="DD18" i="1"/>
  <c r="K16" i="2"/>
  <c r="B52" i="2"/>
  <c r="Z16" i="2"/>
  <c r="C52" i="2"/>
  <c r="AB52" i="2"/>
  <c r="DC18" i="1"/>
  <c r="AA52" i="2"/>
  <c r="DB18" i="1"/>
  <c r="Z52" i="2"/>
  <c r="DA18" i="1"/>
  <c r="Y52" i="2"/>
  <c r="CZ18" i="1"/>
  <c r="X52" i="2"/>
  <c r="CY18" i="1"/>
  <c r="W52" i="2"/>
  <c r="CX18" i="1"/>
  <c r="V52" i="2"/>
  <c r="CW18" i="1"/>
  <c r="U52" i="2"/>
  <c r="CV18" i="1"/>
  <c r="T52" i="2"/>
  <c r="CU18" i="1"/>
  <c r="AG51" i="2"/>
  <c r="DH17" i="1"/>
  <c r="AF51" i="2"/>
  <c r="DG17" i="1"/>
  <c r="AE51" i="2"/>
  <c r="DF17" i="1"/>
  <c r="AD51" i="2"/>
  <c r="DE17" i="1"/>
  <c r="AC51" i="2"/>
  <c r="DD17" i="1"/>
  <c r="K15" i="2"/>
  <c r="B51" i="2"/>
  <c r="Z15" i="2"/>
  <c r="C51" i="2"/>
  <c r="AB51" i="2"/>
  <c r="DC17" i="1"/>
  <c r="AA51" i="2"/>
  <c r="DB17" i="1"/>
  <c r="Z51" i="2"/>
  <c r="DA17" i="1"/>
  <c r="Y51" i="2"/>
  <c r="CZ17" i="1"/>
  <c r="X51" i="2"/>
  <c r="CY17" i="1"/>
  <c r="W51" i="2"/>
  <c r="CX17" i="1"/>
  <c r="V51" i="2"/>
  <c r="CW17" i="1"/>
  <c r="U51" i="2"/>
  <c r="CV17" i="1"/>
  <c r="T51" i="2"/>
  <c r="CU17" i="1"/>
  <c r="AG50" i="2"/>
  <c r="DH16" i="1"/>
  <c r="AF50" i="2"/>
  <c r="DG16" i="1"/>
  <c r="AE50" i="2"/>
  <c r="DF16" i="1"/>
  <c r="AD50" i="2"/>
  <c r="DE16" i="1"/>
  <c r="AC50" i="2"/>
  <c r="DD16" i="1"/>
  <c r="K14" i="2"/>
  <c r="B50" i="2"/>
  <c r="Z14" i="2"/>
  <c r="C50" i="2"/>
  <c r="AB50" i="2"/>
  <c r="DC16" i="1"/>
  <c r="AA50" i="2"/>
  <c r="DB16" i="1"/>
  <c r="Z50" i="2"/>
  <c r="DA16" i="1"/>
  <c r="Y50" i="2"/>
  <c r="CZ16" i="1"/>
  <c r="X50" i="2"/>
  <c r="CY16" i="1"/>
  <c r="W50" i="2"/>
  <c r="CX16" i="1"/>
  <c r="V50" i="2"/>
  <c r="CW16" i="1"/>
  <c r="U50" i="2"/>
  <c r="CV16" i="1"/>
  <c r="T50" i="2"/>
  <c r="CU16" i="1"/>
  <c r="AG49" i="2"/>
  <c r="DH15" i="1"/>
  <c r="AF49" i="2"/>
  <c r="DG15" i="1"/>
  <c r="AE49" i="2"/>
  <c r="DF15" i="1"/>
  <c r="AD49" i="2"/>
  <c r="DE15" i="1"/>
  <c r="AC49" i="2"/>
  <c r="DD15" i="1"/>
  <c r="K13" i="2"/>
  <c r="B49" i="2"/>
  <c r="Z13" i="2"/>
  <c r="C49" i="2"/>
  <c r="AB49" i="2"/>
  <c r="DC15" i="1"/>
  <c r="AA49" i="2"/>
  <c r="DB15" i="1"/>
  <c r="Z49" i="2"/>
  <c r="DA15" i="1"/>
  <c r="Y49" i="2"/>
  <c r="CZ15" i="1"/>
  <c r="X49" i="2"/>
  <c r="CY15" i="1"/>
  <c r="W49" i="2"/>
  <c r="CX15" i="1"/>
  <c r="V49" i="2"/>
  <c r="CW15" i="1"/>
  <c r="U49" i="2"/>
  <c r="CV15" i="1"/>
  <c r="T49" i="2"/>
  <c r="CU15" i="1"/>
  <c r="AG48" i="2"/>
  <c r="DH14" i="1"/>
  <c r="AF48" i="2"/>
  <c r="DG14" i="1"/>
  <c r="AE48" i="2"/>
  <c r="DF14" i="1"/>
  <c r="AD48" i="2"/>
  <c r="DE14" i="1"/>
  <c r="AC48" i="2"/>
  <c r="DD14" i="1"/>
  <c r="K12" i="2"/>
  <c r="B48" i="2"/>
  <c r="Z12" i="2"/>
  <c r="C48" i="2"/>
  <c r="AB48" i="2"/>
  <c r="DC14" i="1"/>
  <c r="AA48" i="2"/>
  <c r="DB14" i="1"/>
  <c r="Z48" i="2"/>
  <c r="DA14" i="1"/>
  <c r="Y48" i="2"/>
  <c r="CZ14" i="1"/>
  <c r="X48" i="2"/>
  <c r="CY14" i="1"/>
  <c r="W48" i="2"/>
  <c r="CX14" i="1"/>
  <c r="V48" i="2"/>
  <c r="CW14" i="1"/>
  <c r="U48" i="2"/>
  <c r="CV14" i="1"/>
  <c r="T48" i="2"/>
  <c r="CU14" i="1"/>
  <c r="AG47" i="2"/>
  <c r="DH13" i="1"/>
  <c r="AF47" i="2"/>
  <c r="DG13" i="1"/>
  <c r="AE47" i="2"/>
  <c r="DF13" i="1"/>
  <c r="AD47" i="2"/>
  <c r="DE13" i="1"/>
  <c r="AC47" i="2"/>
  <c r="DD13" i="1"/>
  <c r="K11" i="2"/>
  <c r="B47" i="2"/>
  <c r="Z11" i="2"/>
  <c r="C47" i="2"/>
  <c r="AB47" i="2"/>
  <c r="DC13" i="1"/>
  <c r="AA47" i="2"/>
  <c r="DB13" i="1"/>
  <c r="Z47" i="2"/>
  <c r="DA13" i="1"/>
  <c r="Y47" i="2"/>
  <c r="CZ13" i="1"/>
  <c r="X47" i="2"/>
  <c r="CY13" i="1"/>
  <c r="W47" i="2"/>
  <c r="CX13" i="1"/>
  <c r="V47" i="2"/>
  <c r="CW13" i="1"/>
  <c r="U47" i="2"/>
  <c r="CV13" i="1"/>
  <c r="T47" i="2"/>
  <c r="CU13" i="1"/>
  <c r="AG46" i="2"/>
  <c r="DH12" i="1"/>
  <c r="AF46" i="2"/>
  <c r="DG12" i="1"/>
  <c r="AE46" i="2"/>
  <c r="DF12" i="1"/>
  <c r="AD46" i="2"/>
  <c r="DE12" i="1"/>
  <c r="AC46" i="2"/>
  <c r="DD12" i="1"/>
  <c r="B46" i="2"/>
  <c r="C46" i="2"/>
  <c r="AB46" i="2"/>
  <c r="DC12" i="1"/>
  <c r="AA46" i="2"/>
  <c r="DB12" i="1"/>
  <c r="Z46" i="2"/>
  <c r="DA12" i="1"/>
  <c r="Y46" i="2"/>
  <c r="CZ12" i="1"/>
  <c r="X46" i="2"/>
  <c r="CY12" i="1"/>
  <c r="W46" i="2"/>
  <c r="CX12" i="1"/>
  <c r="V46" i="2"/>
  <c r="CW12" i="1"/>
  <c r="U46" i="2"/>
  <c r="CV12" i="1"/>
  <c r="T46" i="2"/>
  <c r="CU12" i="1"/>
  <c r="AG44" i="2"/>
  <c r="DH10" i="1"/>
  <c r="AF44" i="2"/>
  <c r="DG10" i="1"/>
  <c r="AE44" i="2"/>
  <c r="DF10" i="1"/>
  <c r="AD44" i="2"/>
  <c r="DE10" i="1"/>
  <c r="AC44" i="2"/>
  <c r="DD10" i="1"/>
  <c r="AB44" i="2"/>
  <c r="DC10" i="1"/>
  <c r="AA44" i="2"/>
  <c r="DB10" i="1"/>
  <c r="DA10" i="1"/>
  <c r="Y44" i="2"/>
  <c r="CZ10" i="1"/>
  <c r="X44" i="2"/>
  <c r="CY10" i="1"/>
  <c r="W44" i="2"/>
  <c r="CX10" i="1"/>
  <c r="V44" i="2"/>
  <c r="CW10" i="1"/>
  <c r="U44" i="2"/>
  <c r="CV10" i="1"/>
  <c r="T44" i="2"/>
  <c r="CU10" i="1"/>
  <c r="AG43" i="2"/>
  <c r="DH9" i="1"/>
  <c r="AF43" i="2"/>
  <c r="DG9" i="1"/>
  <c r="AE43" i="2"/>
  <c r="DF9" i="1"/>
  <c r="AD43" i="2"/>
  <c r="DE9" i="1"/>
  <c r="AC43" i="2"/>
  <c r="DD9" i="1"/>
  <c r="K7" i="2"/>
  <c r="B43" i="2"/>
  <c r="Z7" i="2"/>
  <c r="C43" i="2"/>
  <c r="AB43" i="2"/>
  <c r="DC9" i="1"/>
  <c r="AA43" i="2"/>
  <c r="DB9" i="1"/>
  <c r="Z43" i="2"/>
  <c r="DA9" i="1"/>
  <c r="Y43" i="2"/>
  <c r="CZ9" i="1"/>
  <c r="X43" i="2"/>
  <c r="CY9" i="1"/>
  <c r="W43" i="2"/>
  <c r="CX9" i="1"/>
  <c r="V43" i="2"/>
  <c r="CW9" i="1"/>
  <c r="U43" i="2"/>
  <c r="CV9" i="1"/>
  <c r="T43" i="2"/>
  <c r="CU9" i="1"/>
  <c r="AG42" i="2"/>
  <c r="DH8" i="1"/>
  <c r="AF42" i="2"/>
  <c r="DG8" i="1"/>
  <c r="AE42" i="2"/>
  <c r="DF8" i="1"/>
  <c r="AD42" i="2"/>
  <c r="DE8" i="1"/>
  <c r="AC42" i="2"/>
  <c r="DD8" i="1"/>
  <c r="K6" i="2"/>
  <c r="B42" i="2"/>
  <c r="Z6" i="2"/>
  <c r="C42" i="2"/>
  <c r="AB42" i="2"/>
  <c r="DC8" i="1"/>
  <c r="AA42" i="2"/>
  <c r="DB8" i="1"/>
  <c r="Z42" i="2"/>
  <c r="DA8" i="1"/>
  <c r="Y42" i="2"/>
  <c r="CZ8" i="1"/>
  <c r="X42" i="2"/>
  <c r="CY8" i="1"/>
  <c r="W42" i="2"/>
  <c r="CX8" i="1"/>
  <c r="V42" i="2"/>
  <c r="CW8" i="1"/>
  <c r="U42" i="2"/>
  <c r="CV8" i="1"/>
  <c r="T42" i="2"/>
  <c r="CU8" i="1"/>
  <c r="AG41" i="2"/>
  <c r="DH7" i="1"/>
  <c r="AF41" i="2"/>
  <c r="DG7" i="1"/>
  <c r="AE41" i="2"/>
  <c r="DF7" i="1"/>
  <c r="AD41" i="2"/>
  <c r="DE7" i="1"/>
  <c r="AC41" i="2"/>
  <c r="DD7" i="1"/>
  <c r="K5" i="2"/>
  <c r="B41" i="2"/>
  <c r="Z5" i="2"/>
  <c r="C41" i="2"/>
  <c r="AB41" i="2"/>
  <c r="DC7" i="1"/>
  <c r="AA41" i="2"/>
  <c r="DB7" i="1"/>
  <c r="Z41" i="2"/>
  <c r="DA7" i="1"/>
  <c r="Y41" i="2"/>
  <c r="CZ7" i="1"/>
  <c r="X41" i="2"/>
  <c r="CY7" i="1"/>
  <c r="W41" i="2"/>
  <c r="CX7" i="1"/>
  <c r="V41" i="2"/>
  <c r="CW7" i="1"/>
  <c r="U41" i="2"/>
  <c r="CV7" i="1"/>
  <c r="T41" i="2"/>
  <c r="CU7" i="1"/>
  <c r="AG40" i="2"/>
  <c r="DH6" i="1"/>
  <c r="AF40" i="2"/>
  <c r="DG6" i="1"/>
  <c r="AE40" i="2"/>
  <c r="DF6" i="1"/>
  <c r="AD40" i="2"/>
  <c r="DE6" i="1"/>
  <c r="AC40" i="2"/>
  <c r="DD6" i="1"/>
  <c r="K4" i="2"/>
  <c r="B40" i="2"/>
  <c r="Z4" i="2"/>
  <c r="C40" i="2"/>
  <c r="AB40" i="2"/>
  <c r="DC6" i="1"/>
  <c r="AA40" i="2"/>
  <c r="DB6" i="1"/>
  <c r="Z40" i="2"/>
  <c r="DA6" i="1"/>
  <c r="Y40" i="2"/>
  <c r="CZ6" i="1"/>
  <c r="X40" i="2"/>
  <c r="CY6" i="1"/>
  <c r="W40" i="2"/>
  <c r="CX6" i="1"/>
  <c r="V40" i="2"/>
  <c r="CW6" i="1"/>
  <c r="U40" i="2"/>
  <c r="CV6" i="1"/>
  <c r="T40" i="2"/>
  <c r="CU6" i="1"/>
  <c r="AG39" i="2"/>
  <c r="DH5" i="1"/>
  <c r="AF39" i="2"/>
  <c r="DG5" i="1"/>
  <c r="AE39" i="2"/>
  <c r="DF5" i="1"/>
  <c r="AD39" i="2"/>
  <c r="DE5" i="1"/>
  <c r="AC39" i="2"/>
  <c r="DD5" i="1"/>
  <c r="B39" i="2"/>
  <c r="C39" i="2"/>
  <c r="AB39" i="2"/>
  <c r="DC5" i="1"/>
  <c r="AA39" i="2"/>
  <c r="DB5" i="1"/>
  <c r="Z39" i="2"/>
  <c r="DA5" i="1"/>
  <c r="Y39" i="2"/>
  <c r="CZ5" i="1"/>
  <c r="X39" i="2"/>
  <c r="CY5" i="1"/>
  <c r="W39" i="2"/>
  <c r="CX5" i="1"/>
  <c r="V39" i="2"/>
  <c r="CW5" i="1"/>
  <c r="U39" i="2"/>
  <c r="CV5" i="1"/>
  <c r="T39" i="2"/>
  <c r="CU5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R58" i="2"/>
  <c r="CM24" i="1"/>
  <c r="Q58" i="2"/>
  <c r="CL24" i="1"/>
  <c r="P58" i="2"/>
  <c r="CK24" i="1"/>
  <c r="O58" i="2"/>
  <c r="CJ24" i="1"/>
  <c r="N58" i="2"/>
  <c r="CI24" i="1"/>
  <c r="M58" i="2"/>
  <c r="CH24" i="1"/>
  <c r="L58" i="2"/>
  <c r="CG24" i="1"/>
  <c r="CF24" i="1"/>
  <c r="J58" i="2"/>
  <c r="CE24" i="1"/>
  <c r="I58" i="2"/>
  <c r="CD24" i="1"/>
  <c r="H58" i="2"/>
  <c r="CC24" i="1"/>
  <c r="G58" i="2"/>
  <c r="CB24" i="1"/>
  <c r="F58" i="2"/>
  <c r="CA24" i="1"/>
  <c r="E58" i="2"/>
  <c r="BZ24" i="1"/>
  <c r="R57" i="2"/>
  <c r="CM23" i="1"/>
  <c r="Q57" i="2"/>
  <c r="CL23" i="1"/>
  <c r="P57" i="2"/>
  <c r="CK23" i="1"/>
  <c r="O57" i="2"/>
  <c r="CJ23" i="1"/>
  <c r="N57" i="2"/>
  <c r="CI23" i="1"/>
  <c r="M57" i="2"/>
  <c r="CH23" i="1"/>
  <c r="L57" i="2"/>
  <c r="CG23" i="1"/>
  <c r="K57" i="2"/>
  <c r="CF23" i="1"/>
  <c r="J57" i="2"/>
  <c r="CE23" i="1"/>
  <c r="I57" i="2"/>
  <c r="CD23" i="1"/>
  <c r="H57" i="2"/>
  <c r="CC23" i="1"/>
  <c r="G57" i="2"/>
  <c r="CB23" i="1"/>
  <c r="F57" i="2"/>
  <c r="CA23" i="1"/>
  <c r="E57" i="2"/>
  <c r="BZ23" i="1"/>
  <c r="R56" i="2"/>
  <c r="CM22" i="1"/>
  <c r="Q56" i="2"/>
  <c r="CL22" i="1"/>
  <c r="P56" i="2"/>
  <c r="CK22" i="1"/>
  <c r="O56" i="2"/>
  <c r="CJ22" i="1"/>
  <c r="N56" i="2"/>
  <c r="CI22" i="1"/>
  <c r="M56" i="2"/>
  <c r="CH22" i="1"/>
  <c r="L56" i="2"/>
  <c r="CG22" i="1"/>
  <c r="K56" i="2"/>
  <c r="CF22" i="1"/>
  <c r="J56" i="2"/>
  <c r="CE22" i="1"/>
  <c r="I56" i="2"/>
  <c r="CD22" i="1"/>
  <c r="H56" i="2"/>
  <c r="CC22" i="1"/>
  <c r="G56" i="2"/>
  <c r="CB22" i="1"/>
  <c r="F56" i="2"/>
  <c r="CA22" i="1"/>
  <c r="E56" i="2"/>
  <c r="BZ22" i="1"/>
  <c r="R55" i="2"/>
  <c r="CM21" i="1"/>
  <c r="Q55" i="2"/>
  <c r="CL21" i="1"/>
  <c r="P55" i="2"/>
  <c r="CK21" i="1"/>
  <c r="O55" i="2"/>
  <c r="CJ21" i="1"/>
  <c r="N55" i="2"/>
  <c r="CI21" i="1"/>
  <c r="M55" i="2"/>
  <c r="CH21" i="1"/>
  <c r="L55" i="2"/>
  <c r="CG21" i="1"/>
  <c r="K55" i="2"/>
  <c r="CF21" i="1"/>
  <c r="J55" i="2"/>
  <c r="CE21" i="1"/>
  <c r="I55" i="2"/>
  <c r="CD21" i="1"/>
  <c r="H55" i="2"/>
  <c r="CC21" i="1"/>
  <c r="G55" i="2"/>
  <c r="CB21" i="1"/>
  <c r="F55" i="2"/>
  <c r="CA21" i="1"/>
  <c r="E55" i="2"/>
  <c r="BZ21" i="1"/>
  <c r="R54" i="2"/>
  <c r="CM20" i="1"/>
  <c r="Q54" i="2"/>
  <c r="CL20" i="1"/>
  <c r="P54" i="2"/>
  <c r="CK20" i="1"/>
  <c r="O54" i="2"/>
  <c r="CJ20" i="1"/>
  <c r="N54" i="2"/>
  <c r="CI20" i="1"/>
  <c r="M54" i="2"/>
  <c r="CH20" i="1"/>
  <c r="L54" i="2"/>
  <c r="CG20" i="1"/>
  <c r="K54" i="2"/>
  <c r="CF20" i="1"/>
  <c r="J54" i="2"/>
  <c r="CE20" i="1"/>
  <c r="I54" i="2"/>
  <c r="CD20" i="1"/>
  <c r="H54" i="2"/>
  <c r="CC20" i="1"/>
  <c r="G54" i="2"/>
  <c r="CB20" i="1"/>
  <c r="F54" i="2"/>
  <c r="CA20" i="1"/>
  <c r="E54" i="2"/>
  <c r="BZ20" i="1"/>
  <c r="R53" i="2"/>
  <c r="CM19" i="1"/>
  <c r="Q53" i="2"/>
  <c r="CL19" i="1"/>
  <c r="P53" i="2"/>
  <c r="CK19" i="1"/>
  <c r="O53" i="2"/>
  <c r="CJ19" i="1"/>
  <c r="N53" i="2"/>
  <c r="CI19" i="1"/>
  <c r="M53" i="2"/>
  <c r="CH19" i="1"/>
  <c r="L53" i="2"/>
  <c r="CG19" i="1"/>
  <c r="K53" i="2"/>
  <c r="CF19" i="1"/>
  <c r="J53" i="2"/>
  <c r="CE19" i="1"/>
  <c r="I53" i="2"/>
  <c r="CD19" i="1"/>
  <c r="H53" i="2"/>
  <c r="CC19" i="1"/>
  <c r="G53" i="2"/>
  <c r="CB19" i="1"/>
  <c r="F53" i="2"/>
  <c r="CA19" i="1"/>
  <c r="E53" i="2"/>
  <c r="BZ19" i="1"/>
  <c r="R52" i="2"/>
  <c r="CM18" i="1"/>
  <c r="Q52" i="2"/>
  <c r="CL18" i="1"/>
  <c r="P52" i="2"/>
  <c r="CK18" i="1"/>
  <c r="O52" i="2"/>
  <c r="CJ18" i="1"/>
  <c r="N52" i="2"/>
  <c r="CI18" i="1"/>
  <c r="M52" i="2"/>
  <c r="CH18" i="1"/>
  <c r="L52" i="2"/>
  <c r="CG18" i="1"/>
  <c r="K52" i="2"/>
  <c r="CF18" i="1"/>
  <c r="J52" i="2"/>
  <c r="CE18" i="1"/>
  <c r="I52" i="2"/>
  <c r="CD18" i="1"/>
  <c r="H52" i="2"/>
  <c r="CC18" i="1"/>
  <c r="G52" i="2"/>
  <c r="CB18" i="1"/>
  <c r="F52" i="2"/>
  <c r="CA18" i="1"/>
  <c r="E52" i="2"/>
  <c r="BZ18" i="1"/>
  <c r="R51" i="2"/>
  <c r="CM17" i="1"/>
  <c r="Q51" i="2"/>
  <c r="CL17" i="1"/>
  <c r="P51" i="2"/>
  <c r="CK17" i="1"/>
  <c r="O51" i="2"/>
  <c r="CJ17" i="1"/>
  <c r="N51" i="2"/>
  <c r="CI17" i="1"/>
  <c r="M51" i="2"/>
  <c r="CH17" i="1"/>
  <c r="L51" i="2"/>
  <c r="CG17" i="1"/>
  <c r="K51" i="2"/>
  <c r="CF17" i="1"/>
  <c r="J51" i="2"/>
  <c r="CE17" i="1"/>
  <c r="I51" i="2"/>
  <c r="CD17" i="1"/>
  <c r="H51" i="2"/>
  <c r="CC17" i="1"/>
  <c r="G51" i="2"/>
  <c r="CB17" i="1"/>
  <c r="F51" i="2"/>
  <c r="CA17" i="1"/>
  <c r="E51" i="2"/>
  <c r="BZ17" i="1"/>
  <c r="R50" i="2"/>
  <c r="CM16" i="1"/>
  <c r="Q50" i="2"/>
  <c r="CL16" i="1"/>
  <c r="P50" i="2"/>
  <c r="CK16" i="1"/>
  <c r="O50" i="2"/>
  <c r="CJ16" i="1"/>
  <c r="N50" i="2"/>
  <c r="CI16" i="1"/>
  <c r="M50" i="2"/>
  <c r="CH16" i="1"/>
  <c r="L50" i="2"/>
  <c r="CG16" i="1"/>
  <c r="K50" i="2"/>
  <c r="CF16" i="1"/>
  <c r="J50" i="2"/>
  <c r="CE16" i="1"/>
  <c r="I50" i="2"/>
  <c r="CD16" i="1"/>
  <c r="H50" i="2"/>
  <c r="CC16" i="1"/>
  <c r="G50" i="2"/>
  <c r="CB16" i="1"/>
  <c r="F50" i="2"/>
  <c r="CA16" i="1"/>
  <c r="E50" i="2"/>
  <c r="BZ16" i="1"/>
  <c r="R49" i="2"/>
  <c r="CM15" i="1"/>
  <c r="Q49" i="2"/>
  <c r="CL15" i="1"/>
  <c r="P49" i="2"/>
  <c r="CK15" i="1"/>
  <c r="O49" i="2"/>
  <c r="CJ15" i="1"/>
  <c r="N49" i="2"/>
  <c r="CI15" i="1"/>
  <c r="M49" i="2"/>
  <c r="CH15" i="1"/>
  <c r="L49" i="2"/>
  <c r="CG15" i="1"/>
  <c r="K49" i="2"/>
  <c r="CF15" i="1"/>
  <c r="J49" i="2"/>
  <c r="CE15" i="1"/>
  <c r="I49" i="2"/>
  <c r="CD15" i="1"/>
  <c r="H49" i="2"/>
  <c r="CC15" i="1"/>
  <c r="G49" i="2"/>
  <c r="CB15" i="1"/>
  <c r="F49" i="2"/>
  <c r="CA15" i="1"/>
  <c r="E49" i="2"/>
  <c r="BZ15" i="1"/>
  <c r="R48" i="2"/>
  <c r="CM14" i="1"/>
  <c r="Q48" i="2"/>
  <c r="CL14" i="1"/>
  <c r="P48" i="2"/>
  <c r="CK14" i="1"/>
  <c r="O48" i="2"/>
  <c r="CJ14" i="1"/>
  <c r="N48" i="2"/>
  <c r="CI14" i="1"/>
  <c r="M48" i="2"/>
  <c r="CH14" i="1"/>
  <c r="L48" i="2"/>
  <c r="CG14" i="1"/>
  <c r="K48" i="2"/>
  <c r="CF14" i="1"/>
  <c r="J48" i="2"/>
  <c r="CE14" i="1"/>
  <c r="I48" i="2"/>
  <c r="CD14" i="1"/>
  <c r="H48" i="2"/>
  <c r="CC14" i="1"/>
  <c r="G48" i="2"/>
  <c r="CB14" i="1"/>
  <c r="F48" i="2"/>
  <c r="CA14" i="1"/>
  <c r="E48" i="2"/>
  <c r="BZ14" i="1"/>
  <c r="R47" i="2"/>
  <c r="CM13" i="1"/>
  <c r="Q47" i="2"/>
  <c r="CL13" i="1"/>
  <c r="P47" i="2"/>
  <c r="CK13" i="1"/>
  <c r="O47" i="2"/>
  <c r="CJ13" i="1"/>
  <c r="N47" i="2"/>
  <c r="CI13" i="1"/>
  <c r="M47" i="2"/>
  <c r="CH13" i="1"/>
  <c r="L47" i="2"/>
  <c r="CG13" i="1"/>
  <c r="K47" i="2"/>
  <c r="CF13" i="1"/>
  <c r="J47" i="2"/>
  <c r="CE13" i="1"/>
  <c r="I47" i="2"/>
  <c r="CD13" i="1"/>
  <c r="H47" i="2"/>
  <c r="CC13" i="1"/>
  <c r="G47" i="2"/>
  <c r="CB13" i="1"/>
  <c r="F47" i="2"/>
  <c r="CA13" i="1"/>
  <c r="E47" i="2"/>
  <c r="BZ13" i="1"/>
  <c r="R46" i="2"/>
  <c r="CM12" i="1"/>
  <c r="Q46" i="2"/>
  <c r="CL12" i="1"/>
  <c r="P46" i="2"/>
  <c r="CK12" i="1"/>
  <c r="O46" i="2"/>
  <c r="CJ12" i="1"/>
  <c r="N46" i="2"/>
  <c r="CI12" i="1"/>
  <c r="M46" i="2"/>
  <c r="CH12" i="1"/>
  <c r="L46" i="2"/>
  <c r="CG12" i="1"/>
  <c r="K46" i="2"/>
  <c r="CF12" i="1"/>
  <c r="J46" i="2"/>
  <c r="CE12" i="1"/>
  <c r="I46" i="2"/>
  <c r="CD12" i="1"/>
  <c r="H46" i="2"/>
  <c r="CC12" i="1"/>
  <c r="G46" i="2"/>
  <c r="CB12" i="1"/>
  <c r="F46" i="2"/>
  <c r="CA12" i="1"/>
  <c r="E46" i="2"/>
  <c r="BZ12" i="1"/>
  <c r="R44" i="2"/>
  <c r="CM10" i="1"/>
  <c r="Q44" i="2"/>
  <c r="CL10" i="1"/>
  <c r="P44" i="2"/>
  <c r="CK10" i="1"/>
  <c r="O44" i="2"/>
  <c r="CJ10" i="1"/>
  <c r="N44" i="2"/>
  <c r="CI10" i="1"/>
  <c r="M44" i="2"/>
  <c r="CH10" i="1"/>
  <c r="L44" i="2"/>
  <c r="CG10" i="1"/>
  <c r="CF10" i="1"/>
  <c r="J44" i="2"/>
  <c r="CE10" i="1"/>
  <c r="I44" i="2"/>
  <c r="CD10" i="1"/>
  <c r="H44" i="2"/>
  <c r="CC10" i="1"/>
  <c r="G44" i="2"/>
  <c r="CB10" i="1"/>
  <c r="F44" i="2"/>
  <c r="CA10" i="1"/>
  <c r="E44" i="2"/>
  <c r="BZ10" i="1"/>
  <c r="R43" i="2"/>
  <c r="CM9" i="1"/>
  <c r="Q43" i="2"/>
  <c r="CL9" i="1"/>
  <c r="P43" i="2"/>
  <c r="CK9" i="1"/>
  <c r="O43" i="2"/>
  <c r="CJ9" i="1"/>
  <c r="N43" i="2"/>
  <c r="CI9" i="1"/>
  <c r="M43" i="2"/>
  <c r="CH9" i="1"/>
  <c r="L43" i="2"/>
  <c r="CG9" i="1"/>
  <c r="K43" i="2"/>
  <c r="CF9" i="1"/>
  <c r="J43" i="2"/>
  <c r="CE9" i="1"/>
  <c r="I43" i="2"/>
  <c r="CD9" i="1"/>
  <c r="H43" i="2"/>
  <c r="CC9" i="1"/>
  <c r="G43" i="2"/>
  <c r="CB9" i="1"/>
  <c r="F43" i="2"/>
  <c r="CA9" i="1"/>
  <c r="E43" i="2"/>
  <c r="BZ9" i="1"/>
  <c r="R42" i="2"/>
  <c r="CM8" i="1"/>
  <c r="Q42" i="2"/>
  <c r="CL8" i="1"/>
  <c r="P42" i="2"/>
  <c r="CK8" i="1"/>
  <c r="O42" i="2"/>
  <c r="CJ8" i="1"/>
  <c r="N42" i="2"/>
  <c r="CI8" i="1"/>
  <c r="M42" i="2"/>
  <c r="CH8" i="1"/>
  <c r="L42" i="2"/>
  <c r="CG8" i="1"/>
  <c r="K42" i="2"/>
  <c r="CF8" i="1"/>
  <c r="J42" i="2"/>
  <c r="CE8" i="1"/>
  <c r="I42" i="2"/>
  <c r="CD8" i="1"/>
  <c r="H42" i="2"/>
  <c r="CC8" i="1"/>
  <c r="G42" i="2"/>
  <c r="CB8" i="1"/>
  <c r="F42" i="2"/>
  <c r="CA8" i="1"/>
  <c r="E42" i="2"/>
  <c r="BZ8" i="1"/>
  <c r="R41" i="2"/>
  <c r="CM7" i="1"/>
  <c r="Q41" i="2"/>
  <c r="CL7" i="1"/>
  <c r="P41" i="2"/>
  <c r="CK7" i="1"/>
  <c r="O41" i="2"/>
  <c r="CJ7" i="1"/>
  <c r="N41" i="2"/>
  <c r="CI7" i="1"/>
  <c r="M41" i="2"/>
  <c r="CH7" i="1"/>
  <c r="L41" i="2"/>
  <c r="CG7" i="1"/>
  <c r="K41" i="2"/>
  <c r="CF7" i="1"/>
  <c r="J41" i="2"/>
  <c r="CE7" i="1"/>
  <c r="I41" i="2"/>
  <c r="CD7" i="1"/>
  <c r="H41" i="2"/>
  <c r="CC7" i="1"/>
  <c r="G41" i="2"/>
  <c r="CB7" i="1"/>
  <c r="F41" i="2"/>
  <c r="CA7" i="1"/>
  <c r="E41" i="2"/>
  <c r="BZ7" i="1"/>
  <c r="R40" i="2"/>
  <c r="CM6" i="1"/>
  <c r="Q40" i="2"/>
  <c r="CL6" i="1"/>
  <c r="P40" i="2"/>
  <c r="CK6" i="1"/>
  <c r="O40" i="2"/>
  <c r="CJ6" i="1"/>
  <c r="N40" i="2"/>
  <c r="CI6" i="1"/>
  <c r="M40" i="2"/>
  <c r="CH6" i="1"/>
  <c r="L40" i="2"/>
  <c r="CG6" i="1"/>
  <c r="K40" i="2"/>
  <c r="CF6" i="1"/>
  <c r="J40" i="2"/>
  <c r="CE6" i="1"/>
  <c r="I40" i="2"/>
  <c r="CD6" i="1"/>
  <c r="H40" i="2"/>
  <c r="CC6" i="1"/>
  <c r="G40" i="2"/>
  <c r="CB6" i="1"/>
  <c r="F40" i="2"/>
  <c r="CA6" i="1"/>
  <c r="E40" i="2"/>
  <c r="BZ6" i="1"/>
  <c r="R39" i="2"/>
  <c r="CM5" i="1"/>
  <c r="Q39" i="2"/>
  <c r="CL5" i="1"/>
  <c r="P39" i="2"/>
  <c r="CK5" i="1"/>
  <c r="O39" i="2"/>
  <c r="CJ5" i="1"/>
  <c r="N39" i="2"/>
  <c r="CI5" i="1"/>
  <c r="M39" i="2"/>
  <c r="CH5" i="1"/>
  <c r="L39" i="2"/>
  <c r="CG5" i="1"/>
  <c r="K39" i="2"/>
  <c r="CF5" i="1"/>
  <c r="J39" i="2"/>
  <c r="CE5" i="1"/>
  <c r="I39" i="2"/>
  <c r="CD5" i="1"/>
  <c r="H39" i="2"/>
  <c r="CC5" i="1"/>
  <c r="G39" i="2"/>
  <c r="CB5" i="1"/>
  <c r="F39" i="2"/>
  <c r="CA5" i="1"/>
  <c r="E39" i="2"/>
  <c r="BZ5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S58" i="2"/>
  <c r="D58" i="2"/>
  <c r="S57" i="2"/>
  <c r="D57" i="2"/>
  <c r="S56" i="2"/>
  <c r="D56" i="2"/>
  <c r="S55" i="2"/>
  <c r="D55" i="2"/>
  <c r="S54" i="2"/>
  <c r="D54" i="2"/>
  <c r="S53" i="2"/>
  <c r="D53" i="2"/>
  <c r="S52" i="2"/>
  <c r="D52" i="2"/>
  <c r="S51" i="2"/>
  <c r="D51" i="2"/>
  <c r="S50" i="2"/>
  <c r="D50" i="2"/>
  <c r="S49" i="2"/>
  <c r="D49" i="2"/>
  <c r="S48" i="2"/>
  <c r="D48" i="2"/>
  <c r="S47" i="2"/>
  <c r="D47" i="2"/>
  <c r="S46" i="2"/>
  <c r="D46" i="2"/>
  <c r="S44" i="2"/>
  <c r="D44" i="2"/>
  <c r="S43" i="2"/>
  <c r="D43" i="2"/>
  <c r="S42" i="2"/>
  <c r="D42" i="2"/>
  <c r="S41" i="2"/>
  <c r="D41" i="2"/>
  <c r="S40" i="2"/>
  <c r="D40" i="2"/>
  <c r="S39" i="2"/>
  <c r="D39" i="2"/>
  <c r="C38" i="2"/>
  <c r="B38" i="2"/>
  <c r="C37" i="2"/>
  <c r="B37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4" i="2"/>
  <c r="A43" i="2"/>
  <c r="A42" i="2"/>
  <c r="A41" i="2"/>
  <c r="A40" i="2"/>
  <c r="A39" i="2"/>
  <c r="A38" i="2"/>
  <c r="A37" i="2"/>
  <c r="AG23" i="2"/>
  <c r="BR24" i="1"/>
  <c r="AF23" i="2"/>
  <c r="BQ24" i="1"/>
  <c r="AE23" i="2"/>
  <c r="BP24" i="1"/>
  <c r="AD23" i="2"/>
  <c r="BO24" i="1"/>
  <c r="AC23" i="2"/>
  <c r="BN24" i="1"/>
  <c r="AB23" i="2"/>
  <c r="BM24" i="1"/>
  <c r="AA23" i="2"/>
  <c r="BL24" i="1"/>
  <c r="BK24" i="1"/>
  <c r="Y23" i="2"/>
  <c r="BJ24" i="1"/>
  <c r="X23" i="2"/>
  <c r="BI24" i="1"/>
  <c r="W23" i="2"/>
  <c r="BH24" i="1"/>
  <c r="V23" i="2"/>
  <c r="BG24" i="1"/>
  <c r="U23" i="2"/>
  <c r="BF24" i="1"/>
  <c r="T23" i="2"/>
  <c r="BE24" i="1"/>
  <c r="AG22" i="2"/>
  <c r="BR23" i="1"/>
  <c r="AF22" i="2"/>
  <c r="BQ23" i="1"/>
  <c r="AE22" i="2"/>
  <c r="BP23" i="1"/>
  <c r="AD22" i="2"/>
  <c r="BO23" i="1"/>
  <c r="AC22" i="2"/>
  <c r="BN23" i="1"/>
  <c r="AB22" i="2"/>
  <c r="BM23" i="1"/>
  <c r="AA22" i="2"/>
  <c r="BL23" i="1"/>
  <c r="BK23" i="1"/>
  <c r="Y22" i="2"/>
  <c r="BJ23" i="1"/>
  <c r="X22" i="2"/>
  <c r="BI23" i="1"/>
  <c r="W22" i="2"/>
  <c r="BH23" i="1"/>
  <c r="V22" i="2"/>
  <c r="BG23" i="1"/>
  <c r="U22" i="2"/>
  <c r="BF23" i="1"/>
  <c r="T22" i="2"/>
  <c r="BE23" i="1"/>
  <c r="AG21" i="2"/>
  <c r="BR22" i="1"/>
  <c r="AF21" i="2"/>
  <c r="BQ22" i="1"/>
  <c r="AE21" i="2"/>
  <c r="BP22" i="1"/>
  <c r="AD21" i="2"/>
  <c r="BO22" i="1"/>
  <c r="AC21" i="2"/>
  <c r="BN22" i="1"/>
  <c r="AB21" i="2"/>
  <c r="BM22" i="1"/>
  <c r="AA21" i="2"/>
  <c r="BL22" i="1"/>
  <c r="BK22" i="1"/>
  <c r="Y21" i="2"/>
  <c r="BJ22" i="1"/>
  <c r="X21" i="2"/>
  <c r="BI22" i="1"/>
  <c r="W21" i="2"/>
  <c r="BH22" i="1"/>
  <c r="V21" i="2"/>
  <c r="BG22" i="1"/>
  <c r="U21" i="2"/>
  <c r="BF22" i="1"/>
  <c r="T21" i="2"/>
  <c r="BE22" i="1"/>
  <c r="AG20" i="2"/>
  <c r="BR21" i="1"/>
  <c r="AF20" i="2"/>
  <c r="BQ21" i="1"/>
  <c r="AE20" i="2"/>
  <c r="BP21" i="1"/>
  <c r="AD20" i="2"/>
  <c r="BO21" i="1"/>
  <c r="AC20" i="2"/>
  <c r="BN21" i="1"/>
  <c r="AB20" i="2"/>
  <c r="BM21" i="1"/>
  <c r="AA20" i="2"/>
  <c r="BL21" i="1"/>
  <c r="BK21" i="1"/>
  <c r="Y20" i="2"/>
  <c r="BJ21" i="1"/>
  <c r="X20" i="2"/>
  <c r="BI21" i="1"/>
  <c r="W20" i="2"/>
  <c r="BH21" i="1"/>
  <c r="V20" i="2"/>
  <c r="BG21" i="1"/>
  <c r="U20" i="2"/>
  <c r="BF21" i="1"/>
  <c r="T20" i="2"/>
  <c r="BE21" i="1"/>
  <c r="AG19" i="2"/>
  <c r="BR20" i="1"/>
  <c r="AF19" i="2"/>
  <c r="BQ20" i="1"/>
  <c r="AE19" i="2"/>
  <c r="BP20" i="1"/>
  <c r="AD19" i="2"/>
  <c r="BO20" i="1"/>
  <c r="AC19" i="2"/>
  <c r="BN20" i="1"/>
  <c r="AB19" i="2"/>
  <c r="BM20" i="1"/>
  <c r="AA19" i="2"/>
  <c r="BL20" i="1"/>
  <c r="BK20" i="1"/>
  <c r="Y19" i="2"/>
  <c r="BJ20" i="1"/>
  <c r="X19" i="2"/>
  <c r="BI20" i="1"/>
  <c r="W19" i="2"/>
  <c r="BH20" i="1"/>
  <c r="V19" i="2"/>
  <c r="BG20" i="1"/>
  <c r="U19" i="2"/>
  <c r="BF20" i="1"/>
  <c r="T19" i="2"/>
  <c r="BE20" i="1"/>
  <c r="AG18" i="2"/>
  <c r="BR19" i="1"/>
  <c r="AF18" i="2"/>
  <c r="BQ19" i="1"/>
  <c r="AE18" i="2"/>
  <c r="BP19" i="1"/>
  <c r="AD18" i="2"/>
  <c r="BO19" i="1"/>
  <c r="AC18" i="2"/>
  <c r="BN19" i="1"/>
  <c r="AB18" i="2"/>
  <c r="BM19" i="1"/>
  <c r="AA18" i="2"/>
  <c r="BL19" i="1"/>
  <c r="BK19" i="1"/>
  <c r="Y18" i="2"/>
  <c r="BJ19" i="1"/>
  <c r="X18" i="2"/>
  <c r="BI19" i="1"/>
  <c r="W18" i="2"/>
  <c r="BH19" i="1"/>
  <c r="V18" i="2"/>
  <c r="BG19" i="1"/>
  <c r="U18" i="2"/>
  <c r="BF19" i="1"/>
  <c r="T18" i="2"/>
  <c r="BE19" i="1"/>
  <c r="AG17" i="2"/>
  <c r="BR18" i="1"/>
  <c r="AF17" i="2"/>
  <c r="BQ18" i="1"/>
  <c r="AE17" i="2"/>
  <c r="BP18" i="1"/>
  <c r="AD17" i="2"/>
  <c r="BO18" i="1"/>
  <c r="AC17" i="2"/>
  <c r="BN18" i="1"/>
  <c r="AB17" i="2"/>
  <c r="BM18" i="1"/>
  <c r="AA17" i="2"/>
  <c r="BL18" i="1"/>
  <c r="BK18" i="1"/>
  <c r="Y17" i="2"/>
  <c r="BJ18" i="1"/>
  <c r="X17" i="2"/>
  <c r="BI18" i="1"/>
  <c r="W17" i="2"/>
  <c r="BH18" i="1"/>
  <c r="V17" i="2"/>
  <c r="BG18" i="1"/>
  <c r="U17" i="2"/>
  <c r="BF18" i="1"/>
  <c r="T17" i="2"/>
  <c r="BE18" i="1"/>
  <c r="AG16" i="2"/>
  <c r="BR17" i="1"/>
  <c r="AF16" i="2"/>
  <c r="BQ17" i="1"/>
  <c r="AE16" i="2"/>
  <c r="BP17" i="1"/>
  <c r="AD16" i="2"/>
  <c r="BO17" i="1"/>
  <c r="AC16" i="2"/>
  <c r="BN17" i="1"/>
  <c r="AB16" i="2"/>
  <c r="BM17" i="1"/>
  <c r="AA16" i="2"/>
  <c r="BL17" i="1"/>
  <c r="BK17" i="1"/>
  <c r="Y16" i="2"/>
  <c r="BJ17" i="1"/>
  <c r="X16" i="2"/>
  <c r="BI17" i="1"/>
  <c r="W16" i="2"/>
  <c r="BH17" i="1"/>
  <c r="V16" i="2"/>
  <c r="BG17" i="1"/>
  <c r="U16" i="2"/>
  <c r="BF17" i="1"/>
  <c r="T16" i="2"/>
  <c r="BE17" i="1"/>
  <c r="AG15" i="2"/>
  <c r="BR16" i="1"/>
  <c r="AF15" i="2"/>
  <c r="BQ16" i="1"/>
  <c r="AE15" i="2"/>
  <c r="BP16" i="1"/>
  <c r="AD15" i="2"/>
  <c r="BO16" i="1"/>
  <c r="AC15" i="2"/>
  <c r="BN16" i="1"/>
  <c r="AB15" i="2"/>
  <c r="BM16" i="1"/>
  <c r="AA15" i="2"/>
  <c r="BL16" i="1"/>
  <c r="BK16" i="1"/>
  <c r="Y15" i="2"/>
  <c r="BJ16" i="1"/>
  <c r="X15" i="2"/>
  <c r="BI16" i="1"/>
  <c r="W15" i="2"/>
  <c r="BH16" i="1"/>
  <c r="V15" i="2"/>
  <c r="BG16" i="1"/>
  <c r="U15" i="2"/>
  <c r="BF16" i="1"/>
  <c r="T15" i="2"/>
  <c r="BE16" i="1"/>
  <c r="AG14" i="2"/>
  <c r="BR15" i="1"/>
  <c r="AF14" i="2"/>
  <c r="BQ15" i="1"/>
  <c r="AE14" i="2"/>
  <c r="BP15" i="1"/>
  <c r="AD14" i="2"/>
  <c r="BO15" i="1"/>
  <c r="AC14" i="2"/>
  <c r="BN15" i="1"/>
  <c r="AB14" i="2"/>
  <c r="BM15" i="1"/>
  <c r="AA14" i="2"/>
  <c r="BL15" i="1"/>
  <c r="BK15" i="1"/>
  <c r="Y14" i="2"/>
  <c r="BJ15" i="1"/>
  <c r="X14" i="2"/>
  <c r="BI15" i="1"/>
  <c r="W14" i="2"/>
  <c r="BH15" i="1"/>
  <c r="V14" i="2"/>
  <c r="BG15" i="1"/>
  <c r="U14" i="2"/>
  <c r="BF15" i="1"/>
  <c r="T14" i="2"/>
  <c r="BE15" i="1"/>
  <c r="AG13" i="2"/>
  <c r="BR14" i="1"/>
  <c r="AF13" i="2"/>
  <c r="BQ14" i="1"/>
  <c r="AE13" i="2"/>
  <c r="BP14" i="1"/>
  <c r="AD13" i="2"/>
  <c r="BO14" i="1"/>
  <c r="AC13" i="2"/>
  <c r="BN14" i="1"/>
  <c r="AB13" i="2"/>
  <c r="BM14" i="1"/>
  <c r="AA13" i="2"/>
  <c r="BL14" i="1"/>
  <c r="BK14" i="1"/>
  <c r="Y13" i="2"/>
  <c r="BJ14" i="1"/>
  <c r="X13" i="2"/>
  <c r="BI14" i="1"/>
  <c r="W13" i="2"/>
  <c r="BH14" i="1"/>
  <c r="V13" i="2"/>
  <c r="BG14" i="1"/>
  <c r="U13" i="2"/>
  <c r="BF14" i="1"/>
  <c r="T13" i="2"/>
  <c r="BE14" i="1"/>
  <c r="AG12" i="2"/>
  <c r="BR13" i="1"/>
  <c r="AF12" i="2"/>
  <c r="BQ13" i="1"/>
  <c r="AE12" i="2"/>
  <c r="BP13" i="1"/>
  <c r="AD12" i="2"/>
  <c r="BO13" i="1"/>
  <c r="AC12" i="2"/>
  <c r="BN13" i="1"/>
  <c r="AB12" i="2"/>
  <c r="BM13" i="1"/>
  <c r="AA12" i="2"/>
  <c r="BL13" i="1"/>
  <c r="BK13" i="1"/>
  <c r="Y12" i="2"/>
  <c r="BJ13" i="1"/>
  <c r="X12" i="2"/>
  <c r="BI13" i="1"/>
  <c r="W12" i="2"/>
  <c r="BH13" i="1"/>
  <c r="V12" i="2"/>
  <c r="BG13" i="1"/>
  <c r="U12" i="2"/>
  <c r="BF13" i="1"/>
  <c r="T12" i="2"/>
  <c r="BE13" i="1"/>
  <c r="AG11" i="2"/>
  <c r="BR12" i="1"/>
  <c r="AF11" i="2"/>
  <c r="BQ12" i="1"/>
  <c r="AE11" i="2"/>
  <c r="BP12" i="1"/>
  <c r="AD11" i="2"/>
  <c r="BO12" i="1"/>
  <c r="AC11" i="2"/>
  <c r="BN12" i="1"/>
  <c r="AB11" i="2"/>
  <c r="BM12" i="1"/>
  <c r="AA11" i="2"/>
  <c r="BL12" i="1"/>
  <c r="BK12" i="1"/>
  <c r="Y11" i="2"/>
  <c r="BJ12" i="1"/>
  <c r="X11" i="2"/>
  <c r="BI12" i="1"/>
  <c r="W11" i="2"/>
  <c r="BH12" i="1"/>
  <c r="V11" i="2"/>
  <c r="BG12" i="1"/>
  <c r="U11" i="2"/>
  <c r="BF12" i="1"/>
  <c r="T11" i="2"/>
  <c r="BE12" i="1"/>
  <c r="AG9" i="2"/>
  <c r="BR10" i="1"/>
  <c r="AF9" i="2"/>
  <c r="BQ10" i="1"/>
  <c r="AE9" i="2"/>
  <c r="BP10" i="1"/>
  <c r="AD9" i="2"/>
  <c r="BO10" i="1"/>
  <c r="AC9" i="2"/>
  <c r="BN10" i="1"/>
  <c r="AB9" i="2"/>
  <c r="BM10" i="1"/>
  <c r="AA9" i="2"/>
  <c r="BL10" i="1"/>
  <c r="BK10" i="1"/>
  <c r="Y9" i="2"/>
  <c r="BJ10" i="1"/>
  <c r="X9" i="2"/>
  <c r="BI10" i="1"/>
  <c r="W9" i="2"/>
  <c r="BH10" i="1"/>
  <c r="V9" i="2"/>
  <c r="BG10" i="1"/>
  <c r="U9" i="2"/>
  <c r="BF10" i="1"/>
  <c r="AG8" i="2"/>
  <c r="BR9" i="1"/>
  <c r="AF8" i="2"/>
  <c r="BQ9" i="1"/>
  <c r="AE8" i="2"/>
  <c r="BP9" i="1"/>
  <c r="AD8" i="2"/>
  <c r="BO9" i="1"/>
  <c r="AC8" i="2"/>
  <c r="BN9" i="1"/>
  <c r="AB8" i="2"/>
  <c r="BM9" i="1"/>
  <c r="AA8" i="2"/>
  <c r="BL9" i="1"/>
  <c r="BK9" i="1"/>
  <c r="Y8" i="2"/>
  <c r="BJ9" i="1"/>
  <c r="X8" i="2"/>
  <c r="BI9" i="1"/>
  <c r="W8" i="2"/>
  <c r="BH9" i="1"/>
  <c r="V8" i="2"/>
  <c r="BG9" i="1"/>
  <c r="U8" i="2"/>
  <c r="BF9" i="1"/>
  <c r="AG7" i="2"/>
  <c r="BR8" i="1"/>
  <c r="AF7" i="2"/>
  <c r="BQ8" i="1"/>
  <c r="AE7" i="2"/>
  <c r="BP8" i="1"/>
  <c r="AD7" i="2"/>
  <c r="BO8" i="1"/>
  <c r="AC7" i="2"/>
  <c r="BN8" i="1"/>
  <c r="AB7" i="2"/>
  <c r="BM8" i="1"/>
  <c r="AA7" i="2"/>
  <c r="BL8" i="1"/>
  <c r="BK8" i="1"/>
  <c r="Y7" i="2"/>
  <c r="BJ8" i="1"/>
  <c r="X7" i="2"/>
  <c r="BI8" i="1"/>
  <c r="W7" i="2"/>
  <c r="BH8" i="1"/>
  <c r="V7" i="2"/>
  <c r="BG8" i="1"/>
  <c r="U7" i="2"/>
  <c r="BF8" i="1"/>
  <c r="AG6" i="2"/>
  <c r="BR7" i="1"/>
  <c r="AF6" i="2"/>
  <c r="BQ7" i="1"/>
  <c r="AE6" i="2"/>
  <c r="BP7" i="1"/>
  <c r="AD6" i="2"/>
  <c r="BO7" i="1"/>
  <c r="AC6" i="2"/>
  <c r="BN7" i="1"/>
  <c r="AB6" i="2"/>
  <c r="BM7" i="1"/>
  <c r="AA6" i="2"/>
  <c r="BL7" i="1"/>
  <c r="BK7" i="1"/>
  <c r="Y6" i="2"/>
  <c r="BJ7" i="1"/>
  <c r="X6" i="2"/>
  <c r="BI7" i="1"/>
  <c r="W6" i="2"/>
  <c r="BH7" i="1"/>
  <c r="V6" i="2"/>
  <c r="BG7" i="1"/>
  <c r="U6" i="2"/>
  <c r="BF7" i="1"/>
  <c r="AG5" i="2"/>
  <c r="BR6" i="1"/>
  <c r="AF5" i="2"/>
  <c r="BQ6" i="1"/>
  <c r="AE5" i="2"/>
  <c r="BP6" i="1"/>
  <c r="AD5" i="2"/>
  <c r="BO6" i="1"/>
  <c r="AC5" i="2"/>
  <c r="BN6" i="1"/>
  <c r="AB5" i="2"/>
  <c r="BM6" i="1"/>
  <c r="AA5" i="2"/>
  <c r="BL6" i="1"/>
  <c r="BK6" i="1"/>
  <c r="Y5" i="2"/>
  <c r="BJ6" i="1"/>
  <c r="X5" i="2"/>
  <c r="BI6" i="1"/>
  <c r="W5" i="2"/>
  <c r="BH6" i="1"/>
  <c r="V5" i="2"/>
  <c r="BG6" i="1"/>
  <c r="U5" i="2"/>
  <c r="BF6" i="1"/>
  <c r="AG4" i="2"/>
  <c r="BR5" i="1"/>
  <c r="AF4" i="2"/>
  <c r="BQ5" i="1"/>
  <c r="AE4" i="2"/>
  <c r="BP5" i="1"/>
  <c r="AD4" i="2"/>
  <c r="BO5" i="1"/>
  <c r="AC4" i="2"/>
  <c r="BN5" i="1"/>
  <c r="AB4" i="2"/>
  <c r="BM5" i="1"/>
  <c r="AA4" i="2"/>
  <c r="BL5" i="1"/>
  <c r="BK5" i="1"/>
  <c r="Y4" i="2"/>
  <c r="BJ5" i="1"/>
  <c r="X4" i="2"/>
  <c r="BI5" i="1"/>
  <c r="W4" i="2"/>
  <c r="BH5" i="1"/>
  <c r="V4" i="2"/>
  <c r="BG5" i="1"/>
  <c r="U4" i="2"/>
  <c r="BF5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R3" i="1"/>
  <c r="BQ3" i="1"/>
  <c r="BP3" i="1"/>
  <c r="BO3" i="1"/>
  <c r="BN3" i="1"/>
  <c r="BM3" i="1"/>
  <c r="BL3" i="1"/>
  <c r="BK3" i="1"/>
  <c r="BJ3" i="1"/>
  <c r="BI3" i="1"/>
  <c r="BH3" i="1"/>
  <c r="BG3" i="1"/>
  <c r="BE3" i="1"/>
  <c r="R23" i="2"/>
  <c r="AW24" i="1"/>
  <c r="Q23" i="2"/>
  <c r="AV24" i="1"/>
  <c r="P23" i="2"/>
  <c r="AU24" i="1"/>
  <c r="O23" i="2"/>
  <c r="AT24" i="1"/>
  <c r="N23" i="2"/>
  <c r="AS24" i="1"/>
  <c r="M23" i="2"/>
  <c r="AR24" i="1"/>
  <c r="L23" i="2"/>
  <c r="AQ24" i="1"/>
  <c r="AP24" i="1"/>
  <c r="J23" i="2"/>
  <c r="AO24" i="1"/>
  <c r="I23" i="2"/>
  <c r="AN24" i="1"/>
  <c r="H23" i="2"/>
  <c r="AM24" i="1"/>
  <c r="G23" i="2"/>
  <c r="AL24" i="1"/>
  <c r="F23" i="2"/>
  <c r="AK24" i="1"/>
  <c r="R22" i="2"/>
  <c r="AW23" i="1"/>
  <c r="Q22" i="2"/>
  <c r="AV23" i="1"/>
  <c r="P22" i="2"/>
  <c r="AU23" i="1"/>
  <c r="O22" i="2"/>
  <c r="AT23" i="1"/>
  <c r="N22" i="2"/>
  <c r="AS23" i="1"/>
  <c r="M22" i="2"/>
  <c r="AR23" i="1"/>
  <c r="L22" i="2"/>
  <c r="AQ23" i="1"/>
  <c r="AP23" i="1"/>
  <c r="J22" i="2"/>
  <c r="AO23" i="1"/>
  <c r="I22" i="2"/>
  <c r="AN23" i="1"/>
  <c r="H22" i="2"/>
  <c r="AM23" i="1"/>
  <c r="G22" i="2"/>
  <c r="AL23" i="1"/>
  <c r="F22" i="2"/>
  <c r="AK23" i="1"/>
  <c r="R21" i="2"/>
  <c r="AW22" i="1"/>
  <c r="Q21" i="2"/>
  <c r="AV22" i="1"/>
  <c r="P21" i="2"/>
  <c r="AU22" i="1"/>
  <c r="O21" i="2"/>
  <c r="AT22" i="1"/>
  <c r="N21" i="2"/>
  <c r="AS22" i="1"/>
  <c r="M21" i="2"/>
  <c r="AR22" i="1"/>
  <c r="L21" i="2"/>
  <c r="AQ22" i="1"/>
  <c r="AP22" i="1"/>
  <c r="J21" i="2"/>
  <c r="AO22" i="1"/>
  <c r="I21" i="2"/>
  <c r="AN22" i="1"/>
  <c r="H21" i="2"/>
  <c r="AM22" i="1"/>
  <c r="G21" i="2"/>
  <c r="AL22" i="1"/>
  <c r="F21" i="2"/>
  <c r="AK22" i="1"/>
  <c r="R20" i="2"/>
  <c r="AW21" i="1"/>
  <c r="Q20" i="2"/>
  <c r="AV21" i="1"/>
  <c r="P20" i="2"/>
  <c r="AU21" i="1"/>
  <c r="O20" i="2"/>
  <c r="AT21" i="1"/>
  <c r="N20" i="2"/>
  <c r="AS21" i="1"/>
  <c r="M20" i="2"/>
  <c r="AR21" i="1"/>
  <c r="L20" i="2"/>
  <c r="AQ21" i="1"/>
  <c r="AP21" i="1"/>
  <c r="J20" i="2"/>
  <c r="AO21" i="1"/>
  <c r="I20" i="2"/>
  <c r="AN21" i="1"/>
  <c r="H20" i="2"/>
  <c r="AM21" i="1"/>
  <c r="G20" i="2"/>
  <c r="AL21" i="1"/>
  <c r="F20" i="2"/>
  <c r="AK21" i="1"/>
  <c r="R19" i="2"/>
  <c r="AW20" i="1"/>
  <c r="Q19" i="2"/>
  <c r="AV20" i="1"/>
  <c r="P19" i="2"/>
  <c r="AU20" i="1"/>
  <c r="O19" i="2"/>
  <c r="AT20" i="1"/>
  <c r="N19" i="2"/>
  <c r="AS20" i="1"/>
  <c r="M19" i="2"/>
  <c r="AR20" i="1"/>
  <c r="L19" i="2"/>
  <c r="AQ20" i="1"/>
  <c r="AP20" i="1"/>
  <c r="J19" i="2"/>
  <c r="AO20" i="1"/>
  <c r="I19" i="2"/>
  <c r="AN20" i="1"/>
  <c r="H19" i="2"/>
  <c r="AM20" i="1"/>
  <c r="G19" i="2"/>
  <c r="AL20" i="1"/>
  <c r="F19" i="2"/>
  <c r="AK20" i="1"/>
  <c r="R18" i="2"/>
  <c r="AW19" i="1"/>
  <c r="Q18" i="2"/>
  <c r="AV19" i="1"/>
  <c r="P18" i="2"/>
  <c r="AU19" i="1"/>
  <c r="O18" i="2"/>
  <c r="AT19" i="1"/>
  <c r="N18" i="2"/>
  <c r="AS19" i="1"/>
  <c r="M18" i="2"/>
  <c r="AR19" i="1"/>
  <c r="L18" i="2"/>
  <c r="AQ19" i="1"/>
  <c r="AP19" i="1"/>
  <c r="J18" i="2"/>
  <c r="AO19" i="1"/>
  <c r="I18" i="2"/>
  <c r="AN19" i="1"/>
  <c r="H18" i="2"/>
  <c r="AM19" i="1"/>
  <c r="G18" i="2"/>
  <c r="AL19" i="1"/>
  <c r="F18" i="2"/>
  <c r="AK19" i="1"/>
  <c r="R17" i="2"/>
  <c r="AW18" i="1"/>
  <c r="Q17" i="2"/>
  <c r="AV18" i="1"/>
  <c r="P17" i="2"/>
  <c r="AU18" i="1"/>
  <c r="O17" i="2"/>
  <c r="AT18" i="1"/>
  <c r="N17" i="2"/>
  <c r="AS18" i="1"/>
  <c r="M17" i="2"/>
  <c r="AR18" i="1"/>
  <c r="L17" i="2"/>
  <c r="AQ18" i="1"/>
  <c r="AP18" i="1"/>
  <c r="J17" i="2"/>
  <c r="AO18" i="1"/>
  <c r="I17" i="2"/>
  <c r="AN18" i="1"/>
  <c r="H17" i="2"/>
  <c r="AM18" i="1"/>
  <c r="G17" i="2"/>
  <c r="AL18" i="1"/>
  <c r="F17" i="2"/>
  <c r="AK18" i="1"/>
  <c r="R16" i="2"/>
  <c r="AW17" i="1"/>
  <c r="Q16" i="2"/>
  <c r="AV17" i="1"/>
  <c r="P16" i="2"/>
  <c r="AU17" i="1"/>
  <c r="O16" i="2"/>
  <c r="AT17" i="1"/>
  <c r="N16" i="2"/>
  <c r="AS17" i="1"/>
  <c r="M16" i="2"/>
  <c r="AR17" i="1"/>
  <c r="L16" i="2"/>
  <c r="AQ17" i="1"/>
  <c r="AP17" i="1"/>
  <c r="J16" i="2"/>
  <c r="AO17" i="1"/>
  <c r="I16" i="2"/>
  <c r="AN17" i="1"/>
  <c r="H16" i="2"/>
  <c r="AM17" i="1"/>
  <c r="G16" i="2"/>
  <c r="AL17" i="1"/>
  <c r="F16" i="2"/>
  <c r="AK17" i="1"/>
  <c r="R15" i="2"/>
  <c r="AW16" i="1"/>
  <c r="Q15" i="2"/>
  <c r="AV16" i="1"/>
  <c r="P15" i="2"/>
  <c r="AU16" i="1"/>
  <c r="O15" i="2"/>
  <c r="AT16" i="1"/>
  <c r="N15" i="2"/>
  <c r="AS16" i="1"/>
  <c r="M15" i="2"/>
  <c r="AR16" i="1"/>
  <c r="L15" i="2"/>
  <c r="AQ16" i="1"/>
  <c r="AP16" i="1"/>
  <c r="J15" i="2"/>
  <c r="AO16" i="1"/>
  <c r="I15" i="2"/>
  <c r="AN16" i="1"/>
  <c r="H15" i="2"/>
  <c r="AM16" i="1"/>
  <c r="G15" i="2"/>
  <c r="AL16" i="1"/>
  <c r="F15" i="2"/>
  <c r="AK16" i="1"/>
  <c r="R14" i="2"/>
  <c r="AW15" i="1"/>
  <c r="Q14" i="2"/>
  <c r="AV15" i="1"/>
  <c r="P14" i="2"/>
  <c r="AU15" i="1"/>
  <c r="O14" i="2"/>
  <c r="AT15" i="1"/>
  <c r="N14" i="2"/>
  <c r="AS15" i="1"/>
  <c r="M14" i="2"/>
  <c r="AR15" i="1"/>
  <c r="L14" i="2"/>
  <c r="AQ15" i="1"/>
  <c r="AP15" i="1"/>
  <c r="J14" i="2"/>
  <c r="AO15" i="1"/>
  <c r="I14" i="2"/>
  <c r="AN15" i="1"/>
  <c r="H14" i="2"/>
  <c r="AM15" i="1"/>
  <c r="G14" i="2"/>
  <c r="AL15" i="1"/>
  <c r="F14" i="2"/>
  <c r="AK15" i="1"/>
  <c r="R13" i="2"/>
  <c r="AW14" i="1"/>
  <c r="Q13" i="2"/>
  <c r="AV14" i="1"/>
  <c r="P13" i="2"/>
  <c r="AU14" i="1"/>
  <c r="O13" i="2"/>
  <c r="AT14" i="1"/>
  <c r="N13" i="2"/>
  <c r="AS14" i="1"/>
  <c r="M13" i="2"/>
  <c r="AR14" i="1"/>
  <c r="L13" i="2"/>
  <c r="AQ14" i="1"/>
  <c r="AP14" i="1"/>
  <c r="J13" i="2"/>
  <c r="AO14" i="1"/>
  <c r="I13" i="2"/>
  <c r="AN14" i="1"/>
  <c r="H13" i="2"/>
  <c r="AM14" i="1"/>
  <c r="G13" i="2"/>
  <c r="AL14" i="1"/>
  <c r="F13" i="2"/>
  <c r="AK14" i="1"/>
  <c r="R12" i="2"/>
  <c r="AW13" i="1"/>
  <c r="Q12" i="2"/>
  <c r="AV13" i="1"/>
  <c r="P12" i="2"/>
  <c r="AU13" i="1"/>
  <c r="O12" i="2"/>
  <c r="AT13" i="1"/>
  <c r="N12" i="2"/>
  <c r="AS13" i="1"/>
  <c r="M12" i="2"/>
  <c r="AR13" i="1"/>
  <c r="L12" i="2"/>
  <c r="AQ13" i="1"/>
  <c r="AP13" i="1"/>
  <c r="J12" i="2"/>
  <c r="AO13" i="1"/>
  <c r="I12" i="2"/>
  <c r="AN13" i="1"/>
  <c r="H12" i="2"/>
  <c r="AM13" i="1"/>
  <c r="G12" i="2"/>
  <c r="AL13" i="1"/>
  <c r="F12" i="2"/>
  <c r="AK13" i="1"/>
  <c r="R11" i="2"/>
  <c r="AW12" i="1"/>
  <c r="Q11" i="2"/>
  <c r="AV12" i="1"/>
  <c r="P11" i="2"/>
  <c r="AU12" i="1"/>
  <c r="O11" i="2"/>
  <c r="AT12" i="1"/>
  <c r="N11" i="2"/>
  <c r="AS12" i="1"/>
  <c r="M11" i="2"/>
  <c r="AR12" i="1"/>
  <c r="L11" i="2"/>
  <c r="AQ12" i="1"/>
  <c r="AP12" i="1"/>
  <c r="J11" i="2"/>
  <c r="AO12" i="1"/>
  <c r="I11" i="2"/>
  <c r="AN12" i="1"/>
  <c r="H11" i="2"/>
  <c r="AM12" i="1"/>
  <c r="G11" i="2"/>
  <c r="AL12" i="1"/>
  <c r="F11" i="2"/>
  <c r="AK12" i="1"/>
  <c r="R9" i="2"/>
  <c r="AW10" i="1"/>
  <c r="Q9" i="2"/>
  <c r="AV10" i="1"/>
  <c r="P9" i="2"/>
  <c r="AU10" i="1"/>
  <c r="O9" i="2"/>
  <c r="AT10" i="1"/>
  <c r="N9" i="2"/>
  <c r="AS10" i="1"/>
  <c r="M9" i="2"/>
  <c r="AR10" i="1"/>
  <c r="L9" i="2"/>
  <c r="AQ10" i="1"/>
  <c r="AP10" i="1"/>
  <c r="J9" i="2"/>
  <c r="AO10" i="1"/>
  <c r="I9" i="2"/>
  <c r="AN10" i="1"/>
  <c r="H9" i="2"/>
  <c r="AM10" i="1"/>
  <c r="G9" i="2"/>
  <c r="AL10" i="1"/>
  <c r="F9" i="2"/>
  <c r="AK10" i="1"/>
  <c r="R8" i="2"/>
  <c r="AW9" i="1"/>
  <c r="Q8" i="2"/>
  <c r="AV9" i="1"/>
  <c r="P8" i="2"/>
  <c r="AU9" i="1"/>
  <c r="O8" i="2"/>
  <c r="AT9" i="1"/>
  <c r="N8" i="2"/>
  <c r="AS9" i="1"/>
  <c r="M8" i="2"/>
  <c r="AR9" i="1"/>
  <c r="L8" i="2"/>
  <c r="AQ9" i="1"/>
  <c r="AP9" i="1"/>
  <c r="J8" i="2"/>
  <c r="AO9" i="1"/>
  <c r="I8" i="2"/>
  <c r="AN9" i="1"/>
  <c r="H8" i="2"/>
  <c r="AM9" i="1"/>
  <c r="G8" i="2"/>
  <c r="AL9" i="1"/>
  <c r="F8" i="2"/>
  <c r="AK9" i="1"/>
  <c r="R7" i="2"/>
  <c r="AW8" i="1"/>
  <c r="Q7" i="2"/>
  <c r="AV8" i="1"/>
  <c r="P7" i="2"/>
  <c r="AU8" i="1"/>
  <c r="O7" i="2"/>
  <c r="AT8" i="1"/>
  <c r="N7" i="2"/>
  <c r="AS8" i="1"/>
  <c r="M7" i="2"/>
  <c r="AR8" i="1"/>
  <c r="L7" i="2"/>
  <c r="AQ8" i="1"/>
  <c r="AP8" i="1"/>
  <c r="J7" i="2"/>
  <c r="AO8" i="1"/>
  <c r="I7" i="2"/>
  <c r="AN8" i="1"/>
  <c r="H7" i="2"/>
  <c r="AM8" i="1"/>
  <c r="G7" i="2"/>
  <c r="AL8" i="1"/>
  <c r="F7" i="2"/>
  <c r="AK8" i="1"/>
  <c r="R6" i="2"/>
  <c r="AW7" i="1"/>
  <c r="Q6" i="2"/>
  <c r="AV7" i="1"/>
  <c r="P6" i="2"/>
  <c r="AU7" i="1"/>
  <c r="O6" i="2"/>
  <c r="AT7" i="1"/>
  <c r="N6" i="2"/>
  <c r="AS7" i="1"/>
  <c r="M6" i="2"/>
  <c r="AR7" i="1"/>
  <c r="L6" i="2"/>
  <c r="AQ7" i="1"/>
  <c r="AP7" i="1"/>
  <c r="J6" i="2"/>
  <c r="AO7" i="1"/>
  <c r="I6" i="2"/>
  <c r="AN7" i="1"/>
  <c r="H6" i="2"/>
  <c r="AM7" i="1"/>
  <c r="G6" i="2"/>
  <c r="AL7" i="1"/>
  <c r="F6" i="2"/>
  <c r="AK7" i="1"/>
  <c r="R5" i="2"/>
  <c r="AW6" i="1"/>
  <c r="Q5" i="2"/>
  <c r="AV6" i="1"/>
  <c r="P5" i="2"/>
  <c r="AU6" i="1"/>
  <c r="O5" i="2"/>
  <c r="AT6" i="1"/>
  <c r="N5" i="2"/>
  <c r="AS6" i="1"/>
  <c r="M5" i="2"/>
  <c r="AR6" i="1"/>
  <c r="L5" i="2"/>
  <c r="AQ6" i="1"/>
  <c r="AP6" i="1"/>
  <c r="J5" i="2"/>
  <c r="AO6" i="1"/>
  <c r="I5" i="2"/>
  <c r="AN6" i="1"/>
  <c r="H5" i="2"/>
  <c r="AM6" i="1"/>
  <c r="G5" i="2"/>
  <c r="AL6" i="1"/>
  <c r="F5" i="2"/>
  <c r="AK6" i="1"/>
  <c r="R4" i="2"/>
  <c r="AW5" i="1"/>
  <c r="Q4" i="2"/>
  <c r="AV5" i="1"/>
  <c r="P4" i="2"/>
  <c r="AU5" i="1"/>
  <c r="O4" i="2"/>
  <c r="AT5" i="1"/>
  <c r="N4" i="2"/>
  <c r="AS5" i="1"/>
  <c r="M4" i="2"/>
  <c r="AR5" i="1"/>
  <c r="L4" i="2"/>
  <c r="AQ5" i="1"/>
  <c r="AP5" i="1"/>
  <c r="J4" i="2"/>
  <c r="AO5" i="1"/>
  <c r="I4" i="2"/>
  <c r="AN5" i="1"/>
  <c r="H4" i="2"/>
  <c r="AM5" i="1"/>
  <c r="G4" i="2"/>
  <c r="AL5" i="1"/>
  <c r="F4" i="2"/>
  <c r="AK5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E23" i="2"/>
  <c r="AJ24" i="1"/>
  <c r="E22" i="2"/>
  <c r="AJ23" i="1"/>
  <c r="E21" i="2"/>
  <c r="AJ22" i="1"/>
  <c r="E20" i="2"/>
  <c r="AJ21" i="1"/>
  <c r="E19" i="2"/>
  <c r="AJ20" i="1"/>
  <c r="E18" i="2"/>
  <c r="AJ19" i="1"/>
  <c r="E17" i="2"/>
  <c r="AJ18" i="1"/>
  <c r="E16" i="2"/>
  <c r="AJ17" i="1"/>
  <c r="E15" i="2"/>
  <c r="AJ16" i="1"/>
  <c r="E14" i="2"/>
  <c r="AJ15" i="1"/>
  <c r="E13" i="2"/>
  <c r="AJ14" i="1"/>
  <c r="E12" i="2"/>
  <c r="AJ13" i="1"/>
  <c r="E11" i="2"/>
  <c r="AJ12" i="1"/>
  <c r="AJ4" i="1"/>
  <c r="Q4" i="1"/>
  <c r="P4" i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9" i="2"/>
  <c r="A8" i="2"/>
  <c r="A7" i="2"/>
  <c r="A6" i="2"/>
  <c r="A5" i="2"/>
  <c r="A4" i="2"/>
  <c r="A3" i="2"/>
  <c r="A2" i="2"/>
  <c r="D93" i="2"/>
  <c r="G93" i="2"/>
  <c r="J93" i="2"/>
  <c r="K93" i="2"/>
  <c r="S93" i="2"/>
  <c r="AE24" i="1"/>
  <c r="E93" i="2"/>
  <c r="F93" i="2"/>
  <c r="R93" i="2"/>
  <c r="AD24" i="1"/>
  <c r="H93" i="2"/>
  <c r="I93" i="2"/>
  <c r="Q93" i="2"/>
  <c r="AC24" i="1"/>
  <c r="P93" i="2"/>
  <c r="AB24" i="1"/>
  <c r="O93" i="2"/>
  <c r="AA24" i="1"/>
  <c r="N93" i="2"/>
  <c r="Z24" i="1"/>
  <c r="M93" i="2"/>
  <c r="Y24" i="1"/>
  <c r="L93" i="2"/>
  <c r="X24" i="1"/>
  <c r="D92" i="2"/>
  <c r="G92" i="2"/>
  <c r="J92" i="2"/>
  <c r="K92" i="2"/>
  <c r="S92" i="2"/>
  <c r="AE23" i="1"/>
  <c r="E92" i="2"/>
  <c r="F92" i="2"/>
  <c r="R92" i="2"/>
  <c r="AD23" i="1"/>
  <c r="H92" i="2"/>
  <c r="I92" i="2"/>
  <c r="Q92" i="2"/>
  <c r="AC23" i="1"/>
  <c r="P92" i="2"/>
  <c r="AB23" i="1"/>
  <c r="O92" i="2"/>
  <c r="AA23" i="1"/>
  <c r="N92" i="2"/>
  <c r="Z23" i="1"/>
  <c r="M92" i="2"/>
  <c r="Y23" i="1"/>
  <c r="L92" i="2"/>
  <c r="X23" i="1"/>
  <c r="D91" i="2"/>
  <c r="G91" i="2"/>
  <c r="J91" i="2"/>
  <c r="K91" i="2"/>
  <c r="S91" i="2"/>
  <c r="AE22" i="1"/>
  <c r="E91" i="2"/>
  <c r="F91" i="2"/>
  <c r="R91" i="2"/>
  <c r="AD22" i="1"/>
  <c r="H91" i="2"/>
  <c r="I91" i="2"/>
  <c r="Q91" i="2"/>
  <c r="AC22" i="1"/>
  <c r="P91" i="2"/>
  <c r="AB22" i="1"/>
  <c r="O91" i="2"/>
  <c r="AA22" i="1"/>
  <c r="N91" i="2"/>
  <c r="Z22" i="1"/>
  <c r="M91" i="2"/>
  <c r="Y22" i="1"/>
  <c r="L91" i="2"/>
  <c r="X22" i="1"/>
  <c r="D90" i="2"/>
  <c r="G90" i="2"/>
  <c r="J90" i="2"/>
  <c r="K90" i="2"/>
  <c r="S90" i="2"/>
  <c r="AE21" i="1"/>
  <c r="E90" i="2"/>
  <c r="F90" i="2"/>
  <c r="R90" i="2"/>
  <c r="AD21" i="1"/>
  <c r="H90" i="2"/>
  <c r="I90" i="2"/>
  <c r="Q90" i="2"/>
  <c r="AC21" i="1"/>
  <c r="P90" i="2"/>
  <c r="AB21" i="1"/>
  <c r="O90" i="2"/>
  <c r="AA21" i="1"/>
  <c r="N90" i="2"/>
  <c r="Z21" i="1"/>
  <c r="M90" i="2"/>
  <c r="Y21" i="1"/>
  <c r="L90" i="2"/>
  <c r="X21" i="1"/>
  <c r="D89" i="2"/>
  <c r="G89" i="2"/>
  <c r="J89" i="2"/>
  <c r="K89" i="2"/>
  <c r="S89" i="2"/>
  <c r="AE20" i="1"/>
  <c r="E89" i="2"/>
  <c r="F89" i="2"/>
  <c r="R89" i="2"/>
  <c r="AD20" i="1"/>
  <c r="H89" i="2"/>
  <c r="I89" i="2"/>
  <c r="Q89" i="2"/>
  <c r="AC20" i="1"/>
  <c r="P89" i="2"/>
  <c r="AB20" i="1"/>
  <c r="O89" i="2"/>
  <c r="AA20" i="1"/>
  <c r="N89" i="2"/>
  <c r="Z20" i="1"/>
  <c r="M89" i="2"/>
  <c r="Y20" i="1"/>
  <c r="L89" i="2"/>
  <c r="X20" i="1"/>
  <c r="D88" i="2"/>
  <c r="G88" i="2"/>
  <c r="J88" i="2"/>
  <c r="K88" i="2"/>
  <c r="S88" i="2"/>
  <c r="AE19" i="1"/>
  <c r="E88" i="2"/>
  <c r="F88" i="2"/>
  <c r="R88" i="2"/>
  <c r="AD19" i="1"/>
  <c r="H88" i="2"/>
  <c r="I88" i="2"/>
  <c r="Q88" i="2"/>
  <c r="AC19" i="1"/>
  <c r="P88" i="2"/>
  <c r="AB19" i="1"/>
  <c r="O88" i="2"/>
  <c r="AA19" i="1"/>
  <c r="N88" i="2"/>
  <c r="Z19" i="1"/>
  <c r="M88" i="2"/>
  <c r="Y19" i="1"/>
  <c r="L88" i="2"/>
  <c r="X19" i="1"/>
  <c r="D87" i="2"/>
  <c r="G87" i="2"/>
  <c r="J87" i="2"/>
  <c r="K87" i="2"/>
  <c r="S87" i="2"/>
  <c r="AE18" i="1"/>
  <c r="E87" i="2"/>
  <c r="F87" i="2"/>
  <c r="R87" i="2"/>
  <c r="AD18" i="1"/>
  <c r="H87" i="2"/>
  <c r="I87" i="2"/>
  <c r="Q87" i="2"/>
  <c r="AC18" i="1"/>
  <c r="P87" i="2"/>
  <c r="AB18" i="1"/>
  <c r="O87" i="2"/>
  <c r="AA18" i="1"/>
  <c r="N87" i="2"/>
  <c r="Z18" i="1"/>
  <c r="M87" i="2"/>
  <c r="Y18" i="1"/>
  <c r="L87" i="2"/>
  <c r="X18" i="1"/>
  <c r="D86" i="2"/>
  <c r="G86" i="2"/>
  <c r="J86" i="2"/>
  <c r="K86" i="2"/>
  <c r="S86" i="2"/>
  <c r="AE17" i="1"/>
  <c r="E86" i="2"/>
  <c r="F86" i="2"/>
  <c r="R86" i="2"/>
  <c r="AD17" i="1"/>
  <c r="H86" i="2"/>
  <c r="I86" i="2"/>
  <c r="Q86" i="2"/>
  <c r="AC17" i="1"/>
  <c r="P86" i="2"/>
  <c r="AB17" i="1"/>
  <c r="O86" i="2"/>
  <c r="AA17" i="1"/>
  <c r="N86" i="2"/>
  <c r="Z17" i="1"/>
  <c r="M86" i="2"/>
  <c r="Y17" i="1"/>
  <c r="L86" i="2"/>
  <c r="X17" i="1"/>
  <c r="D85" i="2"/>
  <c r="G85" i="2"/>
  <c r="J85" i="2"/>
  <c r="K85" i="2"/>
  <c r="S85" i="2"/>
  <c r="AE16" i="1"/>
  <c r="E85" i="2"/>
  <c r="F85" i="2"/>
  <c r="R85" i="2"/>
  <c r="AD16" i="1"/>
  <c r="H85" i="2"/>
  <c r="I85" i="2"/>
  <c r="Q85" i="2"/>
  <c r="AC16" i="1"/>
  <c r="P85" i="2"/>
  <c r="AB16" i="1"/>
  <c r="O85" i="2"/>
  <c r="AA16" i="1"/>
  <c r="N85" i="2"/>
  <c r="Z16" i="1"/>
  <c r="M85" i="2"/>
  <c r="Y16" i="1"/>
  <c r="L85" i="2"/>
  <c r="X16" i="1"/>
  <c r="D84" i="2"/>
  <c r="G84" i="2"/>
  <c r="J84" i="2"/>
  <c r="K84" i="2"/>
  <c r="S84" i="2"/>
  <c r="AE15" i="1"/>
  <c r="E84" i="2"/>
  <c r="F84" i="2"/>
  <c r="R84" i="2"/>
  <c r="AD15" i="1"/>
  <c r="H84" i="2"/>
  <c r="I84" i="2"/>
  <c r="Q84" i="2"/>
  <c r="AC15" i="1"/>
  <c r="P84" i="2"/>
  <c r="AB15" i="1"/>
  <c r="O84" i="2"/>
  <c r="AA15" i="1"/>
  <c r="N84" i="2"/>
  <c r="Z15" i="1"/>
  <c r="M84" i="2"/>
  <c r="Y15" i="1"/>
  <c r="L84" i="2"/>
  <c r="X15" i="1"/>
  <c r="D83" i="2"/>
  <c r="G83" i="2"/>
  <c r="J83" i="2"/>
  <c r="K83" i="2"/>
  <c r="S83" i="2"/>
  <c r="AE14" i="1"/>
  <c r="E83" i="2"/>
  <c r="F83" i="2"/>
  <c r="R83" i="2"/>
  <c r="AD14" i="1"/>
  <c r="H83" i="2"/>
  <c r="I83" i="2"/>
  <c r="Q83" i="2"/>
  <c r="AC14" i="1"/>
  <c r="P83" i="2"/>
  <c r="AB14" i="1"/>
  <c r="O83" i="2"/>
  <c r="AA14" i="1"/>
  <c r="N83" i="2"/>
  <c r="Z14" i="1"/>
  <c r="M83" i="2"/>
  <c r="Y14" i="1"/>
  <c r="L83" i="2"/>
  <c r="X14" i="1"/>
  <c r="D82" i="2"/>
  <c r="G82" i="2"/>
  <c r="J82" i="2"/>
  <c r="K82" i="2"/>
  <c r="S82" i="2"/>
  <c r="AE13" i="1"/>
  <c r="E82" i="2"/>
  <c r="F82" i="2"/>
  <c r="R82" i="2"/>
  <c r="AD13" i="1"/>
  <c r="H82" i="2"/>
  <c r="I82" i="2"/>
  <c r="Q82" i="2"/>
  <c r="AC13" i="1"/>
  <c r="P82" i="2"/>
  <c r="AB13" i="1"/>
  <c r="O82" i="2"/>
  <c r="AA13" i="1"/>
  <c r="N82" i="2"/>
  <c r="Z13" i="1"/>
  <c r="M82" i="2"/>
  <c r="Y13" i="1"/>
  <c r="L82" i="2"/>
  <c r="X13" i="1"/>
  <c r="D81" i="2"/>
  <c r="G81" i="2"/>
  <c r="J81" i="2"/>
  <c r="K81" i="2"/>
  <c r="S81" i="2"/>
  <c r="AE12" i="1"/>
  <c r="E81" i="2"/>
  <c r="F81" i="2"/>
  <c r="R81" i="2"/>
  <c r="AD12" i="1"/>
  <c r="H81" i="2"/>
  <c r="I81" i="2"/>
  <c r="Q81" i="2"/>
  <c r="AC12" i="1"/>
  <c r="P81" i="2"/>
  <c r="AB12" i="1"/>
  <c r="O81" i="2"/>
  <c r="AA12" i="1"/>
  <c r="N81" i="2"/>
  <c r="Z12" i="1"/>
  <c r="M81" i="2"/>
  <c r="Y12" i="1"/>
  <c r="L81" i="2"/>
  <c r="X12" i="1"/>
  <c r="D79" i="2"/>
  <c r="G79" i="2"/>
  <c r="J79" i="2"/>
  <c r="K79" i="2"/>
  <c r="S79" i="2"/>
  <c r="AE10" i="1"/>
  <c r="E79" i="2"/>
  <c r="F79" i="2"/>
  <c r="R79" i="2"/>
  <c r="AD10" i="1"/>
  <c r="H79" i="2"/>
  <c r="I79" i="2"/>
  <c r="Q79" i="2"/>
  <c r="AC10" i="1"/>
  <c r="P79" i="2"/>
  <c r="AB10" i="1"/>
  <c r="O79" i="2"/>
  <c r="AA10" i="1"/>
  <c r="N79" i="2"/>
  <c r="Z10" i="1"/>
  <c r="M79" i="2"/>
  <c r="Y10" i="1"/>
  <c r="L79" i="2"/>
  <c r="X10" i="1"/>
  <c r="D78" i="2"/>
  <c r="G78" i="2"/>
  <c r="J78" i="2"/>
  <c r="K78" i="2"/>
  <c r="S78" i="2"/>
  <c r="AE9" i="1"/>
  <c r="E78" i="2"/>
  <c r="F78" i="2"/>
  <c r="R78" i="2"/>
  <c r="AD9" i="1"/>
  <c r="H78" i="2"/>
  <c r="I78" i="2"/>
  <c r="Q78" i="2"/>
  <c r="AC9" i="1"/>
  <c r="P78" i="2"/>
  <c r="AB9" i="1"/>
  <c r="O78" i="2"/>
  <c r="AA9" i="1"/>
  <c r="N78" i="2"/>
  <c r="Z9" i="1"/>
  <c r="M78" i="2"/>
  <c r="Y9" i="1"/>
  <c r="L78" i="2"/>
  <c r="X9" i="1"/>
  <c r="D77" i="2"/>
  <c r="G77" i="2"/>
  <c r="J77" i="2"/>
  <c r="K77" i="2"/>
  <c r="S77" i="2"/>
  <c r="AE8" i="1"/>
  <c r="E77" i="2"/>
  <c r="F77" i="2"/>
  <c r="R77" i="2"/>
  <c r="AD8" i="1"/>
  <c r="H77" i="2"/>
  <c r="I77" i="2"/>
  <c r="Q77" i="2"/>
  <c r="AC8" i="1"/>
  <c r="P77" i="2"/>
  <c r="AB8" i="1"/>
  <c r="O77" i="2"/>
  <c r="AA8" i="1"/>
  <c r="N77" i="2"/>
  <c r="Z8" i="1"/>
  <c r="M77" i="2"/>
  <c r="Y8" i="1"/>
  <c r="L77" i="2"/>
  <c r="X8" i="1"/>
  <c r="D76" i="2"/>
  <c r="G76" i="2"/>
  <c r="J76" i="2"/>
  <c r="K76" i="2"/>
  <c r="S76" i="2"/>
  <c r="AE7" i="1"/>
  <c r="E76" i="2"/>
  <c r="F76" i="2"/>
  <c r="R76" i="2"/>
  <c r="AD7" i="1"/>
  <c r="H76" i="2"/>
  <c r="I76" i="2"/>
  <c r="Q76" i="2"/>
  <c r="AC7" i="1"/>
  <c r="P76" i="2"/>
  <c r="AB7" i="1"/>
  <c r="O76" i="2"/>
  <c r="AA7" i="1"/>
  <c r="N76" i="2"/>
  <c r="Z7" i="1"/>
  <c r="M76" i="2"/>
  <c r="Y7" i="1"/>
  <c r="L76" i="2"/>
  <c r="X7" i="1"/>
  <c r="D75" i="2"/>
  <c r="G75" i="2"/>
  <c r="J75" i="2"/>
  <c r="K75" i="2"/>
  <c r="S75" i="2"/>
  <c r="AE6" i="1"/>
  <c r="E75" i="2"/>
  <c r="F75" i="2"/>
  <c r="R75" i="2"/>
  <c r="AD6" i="1"/>
  <c r="H75" i="2"/>
  <c r="I75" i="2"/>
  <c r="Q75" i="2"/>
  <c r="AC6" i="1"/>
  <c r="P75" i="2"/>
  <c r="AB6" i="1"/>
  <c r="O75" i="2"/>
  <c r="AA6" i="1"/>
  <c r="N75" i="2"/>
  <c r="Z6" i="1"/>
  <c r="M75" i="2"/>
  <c r="Y6" i="1"/>
  <c r="L75" i="2"/>
  <c r="X6" i="1"/>
  <c r="D74" i="2"/>
  <c r="G74" i="2"/>
  <c r="J74" i="2"/>
  <c r="K74" i="2"/>
  <c r="S74" i="2"/>
  <c r="AE5" i="1"/>
  <c r="E74" i="2"/>
  <c r="F74" i="2"/>
  <c r="R74" i="2"/>
  <c r="AD5" i="1"/>
  <c r="H74" i="2"/>
  <c r="I74" i="2"/>
  <c r="Q74" i="2"/>
  <c r="AC5" i="1"/>
  <c r="P74" i="2"/>
  <c r="AB5" i="1"/>
  <c r="O74" i="2"/>
  <c r="AA5" i="1"/>
  <c r="N74" i="2"/>
  <c r="Z5" i="1"/>
  <c r="M74" i="2"/>
  <c r="Y5" i="1"/>
  <c r="L74" i="2"/>
  <c r="X5" i="1"/>
  <c r="B126" i="2"/>
  <c r="C126" i="2"/>
  <c r="G126" i="2"/>
  <c r="E126" i="2"/>
  <c r="I126" i="2"/>
  <c r="F126" i="2"/>
  <c r="D126" i="2"/>
  <c r="H126" i="2"/>
  <c r="B125" i="2"/>
  <c r="C125" i="2"/>
  <c r="G125" i="2"/>
  <c r="E125" i="2"/>
  <c r="I125" i="2"/>
  <c r="F125" i="2"/>
  <c r="D125" i="2"/>
  <c r="H125" i="2"/>
  <c r="B124" i="2"/>
  <c r="C124" i="2"/>
  <c r="G124" i="2"/>
  <c r="E124" i="2"/>
  <c r="I124" i="2"/>
  <c r="F124" i="2"/>
  <c r="D124" i="2"/>
  <c r="H124" i="2"/>
  <c r="B123" i="2"/>
  <c r="C123" i="2"/>
  <c r="G123" i="2"/>
  <c r="E123" i="2"/>
  <c r="I123" i="2"/>
  <c r="F123" i="2"/>
  <c r="D123" i="2"/>
  <c r="H123" i="2"/>
  <c r="B122" i="2"/>
  <c r="C122" i="2"/>
  <c r="G122" i="2"/>
  <c r="E122" i="2"/>
  <c r="I122" i="2"/>
  <c r="F122" i="2"/>
  <c r="D122" i="2"/>
  <c r="H122" i="2"/>
  <c r="B121" i="2"/>
  <c r="C121" i="2"/>
  <c r="G121" i="2"/>
  <c r="E121" i="2"/>
  <c r="I121" i="2"/>
  <c r="F121" i="2"/>
  <c r="D121" i="2"/>
  <c r="H121" i="2"/>
  <c r="B120" i="2"/>
  <c r="C120" i="2"/>
  <c r="G120" i="2"/>
  <c r="E120" i="2"/>
  <c r="I120" i="2"/>
  <c r="F120" i="2"/>
  <c r="D120" i="2"/>
  <c r="H120" i="2"/>
  <c r="B119" i="2"/>
  <c r="C119" i="2"/>
  <c r="G119" i="2"/>
  <c r="E119" i="2"/>
  <c r="I119" i="2"/>
  <c r="F119" i="2"/>
  <c r="D119" i="2"/>
  <c r="H119" i="2"/>
  <c r="B118" i="2"/>
  <c r="C118" i="2"/>
  <c r="G118" i="2"/>
  <c r="E118" i="2"/>
  <c r="I118" i="2"/>
  <c r="F118" i="2"/>
  <c r="D118" i="2"/>
  <c r="H118" i="2"/>
  <c r="B117" i="2"/>
  <c r="C117" i="2"/>
  <c r="G117" i="2"/>
  <c r="E117" i="2"/>
  <c r="I117" i="2"/>
  <c r="F117" i="2"/>
  <c r="D117" i="2"/>
  <c r="H117" i="2"/>
  <c r="B115" i="2"/>
  <c r="C115" i="2"/>
  <c r="G115" i="2"/>
  <c r="E115" i="2"/>
  <c r="I115" i="2"/>
  <c r="F115" i="2"/>
  <c r="D115" i="2"/>
  <c r="H115" i="2"/>
  <c r="B114" i="2"/>
  <c r="C114" i="2"/>
  <c r="G114" i="2"/>
  <c r="E114" i="2"/>
  <c r="I114" i="2"/>
  <c r="F114" i="2"/>
  <c r="D114" i="2"/>
  <c r="H114" i="2"/>
  <c r="B113" i="2"/>
  <c r="C113" i="2"/>
  <c r="G113" i="2"/>
  <c r="E113" i="2"/>
  <c r="I113" i="2"/>
  <c r="F113" i="2"/>
  <c r="D113" i="2"/>
  <c r="H113" i="2"/>
  <c r="B112" i="2"/>
  <c r="C112" i="2"/>
  <c r="G112" i="2"/>
  <c r="E112" i="2"/>
  <c r="I112" i="2"/>
  <c r="F112" i="2"/>
  <c r="D112" i="2"/>
  <c r="H112" i="2"/>
  <c r="B111" i="2"/>
  <c r="C111" i="2"/>
  <c r="G111" i="2"/>
  <c r="E111" i="2"/>
  <c r="I111" i="2"/>
  <c r="F111" i="2"/>
  <c r="D111" i="2"/>
  <c r="H111" i="2"/>
  <c r="B110" i="2"/>
  <c r="C110" i="2"/>
  <c r="G110" i="2"/>
  <c r="E110" i="2"/>
  <c r="I110" i="2"/>
  <c r="F110" i="2"/>
  <c r="D110" i="2"/>
  <c r="H110" i="2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0" i="1"/>
  <c r="O9" i="1"/>
  <c r="O8" i="1"/>
  <c r="O7" i="1"/>
  <c r="O6" i="1"/>
  <c r="O5" i="1"/>
  <c r="B129" i="2"/>
  <c r="C129" i="2"/>
  <c r="G129" i="2"/>
  <c r="E129" i="2"/>
  <c r="I129" i="2"/>
  <c r="F129" i="2"/>
  <c r="D129" i="2"/>
  <c r="H129" i="2"/>
  <c r="A93" i="2"/>
  <c r="A129" i="2"/>
  <c r="B128" i="2"/>
  <c r="C128" i="2"/>
  <c r="G128" i="2"/>
  <c r="E128" i="2"/>
  <c r="I128" i="2"/>
  <c r="F128" i="2"/>
  <c r="D128" i="2"/>
  <c r="H128" i="2"/>
  <c r="A92" i="2"/>
  <c r="A128" i="2"/>
  <c r="B127" i="2"/>
  <c r="C127" i="2"/>
  <c r="G127" i="2"/>
  <c r="E127" i="2"/>
  <c r="I127" i="2"/>
  <c r="F127" i="2"/>
  <c r="D127" i="2"/>
  <c r="H127" i="2"/>
  <c r="A91" i="2"/>
  <c r="A127" i="2"/>
  <c r="A90" i="2"/>
  <c r="A126" i="2"/>
  <c r="A89" i="2"/>
  <c r="A125" i="2"/>
  <c r="A88" i="2"/>
  <c r="A124" i="2"/>
  <c r="A87" i="2"/>
  <c r="A123" i="2"/>
  <c r="A86" i="2"/>
  <c r="A122" i="2"/>
  <c r="A85" i="2"/>
  <c r="A121" i="2"/>
  <c r="A84" i="2"/>
  <c r="A120" i="2"/>
  <c r="A83" i="2"/>
  <c r="A119" i="2"/>
  <c r="A82" i="2"/>
  <c r="A118" i="2"/>
  <c r="A81" i="2"/>
  <c r="A117" i="2"/>
  <c r="A79" i="2"/>
  <c r="A115" i="2"/>
  <c r="A78" i="2"/>
  <c r="A114" i="2"/>
  <c r="A77" i="2"/>
  <c r="A113" i="2"/>
  <c r="A76" i="2"/>
  <c r="A112" i="2"/>
  <c r="A75" i="2"/>
  <c r="A111" i="2"/>
  <c r="A74" i="2"/>
  <c r="A110" i="2"/>
  <c r="B109" i="2"/>
  <c r="C109" i="2"/>
  <c r="G109" i="2"/>
  <c r="E109" i="2"/>
  <c r="I109" i="2"/>
  <c r="F109" i="2"/>
  <c r="D109" i="2"/>
  <c r="H109" i="2"/>
  <c r="A73" i="2"/>
  <c r="A109" i="2"/>
  <c r="Q3" i="1"/>
  <c r="C72" i="2"/>
  <c r="P3" i="1"/>
  <c r="B72" i="2"/>
  <c r="T93" i="2"/>
  <c r="Z93" i="2"/>
  <c r="AD93" i="2"/>
  <c r="AC93" i="2"/>
  <c r="AB93" i="2"/>
  <c r="AA93" i="2"/>
  <c r="U93" i="2"/>
  <c r="Y93" i="2"/>
  <c r="X93" i="2"/>
  <c r="W93" i="2"/>
  <c r="V93" i="2"/>
  <c r="T92" i="2"/>
  <c r="Z92" i="2"/>
  <c r="AD92" i="2"/>
  <c r="AC92" i="2"/>
  <c r="AB92" i="2"/>
  <c r="AA92" i="2"/>
  <c r="U92" i="2"/>
  <c r="Y92" i="2"/>
  <c r="X92" i="2"/>
  <c r="W92" i="2"/>
  <c r="V92" i="2"/>
  <c r="T91" i="2"/>
  <c r="Z91" i="2"/>
  <c r="AD91" i="2"/>
  <c r="AC91" i="2"/>
  <c r="AB91" i="2"/>
  <c r="AA91" i="2"/>
  <c r="U91" i="2"/>
  <c r="Y91" i="2"/>
  <c r="X91" i="2"/>
  <c r="W91" i="2"/>
  <c r="V91" i="2"/>
  <c r="T90" i="2"/>
  <c r="Z90" i="2"/>
  <c r="AD90" i="2"/>
  <c r="AC90" i="2"/>
  <c r="AB90" i="2"/>
  <c r="AA90" i="2"/>
  <c r="U90" i="2"/>
  <c r="Y90" i="2"/>
  <c r="X90" i="2"/>
  <c r="W90" i="2"/>
  <c r="V90" i="2"/>
  <c r="T89" i="2"/>
  <c r="Z89" i="2"/>
  <c r="AD89" i="2"/>
  <c r="AC89" i="2"/>
  <c r="AB89" i="2"/>
  <c r="AA89" i="2"/>
  <c r="U89" i="2"/>
  <c r="Y89" i="2"/>
  <c r="X89" i="2"/>
  <c r="W89" i="2"/>
  <c r="V89" i="2"/>
  <c r="T88" i="2"/>
  <c r="Z88" i="2"/>
  <c r="AD88" i="2"/>
  <c r="AC88" i="2"/>
  <c r="AB88" i="2"/>
  <c r="AA88" i="2"/>
  <c r="U88" i="2"/>
  <c r="Y88" i="2"/>
  <c r="X88" i="2"/>
  <c r="W88" i="2"/>
  <c r="V88" i="2"/>
  <c r="T87" i="2"/>
  <c r="Z87" i="2"/>
  <c r="AD87" i="2"/>
  <c r="AC87" i="2"/>
  <c r="AB87" i="2"/>
  <c r="AA87" i="2"/>
  <c r="U87" i="2"/>
  <c r="Y87" i="2"/>
  <c r="X87" i="2"/>
  <c r="W87" i="2"/>
  <c r="V87" i="2"/>
  <c r="T86" i="2"/>
  <c r="Z86" i="2"/>
  <c r="AD86" i="2"/>
  <c r="AC86" i="2"/>
  <c r="AB86" i="2"/>
  <c r="AA86" i="2"/>
  <c r="U86" i="2"/>
  <c r="Y86" i="2"/>
  <c r="X86" i="2"/>
  <c r="W86" i="2"/>
  <c r="V86" i="2"/>
  <c r="T85" i="2"/>
  <c r="Z85" i="2"/>
  <c r="AD85" i="2"/>
  <c r="AC85" i="2"/>
  <c r="AB85" i="2"/>
  <c r="AA85" i="2"/>
  <c r="U85" i="2"/>
  <c r="Y85" i="2"/>
  <c r="X85" i="2"/>
  <c r="W85" i="2"/>
  <c r="V85" i="2"/>
  <c r="T84" i="2"/>
  <c r="Z84" i="2"/>
  <c r="AD84" i="2"/>
  <c r="AC84" i="2"/>
  <c r="AB84" i="2"/>
  <c r="AA84" i="2"/>
  <c r="U84" i="2"/>
  <c r="Y84" i="2"/>
  <c r="X84" i="2"/>
  <c r="W84" i="2"/>
  <c r="V84" i="2"/>
  <c r="T83" i="2"/>
  <c r="Z83" i="2"/>
  <c r="AD83" i="2"/>
  <c r="AC83" i="2"/>
  <c r="AB83" i="2"/>
  <c r="AA83" i="2"/>
  <c r="U83" i="2"/>
  <c r="Y83" i="2"/>
  <c r="X83" i="2"/>
  <c r="W83" i="2"/>
  <c r="V83" i="2"/>
  <c r="T82" i="2"/>
  <c r="Z82" i="2"/>
  <c r="AD82" i="2"/>
  <c r="AC82" i="2"/>
  <c r="AB82" i="2"/>
  <c r="AA82" i="2"/>
  <c r="U82" i="2"/>
  <c r="Y82" i="2"/>
  <c r="X82" i="2"/>
  <c r="W82" i="2"/>
  <c r="V82" i="2"/>
  <c r="T81" i="2"/>
  <c r="Z81" i="2"/>
  <c r="AD81" i="2"/>
  <c r="AC81" i="2"/>
  <c r="AB81" i="2"/>
  <c r="AA81" i="2"/>
  <c r="U81" i="2"/>
  <c r="Y81" i="2"/>
  <c r="X81" i="2"/>
  <c r="W81" i="2"/>
  <c r="V81" i="2"/>
  <c r="T79" i="2"/>
  <c r="Z79" i="2"/>
  <c r="AD79" i="2"/>
  <c r="AC79" i="2"/>
  <c r="AB79" i="2"/>
  <c r="AA79" i="2"/>
  <c r="U79" i="2"/>
  <c r="Y79" i="2"/>
  <c r="X79" i="2"/>
  <c r="W79" i="2"/>
  <c r="V79" i="2"/>
  <c r="T78" i="2"/>
  <c r="Z78" i="2"/>
  <c r="AD78" i="2"/>
  <c r="AC78" i="2"/>
  <c r="AB78" i="2"/>
  <c r="AA78" i="2"/>
  <c r="U78" i="2"/>
  <c r="Y78" i="2"/>
  <c r="X78" i="2"/>
  <c r="W78" i="2"/>
  <c r="V78" i="2"/>
  <c r="T77" i="2"/>
  <c r="Z77" i="2"/>
  <c r="AD77" i="2"/>
  <c r="AC77" i="2"/>
  <c r="AB77" i="2"/>
  <c r="AA77" i="2"/>
  <c r="U77" i="2"/>
  <c r="Y77" i="2"/>
  <c r="X77" i="2"/>
  <c r="W77" i="2"/>
  <c r="V77" i="2"/>
  <c r="T76" i="2"/>
  <c r="Z76" i="2"/>
  <c r="AD76" i="2"/>
  <c r="AC76" i="2"/>
  <c r="AB76" i="2"/>
  <c r="AA76" i="2"/>
  <c r="U76" i="2"/>
  <c r="Y76" i="2"/>
  <c r="X76" i="2"/>
  <c r="W76" i="2"/>
  <c r="V76" i="2"/>
  <c r="T75" i="2"/>
  <c r="Z75" i="2"/>
  <c r="AD75" i="2"/>
  <c r="AC75" i="2"/>
  <c r="AB75" i="2"/>
  <c r="AA75" i="2"/>
  <c r="U75" i="2"/>
  <c r="Y75" i="2"/>
  <c r="X75" i="2"/>
  <c r="W75" i="2"/>
  <c r="V75" i="2"/>
  <c r="T74" i="2"/>
  <c r="Z74" i="2"/>
  <c r="AD74" i="2"/>
  <c r="AC74" i="2"/>
  <c r="AB74" i="2"/>
  <c r="AA74" i="2"/>
  <c r="U74" i="2"/>
  <c r="Y74" i="2"/>
  <c r="X74" i="2"/>
  <c r="W74" i="2"/>
  <c r="V74" i="2"/>
  <c r="D73" i="2"/>
  <c r="H73" i="2"/>
  <c r="L73" i="2"/>
  <c r="T73" i="2"/>
  <c r="P73" i="2"/>
  <c r="Z73" i="2"/>
  <c r="AD73" i="2"/>
  <c r="G73" i="2"/>
  <c r="J73" i="2"/>
  <c r="K73" i="2"/>
  <c r="O73" i="2"/>
  <c r="S73" i="2"/>
  <c r="AC73" i="2"/>
  <c r="E73" i="2"/>
  <c r="F73" i="2"/>
  <c r="N73" i="2"/>
  <c r="R73" i="2"/>
  <c r="AB73" i="2"/>
  <c r="I73" i="2"/>
  <c r="M73" i="2"/>
  <c r="Q73" i="2"/>
  <c r="AA73" i="2"/>
  <c r="U73" i="2"/>
  <c r="Y73" i="2"/>
  <c r="X73" i="2"/>
  <c r="W73" i="2"/>
  <c r="V73" i="2"/>
  <c r="J72" i="2"/>
  <c r="H72" i="2"/>
  <c r="E72" i="2"/>
  <c r="D72" i="2"/>
  <c r="B108" i="2"/>
  <c r="A72" i="2"/>
  <c r="A108" i="2"/>
  <c r="L72" i="2"/>
  <c r="P72" i="2"/>
  <c r="G72" i="2"/>
  <c r="K72" i="2"/>
  <c r="O72" i="2"/>
  <c r="S72" i="2"/>
  <c r="F72" i="2"/>
  <c r="N72" i="2"/>
  <c r="R72" i="2"/>
  <c r="I72" i="2"/>
  <c r="M72" i="2"/>
  <c r="Q72" i="2"/>
  <c r="AE4" i="1"/>
  <c r="AD4" i="1"/>
  <c r="AC4" i="1"/>
  <c r="AB4" i="1"/>
  <c r="AA4" i="1"/>
  <c r="Z4" i="1"/>
  <c r="Y4" i="1"/>
  <c r="X4" i="1"/>
  <c r="AE3" i="1"/>
  <c r="AD3" i="1"/>
  <c r="AC3" i="1"/>
  <c r="AB3" i="1"/>
  <c r="AA3" i="1"/>
  <c r="Z3" i="1"/>
  <c r="Y3" i="1"/>
  <c r="X3" i="1"/>
  <c r="O22" i="1"/>
  <c r="N22" i="1"/>
  <c r="O23" i="1"/>
  <c r="N23" i="1"/>
  <c r="O24" i="1"/>
  <c r="N24" i="1"/>
  <c r="O4" i="1"/>
  <c r="N4" i="1"/>
  <c r="O3" i="1"/>
  <c r="N3" i="1"/>
  <c r="C108" i="2"/>
  <c r="F108" i="2"/>
  <c r="D108" i="2"/>
  <c r="H108" i="2"/>
  <c r="T72" i="2"/>
  <c r="V72" i="2"/>
  <c r="W72" i="2"/>
  <c r="X72" i="2"/>
  <c r="U72" i="2"/>
  <c r="Y72" i="2"/>
  <c r="AA72" i="2"/>
  <c r="AB72" i="2"/>
  <c r="AC72" i="2"/>
  <c r="Z72" i="2"/>
  <c r="AD72" i="2"/>
  <c r="E108" i="2"/>
  <c r="G108" i="2"/>
  <c r="I108" i="2"/>
  <c r="M96" i="2"/>
  <c r="AA96" i="2"/>
  <c r="N96" i="2"/>
  <c r="W96" i="2"/>
  <c r="V96" i="2"/>
  <c r="L96" i="2"/>
  <c r="U96" i="2"/>
  <c r="M95" i="2"/>
  <c r="AA95" i="2"/>
  <c r="N95" i="2"/>
  <c r="W95" i="2"/>
  <c r="V95" i="2"/>
  <c r="L95" i="2"/>
  <c r="U95" i="2"/>
  <c r="Z96" i="2"/>
  <c r="AD96" i="2"/>
  <c r="O96" i="2"/>
  <c r="AC96" i="2"/>
  <c r="AB96" i="2"/>
  <c r="Z95" i="2"/>
  <c r="AD95" i="2"/>
  <c r="O95" i="2"/>
  <c r="AC95" i="2"/>
  <c r="AB95" i="2"/>
  <c r="O27" i="1"/>
  <c r="N27" i="1"/>
  <c r="E132" i="2"/>
  <c r="Y96" i="2"/>
  <c r="G132" i="2"/>
  <c r="I132" i="2"/>
  <c r="D132" i="2"/>
  <c r="F132" i="2"/>
  <c r="H132" i="2"/>
  <c r="E131" i="2"/>
  <c r="G131" i="2"/>
  <c r="I131" i="2"/>
  <c r="D131" i="2"/>
  <c r="F131" i="2"/>
  <c r="H131" i="2"/>
  <c r="Y95" i="2"/>
  <c r="O26" i="1"/>
  <c r="N26" i="1"/>
  <c r="X26" i="1"/>
  <c r="Y26" i="1"/>
  <c r="Z26" i="1"/>
  <c r="X95" i="2"/>
  <c r="AA26" i="1"/>
  <c r="X27" i="1"/>
  <c r="Y27" i="1"/>
  <c r="Z27" i="1"/>
  <c r="X96" i="2"/>
  <c r="AA27" i="1"/>
</calcChain>
</file>

<file path=xl/sharedStrings.xml><?xml version="1.0" encoding="utf-8"?>
<sst xmlns="http://schemas.openxmlformats.org/spreadsheetml/2006/main" count="382" uniqueCount="219">
  <si>
    <t>Aperture Basic Info</t>
  </si>
  <si>
    <t>Detector Frame</t>
  </si>
  <si>
    <t>Science Frame</t>
  </si>
  <si>
    <t>V-Frame</t>
  </si>
  <si>
    <t>Frame Relationships</t>
  </si>
  <si>
    <t>Vertices</t>
  </si>
  <si>
    <t>Science to Ideal Polynomial</t>
  </si>
  <si>
    <t>InstrName</t>
  </si>
  <si>
    <t>AperName</t>
  </si>
  <si>
    <t>AperShape</t>
  </si>
  <si>
    <t>XDetSize</t>
  </si>
  <si>
    <t>YDetSize</t>
  </si>
  <si>
    <t>XDetRef</t>
  </si>
  <si>
    <t>YDetRef</t>
  </si>
  <si>
    <t>XSciSize</t>
  </si>
  <si>
    <t>YSciSize</t>
  </si>
  <si>
    <t>XSciRef</t>
  </si>
  <si>
    <t>YSciRef</t>
  </si>
  <si>
    <t>XSciScale</t>
  </si>
  <si>
    <t>YSciScale</t>
  </si>
  <si>
    <t>V2Ref</t>
  </si>
  <si>
    <t>V3Ref</t>
  </si>
  <si>
    <t>VIdlParity</t>
  </si>
  <si>
    <t>DetSciYAngle</t>
  </si>
  <si>
    <t>DetSciParity</t>
  </si>
  <si>
    <t>XIdlVert1</t>
  </si>
  <si>
    <t>XIdlVert2</t>
  </si>
  <si>
    <t>XIdlVert3</t>
  </si>
  <si>
    <t>XIdlVert4</t>
  </si>
  <si>
    <t>YIdlVert1</t>
  </si>
  <si>
    <t>YIdlVert2</t>
  </si>
  <si>
    <t>YIdlVert3</t>
  </si>
  <si>
    <t>YIdlVert4</t>
  </si>
  <si>
    <t>Sci2IdlDeg</t>
  </si>
  <si>
    <t>Sci2IdlX10</t>
  </si>
  <si>
    <t>Sci2IdlX11</t>
  </si>
  <si>
    <t>Sci2IdlX20</t>
  </si>
  <si>
    <t>Sci2IdlX21</t>
  </si>
  <si>
    <t>Sci2IdlX22</t>
  </si>
  <si>
    <t>Sci2IdlY10</t>
  </si>
  <si>
    <t>Sci2IdlY11</t>
  </si>
  <si>
    <t>Sci2IdlY20</t>
  </si>
  <si>
    <t>Sci2IdlY21</t>
  </si>
  <si>
    <t>Sci2IdlY22</t>
  </si>
  <si>
    <t>Idl2SciX10</t>
  </si>
  <si>
    <t>Idl2SciX11</t>
  </si>
  <si>
    <t>Idl2SciX20</t>
  </si>
  <si>
    <t>Idl2SciX21</t>
  </si>
  <si>
    <t>Idl2SciX22</t>
  </si>
  <si>
    <t>Idl2SciY10</t>
  </si>
  <si>
    <t>Idl2SciY11</t>
  </si>
  <si>
    <t>Idl2SciY20</t>
  </si>
  <si>
    <t>Idl2SciY21</t>
  </si>
  <si>
    <t>Idl2SciY22</t>
  </si>
  <si>
    <t>Comment</t>
  </si>
  <si>
    <t>Sci2IdlX30</t>
  </si>
  <si>
    <t>Sci2IdlX31</t>
  </si>
  <si>
    <t>Sci2IdlX32</t>
  </si>
  <si>
    <t>Sci2IdlX33</t>
  </si>
  <si>
    <t>Sci2IdlX40</t>
  </si>
  <si>
    <t>Sci2IdlX41</t>
  </si>
  <si>
    <t>Sci2IdlX42</t>
  </si>
  <si>
    <t>Sci2IdlX43</t>
  </si>
  <si>
    <t>Sci2IdlX44</t>
  </si>
  <si>
    <t>Sci2IdlY30</t>
  </si>
  <si>
    <t>Sci2IdlY31</t>
  </si>
  <si>
    <t>Sci2IdlY32</t>
  </si>
  <si>
    <t>Sci2IdlY33</t>
  </si>
  <si>
    <t>Sci2IdlY40</t>
  </si>
  <si>
    <t>Sci2IdlY41</t>
  </si>
  <si>
    <t>Sci2IdlY42</t>
  </si>
  <si>
    <t>Sci2IdlY43</t>
  </si>
  <si>
    <t>Sci2IdlY44</t>
  </si>
  <si>
    <t>Idl2SciX30</t>
  </si>
  <si>
    <t>Idl2SciX31</t>
  </si>
  <si>
    <t>Idl2SciX32</t>
  </si>
  <si>
    <t>Idl2SciX33</t>
  </si>
  <si>
    <t>Idl2SciX40</t>
  </si>
  <si>
    <t>Idl2SciX41</t>
  </si>
  <si>
    <t>Idl2SciX42</t>
  </si>
  <si>
    <t>Idl2SciX43</t>
  </si>
  <si>
    <t>Idl2SciX44</t>
  </si>
  <si>
    <t>Idl2SciY30</t>
  </si>
  <si>
    <t>Idl2SciY31</t>
  </si>
  <si>
    <t>Idl2SciY32</t>
  </si>
  <si>
    <t>Idl2SciY33</t>
  </si>
  <si>
    <t>Idl2SciY40</t>
  </si>
  <si>
    <t>Idl2SciY41</t>
  </si>
  <si>
    <t>Idl2SciY42</t>
  </si>
  <si>
    <t>Idl2SciY43</t>
  </si>
  <si>
    <t>Idl2SciY44</t>
  </si>
  <si>
    <t>NIRISS</t>
  </si>
  <si>
    <t>x1</t>
  </si>
  <si>
    <t>x2</t>
  </si>
  <si>
    <t>x3</t>
  </si>
  <si>
    <t>x4</t>
  </si>
  <si>
    <t>y1</t>
  </si>
  <si>
    <t>y2</t>
  </si>
  <si>
    <t>y3</t>
  </si>
  <si>
    <t>y4</t>
  </si>
  <si>
    <t>ix1</t>
  </si>
  <si>
    <t>ix2</t>
  </si>
  <si>
    <t>ix3</t>
  </si>
  <si>
    <t>ix4</t>
  </si>
  <si>
    <t>iy1</t>
  </si>
  <si>
    <t>iy2</t>
  </si>
  <si>
    <t>iy3</t>
  </si>
  <si>
    <t>iy4</t>
  </si>
  <si>
    <t>v2vert1</t>
  </si>
  <si>
    <t>v2vert2</t>
  </si>
  <si>
    <t>v2vert3</t>
  </si>
  <si>
    <t>v2vert4</t>
  </si>
  <si>
    <t>v3vert1</t>
  </si>
  <si>
    <t>v3vert2</t>
  </si>
  <si>
    <t>v3vert3</t>
  </si>
  <si>
    <t>v3vert4</t>
  </si>
  <si>
    <t>Radians</t>
  </si>
  <si>
    <t>QUAD</t>
  </si>
  <si>
    <t>UseAfterDate</t>
  </si>
  <si>
    <t>*END*</t>
  </si>
  <si>
    <t>V3SciXAngle</t>
  </si>
  <si>
    <t>V3SciYAngle</t>
  </si>
  <si>
    <t>Vparity</t>
  </si>
  <si>
    <t>dV2_dxSci</t>
  </si>
  <si>
    <t>dV2_dySci</t>
  </si>
  <si>
    <t>dV3_dxSci</t>
  </si>
  <si>
    <t>dV3_dySci</t>
  </si>
  <si>
    <t>V3XSciAngle</t>
  </si>
  <si>
    <t>V3YSciAngle</t>
  </si>
  <si>
    <t>V3IdlYAngle</t>
  </si>
  <si>
    <t>Main Config Table</t>
  </si>
  <si>
    <t>Field</t>
  </si>
  <si>
    <t>Value</t>
  </si>
  <si>
    <t>Last Row Item</t>
  </si>
  <si>
    <t>Data Worksheet Name</t>
  </si>
  <si>
    <t>Excel Sheet Header Row</t>
  </si>
  <si>
    <t>Xpath Root</t>
  </si>
  <si>
    <t>Main List Node</t>
  </si>
  <si>
    <t>Foreign Key</t>
  </si>
  <si>
    <t>SIAF</t>
  </si>
  <si>
    <t>2</t>
  </si>
  <si>
    <t>/SiafEntries/SiafEntry</t>
  </si>
  <si>
    <t>True</t>
  </si>
  <si>
    <t>Sci2IdlX50</t>
  </si>
  <si>
    <t>Sci2IdlX51</t>
  </si>
  <si>
    <t>Sci2IdlX52</t>
  </si>
  <si>
    <t>Sci2IdlX53</t>
  </si>
  <si>
    <t>Sci2IdlX54</t>
  </si>
  <si>
    <t>Sci2IdlX55</t>
  </si>
  <si>
    <t>Sci2IdlY50</t>
  </si>
  <si>
    <t>Sci2IdlY51</t>
  </si>
  <si>
    <t>Sci2IdlY52</t>
  </si>
  <si>
    <t>Sci2IdlY53</t>
  </si>
  <si>
    <t>Sci2IdlY54</t>
  </si>
  <si>
    <t>Sci2IdlY55</t>
  </si>
  <si>
    <t>Idl2SciX50</t>
  </si>
  <si>
    <t>Idl2SciX51</t>
  </si>
  <si>
    <t>Idl2SciX52</t>
  </si>
  <si>
    <t>Idl2SciX53</t>
  </si>
  <si>
    <t>Idl2SciX54</t>
  </si>
  <si>
    <t>Idl2SciX55</t>
  </si>
  <si>
    <t>Idl2SciY50</t>
  </si>
  <si>
    <t>Idl2SciY51</t>
  </si>
  <si>
    <t>Idl2SciY52</t>
  </si>
  <si>
    <t>Idl2SciY53</t>
  </si>
  <si>
    <t>Idl2SciY54</t>
  </si>
  <si>
    <t>Idl2SciY55</t>
  </si>
  <si>
    <t>Sci2IdlX00</t>
  </si>
  <si>
    <t>Sci2IdlY00</t>
  </si>
  <si>
    <t>Idl2SciX00</t>
  </si>
  <si>
    <t>Idl2SciY00</t>
  </si>
  <si>
    <t>V2ref</t>
  </si>
  <si>
    <t>xSci offset</t>
  </si>
  <si>
    <t>ySci offset</t>
  </si>
  <si>
    <t>Inverse</t>
  </si>
  <si>
    <t>dXIdl</t>
  </si>
  <si>
    <t>dYIdl</t>
  </si>
  <si>
    <t>FULLSCA</t>
  </si>
  <si>
    <t>OSS</t>
  </si>
  <si>
    <t>SUBARRAY</t>
  </si>
  <si>
    <t>AperType</t>
  </si>
  <si>
    <t>NIS_FP1MIMF</t>
  </si>
  <si>
    <t>NIS_FP2MIMF</t>
  </si>
  <si>
    <t>NIS_FP3MIMF</t>
  </si>
  <si>
    <t>NIS_FP4MIMF</t>
  </si>
  <si>
    <t>NIS_FP5MIMF</t>
  </si>
  <si>
    <t>NIS_WFSS_OFFSET</t>
  </si>
  <si>
    <t>NIS_SUBSTRIP96</t>
  </si>
  <si>
    <t>NIS_SUBSTRIP256</t>
  </si>
  <si>
    <t>NIS_SUBAMPCAL</t>
  </si>
  <si>
    <t>DDCName</t>
  </si>
  <si>
    <t>V2</t>
  </si>
  <si>
    <t>V3</t>
  </si>
  <si>
    <t>NIS_CNTR</t>
  </si>
  <si>
    <t>NIS_AMI</t>
  </si>
  <si>
    <t>NIS_CEN_OSS</t>
  </si>
  <si>
    <t>NIS_CEN</t>
  </si>
  <si>
    <t>NIS_AMI1</t>
  </si>
  <si>
    <t>NIS_AMI2</t>
  </si>
  <si>
    <t>NIS_AMI3</t>
  </si>
  <si>
    <t>NIS_AMI4</t>
  </si>
  <si>
    <t>NIS_AMITA</t>
  </si>
  <si>
    <t>NIS_SOSSTA</t>
  </si>
  <si>
    <t>NIS_WFSS64</t>
  </si>
  <si>
    <t>NIS_WFSS64R</t>
  </si>
  <si>
    <t>NIS_WFSS64R3</t>
  </si>
  <si>
    <t>NIS_WFSS64C</t>
  </si>
  <si>
    <t>NIS_WFSS64C3</t>
  </si>
  <si>
    <t>NIS_WFSS128</t>
  </si>
  <si>
    <t>NIS_WFSS128R</t>
  </si>
  <si>
    <t>NIS_WFSS128R3</t>
  </si>
  <si>
    <t>NIS_WFSS128C</t>
  </si>
  <si>
    <t>NIS_WFSS128C3</t>
  </si>
  <si>
    <t>NIS_SUB64</t>
  </si>
  <si>
    <t>NIS_SUB128</t>
  </si>
  <si>
    <t>NIS_SUB256</t>
  </si>
  <si>
    <t>Minimum</t>
  </si>
  <si>
    <t>NIS_AMIFULL</t>
  </si>
  <si>
    <t>NIS_SOSSFULL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</si>
</sst>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E+00"/>
    <numFmt numFmtId="165" formatCode="0.000000"/>
    <numFmt numFmtId="166" formatCode="0.000"/>
    <numFmt numFmtId="167" formatCode="0.0000"/>
    <numFmt numFmtId="168" formatCode="0.0000E+00"/>
    <numFmt numFmtId="169" formatCode="0.00000"/>
    <numFmt numFmtId="170" formatCode="0.0"/>
    <numFmt numFmtId="171" formatCode="yyyy\-mm\-dd"/>
    <numFmt numFmtId="172" formatCode="0.00000000"/>
    <numFmt numFmtId="173" formatCode="0.00000000000000E+00"/>
    <numFmt numFmtId="174" formatCode="0.000000000000E+00"/>
  </numFmts>
  <fonts count="1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4"/>
      <color rgb="FF0000FF"/>
      <name val="Courier"/>
      <family val="3"/>
    </font>
    <font>
      <sz val="14"/>
      <color theme="1"/>
      <name val="Courier"/>
      <family val="3"/>
    </font>
    <font>
      <b/>
      <sz val="14"/>
      <color theme="1"/>
      <name val="Courier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rgb="FFFF0000"/>
      <name val="Calibri"/>
      <scheme val="minor"/>
    </font>
    <font>
      <b/>
      <sz val="12"/>
      <color rgb="FF008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theme="4"/>
      </bottom>
      <diagonal/>
    </border>
    <border>
      <left/>
      <right style="thin">
        <color auto="1"/>
      </right>
      <top/>
      <bottom style="thick">
        <color theme="4"/>
      </bottom>
      <diagonal/>
    </border>
    <border>
      <left style="thin">
        <color auto="1"/>
      </left>
      <right/>
      <top/>
      <bottom/>
      <diagonal/>
    </border>
  </borders>
  <cellStyleXfs count="672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7">
    <xf numFmtId="0" fontId="0" fillId="0" borderId="0" xfId="0"/>
    <xf numFmtId="0" fontId="3" fillId="0" borderId="0" xfId="0" applyFont="1"/>
    <xf numFmtId="0" fontId="1" fillId="2" borderId="5" xfId="1" applyFill="1" applyBorder="1" applyAlignment="1">
      <alignment horizontal="center"/>
    </xf>
    <xf numFmtId="0" fontId="1" fillId="2" borderId="1" xfId="1" applyFill="1" applyAlignment="1">
      <alignment horizontal="center"/>
    </xf>
    <xf numFmtId="0" fontId="1" fillId="3" borderId="1" xfId="1" applyFill="1" applyAlignment="1">
      <alignment horizontal="center"/>
    </xf>
    <xf numFmtId="0" fontId="1" fillId="4" borderId="5" xfId="1" applyFill="1" applyBorder="1" applyAlignment="1">
      <alignment horizontal="center"/>
    </xf>
    <xf numFmtId="0" fontId="1" fillId="4" borderId="1" xfId="1" applyFill="1" applyAlignment="1">
      <alignment horizontal="center"/>
    </xf>
    <xf numFmtId="0" fontId="1" fillId="6" borderId="1" xfId="1" applyFill="1" applyAlignment="1">
      <alignment horizontal="center"/>
    </xf>
    <xf numFmtId="0" fontId="1" fillId="8" borderId="5" xfId="1" applyFill="1" applyBorder="1" applyAlignment="1">
      <alignment horizontal="center"/>
    </xf>
    <xf numFmtId="165" fontId="1" fillId="8" borderId="1" xfId="1" applyNumberFormat="1" applyFont="1" applyFill="1" applyAlignment="1">
      <alignment horizontal="center"/>
    </xf>
    <xf numFmtId="164" fontId="1" fillId="8" borderId="1" xfId="1" applyNumberFormat="1" applyFont="1" applyFill="1" applyAlignment="1">
      <alignment horizontal="center"/>
    </xf>
    <xf numFmtId="0" fontId="1" fillId="0" borderId="1" xfId="1" applyAlignment="1">
      <alignment horizontal="center"/>
    </xf>
    <xf numFmtId="167" fontId="0" fillId="0" borderId="0" xfId="0" applyNumberFormat="1"/>
    <xf numFmtId="0" fontId="9" fillId="0" borderId="0" xfId="0" applyFont="1"/>
    <xf numFmtId="0" fontId="8" fillId="0" borderId="0" xfId="0" applyFont="1"/>
    <xf numFmtId="0" fontId="10" fillId="0" borderId="0" xfId="0" applyFont="1"/>
    <xf numFmtId="2" fontId="8" fillId="0" borderId="0" xfId="0" applyNumberFormat="1" applyFont="1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169" fontId="0" fillId="0" borderId="0" xfId="0" applyNumberFormat="1"/>
    <xf numFmtId="168" fontId="0" fillId="0" borderId="0" xfId="0" applyNumberFormat="1"/>
    <xf numFmtId="0" fontId="0" fillId="0" borderId="0" xfId="0" applyFill="1" applyAlignment="1"/>
    <xf numFmtId="0" fontId="0" fillId="0" borderId="0" xfId="0" applyFill="1" applyBorder="1" applyAlignment="1"/>
    <xf numFmtId="0" fontId="8" fillId="10" borderId="0" xfId="0" applyFont="1" applyFill="1" applyBorder="1" applyAlignment="1"/>
    <xf numFmtId="0" fontId="8" fillId="0" borderId="0" xfId="0" applyFont="1" applyFill="1" applyBorder="1" applyAlignment="1"/>
    <xf numFmtId="0" fontId="11" fillId="0" borderId="0" xfId="0" applyFont="1" applyFill="1" applyBorder="1" applyAlignment="1"/>
    <xf numFmtId="49" fontId="11" fillId="0" borderId="0" xfId="0" applyNumberFormat="1" applyFont="1" applyFill="1" applyBorder="1" applyAlignment="1"/>
    <xf numFmtId="49" fontId="0" fillId="0" borderId="0" xfId="0" applyNumberFormat="1"/>
    <xf numFmtId="164" fontId="4" fillId="8" borderId="0" xfId="0" applyNumberFormat="1" applyFont="1" applyFill="1" applyBorder="1"/>
    <xf numFmtId="0" fontId="1" fillId="8" borderId="1" xfId="1" applyFill="1" applyBorder="1" applyAlignment="1">
      <alignment horizontal="center"/>
    </xf>
    <xf numFmtId="170" fontId="0" fillId="0" borderId="0" xfId="0" applyNumberFormat="1"/>
    <xf numFmtId="171" fontId="0" fillId="0" borderId="0" xfId="0" applyNumberFormat="1"/>
    <xf numFmtId="164" fontId="0" fillId="0" borderId="0" xfId="0" applyNumberFormat="1" applyFill="1"/>
    <xf numFmtId="0" fontId="0" fillId="0" borderId="0" xfId="0" applyFill="1"/>
    <xf numFmtId="170" fontId="8" fillId="0" borderId="0" xfId="0" applyNumberFormat="1" applyFont="1"/>
    <xf numFmtId="164" fontId="8" fillId="0" borderId="0" xfId="0" applyNumberFormat="1" applyFont="1"/>
    <xf numFmtId="1" fontId="8" fillId="0" borderId="0" xfId="0" applyNumberFormat="1" applyFont="1"/>
    <xf numFmtId="1" fontId="11" fillId="0" borderId="0" xfId="0" applyNumberFormat="1" applyFont="1" applyFill="1"/>
    <xf numFmtId="1" fontId="10" fillId="0" borderId="0" xfId="0" applyNumberFormat="1" applyFont="1"/>
    <xf numFmtId="0" fontId="13" fillId="0" borderId="0" xfId="0" applyFont="1"/>
    <xf numFmtId="170" fontId="10" fillId="0" borderId="0" xfId="0" applyNumberFormat="1" applyFont="1" applyFill="1"/>
    <xf numFmtId="167" fontId="2" fillId="7" borderId="2" xfId="0" applyNumberFormat="1" applyFont="1" applyFill="1" applyBorder="1"/>
    <xf numFmtId="167" fontId="3" fillId="7" borderId="3" xfId="0" applyNumberFormat="1" applyFont="1" applyFill="1" applyBorder="1"/>
    <xf numFmtId="167" fontId="3" fillId="7" borderId="4" xfId="0" applyNumberFormat="1" applyFont="1" applyFill="1" applyBorder="1"/>
    <xf numFmtId="167" fontId="1" fillId="7" borderId="5" xfId="1" applyNumberFormat="1" applyFill="1" applyBorder="1" applyAlignment="1">
      <alignment horizontal="center"/>
    </xf>
    <xf numFmtId="167" fontId="1" fillId="7" borderId="1" xfId="1" applyNumberFormat="1" applyFill="1" applyAlignment="1">
      <alignment horizontal="center"/>
    </xf>
    <xf numFmtId="167" fontId="1" fillId="7" borderId="6" xfId="1" applyNumberFormat="1" applyFill="1" applyBorder="1" applyAlignment="1">
      <alignment horizontal="center"/>
    </xf>
    <xf numFmtId="0" fontId="10" fillId="0" borderId="0" xfId="0" applyFont="1" applyFill="1"/>
    <xf numFmtId="0" fontId="8" fillId="0" borderId="0" xfId="0" applyFont="1" applyFill="1"/>
    <xf numFmtId="1" fontId="10" fillId="0" borderId="0" xfId="0" applyNumberFormat="1" applyFont="1" applyFill="1"/>
    <xf numFmtId="167" fontId="0" fillId="0" borderId="0" xfId="0" applyNumberFormat="1" applyFill="1"/>
    <xf numFmtId="171" fontId="0" fillId="0" borderId="0" xfId="0" applyNumberFormat="1" applyFill="1"/>
    <xf numFmtId="0" fontId="9" fillId="0" borderId="0" xfId="0" applyFont="1" applyFill="1"/>
    <xf numFmtId="168" fontId="0" fillId="0" borderId="0" xfId="0" applyNumberFormat="1" applyFill="1"/>
    <xf numFmtId="166" fontId="0" fillId="0" borderId="0" xfId="0" applyNumberFormat="1" applyFill="1"/>
    <xf numFmtId="0" fontId="15" fillId="0" borderId="0" xfId="0" applyFont="1"/>
    <xf numFmtId="0" fontId="16" fillId="0" borderId="0" xfId="0" applyFont="1" applyFill="1"/>
    <xf numFmtId="2" fontId="1" fillId="3" borderId="1" xfId="1" applyNumberFormat="1" applyFill="1" applyAlignment="1">
      <alignment horizontal="center"/>
    </xf>
    <xf numFmtId="2" fontId="8" fillId="0" borderId="0" xfId="0" applyNumberFormat="1" applyFont="1" applyFill="1"/>
    <xf numFmtId="2" fontId="10" fillId="0" borderId="0" xfId="0" applyNumberFormat="1" applyFont="1" applyFill="1"/>
    <xf numFmtId="2" fontId="11" fillId="0" borderId="0" xfId="0" applyNumberFormat="1" applyFont="1" applyFill="1"/>
    <xf numFmtId="2" fontId="16" fillId="0" borderId="0" xfId="0" applyNumberFormat="1" applyFont="1" applyFill="1"/>
    <xf numFmtId="2" fontId="0" fillId="0" borderId="0" xfId="0" applyNumberFormat="1" applyFill="1"/>
    <xf numFmtId="2" fontId="1" fillId="4" borderId="1" xfId="1" applyNumberFormat="1" applyFill="1" applyAlignment="1">
      <alignment horizontal="center"/>
    </xf>
    <xf numFmtId="2" fontId="14" fillId="0" borderId="0" xfId="0" applyNumberFormat="1" applyFont="1" applyFill="1"/>
    <xf numFmtId="2" fontId="0" fillId="0" borderId="0" xfId="0" applyNumberFormat="1" applyFont="1" applyFill="1"/>
    <xf numFmtId="172" fontId="1" fillId="4" borderId="1" xfId="1" applyNumberFormat="1" applyFill="1" applyAlignment="1">
      <alignment horizontal="center"/>
    </xf>
    <xf numFmtId="172" fontId="0" fillId="0" borderId="0" xfId="0" applyNumberFormat="1"/>
    <xf numFmtId="172" fontId="9" fillId="0" borderId="0" xfId="0" applyNumberFormat="1" applyFont="1"/>
    <xf numFmtId="172" fontId="9" fillId="0" borderId="0" xfId="0" applyNumberFormat="1" applyFont="1" applyFill="1"/>
    <xf numFmtId="165" fontId="2" fillId="5" borderId="2" xfId="0" applyNumberFormat="1" applyFont="1" applyFill="1" applyBorder="1"/>
    <xf numFmtId="165" fontId="3" fillId="5" borderId="4" xfId="0" applyNumberFormat="1" applyFont="1" applyFill="1" applyBorder="1"/>
    <xf numFmtId="165" fontId="1" fillId="5" borderId="5" xfId="1" applyNumberFormat="1" applyFill="1" applyBorder="1" applyAlignment="1">
      <alignment horizontal="center"/>
    </xf>
    <xf numFmtId="165" fontId="1" fillId="5" borderId="1" xfId="1" applyNumberFormat="1" applyFill="1" applyAlignment="1">
      <alignment horizontal="center"/>
    </xf>
    <xf numFmtId="165" fontId="1" fillId="6" borderId="5" xfId="1" applyNumberFormat="1" applyFill="1" applyBorder="1" applyAlignment="1">
      <alignment horizontal="center"/>
    </xf>
    <xf numFmtId="165" fontId="8" fillId="0" borderId="0" xfId="0" applyNumberFormat="1" applyFont="1"/>
    <xf numFmtId="165" fontId="8" fillId="0" borderId="0" xfId="0" applyNumberFormat="1" applyFont="1" applyFill="1"/>
    <xf numFmtId="165" fontId="0" fillId="0" borderId="0" xfId="0" applyNumberFormat="1" applyFill="1"/>
    <xf numFmtId="170" fontId="1" fillId="6" borderId="1" xfId="1" applyNumberFormat="1" applyFill="1" applyAlignment="1">
      <alignment horizontal="center"/>
    </xf>
    <xf numFmtId="170" fontId="10" fillId="0" borderId="0" xfId="0" applyNumberFormat="1" applyFont="1"/>
    <xf numFmtId="165" fontId="1" fillId="6" borderId="1" xfId="1" applyNumberFormat="1" applyFill="1" applyAlignment="1">
      <alignment horizontal="center"/>
    </xf>
    <xf numFmtId="165" fontId="0" fillId="4" borderId="0" xfId="0" applyNumberFormat="1" applyFill="1"/>
    <xf numFmtId="173" fontId="0" fillId="0" borderId="0" xfId="0" applyNumberFormat="1"/>
    <xf numFmtId="173" fontId="9" fillId="0" borderId="0" xfId="0" applyNumberFormat="1" applyFont="1"/>
    <xf numFmtId="173" fontId="0" fillId="0" borderId="0" xfId="0" applyNumberFormat="1" applyFill="1"/>
    <xf numFmtId="173" fontId="9" fillId="0" borderId="0" xfId="0" applyNumberFormat="1" applyFont="1" applyFill="1"/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0" fillId="0" borderId="3" xfId="0" applyBorder="1" applyAlignment="1"/>
    <xf numFmtId="0" fontId="0" fillId="9" borderId="7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74" fontId="1" fillId="8" borderId="1" xfId="1" applyNumberFormat="1" applyFont="1" applyFill="1" applyAlignment="1">
      <alignment horizontal="center"/>
    </xf>
    <xf numFmtId="174" fontId="0" fillId="0" borderId="0" xfId="0" applyNumberFormat="1" applyFill="1"/>
    <xf numFmtId="174" fontId="0" fillId="0" borderId="0" xfId="0" applyNumberFormat="1"/>
    <xf numFmtId="174" fontId="17" fillId="0" borderId="0" xfId="0" applyNumberFormat="1" applyFont="1"/>
    <xf numFmtId="11" fontId="17" fillId="0" borderId="0" xfId="0" applyNumberFormat="1" applyFont="1"/>
    <xf numFmtId="173" fontId="4" fillId="8" borderId="3" xfId="0" applyNumberFormat="1" applyFont="1" applyFill="1" applyBorder="1"/>
    <xf numFmtId="173" fontId="4" fillId="8" borderId="4" xfId="0" applyNumberFormat="1" applyFont="1" applyFill="1" applyBorder="1"/>
    <xf numFmtId="173" fontId="1" fillId="8" borderId="1" xfId="1" applyNumberFormat="1" applyFill="1" applyBorder="1" applyAlignment="1">
      <alignment horizontal="center"/>
    </xf>
    <xf numFmtId="173" fontId="1" fillId="8" borderId="1" xfId="1" applyNumberFormat="1" applyFont="1" applyFill="1" applyAlignment="1">
      <alignment horizontal="center"/>
    </xf>
  </cellXfs>
  <cellStyles count="6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Normal" xfId="0" builtinId="0"/>
  </cellStyles>
  <dxfs count="5"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2.xml"/><Relationship Id="rId12" Type="http://schemas.openxmlformats.org/officeDocument/2006/relationships/customXml" Target="../customXml/item3.xml"/><Relationship Id="rId13" Type="http://schemas.openxmlformats.org/officeDocument/2006/relationships/customXml" Target="../customXml/item4.xml"/><Relationship Id="rId14" Type="http://schemas.openxmlformats.org/officeDocument/2006/relationships/customXml" Target="../customXml/item5.xml"/><Relationship Id="rId15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666608340624"/>
          <c:y val="0.036851078397809"/>
          <c:w val="0.582686380869058"/>
          <c:h val="0.872023883823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Calc!$A$73</c:f>
              <c:strCache>
                <c:ptCount val="1"/>
                <c:pt idx="0">
                  <c:v>NIS_CEN</c:v>
                </c:pt>
              </c:strCache>
            </c:strRef>
          </c:tx>
          <c:spPr>
            <a:ln w="12700">
              <a:prstDash val="dash"/>
            </a:ln>
          </c:spPr>
          <c:marker>
            <c:symbol val="none"/>
          </c:marker>
          <c:xVal>
            <c:numRef>
              <c:f>Calc!$U$73:$Y$73</c:f>
              <c:numCache>
                <c:formatCode>0.00</c:formatCode>
                <c:ptCount val="5"/>
                <c:pt idx="0">
                  <c:v>-222.4286174077009</c:v>
                </c:pt>
                <c:pt idx="1">
                  <c:v>-356.3753661178933</c:v>
                </c:pt>
                <c:pt idx="2">
                  <c:v>-357.7053412608195</c:v>
                </c:pt>
                <c:pt idx="3">
                  <c:v>-223.7835864306678</c:v>
                </c:pt>
                <c:pt idx="4">
                  <c:v>-222.4286174077009</c:v>
                </c:pt>
              </c:numCache>
            </c:numRef>
          </c:xVal>
          <c:yVal>
            <c:numRef>
              <c:f>Calc!$Z$73:$AD$73</c:f>
              <c:numCache>
                <c:formatCode>0.00</c:formatCode>
                <c:ptCount val="5"/>
                <c:pt idx="0">
                  <c:v>-764.481538778654</c:v>
                </c:pt>
                <c:pt idx="1">
                  <c:v>-765.2545490942668</c:v>
                </c:pt>
                <c:pt idx="2">
                  <c:v>-630.2552305055127</c:v>
                </c:pt>
                <c:pt idx="3">
                  <c:v>-629.5954670404373</c:v>
                </c:pt>
                <c:pt idx="4">
                  <c:v>-764.481538778654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Calc!$A$74</c:f>
              <c:strCache>
                <c:ptCount val="1"/>
                <c:pt idx="0">
                  <c:v>NIS_AMI1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Calc!$U$74:$Y$74</c:f>
              <c:numCache>
                <c:formatCode>0.00</c:formatCode>
                <c:ptCount val="5"/>
                <c:pt idx="0">
                  <c:v>-290.7334457770158</c:v>
                </c:pt>
                <c:pt idx="1">
                  <c:v>-295.9641096352286</c:v>
                </c:pt>
                <c:pt idx="2">
                  <c:v>-296.0172903599299</c:v>
                </c:pt>
                <c:pt idx="3">
                  <c:v>-290.7864147373749</c:v>
                </c:pt>
                <c:pt idx="4">
                  <c:v>-290.7334457770158</c:v>
                </c:pt>
              </c:numCache>
            </c:numRef>
          </c:xVal>
          <c:yVal>
            <c:numRef>
              <c:f>Calc!$Z$74:$AD$74</c:f>
              <c:numCache>
                <c:formatCode>0.00</c:formatCode>
                <c:ptCount val="5"/>
                <c:pt idx="0">
                  <c:v>-764.9623817829948</c:v>
                </c:pt>
                <c:pt idx="1">
                  <c:v>-764.9919101187229</c:v>
                </c:pt>
                <c:pt idx="2">
                  <c:v>-759.7225864567142</c:v>
                </c:pt>
                <c:pt idx="3">
                  <c:v>-759.693211938355</c:v>
                </c:pt>
                <c:pt idx="4">
                  <c:v>-764.9623817829948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Calc!$A$75</c:f>
              <c:strCache>
                <c:ptCount val="1"/>
                <c:pt idx="0">
                  <c:v>NIS_AMI2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Calc!$U$75:$Y$75</c:f>
              <c:numCache>
                <c:formatCode>0.00</c:formatCode>
                <c:ptCount val="5"/>
                <c:pt idx="0">
                  <c:v>-290.7334480297793</c:v>
                </c:pt>
                <c:pt idx="1">
                  <c:v>-295.9641181412842</c:v>
                </c:pt>
                <c:pt idx="2">
                  <c:v>-296.0172909405175</c:v>
                </c:pt>
                <c:pt idx="3">
                  <c:v>-290.78641719371</c:v>
                </c:pt>
                <c:pt idx="4">
                  <c:v>-290.7334480297793</c:v>
                </c:pt>
              </c:numCache>
            </c:numRef>
          </c:xVal>
          <c:yVal>
            <c:numRef>
              <c:f>Calc!$Z$75:$AD$75</c:f>
              <c:numCache>
                <c:formatCode>0.00</c:formatCode>
                <c:ptCount val="5"/>
                <c:pt idx="0">
                  <c:v>-764.9622734319101</c:v>
                </c:pt>
                <c:pt idx="1">
                  <c:v>-764.9918011936474</c:v>
                </c:pt>
                <c:pt idx="2">
                  <c:v>-759.7226561128316</c:v>
                </c:pt>
                <c:pt idx="3">
                  <c:v>-759.693281013977</c:v>
                </c:pt>
                <c:pt idx="4">
                  <c:v>-764.9622734319101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Calc!$A$72</c:f>
              <c:strCache>
                <c:ptCount val="1"/>
                <c:pt idx="0">
                  <c:v>NIS_CEN_OSS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Calc!$U$72:$Y$72</c:f>
              <c:numCache>
                <c:formatCode>0.00</c:formatCode>
                <c:ptCount val="5"/>
                <c:pt idx="0">
                  <c:v>-357.7053412608195</c:v>
                </c:pt>
                <c:pt idx="1">
                  <c:v>-223.7835864306678</c:v>
                </c:pt>
                <c:pt idx="2">
                  <c:v>-222.4286174077009</c:v>
                </c:pt>
                <c:pt idx="3">
                  <c:v>-356.3753661178933</c:v>
                </c:pt>
                <c:pt idx="4">
                  <c:v>-357.7053412608195</c:v>
                </c:pt>
              </c:numCache>
            </c:numRef>
          </c:xVal>
          <c:yVal>
            <c:numRef>
              <c:f>Calc!$Z$72:$AD$72</c:f>
              <c:numCache>
                <c:formatCode>0.00</c:formatCode>
                <c:ptCount val="5"/>
                <c:pt idx="0">
                  <c:v>-630.2552305055127</c:v>
                </c:pt>
                <c:pt idx="1">
                  <c:v>-629.5954670404373</c:v>
                </c:pt>
                <c:pt idx="2">
                  <c:v>-764.481538778654</c:v>
                </c:pt>
                <c:pt idx="3">
                  <c:v>-765.2545490942668</c:v>
                </c:pt>
                <c:pt idx="4">
                  <c:v>-630.2552305055127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044056"/>
        <c:axId val="-2111038456"/>
      </c:scatterChart>
      <c:valAx>
        <c:axId val="-2111044056"/>
        <c:scaling>
          <c:orientation val="maxMin"/>
          <c:max val="-2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V2 arc-sec</a:t>
                </a:r>
              </a:p>
            </c:rich>
          </c:tx>
          <c:layout>
            <c:manualLayout>
              <c:xMode val="edge"/>
              <c:yMode val="edge"/>
              <c:x val="0.433908898669326"/>
              <c:y val="0.94892585839720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111038456"/>
        <c:crossesAt val="-800.0"/>
        <c:crossBetween val="midCat"/>
        <c:majorUnit val="50.0"/>
      </c:valAx>
      <c:valAx>
        <c:axId val="-2111038456"/>
        <c:scaling>
          <c:orientation val="minMax"/>
          <c:max val="-600.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V3 arcsec -----&gt;</a:t>
                </a:r>
              </a:p>
            </c:rich>
          </c:tx>
          <c:layout>
            <c:manualLayout>
              <c:xMode val="edge"/>
              <c:yMode val="edge"/>
              <c:x val="0.782495071449402"/>
              <c:y val="0.3985147209859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111044056"/>
        <c:crossesAt val="-100.0"/>
        <c:crossBetween val="midCat"/>
        <c:majorUnit val="50.0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18" workbookViewId="0"/>
  </sheetViews>
  <pageMargins left="0.75" right="0.75" top="1" bottom="1" header="0.5" footer="0.5"/>
  <drawing r:id="rId1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119" cy="58226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0</xdr:row>
          <xdr:rowOff>50800</xdr:rowOff>
        </xdr:from>
        <xdr:to>
          <xdr:col>1</xdr:col>
          <xdr:colOff>596900</xdr:colOff>
          <xdr:row>1</xdr:row>
          <xdr:rowOff>88900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698500</xdr:colOff>
          <xdr:row>0</xdr:row>
          <xdr:rowOff>50800</xdr:rowOff>
        </xdr:from>
        <xdr:to>
          <xdr:col>2</xdr:col>
          <xdr:colOff>50800</xdr:colOff>
          <xdr:row>1</xdr:row>
          <xdr:rowOff>88900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50800</xdr:colOff>
          <xdr:row>0</xdr:row>
          <xdr:rowOff>50800</xdr:rowOff>
        </xdr:from>
        <xdr:to>
          <xdr:col>1</xdr:col>
          <xdr:colOff>0</xdr:colOff>
          <xdr:row>1</xdr:row>
          <xdr:rowOff>101600</xdr:rowOff>
        </xdr:to>
        <xdr:sp macro="" textlink="">
          <xdr:nvSpPr>
            <xdr:cNvPr id="4099" name="Butto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Create Schema Table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SIAF_Config" displayName="SIAF_Config" ref="A5:B11" totalsRowShown="0" headerRowDxfId="4" dataDxfId="3" tableBorderDxfId="2">
  <autoFilter ref="A5:B11"/>
  <tableColumns count="2">
    <tableColumn id="1" name="Field" dataDxfId="1"/>
    <tableColumn id="2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table" Target="../tables/table1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DN40"/>
  <sheetViews>
    <sheetView tabSelected="1" zoomScale="125" zoomScaleNormal="125" zoomScalePageLayoutView="12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J18" sqref="DJ18"/>
    </sheetView>
  </sheetViews>
  <sheetFormatPr baseColWidth="10" defaultColWidth="11.1640625" defaultRowHeight="15" x14ac:dyDescent="0"/>
  <cols>
    <col min="1" max="1" width="16" bestFit="1" customWidth="1"/>
    <col min="2" max="4" width="18.1640625" customWidth="1"/>
    <col min="5" max="5" width="12.6640625" bestFit="1" customWidth="1"/>
    <col min="6" max="7" width="11" bestFit="1" customWidth="1"/>
    <col min="8" max="8" width="11" style="63" bestFit="1" customWidth="1"/>
    <col min="9" max="9" width="11" style="63" customWidth="1"/>
    <col min="10" max="11" width="11" bestFit="1" customWidth="1"/>
    <col min="12" max="13" width="11" style="63" bestFit="1" customWidth="1"/>
    <col min="14" max="15" width="11" style="68" bestFit="1" customWidth="1"/>
    <col min="16" max="17" width="11.5" style="17" bestFit="1" customWidth="1"/>
    <col min="18" max="18" width="12.1640625" style="17" bestFit="1" customWidth="1"/>
    <col min="19" max="19" width="11.6640625" bestFit="1" customWidth="1"/>
    <col min="20" max="20" width="15.33203125" style="31" bestFit="1" customWidth="1"/>
    <col min="21" max="21" width="14.1640625" bestFit="1" customWidth="1"/>
    <col min="22" max="22" width="14.5" style="17" bestFit="1" customWidth="1"/>
    <col min="23" max="23" width="14.33203125" style="17" bestFit="1" customWidth="1"/>
    <col min="24" max="31" width="11" style="12" bestFit="1" customWidth="1"/>
    <col min="32" max="32" width="15.5" bestFit="1" customWidth="1"/>
    <col min="34" max="34" width="11" bestFit="1" customWidth="1"/>
    <col min="35" max="35" width="21" style="83" bestFit="1" customWidth="1"/>
    <col min="36" max="36" width="20.5" style="83" bestFit="1" customWidth="1"/>
    <col min="37" max="49" width="21.1640625" style="83" bestFit="1" customWidth="1"/>
    <col min="50" max="55" width="12.1640625" style="83" customWidth="1"/>
    <col min="56" max="56" width="21" style="83" bestFit="1" customWidth="1"/>
    <col min="57" max="58" width="21.1640625" style="83" bestFit="1" customWidth="1"/>
    <col min="59" max="59" width="20.5" style="83" bestFit="1" customWidth="1"/>
    <col min="60" max="70" width="21.1640625" style="83" bestFit="1" customWidth="1"/>
    <col min="71" max="76" width="12.33203125" style="83" customWidth="1"/>
    <col min="77" max="78" width="21" style="83" bestFit="1" customWidth="1"/>
    <col min="79" max="91" width="21.1640625" style="83" bestFit="1" customWidth="1"/>
    <col min="92" max="97" width="12.1640625" style="83" customWidth="1"/>
    <col min="98" max="98" width="21" style="83" bestFit="1" customWidth="1"/>
    <col min="99" max="99" width="21.1640625" style="83" bestFit="1" customWidth="1"/>
    <col min="100" max="100" width="21.5" style="83" bestFit="1" customWidth="1"/>
    <col min="101" max="108" width="21.1640625" style="83" bestFit="1" customWidth="1"/>
    <col min="109" max="109" width="20.5" style="83" bestFit="1" customWidth="1"/>
    <col min="110" max="112" width="21.1640625" style="83" bestFit="1" customWidth="1"/>
    <col min="113" max="118" width="12.1640625" customWidth="1"/>
  </cols>
  <sheetData>
    <row r="1" spans="1:118" s="1" customFormat="1" ht="22" customHeight="1">
      <c r="A1" s="87" t="s">
        <v>0</v>
      </c>
      <c r="B1" s="88"/>
      <c r="C1" s="88"/>
      <c r="D1" s="88"/>
      <c r="E1" s="89"/>
      <c r="F1" s="90" t="s">
        <v>1</v>
      </c>
      <c r="G1" s="88"/>
      <c r="H1" s="88"/>
      <c r="I1" s="88"/>
      <c r="J1" s="91" t="s">
        <v>2</v>
      </c>
      <c r="K1" s="88"/>
      <c r="L1" s="88"/>
      <c r="M1" s="88"/>
      <c r="N1" s="88"/>
      <c r="O1" s="89"/>
      <c r="P1" s="71" t="s">
        <v>3</v>
      </c>
      <c r="Q1" s="72"/>
      <c r="R1" s="92" t="s">
        <v>4</v>
      </c>
      <c r="S1" s="88"/>
      <c r="T1" s="88"/>
      <c r="U1" s="88"/>
      <c r="V1" s="88"/>
      <c r="W1" s="89"/>
      <c r="X1" s="42" t="s">
        <v>5</v>
      </c>
      <c r="Y1" s="43"/>
      <c r="Z1" s="43"/>
      <c r="AA1" s="43"/>
      <c r="AB1" s="43"/>
      <c r="AC1" s="43"/>
      <c r="AD1" s="43"/>
      <c r="AE1" s="44"/>
      <c r="AH1" s="93" t="s">
        <v>6</v>
      </c>
      <c r="AI1" s="94"/>
      <c r="AJ1" s="95"/>
      <c r="AK1" s="95"/>
      <c r="AL1" s="95"/>
      <c r="AM1" s="95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  <c r="BQ1" s="103"/>
      <c r="BR1" s="103"/>
      <c r="BS1" s="103"/>
      <c r="BT1" s="103"/>
      <c r="BU1" s="103"/>
      <c r="BV1" s="103"/>
      <c r="BW1" s="103"/>
      <c r="BX1" s="103"/>
      <c r="BY1" s="103"/>
      <c r="BZ1" s="103"/>
      <c r="CA1" s="103"/>
      <c r="CB1" s="103"/>
      <c r="CC1" s="103"/>
      <c r="CD1" s="103"/>
      <c r="CE1" s="103"/>
      <c r="CF1" s="103"/>
      <c r="CG1" s="103"/>
      <c r="CH1" s="103"/>
      <c r="CI1" s="103"/>
      <c r="CJ1" s="103"/>
      <c r="CK1" s="103"/>
      <c r="CL1" s="103"/>
      <c r="CM1" s="103"/>
      <c r="CN1" s="103"/>
      <c r="CO1" s="103"/>
      <c r="CP1" s="103"/>
      <c r="CQ1" s="103"/>
      <c r="CR1" s="103"/>
      <c r="CS1" s="103"/>
      <c r="CT1" s="103"/>
      <c r="CU1" s="103"/>
      <c r="CV1" s="103"/>
      <c r="CW1" s="103"/>
      <c r="CX1" s="103"/>
      <c r="CY1" s="104"/>
      <c r="CZ1" s="103"/>
      <c r="DA1" s="103"/>
      <c r="DB1" s="103"/>
      <c r="DC1" s="103"/>
      <c r="DD1" s="103"/>
      <c r="DE1" s="103"/>
      <c r="DF1" s="103"/>
      <c r="DG1" s="103"/>
      <c r="DH1" s="103"/>
      <c r="DI1" s="29"/>
      <c r="DJ1" s="29"/>
      <c r="DK1" s="29"/>
      <c r="DL1" s="29"/>
      <c r="DM1" s="29"/>
      <c r="DN1" s="29"/>
    </row>
    <row r="2" spans="1:118" s="11" customFormat="1" ht="20" thickBot="1">
      <c r="A2" s="2" t="s">
        <v>7</v>
      </c>
      <c r="B2" s="3" t="s">
        <v>8</v>
      </c>
      <c r="C2" s="3" t="s">
        <v>190</v>
      </c>
      <c r="D2" s="3" t="s">
        <v>180</v>
      </c>
      <c r="E2" s="3" t="s">
        <v>9</v>
      </c>
      <c r="F2" s="4" t="s">
        <v>10</v>
      </c>
      <c r="G2" s="4" t="s">
        <v>11</v>
      </c>
      <c r="H2" s="58" t="s">
        <v>12</v>
      </c>
      <c r="I2" s="58" t="s">
        <v>13</v>
      </c>
      <c r="J2" s="5" t="s">
        <v>14</v>
      </c>
      <c r="K2" s="6" t="s">
        <v>15</v>
      </c>
      <c r="L2" s="64" t="s">
        <v>16</v>
      </c>
      <c r="M2" s="64" t="s">
        <v>17</v>
      </c>
      <c r="N2" s="67" t="s">
        <v>18</v>
      </c>
      <c r="O2" s="67" t="s">
        <v>19</v>
      </c>
      <c r="P2" s="73" t="s">
        <v>20</v>
      </c>
      <c r="Q2" s="74" t="s">
        <v>21</v>
      </c>
      <c r="R2" s="75" t="s">
        <v>129</v>
      </c>
      <c r="S2" s="7" t="s">
        <v>22</v>
      </c>
      <c r="T2" s="79" t="s">
        <v>23</v>
      </c>
      <c r="U2" s="7" t="s">
        <v>24</v>
      </c>
      <c r="V2" s="81" t="s">
        <v>120</v>
      </c>
      <c r="W2" s="81" t="s">
        <v>121</v>
      </c>
      <c r="X2" s="45" t="s">
        <v>25</v>
      </c>
      <c r="Y2" s="46" t="s">
        <v>26</v>
      </c>
      <c r="Z2" s="46" t="s">
        <v>27</v>
      </c>
      <c r="AA2" s="46" t="s">
        <v>28</v>
      </c>
      <c r="AB2" s="46" t="s">
        <v>29</v>
      </c>
      <c r="AC2" s="46" t="s">
        <v>30</v>
      </c>
      <c r="AD2" s="46" t="s">
        <v>31</v>
      </c>
      <c r="AE2" s="47" t="s">
        <v>32</v>
      </c>
      <c r="AF2" s="11" t="s">
        <v>118</v>
      </c>
      <c r="AG2" s="11" t="s">
        <v>54</v>
      </c>
      <c r="AH2" s="8" t="s">
        <v>33</v>
      </c>
      <c r="AI2" s="105" t="s">
        <v>167</v>
      </c>
      <c r="AJ2" s="106" t="s">
        <v>34</v>
      </c>
      <c r="AK2" s="106" t="s">
        <v>35</v>
      </c>
      <c r="AL2" s="106" t="s">
        <v>36</v>
      </c>
      <c r="AM2" s="106" t="s">
        <v>37</v>
      </c>
      <c r="AN2" s="106" t="s">
        <v>38</v>
      </c>
      <c r="AO2" s="106" t="s">
        <v>55</v>
      </c>
      <c r="AP2" s="106" t="s">
        <v>56</v>
      </c>
      <c r="AQ2" s="106" t="s">
        <v>57</v>
      </c>
      <c r="AR2" s="106" t="s">
        <v>58</v>
      </c>
      <c r="AS2" s="106" t="s">
        <v>59</v>
      </c>
      <c r="AT2" s="106" t="s">
        <v>60</v>
      </c>
      <c r="AU2" s="106" t="s">
        <v>61</v>
      </c>
      <c r="AV2" s="106" t="s">
        <v>62</v>
      </c>
      <c r="AW2" s="106" t="s">
        <v>63</v>
      </c>
      <c r="AX2" s="106" t="s">
        <v>143</v>
      </c>
      <c r="AY2" s="106" t="s">
        <v>144</v>
      </c>
      <c r="AZ2" s="106" t="s">
        <v>145</v>
      </c>
      <c r="BA2" s="106" t="s">
        <v>146</v>
      </c>
      <c r="BB2" s="106" t="s">
        <v>147</v>
      </c>
      <c r="BC2" s="106" t="s">
        <v>148</v>
      </c>
      <c r="BD2" s="106" t="s">
        <v>168</v>
      </c>
      <c r="BE2" s="106" t="s">
        <v>39</v>
      </c>
      <c r="BF2" s="106" t="s">
        <v>40</v>
      </c>
      <c r="BG2" s="106" t="s">
        <v>41</v>
      </c>
      <c r="BH2" s="106" t="s">
        <v>42</v>
      </c>
      <c r="BI2" s="106" t="s">
        <v>43</v>
      </c>
      <c r="BJ2" s="106" t="s">
        <v>64</v>
      </c>
      <c r="BK2" s="106" t="s">
        <v>65</v>
      </c>
      <c r="BL2" s="106" t="s">
        <v>66</v>
      </c>
      <c r="BM2" s="106" t="s">
        <v>67</v>
      </c>
      <c r="BN2" s="106" t="s">
        <v>68</v>
      </c>
      <c r="BO2" s="106" t="s">
        <v>69</v>
      </c>
      <c r="BP2" s="106" t="s">
        <v>70</v>
      </c>
      <c r="BQ2" s="106" t="s">
        <v>71</v>
      </c>
      <c r="BR2" s="106" t="s">
        <v>72</v>
      </c>
      <c r="BS2" s="106" t="s">
        <v>149</v>
      </c>
      <c r="BT2" s="106" t="s">
        <v>150</v>
      </c>
      <c r="BU2" s="106" t="s">
        <v>151</v>
      </c>
      <c r="BV2" s="106" t="s">
        <v>152</v>
      </c>
      <c r="BW2" s="106" t="s">
        <v>153</v>
      </c>
      <c r="BX2" s="106" t="s">
        <v>154</v>
      </c>
      <c r="BY2" s="106" t="s">
        <v>169</v>
      </c>
      <c r="BZ2" s="106" t="s">
        <v>44</v>
      </c>
      <c r="CA2" s="106" t="s">
        <v>45</v>
      </c>
      <c r="CB2" s="106" t="s">
        <v>46</v>
      </c>
      <c r="CC2" s="106" t="s">
        <v>47</v>
      </c>
      <c r="CD2" s="106" t="s">
        <v>48</v>
      </c>
      <c r="CE2" s="106" t="s">
        <v>73</v>
      </c>
      <c r="CF2" s="106" t="s">
        <v>74</v>
      </c>
      <c r="CG2" s="106" t="s">
        <v>75</v>
      </c>
      <c r="CH2" s="106" t="s">
        <v>76</v>
      </c>
      <c r="CI2" s="106" t="s">
        <v>77</v>
      </c>
      <c r="CJ2" s="106" t="s">
        <v>78</v>
      </c>
      <c r="CK2" s="106" t="s">
        <v>79</v>
      </c>
      <c r="CL2" s="106" t="s">
        <v>80</v>
      </c>
      <c r="CM2" s="106" t="s">
        <v>81</v>
      </c>
      <c r="CN2" s="106" t="s">
        <v>155</v>
      </c>
      <c r="CO2" s="106" t="s">
        <v>156</v>
      </c>
      <c r="CP2" s="106" t="s">
        <v>157</v>
      </c>
      <c r="CQ2" s="106" t="s">
        <v>158</v>
      </c>
      <c r="CR2" s="106" t="s">
        <v>159</v>
      </c>
      <c r="CS2" s="106" t="s">
        <v>160</v>
      </c>
      <c r="CT2" s="106" t="s">
        <v>170</v>
      </c>
      <c r="CU2" s="106" t="s">
        <v>49</v>
      </c>
      <c r="CV2" s="106" t="s">
        <v>50</v>
      </c>
      <c r="CW2" s="106" t="s">
        <v>51</v>
      </c>
      <c r="CX2" s="106" t="s">
        <v>52</v>
      </c>
      <c r="CY2" s="106" t="s">
        <v>53</v>
      </c>
      <c r="CZ2" s="106" t="s">
        <v>82</v>
      </c>
      <c r="DA2" s="106" t="s">
        <v>83</v>
      </c>
      <c r="DB2" s="106" t="s">
        <v>84</v>
      </c>
      <c r="DC2" s="106" t="s">
        <v>85</v>
      </c>
      <c r="DD2" s="106" t="s">
        <v>86</v>
      </c>
      <c r="DE2" s="106" t="s">
        <v>87</v>
      </c>
      <c r="DF2" s="106" t="s">
        <v>88</v>
      </c>
      <c r="DG2" s="106" t="s">
        <v>89</v>
      </c>
      <c r="DH2" s="106" t="s">
        <v>90</v>
      </c>
      <c r="DI2" s="10" t="s">
        <v>161</v>
      </c>
      <c r="DJ2" s="10" t="s">
        <v>162</v>
      </c>
      <c r="DK2" s="10" t="s">
        <v>163</v>
      </c>
      <c r="DL2" s="10" t="s">
        <v>164</v>
      </c>
      <c r="DM2" s="10" t="s">
        <v>165</v>
      </c>
      <c r="DN2" s="10" t="s">
        <v>166</v>
      </c>
    </row>
    <row r="3" spans="1:118" ht="16" thickTop="1">
      <c r="A3" s="14" t="s">
        <v>91</v>
      </c>
      <c r="B3" s="14" t="s">
        <v>195</v>
      </c>
      <c r="C3" s="14" t="str">
        <f>DDC!B4</f>
        <v>NIS_CNTR</v>
      </c>
      <c r="D3" s="14" t="s">
        <v>178</v>
      </c>
      <c r="E3" s="14" t="s">
        <v>117</v>
      </c>
      <c r="F3" s="14">
        <v>2048</v>
      </c>
      <c r="G3" s="14">
        <v>2048</v>
      </c>
      <c r="H3" s="59">
        <v>1024.5</v>
      </c>
      <c r="I3" s="59">
        <v>1024.5</v>
      </c>
      <c r="J3" s="37">
        <v>2048</v>
      </c>
      <c r="K3" s="14">
        <v>2048</v>
      </c>
      <c r="L3" s="65">
        <f>2049-H3</f>
        <v>1024.5</v>
      </c>
      <c r="M3" s="65">
        <f t="shared" ref="M3:M12" si="0">2049-I3</f>
        <v>1024.5</v>
      </c>
      <c r="N3" s="68">
        <f>SQRT(AJ3^2+BE3^2)</f>
        <v>6.5398519365170327E-2</v>
      </c>
      <c r="O3" s="68">
        <f>SQRT(AK3^2+BF3^2)</f>
        <v>6.5893248419708103E-2</v>
      </c>
      <c r="P3" s="76">
        <f>60*(-4.835)</f>
        <v>-290.10000000000002</v>
      </c>
      <c r="Q3" s="76">
        <f>-60*(3.825+7.8)</f>
        <v>-697.5</v>
      </c>
      <c r="R3" s="17">
        <v>-0.56998599999999999</v>
      </c>
      <c r="S3" s="14">
        <v>1</v>
      </c>
      <c r="T3" s="35">
        <v>0</v>
      </c>
      <c r="U3" s="14">
        <v>1</v>
      </c>
      <c r="V3" s="82">
        <v>89.693539000000001</v>
      </c>
      <c r="W3" s="82">
        <v>179.430014</v>
      </c>
      <c r="X3" s="12">
        <f>Calc!L72</f>
        <v>-66.933047160116473</v>
      </c>
      <c r="Y3" s="12">
        <f>Calc!M72</f>
        <v>66.988644224856188</v>
      </c>
      <c r="Z3" s="12">
        <f>Calc!N72</f>
        <v>67.001703834539597</v>
      </c>
      <c r="AA3" s="12">
        <f>Calc!O72</f>
        <v>-66.946106769799826</v>
      </c>
      <c r="AB3" s="12">
        <f>Calc!P72</f>
        <v>67.913977863325158</v>
      </c>
      <c r="AC3" s="12">
        <f>Calc!Q72</f>
        <v>67.241459309496605</v>
      </c>
      <c r="AD3" s="12">
        <f>Calc!R72</f>
        <v>-67.651417149815188</v>
      </c>
      <c r="AE3" s="12">
        <f>Calc!S72</f>
        <v>-67.091891204487439</v>
      </c>
      <c r="AF3" s="32">
        <v>41640</v>
      </c>
      <c r="AH3">
        <v>4</v>
      </c>
      <c r="AI3" s="83">
        <v>0</v>
      </c>
      <c r="AJ3" s="83">
        <f>Calc!E2</f>
        <v>6.5397827634109396E-2</v>
      </c>
      <c r="AK3" s="83">
        <f>Calc!F2</f>
        <v>1.2793585635329E-17</v>
      </c>
      <c r="AL3" s="83">
        <f>Calc!G2</f>
        <v>2.3912959796186099E-8</v>
      </c>
      <c r="AM3" s="83">
        <f>Calc!H2</f>
        <v>6.2273071686709103E-9</v>
      </c>
      <c r="AN3" s="83">
        <f>Calc!I2</f>
        <v>2.5977865587448502E-9</v>
      </c>
      <c r="AO3" s="83">
        <f>Calc!J2</f>
        <v>-2.6111559387650702E-12</v>
      </c>
      <c r="AP3" s="83">
        <f>Calc!K2</f>
        <v>5.9391109069067996E-12</v>
      </c>
      <c r="AQ3" s="83">
        <f>Calc!L2</f>
        <v>-8.47283218594369E-12</v>
      </c>
      <c r="AR3" s="83">
        <f>Calc!M2</f>
        <v>6.7352066811908901E-13</v>
      </c>
      <c r="AS3" s="83">
        <f>Calc!N2</f>
        <v>-1.6907453091921699E-15</v>
      </c>
      <c r="AT3" s="83">
        <f>Calc!O2</f>
        <v>-8.3328937943771704E-15</v>
      </c>
      <c r="AU3" s="83">
        <f>Calc!P2</f>
        <v>-1.5605946571290499E-15</v>
      </c>
      <c r="AV3" s="83">
        <f>Calc!Q2</f>
        <v>-7.5558022688464296E-15</v>
      </c>
      <c r="AW3" s="83">
        <f>Calc!R2</f>
        <v>-2.23237356562092E-16</v>
      </c>
      <c r="BD3" s="83">
        <v>0</v>
      </c>
      <c r="BE3" s="83">
        <f>Calc!T2</f>
        <v>-3.00792114051833E-4</v>
      </c>
      <c r="BF3" s="83">
        <f>Calc!U2</f>
        <v>-6.5893248419708103E-2</v>
      </c>
      <c r="BG3" s="83">
        <f>Calc!V2</f>
        <v>4.9129583659068501E-8</v>
      </c>
      <c r="BH3" s="83">
        <f>Calc!W2</f>
        <v>2.6939537167739599E-8</v>
      </c>
      <c r="BI3" s="83">
        <f>Calc!X2</f>
        <v>4.3827931691747701E-9</v>
      </c>
      <c r="BJ3" s="83">
        <f>Calc!Y2</f>
        <v>-1.1862565328246599E-12</v>
      </c>
      <c r="BK3" s="83">
        <f>Calc!Z2</f>
        <v>1.4318598721131401E-11</v>
      </c>
      <c r="BL3" s="83">
        <f>Calc!AA2</f>
        <v>-1.54612611575204E-12</v>
      </c>
      <c r="BM3" s="83">
        <f>Calc!AB2</f>
        <v>2.88127212473818E-11</v>
      </c>
      <c r="BN3" s="83">
        <f>Calc!AC2</f>
        <v>-1.5569775603692001E-15</v>
      </c>
      <c r="BO3" s="83">
        <f>Calc!AD2</f>
        <v>-8.9998512702542202E-16</v>
      </c>
      <c r="BP3" s="83">
        <f>Calc!AE2</f>
        <v>-9.3831850618819502E-15</v>
      </c>
      <c r="BQ3" s="83">
        <f>Calc!AF2</f>
        <v>-2.3048805578412401E-17</v>
      </c>
      <c r="BR3" s="83">
        <f>Calc!AG2</f>
        <v>-1.7480296209813501E-14</v>
      </c>
      <c r="BY3" s="83">
        <v>0</v>
      </c>
      <c r="BZ3" s="83">
        <f>Calc!E37</f>
        <v>15.2910324680727</v>
      </c>
      <c r="CA3" s="83">
        <f>Calc!F37</f>
        <v>-6.9327421168635702E-5</v>
      </c>
      <c r="CB3" s="83">
        <f>Calc!G37</f>
        <v>-8.1955854077787399E-5</v>
      </c>
      <c r="CC3" s="83">
        <f>Calc!H37</f>
        <v>1.9511183924887398E-5</v>
      </c>
      <c r="CD3" s="83">
        <f>Calc!I37</f>
        <v>-8.8615673371015707E-6</v>
      </c>
      <c r="CE3" s="83">
        <f>Calc!J37</f>
        <v>1.4630942703716601E-7</v>
      </c>
      <c r="CF3" s="83">
        <f>Calc!K37</f>
        <v>3.2619927580752703E-7</v>
      </c>
      <c r="CG3" s="83">
        <f>Calc!L37</f>
        <v>4.4833331574120698E-7</v>
      </c>
      <c r="CH3" s="83">
        <f>Calc!M37</f>
        <v>3.45897794591972E-8</v>
      </c>
      <c r="CI3" s="83">
        <f>Calc!N37</f>
        <v>1.3755880354115801E-9</v>
      </c>
      <c r="CJ3" s="83">
        <f>Calc!O37</f>
        <v>-6.8286810777212099E-9</v>
      </c>
      <c r="CK3" s="83">
        <f>Calc!P37</f>
        <v>1.04293498685182E-9</v>
      </c>
      <c r="CL3" s="83">
        <f>Calc!Q37</f>
        <v>-5.99283789214357E-9</v>
      </c>
      <c r="CM3" s="83">
        <f>Calc!R37</f>
        <v>-9.9891771502551305E-11</v>
      </c>
      <c r="CT3" s="83">
        <v>0</v>
      </c>
      <c r="CU3" s="83">
        <f>Calc!T37</f>
        <v>-6.9876006823276895E-2</v>
      </c>
      <c r="CV3" s="83">
        <f>Calc!U37</f>
        <v>-15.176153557578299</v>
      </c>
      <c r="CW3" s="83">
        <f>Calc!V37</f>
        <v>1.7475613939983001E-4</v>
      </c>
      <c r="CX3" s="83">
        <f>Calc!W37</f>
        <v>-9.50725489764591E-5</v>
      </c>
      <c r="CY3" s="83">
        <f>Calc!X37</f>
        <v>1.3996196704771699E-5</v>
      </c>
      <c r="CZ3" s="83">
        <f>Calc!Y37</f>
        <v>-6.5187413495690896E-8</v>
      </c>
      <c r="DA3" s="83">
        <f>Calc!Z37</f>
        <v>-7.6158195756501102E-7</v>
      </c>
      <c r="DB3" s="83">
        <f>Calc!AA37</f>
        <v>-1.03233681861025E-7</v>
      </c>
      <c r="DC3" s="83">
        <f>Calc!AB37</f>
        <v>-1.4946771856511801E-6</v>
      </c>
      <c r="DD3" s="83">
        <f>Calc!AC37</f>
        <v>-1.27574449362868E-9</v>
      </c>
      <c r="DE3" s="83">
        <f>Calc!AD37</f>
        <v>7.7897327013718598E-10</v>
      </c>
      <c r="DF3" s="83">
        <f>Calc!AE37</f>
        <v>-7.3361294369038402E-9</v>
      </c>
      <c r="DG3" s="83">
        <f>Calc!AF37</f>
        <v>-1.8179864425270099E-10</v>
      </c>
      <c r="DH3" s="83">
        <f>Calc!AG37</f>
        <v>-1.37896323183342E-8</v>
      </c>
      <c r="DI3" s="21"/>
      <c r="DJ3" s="21"/>
      <c r="DK3" s="21"/>
      <c r="DL3" s="21"/>
      <c r="DM3" s="21"/>
      <c r="DN3" s="21"/>
    </row>
    <row r="4" spans="1:118">
      <c r="A4" s="14" t="s">
        <v>91</v>
      </c>
      <c r="B4" s="14" t="s">
        <v>196</v>
      </c>
      <c r="C4" s="14" t="str">
        <f>DDC!B5</f>
        <v>NIS_CNTR</v>
      </c>
      <c r="D4" s="14" t="s">
        <v>177</v>
      </c>
      <c r="E4" s="14" t="s">
        <v>117</v>
      </c>
      <c r="F4" s="14">
        <v>2048</v>
      </c>
      <c r="G4" s="14">
        <v>2048</v>
      </c>
      <c r="H4" s="59">
        <v>1024.5</v>
      </c>
      <c r="I4" s="59">
        <v>1024.5</v>
      </c>
      <c r="J4" s="37">
        <v>2048</v>
      </c>
      <c r="K4" s="14">
        <v>2048</v>
      </c>
      <c r="L4" s="65">
        <f t="shared" ref="L4:M16" si="1">2049-H4</f>
        <v>1024.5</v>
      </c>
      <c r="M4" s="65">
        <f t="shared" si="0"/>
        <v>1024.5</v>
      </c>
      <c r="N4" s="68">
        <f t="shared" ref="N4:N10" si="2">SQRT(AJ4^2+BE4^2)</f>
        <v>6.5398519365170327E-2</v>
      </c>
      <c r="O4" s="68">
        <f t="shared" ref="O4" si="3">SQRT(AK4^2+BF4^2)</f>
        <v>6.5893248419708103E-2</v>
      </c>
      <c r="P4" s="76">
        <f t="shared" ref="P4" si="4">60*(-4.835)</f>
        <v>-290.10000000000002</v>
      </c>
      <c r="Q4" s="76">
        <f t="shared" ref="Q4" si="5">-60*(3.825+7.8)</f>
        <v>-697.5</v>
      </c>
      <c r="R4" s="17">
        <v>-0.56998599999999999</v>
      </c>
      <c r="S4" s="14">
        <v>-1</v>
      </c>
      <c r="T4" s="35">
        <v>180</v>
      </c>
      <c r="U4" s="14">
        <v>1</v>
      </c>
      <c r="V4" s="82">
        <v>-90.306460999999999</v>
      </c>
      <c r="W4" s="82">
        <v>-0.56998599999999999</v>
      </c>
      <c r="X4" s="12">
        <f>Calc!L73</f>
        <v>-67.001703834539583</v>
      </c>
      <c r="Y4" s="12">
        <f>Calc!M73</f>
        <v>66.94610676979984</v>
      </c>
      <c r="Z4" s="12">
        <f>Calc!N73</f>
        <v>66.933047160116459</v>
      </c>
      <c r="AA4" s="12">
        <f>Calc!O73</f>
        <v>-66.988644224856202</v>
      </c>
      <c r="AB4" s="12">
        <f>Calc!P73</f>
        <v>-67.651417149815202</v>
      </c>
      <c r="AC4" s="12">
        <f>Calc!Q73</f>
        <v>-67.091891204487425</v>
      </c>
      <c r="AD4" s="12">
        <f>Calc!R73</f>
        <v>67.913977863325172</v>
      </c>
      <c r="AE4" s="12">
        <f>Calc!S73</f>
        <v>67.241459309496591</v>
      </c>
      <c r="AF4" s="32">
        <v>41640</v>
      </c>
      <c r="AH4">
        <v>4</v>
      </c>
      <c r="AI4" s="83">
        <v>0</v>
      </c>
      <c r="AJ4" s="83">
        <f>Calc!E3</f>
        <v>6.5397827634109396E-2</v>
      </c>
      <c r="AK4" s="83">
        <f>Calc!F3</f>
        <v>0</v>
      </c>
      <c r="AL4" s="83">
        <f>Calc!G3</f>
        <v>-2.3912959796186099E-8</v>
      </c>
      <c r="AM4" s="83">
        <f>Calc!H3</f>
        <v>-6.2273071686709202E-9</v>
      </c>
      <c r="AN4" s="83">
        <f>Calc!I3</f>
        <v>-2.5977865587448502E-9</v>
      </c>
      <c r="AO4" s="83">
        <f>Calc!J3</f>
        <v>-2.6111559387650702E-12</v>
      </c>
      <c r="AP4" s="83">
        <f>Calc!K3</f>
        <v>5.9391109069067996E-12</v>
      </c>
      <c r="AQ4" s="83">
        <f>Calc!L3</f>
        <v>-8.47283218594369E-12</v>
      </c>
      <c r="AR4" s="83">
        <f>Calc!M3</f>
        <v>6.7352066811909497E-13</v>
      </c>
      <c r="AS4" s="83">
        <f>Calc!N3</f>
        <v>1.6907453091921699E-15</v>
      </c>
      <c r="AT4" s="83">
        <f>Calc!O3</f>
        <v>8.3328937943771704E-15</v>
      </c>
      <c r="AU4" s="83">
        <f>Calc!P3</f>
        <v>1.5605946571290499E-15</v>
      </c>
      <c r="AV4" s="83">
        <f>Calc!Q3</f>
        <v>7.5558022688464296E-15</v>
      </c>
      <c r="AW4" s="83">
        <f>Calc!R3</f>
        <v>2.2323735656209599E-16</v>
      </c>
      <c r="BD4" s="83">
        <v>0</v>
      </c>
      <c r="BE4" s="83">
        <f>Calc!T3</f>
        <v>3.0079211405184601E-4</v>
      </c>
      <c r="BF4" s="83">
        <f>Calc!U3</f>
        <v>6.5893248419708103E-2</v>
      </c>
      <c r="BG4" s="83">
        <f>Calc!V3</f>
        <v>4.9129583659068501E-8</v>
      </c>
      <c r="BH4" s="83">
        <f>Calc!W3</f>
        <v>2.6939537167739599E-8</v>
      </c>
      <c r="BI4" s="83">
        <f>Calc!X3</f>
        <v>4.3827931691747701E-9</v>
      </c>
      <c r="BJ4" s="83">
        <f>Calc!Y3</f>
        <v>1.1862565328246599E-12</v>
      </c>
      <c r="BK4" s="83">
        <f>Calc!Z3</f>
        <v>-1.4318598721131401E-11</v>
      </c>
      <c r="BL4" s="83">
        <f>Calc!AA3</f>
        <v>1.5461261157520301E-12</v>
      </c>
      <c r="BM4" s="83">
        <f>Calc!AB3</f>
        <v>-2.88127212473818E-11</v>
      </c>
      <c r="BN4" s="83">
        <f>Calc!AC3</f>
        <v>-1.5569775603692001E-15</v>
      </c>
      <c r="BO4" s="83">
        <f>Calc!AD3</f>
        <v>-8.9998512702542103E-16</v>
      </c>
      <c r="BP4" s="83">
        <f>Calc!AE3</f>
        <v>-9.3831850618819502E-15</v>
      </c>
      <c r="BQ4" s="83">
        <f>Calc!AF3</f>
        <v>-2.3048805578410999E-17</v>
      </c>
      <c r="BR4" s="83">
        <f>Calc!AG3</f>
        <v>-1.7480296209813501E-14</v>
      </c>
      <c r="BY4" s="83">
        <v>0</v>
      </c>
      <c r="BZ4" s="83">
        <f>Calc!E38</f>
        <v>15.2910324680727</v>
      </c>
      <c r="CA4" s="83">
        <f>Calc!F38</f>
        <v>6.9327421171605494E-5</v>
      </c>
      <c r="CB4" s="83">
        <f>Calc!G38</f>
        <v>8.1955854077787399E-5</v>
      </c>
      <c r="CC4" s="83">
        <f>Calc!H38</f>
        <v>1.9511183924887398E-5</v>
      </c>
      <c r="CD4" s="83">
        <f>Calc!I38</f>
        <v>8.8615673371015808E-6</v>
      </c>
      <c r="CE4" s="83">
        <f>Calc!J38</f>
        <v>1.4630942703716699E-7</v>
      </c>
      <c r="CF4" s="83">
        <f>Calc!K38</f>
        <v>-3.2619927580752703E-7</v>
      </c>
      <c r="CG4" s="83">
        <f>Calc!L38</f>
        <v>4.4833331574120698E-7</v>
      </c>
      <c r="CH4" s="83">
        <f>Calc!M38</f>
        <v>-3.4589779459197101E-8</v>
      </c>
      <c r="CI4" s="83">
        <f>Calc!N38</f>
        <v>-1.3755880354115801E-9</v>
      </c>
      <c r="CJ4" s="83">
        <f>Calc!O38</f>
        <v>-6.8286810777212099E-9</v>
      </c>
      <c r="CK4" s="83">
        <f>Calc!P38</f>
        <v>-1.04293498685182E-9</v>
      </c>
      <c r="CL4" s="83">
        <f>Calc!Q38</f>
        <v>-5.9928378921435799E-9</v>
      </c>
      <c r="CM4" s="83">
        <f>Calc!R38</f>
        <v>9.9891771502550206E-11</v>
      </c>
      <c r="CT4" s="83">
        <v>0</v>
      </c>
      <c r="CU4" s="83">
        <f>Calc!T38</f>
        <v>-6.9876006823279893E-2</v>
      </c>
      <c r="CV4" s="83">
        <f>Calc!U38</f>
        <v>15.176153557578299</v>
      </c>
      <c r="CW4" s="83">
        <f>Calc!V38</f>
        <v>-1.7475613939983001E-4</v>
      </c>
      <c r="CX4" s="83">
        <f>Calc!W38</f>
        <v>-9.5072548976459195E-5</v>
      </c>
      <c r="CY4" s="83">
        <f>Calc!X38</f>
        <v>-1.3996196704771699E-5</v>
      </c>
      <c r="CZ4" s="83">
        <f>Calc!Y38</f>
        <v>-6.5187413495691002E-8</v>
      </c>
      <c r="DA4" s="83">
        <f>Calc!Z38</f>
        <v>7.6158195756501102E-7</v>
      </c>
      <c r="DB4" s="83">
        <f>Calc!AA38</f>
        <v>-1.03233681861025E-7</v>
      </c>
      <c r="DC4" s="83">
        <f>Calc!AB38</f>
        <v>1.4946771856511801E-6</v>
      </c>
      <c r="DD4" s="83">
        <f>Calc!AC38</f>
        <v>1.27574449362868E-9</v>
      </c>
      <c r="DE4" s="83">
        <f>Calc!AD38</f>
        <v>7.7897327013718401E-10</v>
      </c>
      <c r="DF4" s="83">
        <f>Calc!AE38</f>
        <v>7.3361294369038402E-9</v>
      </c>
      <c r="DG4" s="83">
        <f>Calc!AF38</f>
        <v>-1.81798644252709E-10</v>
      </c>
      <c r="DH4" s="83">
        <f>Calc!AG38</f>
        <v>1.37896323183342E-8</v>
      </c>
      <c r="DI4" s="21"/>
      <c r="DJ4" s="21"/>
      <c r="DK4" s="21"/>
      <c r="DL4" s="21"/>
      <c r="DM4" s="21"/>
      <c r="DN4" s="21"/>
    </row>
    <row r="5" spans="1:118" s="13" customFormat="1">
      <c r="A5" s="14" t="s">
        <v>91</v>
      </c>
      <c r="B5" s="15" t="s">
        <v>197</v>
      </c>
      <c r="C5" s="14" t="str">
        <f>DDC!B6</f>
        <v>NIS_AMI</v>
      </c>
      <c r="D5" s="15" t="s">
        <v>179</v>
      </c>
      <c r="E5" s="14" t="s">
        <v>117</v>
      </c>
      <c r="F5" s="14">
        <v>2048</v>
      </c>
      <c r="G5" s="14">
        <v>2048</v>
      </c>
      <c r="H5" s="59">
        <v>959</v>
      </c>
      <c r="I5" s="60">
        <v>2008</v>
      </c>
      <c r="J5">
        <v>80</v>
      </c>
      <c r="K5">
        <v>80</v>
      </c>
      <c r="L5" s="65">
        <f>1005-H5</f>
        <v>46</v>
      </c>
      <c r="M5" s="19">
        <f>2049-I5</f>
        <v>41</v>
      </c>
      <c r="N5" s="68">
        <f t="shared" si="2"/>
        <v>6.5385343646901975E-2</v>
      </c>
      <c r="O5" s="68">
        <f t="shared" ref="O5:O21" si="6">SQRT(AK5^2+BF5^2)</f>
        <v>6.5869114096744327E-2</v>
      </c>
      <c r="P5" s="76">
        <f>Calc!B74</f>
        <v>-293.73531671180052</v>
      </c>
      <c r="Q5" s="76">
        <f>Calc!C74</f>
        <v>-762.31178779737411</v>
      </c>
      <c r="R5" s="17">
        <v>-0.56998599999999999</v>
      </c>
      <c r="S5" s="14">
        <v>-1</v>
      </c>
      <c r="T5" s="35">
        <v>180</v>
      </c>
      <c r="U5" s="14">
        <v>1</v>
      </c>
      <c r="V5" s="82">
        <v>-90.306460999999999</v>
      </c>
      <c r="W5" s="82">
        <v>-0.56998599999999999</v>
      </c>
      <c r="X5" s="12">
        <f>Calc!L74</f>
        <v>-2.9753543704670444</v>
      </c>
      <c r="Y5" s="12">
        <f>Calc!M74</f>
        <v>2.2553444096196493</v>
      </c>
      <c r="Z5" s="12">
        <f>Calc!N74</f>
        <v>2.2561034380433154</v>
      </c>
      <c r="AA5" s="12">
        <f>Calc!O74</f>
        <v>-2.9748055657367969</v>
      </c>
      <c r="AB5" s="12">
        <f>Calc!P74</f>
        <v>-2.6803253451505071</v>
      </c>
      <c r="AC5" s="12">
        <f>Calc!Q74</f>
        <v>-2.6578177414774302</v>
      </c>
      <c r="AD5" s="12">
        <f>Calc!R74</f>
        <v>2.6117742226464471</v>
      </c>
      <c r="AE5" s="12">
        <f>Calc!S74</f>
        <v>2.5891107025909759</v>
      </c>
      <c r="AF5" s="32">
        <v>41640</v>
      </c>
      <c r="AH5">
        <v>4</v>
      </c>
      <c r="AI5" s="83">
        <v>0</v>
      </c>
      <c r="AJ5" s="83">
        <f>Calc!E4</f>
        <v>6.5384731503156046E-2</v>
      </c>
      <c r="AK5" s="83">
        <f>Calc!F4</f>
        <v>8.3493202844892303E-6</v>
      </c>
      <c r="AL5" s="83">
        <f>Calc!G4</f>
        <v>-3.0324521595070799E-8</v>
      </c>
      <c r="AM5" s="83">
        <f>Calc!H4</f>
        <v>3.2847452096650616E-8</v>
      </c>
      <c r="AN5" s="83">
        <f>Calc!I4</f>
        <v>-5.2979140019087337E-9</v>
      </c>
      <c r="AO5" s="83">
        <f>Calc!J4</f>
        <v>-1.0363581714526668E-11</v>
      </c>
      <c r="AP5" s="83">
        <f>Calc!K4</f>
        <v>4.5068348469290718E-12</v>
      </c>
      <c r="AQ5" s="83">
        <f>Calc!L4</f>
        <v>-3.0561788880091176E-11</v>
      </c>
      <c r="AR5" s="83">
        <f>Calc!M4</f>
        <v>2.9020995601325035E-13</v>
      </c>
      <c r="AS5" s="83">
        <f>Calc!N4</f>
        <v>1.6907453091921699E-15</v>
      </c>
      <c r="AT5" s="83">
        <f>Calc!O4</f>
        <v>8.3328937943771704E-15</v>
      </c>
      <c r="AU5" s="83">
        <f>Calc!P4</f>
        <v>1.5605946571290499E-15</v>
      </c>
      <c r="AV5" s="83">
        <f>Calc!Q4</f>
        <v>7.5558022688464296E-15</v>
      </c>
      <c r="AW5" s="83">
        <f>Calc!R4</f>
        <v>2.2323735656209599E-16</v>
      </c>
      <c r="AX5" s="83"/>
      <c r="AY5" s="83"/>
      <c r="AZ5" s="83"/>
      <c r="BA5" s="83"/>
      <c r="BB5" s="83"/>
      <c r="BC5" s="83"/>
      <c r="BD5" s="83">
        <v>0</v>
      </c>
      <c r="BE5" s="83">
        <f>Calc!T4</f>
        <v>2.8293123485679866E-4</v>
      </c>
      <c r="BF5" s="83">
        <f>Calc!U4</f>
        <v>6.586911356758017E-2</v>
      </c>
      <c r="BG5" s="83">
        <f>Calc!V4</f>
        <v>5.4502780545840496E-8</v>
      </c>
      <c r="BH5" s="83">
        <f>Calc!W4</f>
        <v>2.4361934749109105E-8</v>
      </c>
      <c r="BI5" s="83">
        <f>Calc!X4</f>
        <v>-1.1989036052445594E-8</v>
      </c>
      <c r="BJ5" s="83">
        <f>Calc!Y4</f>
        <v>1.6634637844374311E-12</v>
      </c>
      <c r="BK5" s="83">
        <f>Calc!Z4</f>
        <v>3.9612792181298993E-12</v>
      </c>
      <c r="BL5" s="83">
        <f>Calc!AA4</f>
        <v>3.8493437350459615E-13</v>
      </c>
      <c r="BM5" s="83">
        <f>Calc!AB4</f>
        <v>3.9953254345259132E-11</v>
      </c>
      <c r="BN5" s="83">
        <f>Calc!AC4</f>
        <v>-1.5569775603692001E-15</v>
      </c>
      <c r="BO5" s="83">
        <f>Calc!AD4</f>
        <v>-8.9998512702542103E-16</v>
      </c>
      <c r="BP5" s="83">
        <f>Calc!AE4</f>
        <v>-9.3831850618819502E-15</v>
      </c>
      <c r="BQ5" s="83">
        <f>Calc!AF4</f>
        <v>-2.3048805578410999E-17</v>
      </c>
      <c r="BR5" s="83">
        <f>Calc!AG4</f>
        <v>-1.7480296209813501E-14</v>
      </c>
      <c r="BS5" s="83"/>
      <c r="BT5" s="83"/>
      <c r="BU5" s="83"/>
      <c r="BV5" s="83"/>
      <c r="BW5" s="83"/>
      <c r="BX5" s="83"/>
      <c r="BY5" s="83">
        <v>0</v>
      </c>
      <c r="BZ5" s="83">
        <f>Calc!E39</f>
        <v>15.294155045374634</v>
      </c>
      <c r="CA5" s="83">
        <f>Calc!F39</f>
        <v>-2.1145126358781134E-3</v>
      </c>
      <c r="CB5" s="83">
        <f>Calc!G39</f>
        <v>1.0611545625444179E-4</v>
      </c>
      <c r="CC5" s="83">
        <f>Calc!H39</f>
        <v>-1.1600728040557741E-4</v>
      </c>
      <c r="CD5" s="83">
        <f>Calc!I39</f>
        <v>2.4981196889823418E-5</v>
      </c>
      <c r="CE5" s="83">
        <f>Calc!J39</f>
        <v>5.6507018334005106E-7</v>
      </c>
      <c r="CF5" s="83">
        <f>Calc!K39</f>
        <v>-2.7877029326384802E-7</v>
      </c>
      <c r="CG5" s="83">
        <f>Calc!L39</f>
        <v>1.6039178178331314E-6</v>
      </c>
      <c r="CH5" s="83">
        <f>Calc!M39</f>
        <v>-8.6119346926664291E-8</v>
      </c>
      <c r="CI5" s="83">
        <f>Calc!N39</f>
        <v>-1.3755880354115801E-9</v>
      </c>
      <c r="CJ5" s="83">
        <f>Calc!O39</f>
        <v>-6.8286810777212099E-9</v>
      </c>
      <c r="CK5" s="83">
        <f>Calc!P39</f>
        <v>-1.04293498685182E-9</v>
      </c>
      <c r="CL5" s="83">
        <f>Calc!Q39</f>
        <v>-5.9928378921435799E-9</v>
      </c>
      <c r="CM5" s="83">
        <f>Calc!R39</f>
        <v>9.9891771502550206E-11</v>
      </c>
      <c r="CN5" s="84"/>
      <c r="CO5" s="84"/>
      <c r="CP5" s="84"/>
      <c r="CQ5" s="84"/>
      <c r="CR5" s="84"/>
      <c r="CS5" s="84"/>
      <c r="CT5" s="83">
        <v>0</v>
      </c>
      <c r="CU5" s="83">
        <f>Calc!T39</f>
        <v>-6.576225624944626E-2</v>
      </c>
      <c r="CV5" s="83">
        <f>Calc!U39</f>
        <v>15.181427085297798</v>
      </c>
      <c r="CW5" s="83">
        <f>Calc!V39</f>
        <v>-1.9465177244751584E-4</v>
      </c>
      <c r="CX5" s="83">
        <f>Calc!W39</f>
        <v>-8.5560418327546486E-5</v>
      </c>
      <c r="CY5" s="83">
        <f>Calc!X39</f>
        <v>4.2529585972267045E-5</v>
      </c>
      <c r="CZ5" s="83">
        <f>Calc!Y39</f>
        <v>-9.3803248965631426E-8</v>
      </c>
      <c r="DA5" s="83">
        <f>Calc!Z39</f>
        <v>-1.7877396678842313E-7</v>
      </c>
      <c r="DB5" s="83">
        <f>Calc!AA39</f>
        <v>-5.1115261191300365E-9</v>
      </c>
      <c r="DC5" s="83">
        <f>Calc!AB39</f>
        <v>-2.0788521364815379E-6</v>
      </c>
      <c r="DD5" s="83">
        <f>Calc!AC39</f>
        <v>1.27574449362868E-9</v>
      </c>
      <c r="DE5" s="83">
        <f>Calc!AD39</f>
        <v>7.7897327013718401E-10</v>
      </c>
      <c r="DF5" s="83">
        <f>Calc!AE39</f>
        <v>7.3361294369038402E-9</v>
      </c>
      <c r="DG5" s="83">
        <f>Calc!AF39</f>
        <v>-1.81798644252709E-10</v>
      </c>
      <c r="DH5" s="83">
        <f>Calc!AG39</f>
        <v>1.37896323183342E-8</v>
      </c>
      <c r="DI5" s="21"/>
      <c r="DJ5" s="21"/>
      <c r="DK5" s="21"/>
      <c r="DL5" s="21"/>
      <c r="DM5" s="21"/>
      <c r="DN5" s="21"/>
    </row>
    <row r="6" spans="1:118" s="13" customFormat="1">
      <c r="A6" s="14" t="s">
        <v>91</v>
      </c>
      <c r="B6" s="15" t="s">
        <v>198</v>
      </c>
      <c r="C6" s="14" t="str">
        <f>DDC!B7</f>
        <v>NIS_AMI</v>
      </c>
      <c r="D6" s="15" t="s">
        <v>179</v>
      </c>
      <c r="E6" s="14" t="s">
        <v>117</v>
      </c>
      <c r="F6" s="14">
        <v>2048</v>
      </c>
      <c r="G6" s="14">
        <v>2048</v>
      </c>
      <c r="H6" s="59">
        <v>987</v>
      </c>
      <c r="I6" s="59">
        <v>1991</v>
      </c>
      <c r="J6">
        <v>80</v>
      </c>
      <c r="K6">
        <v>80</v>
      </c>
      <c r="L6" s="65">
        <f t="shared" ref="L6:L8" si="7">1005-H6</f>
        <v>18</v>
      </c>
      <c r="M6" s="19">
        <f t="shared" ref="M6:M8" si="8">2049-I6</f>
        <v>58</v>
      </c>
      <c r="N6" s="68">
        <f t="shared" si="2"/>
        <v>6.5387551545369016E-2</v>
      </c>
      <c r="O6" s="68">
        <f t="shared" si="6"/>
        <v>6.586806101404416E-2</v>
      </c>
      <c r="P6" s="76">
        <f>Calc!B75</f>
        <v>-291.91579730081219</v>
      </c>
      <c r="Q6" s="76">
        <f>Calc!C75</f>
        <v>-761.18175062875889</v>
      </c>
      <c r="R6" s="17">
        <v>-0.56998599999999999</v>
      </c>
      <c r="S6" s="14">
        <v>-1</v>
      </c>
      <c r="T6" s="35">
        <v>180</v>
      </c>
      <c r="U6" s="14">
        <v>1</v>
      </c>
      <c r="V6" s="82">
        <v>-90.306460999999999</v>
      </c>
      <c r="W6" s="82">
        <v>-0.56998599999999999</v>
      </c>
      <c r="X6" s="12">
        <f>Calc!L75</f>
        <v>-1.144682244698108</v>
      </c>
      <c r="Y6" s="12">
        <f>Calc!M75</f>
        <v>4.0860227826613835</v>
      </c>
      <c r="Z6" s="12">
        <f>Calc!N75</f>
        <v>4.086775662529285</v>
      </c>
      <c r="AA6" s="12">
        <f>Calc!O75</f>
        <v>-1.144131471370992</v>
      </c>
      <c r="AB6" s="12">
        <f>Calc!P75</f>
        <v>-3.7920977074083524</v>
      </c>
      <c r="AC6" s="12">
        <f>Calc!Q75</f>
        <v>-3.7695894675654467</v>
      </c>
      <c r="AD6" s="12">
        <f>Calc!R75</f>
        <v>1.49982384536011</v>
      </c>
      <c r="AE6" s="12">
        <f>Calc!S75</f>
        <v>1.4771609244310115</v>
      </c>
      <c r="AF6" s="32">
        <v>41640</v>
      </c>
      <c r="AH6">
        <v>4</v>
      </c>
      <c r="AI6" s="83">
        <v>0</v>
      </c>
      <c r="AJ6" s="83">
        <f>Calc!E5</f>
        <v>6.538695078162951E-2</v>
      </c>
      <c r="AK6" s="83">
        <f>Calc!F5</f>
        <v>7.2820219812150768E-6</v>
      </c>
      <c r="AL6" s="83">
        <f>Calc!G5</f>
        <v>-2.9380859633200785E-8</v>
      </c>
      <c r="AM6" s="83">
        <f>Calc!H5</f>
        <v>3.1579146997843783E-8</v>
      </c>
      <c r="AN6" s="83">
        <f>Calc!I5</f>
        <v>-4.4365622913619503E-9</v>
      </c>
      <c r="AO6" s="83">
        <f>Calc!J5</f>
        <v>-1.041128599465178E-11</v>
      </c>
      <c r="AP6" s="83">
        <f>Calc!K5</f>
        <v>3.8599319865437776E-12</v>
      </c>
      <c r="AQ6" s="83">
        <f>Calc!L5</f>
        <v>-3.0263836265179233E-11</v>
      </c>
      <c r="AR6" s="83">
        <f>Calc!M5</f>
        <v>9.382763273177296E-14</v>
      </c>
      <c r="AS6" s="83">
        <f>Calc!N5</f>
        <v>1.6907453091921699E-15</v>
      </c>
      <c r="AT6" s="83">
        <f>Calc!O5</f>
        <v>8.3328937943771704E-15</v>
      </c>
      <c r="AU6" s="83">
        <f>Calc!P5</f>
        <v>1.5605946571290499E-15</v>
      </c>
      <c r="AV6" s="83">
        <f>Calc!Q5</f>
        <v>7.5558022688464296E-15</v>
      </c>
      <c r="AW6" s="83">
        <f>Calc!R5</f>
        <v>2.2323735656209599E-16</v>
      </c>
      <c r="AX6" s="83"/>
      <c r="AY6" s="83"/>
      <c r="AZ6" s="83"/>
      <c r="BA6" s="83"/>
      <c r="BB6" s="83"/>
      <c r="BC6" s="83"/>
      <c r="BD6" s="83">
        <v>0</v>
      </c>
      <c r="BE6" s="83">
        <f>Calc!T5</f>
        <v>2.8029373708631427E-4</v>
      </c>
      <c r="BF6" s="83">
        <f>Calc!U5</f>
        <v>6.5868060611513374E-2</v>
      </c>
      <c r="BG6" s="83">
        <f>Calc!V5</f>
        <v>5.4421640750490475E-8</v>
      </c>
      <c r="BH6" s="83">
        <f>Calc!W5</f>
        <v>2.4168919717617616E-8</v>
      </c>
      <c r="BI6" s="83">
        <f>Calc!X5</f>
        <v>-9.9998325803174753E-9</v>
      </c>
      <c r="BJ6" s="83">
        <f>Calc!Y5</f>
        <v>1.8225455240393493E-12</v>
      </c>
      <c r="BK6" s="83">
        <f>Calc!Z5</f>
        <v>3.717849676696048E-12</v>
      </c>
      <c r="BL6" s="83">
        <f>Calc!AA5</f>
        <v>9.0921724788548651E-13</v>
      </c>
      <c r="BM6" s="83">
        <f>Calc!AB5</f>
        <v>3.8765239569548002E-11</v>
      </c>
      <c r="BN6" s="83">
        <f>Calc!AC5</f>
        <v>-1.5569775603692001E-15</v>
      </c>
      <c r="BO6" s="83">
        <f>Calc!AD5</f>
        <v>-8.9998512702542103E-16</v>
      </c>
      <c r="BP6" s="83">
        <f>Calc!AE5</f>
        <v>-9.3831850618819502E-15</v>
      </c>
      <c r="BQ6" s="83">
        <f>Calc!AF5</f>
        <v>-2.3048805578410999E-17</v>
      </c>
      <c r="BR6" s="83">
        <f>Calc!AG5</f>
        <v>-1.7480296209813501E-14</v>
      </c>
      <c r="BS6" s="83"/>
      <c r="BT6" s="83"/>
      <c r="BU6" s="83"/>
      <c r="BV6" s="83"/>
      <c r="BW6" s="83"/>
      <c r="BX6" s="83"/>
      <c r="BY6" s="83">
        <v>0</v>
      </c>
      <c r="BZ6" s="83">
        <f>Calc!E40</f>
        <v>15.293646287063313</v>
      </c>
      <c r="CA6" s="83">
        <f>Calc!F40</f>
        <v>-1.8542970643873021E-3</v>
      </c>
      <c r="CB6" s="83">
        <f>Calc!G40</f>
        <v>1.0271487344680656E-4</v>
      </c>
      <c r="CC6" s="83">
        <f>Calc!H40</f>
        <v>-1.1150226737584124E-4</v>
      </c>
      <c r="CD6" s="83">
        <f>Calc!I40</f>
        <v>2.179152856817029E-5</v>
      </c>
      <c r="CE6" s="83">
        <f>Calc!J40</f>
        <v>5.6755050066357428E-7</v>
      </c>
      <c r="CF6" s="83">
        <f>Calc!K40</f>
        <v>-2.43586327646029E-7</v>
      </c>
      <c r="CG6" s="83">
        <f>Calc!L40</f>
        <v>1.5877463964836294E-6</v>
      </c>
      <c r="CH6" s="83">
        <f>Calc!M40</f>
        <v>-7.4704161740090174E-8</v>
      </c>
      <c r="CI6" s="83">
        <f>Calc!N40</f>
        <v>-1.3755880354115801E-9</v>
      </c>
      <c r="CJ6" s="83">
        <f>Calc!O40</f>
        <v>-6.8286810777212099E-9</v>
      </c>
      <c r="CK6" s="83">
        <f>Calc!P40</f>
        <v>-1.04293498685182E-9</v>
      </c>
      <c r="CL6" s="83">
        <f>Calc!Q40</f>
        <v>-5.9928378921435799E-9</v>
      </c>
      <c r="CM6" s="83">
        <f>Calc!R40</f>
        <v>9.9891771502550206E-11</v>
      </c>
      <c r="CN6" s="84"/>
      <c r="CO6" s="84"/>
      <c r="CP6" s="84"/>
      <c r="CQ6" s="84"/>
      <c r="CR6" s="84"/>
      <c r="CS6" s="84"/>
      <c r="CT6" s="83">
        <v>0</v>
      </c>
      <c r="CU6" s="83">
        <f>Calc!T40</f>
        <v>-6.5144980234528346E-2</v>
      </c>
      <c r="CV6" s="83">
        <f>Calc!U40</f>
        <v>15.18167013242501</v>
      </c>
      <c r="CW6" s="83">
        <f>Calc!V40</f>
        <v>-1.9430541355319663E-4</v>
      </c>
      <c r="CX6" s="83">
        <f>Calc!W40</f>
        <v>-8.4969805344148227E-5</v>
      </c>
      <c r="CY6" s="83">
        <f>Calc!X40</f>
        <v>3.573261970523994E-5</v>
      </c>
      <c r="CZ6" s="83">
        <f>Calc!Y40</f>
        <v>-1.0227899713856279E-7</v>
      </c>
      <c r="DA6" s="83">
        <f>Calc!Z40</f>
        <v>-1.6673829608703415E-7</v>
      </c>
      <c r="DB6" s="83">
        <f>Calc!AA40</f>
        <v>-3.2578019452885837E-8</v>
      </c>
      <c r="DC6" s="83">
        <f>Calc!AB40</f>
        <v>-2.0171896171688144E-6</v>
      </c>
      <c r="DD6" s="83">
        <f>Calc!AC40</f>
        <v>1.27574449362868E-9</v>
      </c>
      <c r="DE6" s="83">
        <f>Calc!AD40</f>
        <v>7.7897327013718401E-10</v>
      </c>
      <c r="DF6" s="83">
        <f>Calc!AE40</f>
        <v>7.3361294369038402E-9</v>
      </c>
      <c r="DG6" s="83">
        <f>Calc!AF40</f>
        <v>-1.81798644252709E-10</v>
      </c>
      <c r="DH6" s="83">
        <f>Calc!AG40</f>
        <v>1.37896323183342E-8</v>
      </c>
      <c r="DI6" s="21"/>
      <c r="DJ6" s="21"/>
      <c r="DK6" s="21"/>
      <c r="DL6" s="21"/>
      <c r="DM6" s="21"/>
      <c r="DN6" s="21"/>
    </row>
    <row r="7" spans="1:118" s="13" customFormat="1">
      <c r="A7" s="14" t="s">
        <v>91</v>
      </c>
      <c r="B7" s="15" t="s">
        <v>199</v>
      </c>
      <c r="C7" s="14" t="str">
        <f>DDC!B8</f>
        <v>NIS_AMI</v>
      </c>
      <c r="D7" s="15" t="s">
        <v>179</v>
      </c>
      <c r="E7" s="14" t="s">
        <v>117</v>
      </c>
      <c r="F7" s="14">
        <v>2048</v>
      </c>
      <c r="G7" s="14">
        <v>2048</v>
      </c>
      <c r="H7" s="59">
        <v>987</v>
      </c>
      <c r="I7" s="59">
        <v>2024</v>
      </c>
      <c r="J7">
        <v>80</v>
      </c>
      <c r="K7">
        <v>80</v>
      </c>
      <c r="L7" s="65">
        <f>1005-H7</f>
        <v>18</v>
      </c>
      <c r="M7" s="19">
        <f t="shared" si="8"/>
        <v>25</v>
      </c>
      <c r="N7" s="68">
        <f t="shared" si="2"/>
        <v>6.5386472804667195E-2</v>
      </c>
      <c r="O7" s="68">
        <f t="shared" si="6"/>
        <v>6.5868850194838777E-2</v>
      </c>
      <c r="P7" s="76">
        <f>Calc!B76</f>
        <v>-291.89392868778236</v>
      </c>
      <c r="Q7" s="76">
        <f>Calc!C76</f>
        <v>-763.35529893640842</v>
      </c>
      <c r="R7" s="17">
        <v>-0.56998599999999999</v>
      </c>
      <c r="S7" s="14">
        <v>-1</v>
      </c>
      <c r="T7" s="35">
        <v>180</v>
      </c>
      <c r="U7" s="14">
        <v>1</v>
      </c>
      <c r="V7" s="82">
        <v>-90.306460999999999</v>
      </c>
      <c r="W7" s="82">
        <v>-0.56998599999999999</v>
      </c>
      <c r="X7" s="12">
        <f>Calc!L76</f>
        <v>-1.1444357079900012</v>
      </c>
      <c r="Y7" s="12">
        <f>Calc!M76</f>
        <v>4.0862622453076023</v>
      </c>
      <c r="Z7" s="12">
        <f>Calc!N76</f>
        <v>4.0870252382019476</v>
      </c>
      <c r="AA7" s="12">
        <f>Calc!O76</f>
        <v>-1.143887763063639</v>
      </c>
      <c r="AB7" s="12">
        <f>Calc!P76</f>
        <v>-1.6186184698913046</v>
      </c>
      <c r="AC7" s="12">
        <f>Calc!Q76</f>
        <v>-1.5961105114735759</v>
      </c>
      <c r="AD7" s="12">
        <f>Calc!R76</f>
        <v>3.6736526495064221</v>
      </c>
      <c r="AE7" s="12">
        <f>Calc!S76</f>
        <v>3.6509903945377897</v>
      </c>
      <c r="AF7" s="32">
        <v>41640</v>
      </c>
      <c r="AH7">
        <v>4</v>
      </c>
      <c r="AI7" s="83">
        <v>0</v>
      </c>
      <c r="AJ7" s="83">
        <f>Calc!E6</f>
        <v>6.5385875440928026E-2</v>
      </c>
      <c r="AK7" s="83">
        <f>Calc!F6</f>
        <v>7.5751095373975692E-6</v>
      </c>
      <c r="AL7" s="83">
        <f>Calc!G6</f>
        <v>-2.9506537901175117E-8</v>
      </c>
      <c r="AM7" s="83">
        <f>Calc!H6</f>
        <v>3.3601244997357932E-8</v>
      </c>
      <c r="AN7" s="83">
        <f>Calc!I6</f>
        <v>-4.4443925941146192E-9</v>
      </c>
      <c r="AO7" s="83">
        <f>Calc!J6</f>
        <v>-1.0686271489866227E-11</v>
      </c>
      <c r="AP7" s="83">
        <f>Calc!K6</f>
        <v>3.756932739173261E-12</v>
      </c>
      <c r="AQ7" s="83">
        <f>Calc!L6</f>
        <v>-3.101186068979503E-11</v>
      </c>
      <c r="AR7" s="83">
        <f>Calc!M6</f>
        <v>6.4360301665576239E-14</v>
      </c>
      <c r="AS7" s="83">
        <f>Calc!N6</f>
        <v>1.6907453091921699E-15</v>
      </c>
      <c r="AT7" s="83">
        <f>Calc!O6</f>
        <v>8.3328937943771704E-15</v>
      </c>
      <c r="AU7" s="83">
        <f>Calc!P6</f>
        <v>1.5605946571290499E-15</v>
      </c>
      <c r="AV7" s="83">
        <f>Calc!Q6</f>
        <v>7.5558022688464296E-15</v>
      </c>
      <c r="AW7" s="83">
        <f>Calc!R6</f>
        <v>2.2323735656209599E-16</v>
      </c>
      <c r="AX7" s="83"/>
      <c r="AY7" s="83"/>
      <c r="AZ7" s="83"/>
      <c r="BA7" s="83"/>
      <c r="BB7" s="83"/>
      <c r="BC7" s="83"/>
      <c r="BD7" s="83">
        <v>0</v>
      </c>
      <c r="BE7" s="83">
        <f>Calc!T6</f>
        <v>2.7949715370152072E-4</v>
      </c>
      <c r="BF7" s="83">
        <f>Calc!U6</f>
        <v>6.5868849759258954E-2</v>
      </c>
      <c r="BG7" s="83">
        <f>Calc!V6</f>
        <v>5.428873342262713E-8</v>
      </c>
      <c r="BH7" s="83">
        <f>Calc!W6</f>
        <v>2.410883607880935E-8</v>
      </c>
      <c r="BI7" s="83">
        <f>Calc!X6</f>
        <v>-1.3951807553137667E-8</v>
      </c>
      <c r="BJ7" s="83">
        <f>Calc!Y6</f>
        <v>1.8522450332311881E-12</v>
      </c>
      <c r="BK7" s="83">
        <f>Calc!Z6</f>
        <v>4.337139890780256E-12</v>
      </c>
      <c r="BL7" s="83">
        <f>Calc!AA6</f>
        <v>9.1149907963774923E-13</v>
      </c>
      <c r="BM7" s="83">
        <f>Calc!AB6</f>
        <v>4.1072638669243384E-11</v>
      </c>
      <c r="BN7" s="83">
        <f>Calc!AC6</f>
        <v>-1.5569775603692001E-15</v>
      </c>
      <c r="BO7" s="83">
        <f>Calc!AD6</f>
        <v>-8.9998512702542103E-16</v>
      </c>
      <c r="BP7" s="83">
        <f>Calc!AE6</f>
        <v>-9.3831850618819502E-15</v>
      </c>
      <c r="BQ7" s="83">
        <f>Calc!AF6</f>
        <v>-2.3048805578410999E-17</v>
      </c>
      <c r="BR7" s="83">
        <f>Calc!AG6</f>
        <v>-1.7480296209813501E-14</v>
      </c>
      <c r="BS7" s="83"/>
      <c r="BT7" s="83"/>
      <c r="BU7" s="83"/>
      <c r="BV7" s="83"/>
      <c r="BW7" s="83"/>
      <c r="BX7" s="83"/>
      <c r="BY7" s="83">
        <v>0</v>
      </c>
      <c r="BZ7" s="83">
        <f>Calc!E41</f>
        <v>15.293896167592203</v>
      </c>
      <c r="CA7" s="83">
        <f>Calc!F41</f>
        <v>-1.9500656798616754E-3</v>
      </c>
      <c r="CB7" s="83">
        <f>Calc!G41</f>
        <v>1.0323899093469086E-4</v>
      </c>
      <c r="CC7" s="83">
        <f>Calc!H41</f>
        <v>-1.1848953116130096E-4</v>
      </c>
      <c r="CD7" s="83">
        <f>Calc!I41</f>
        <v>2.2281105536665838E-5</v>
      </c>
      <c r="CE7" s="83">
        <f>Calc!J41</f>
        <v>5.8239506884587466E-7</v>
      </c>
      <c r="CF7" s="83">
        <f>Calc!K41</f>
        <v>-2.3904733708274717E-7</v>
      </c>
      <c r="CG7" s="83">
        <f>Calc!L41</f>
        <v>1.6268260533597717E-6</v>
      </c>
      <c r="CH7" s="83">
        <f>Calc!M41</f>
        <v>-7.5571214962770038E-8</v>
      </c>
      <c r="CI7" s="83">
        <f>Calc!N41</f>
        <v>-1.3755880354115801E-9</v>
      </c>
      <c r="CJ7" s="83">
        <f>Calc!O41</f>
        <v>-6.8286810777212099E-9</v>
      </c>
      <c r="CK7" s="83">
        <f>Calc!P41</f>
        <v>-1.04293498685182E-9</v>
      </c>
      <c r="CL7" s="83">
        <f>Calc!Q41</f>
        <v>-5.9928378921435799E-9</v>
      </c>
      <c r="CM7" s="83">
        <f>Calc!R41</f>
        <v>9.9891771502550206E-11</v>
      </c>
      <c r="CN7" s="84"/>
      <c r="CO7" s="84"/>
      <c r="CP7" s="84"/>
      <c r="CQ7" s="84"/>
      <c r="CR7" s="84"/>
      <c r="CS7" s="84"/>
      <c r="CT7" s="83">
        <v>0</v>
      </c>
      <c r="CU7" s="83">
        <f>Calc!T41</f>
        <v>-6.4960341898957913E-2</v>
      </c>
      <c r="CV7" s="83">
        <f>Calc!U41</f>
        <v>15.181485653332384</v>
      </c>
      <c r="CW7" s="83">
        <f>Calc!V41</f>
        <v>-1.9390824333314437E-4</v>
      </c>
      <c r="CX7" s="83">
        <f>Calc!W41</f>
        <v>-8.48306578752828E-5</v>
      </c>
      <c r="CY7" s="83">
        <f>Calc!X41</f>
        <v>4.9277589022772258E-5</v>
      </c>
      <c r="CZ7" s="83">
        <f>Calc!Y41</f>
        <v>-1.0397346980605498E-7</v>
      </c>
      <c r="DA7" s="83">
        <f>Calc!Z41</f>
        <v>-1.9863134629953339E-7</v>
      </c>
      <c r="DB7" s="83">
        <f>Calc!AA41</f>
        <v>-3.1396111830632574E-8</v>
      </c>
      <c r="DC7" s="83">
        <f>Calc!AB41</f>
        <v>-2.1370853677847432E-6</v>
      </c>
      <c r="DD7" s="83">
        <f>Calc!AC41</f>
        <v>1.27574449362868E-9</v>
      </c>
      <c r="DE7" s="83">
        <f>Calc!AD41</f>
        <v>7.7897327013718401E-10</v>
      </c>
      <c r="DF7" s="83">
        <f>Calc!AE41</f>
        <v>7.3361294369038402E-9</v>
      </c>
      <c r="DG7" s="83">
        <f>Calc!AF41</f>
        <v>-1.81798644252709E-10</v>
      </c>
      <c r="DH7" s="83">
        <f>Calc!AG41</f>
        <v>1.37896323183342E-8</v>
      </c>
      <c r="DI7" s="21"/>
      <c r="DJ7" s="21"/>
      <c r="DK7" s="21"/>
      <c r="DL7" s="21"/>
      <c r="DM7" s="21"/>
      <c r="DN7" s="21"/>
    </row>
    <row r="8" spans="1:118" s="13" customFormat="1">
      <c r="A8" s="14" t="s">
        <v>91</v>
      </c>
      <c r="B8" s="15" t="s">
        <v>200</v>
      </c>
      <c r="C8" s="14" t="str">
        <f>DDC!B9</f>
        <v>NIS_AMI</v>
      </c>
      <c r="D8" s="15" t="s">
        <v>179</v>
      </c>
      <c r="E8" s="14" t="s">
        <v>117</v>
      </c>
      <c r="F8" s="14">
        <v>2048</v>
      </c>
      <c r="G8" s="14">
        <v>2048</v>
      </c>
      <c r="H8" s="59">
        <v>945</v>
      </c>
      <c r="I8" s="59">
        <v>2025</v>
      </c>
      <c r="J8">
        <v>80</v>
      </c>
      <c r="K8">
        <v>80</v>
      </c>
      <c r="L8" s="65">
        <f t="shared" si="7"/>
        <v>60</v>
      </c>
      <c r="M8" s="19">
        <f t="shared" si="8"/>
        <v>24</v>
      </c>
      <c r="N8" s="68">
        <f t="shared" si="2"/>
        <v>6.5383923823507814E-2</v>
      </c>
      <c r="O8" s="68">
        <f t="shared" si="6"/>
        <v>6.5869898513393768E-2</v>
      </c>
      <c r="P8" s="76">
        <f>Calc!B77</f>
        <v>-294.63940019597499</v>
      </c>
      <c r="Q8" s="76">
        <f>Calc!C77</f>
        <v>-763.4366499311036</v>
      </c>
      <c r="R8" s="17">
        <v>-0.56998599999999999</v>
      </c>
      <c r="S8" s="14">
        <v>-1</v>
      </c>
      <c r="T8" s="35">
        <v>180</v>
      </c>
      <c r="U8" s="14">
        <v>1</v>
      </c>
      <c r="V8" s="82">
        <v>-90.306460999999999</v>
      </c>
      <c r="W8" s="82">
        <v>-0.56998599999999999</v>
      </c>
      <c r="X8" s="12">
        <f>Calc!L77</f>
        <v>-3.8905831588823356</v>
      </c>
      <c r="Y8" s="12">
        <f>Calc!M77</f>
        <v>1.3401136469093127</v>
      </c>
      <c r="Z8" s="12">
        <f>Calc!N77</f>
        <v>1.3408746842764763</v>
      </c>
      <c r="AA8" s="12">
        <f>Calc!O77</f>
        <v>-3.8900398668542464</v>
      </c>
      <c r="AB8" s="12">
        <f>Calc!P77</f>
        <v>-1.5645858566598965</v>
      </c>
      <c r="AC8" s="12">
        <f>Calc!Q77</f>
        <v>-1.5420785187794934</v>
      </c>
      <c r="AD8" s="12">
        <f>Calc!R77</f>
        <v>3.7276973245154235</v>
      </c>
      <c r="AE8" s="12">
        <f>Calc!S77</f>
        <v>3.7050333904979573</v>
      </c>
      <c r="AF8" s="32">
        <v>41640</v>
      </c>
      <c r="AH8">
        <v>4</v>
      </c>
      <c r="AI8" s="83">
        <v>0</v>
      </c>
      <c r="AJ8" s="83">
        <f>Calc!E7</f>
        <v>6.5383306849238002E-2</v>
      </c>
      <c r="AK8" s="83">
        <f>Calc!F7</f>
        <v>9.0050958440012055E-6</v>
      </c>
      <c r="AL8" s="83">
        <f>Calc!G7</f>
        <v>-3.0839918577308379E-8</v>
      </c>
      <c r="AM8" s="83">
        <f>Calc!H7</f>
        <v>3.4022709230292333E-8</v>
      </c>
      <c r="AN8" s="83">
        <f>Calc!I7</f>
        <v>-5.7452816266775673E-9</v>
      </c>
      <c r="AO8" s="83">
        <f>Calc!J7</f>
        <v>-1.0410559171716319E-11</v>
      </c>
      <c r="AP8" s="83">
        <f>Calc!K7</f>
        <v>4.803756167950526E-12</v>
      </c>
      <c r="AQ8" s="83">
        <f>Calc!L7</f>
        <v>-3.0903438145402731E-11</v>
      </c>
      <c r="AR8" s="83">
        <f>Calc!M7</f>
        <v>3.8081104753087796E-13</v>
      </c>
      <c r="AS8" s="83">
        <f>Calc!N7</f>
        <v>1.6907453091921699E-15</v>
      </c>
      <c r="AT8" s="83">
        <f>Calc!O7</f>
        <v>8.3328937943771704E-15</v>
      </c>
      <c r="AU8" s="83">
        <f>Calc!P7</f>
        <v>1.5605946571290499E-15</v>
      </c>
      <c r="AV8" s="83">
        <f>Calc!Q7</f>
        <v>7.5558022688464296E-15</v>
      </c>
      <c r="AW8" s="83">
        <f>Calc!R7</f>
        <v>2.2323735656209599E-16</v>
      </c>
      <c r="AX8" s="83"/>
      <c r="AY8" s="83"/>
      <c r="AZ8" s="83"/>
      <c r="BA8" s="83"/>
      <c r="BB8" s="83"/>
      <c r="BC8" s="83"/>
      <c r="BD8" s="83">
        <v>0</v>
      </c>
      <c r="BE8" s="83">
        <f>Calc!T7</f>
        <v>2.8404227970654962E-4</v>
      </c>
      <c r="BF8" s="83">
        <f>Calc!U7</f>
        <v>6.5869897897848931E-2</v>
      </c>
      <c r="BG8" s="83">
        <f>Calc!V7</f>
        <v>5.4501404121365471E-8</v>
      </c>
      <c r="BH8" s="83">
        <f>Calc!W7</f>
        <v>2.4468146416127373E-8</v>
      </c>
      <c r="BI8" s="83">
        <f>Calc!X7</f>
        <v>-1.4053396423877515E-8</v>
      </c>
      <c r="BJ8" s="83">
        <f>Calc!Y7</f>
        <v>1.591572788216188E-12</v>
      </c>
      <c r="BK8" s="83">
        <f>Calc!Z7</f>
        <v>4.2425081348988179E-12</v>
      </c>
      <c r="BL8" s="83">
        <f>Calc!AA7</f>
        <v>1.2338068085640053E-13</v>
      </c>
      <c r="BM8" s="83">
        <f>Calc!AB7</f>
        <v>4.1141591804248342E-11</v>
      </c>
      <c r="BN8" s="83">
        <f>Calc!AC7</f>
        <v>-1.5569775603692001E-15</v>
      </c>
      <c r="BO8" s="83">
        <f>Calc!AD7</f>
        <v>-8.9998512702542103E-16</v>
      </c>
      <c r="BP8" s="83">
        <f>Calc!AE7</f>
        <v>-9.3831850618819502E-15</v>
      </c>
      <c r="BQ8" s="83">
        <f>Calc!AF7</f>
        <v>-2.3048805578410999E-17</v>
      </c>
      <c r="BR8" s="83">
        <f>Calc!AG7</f>
        <v>-1.7480296209813501E-14</v>
      </c>
      <c r="BS8" s="83"/>
      <c r="BT8" s="83"/>
      <c r="BU8" s="83"/>
      <c r="BV8" s="83"/>
      <c r="BW8" s="83"/>
      <c r="BX8" s="83"/>
      <c r="BY8" s="83">
        <v>0</v>
      </c>
      <c r="BZ8" s="83">
        <f>Calc!E42</f>
        <v>15.294482734793679</v>
      </c>
      <c r="CA8" s="83">
        <f>Calc!F42</f>
        <v>-2.2802899385205009E-3</v>
      </c>
      <c r="CB8" s="83">
        <f>Calc!G42</f>
        <v>1.0799072609634459E-4</v>
      </c>
      <c r="CC8" s="83">
        <f>Calc!H42</f>
        <v>-1.2013218496386121E-4</v>
      </c>
      <c r="CD8" s="83">
        <f>Calc!I42</f>
        <v>2.6755660607730204E-5</v>
      </c>
      <c r="CE8" s="83">
        <f>Calc!J42</f>
        <v>5.6765380089552897E-7</v>
      </c>
      <c r="CF8" s="83">
        <f>Calc!K42</f>
        <v>-2.951922707036901E-7</v>
      </c>
      <c r="CG8" s="83">
        <f>Calc!L42</f>
        <v>1.6220694229874256E-6</v>
      </c>
      <c r="CH8" s="83">
        <f>Calc!M42</f>
        <v>-9.2050007025334788E-8</v>
      </c>
      <c r="CI8" s="83">
        <f>Calc!N42</f>
        <v>-1.3755880354115801E-9</v>
      </c>
      <c r="CJ8" s="83">
        <f>Calc!O42</f>
        <v>-6.8286810777212099E-9</v>
      </c>
      <c r="CK8" s="83">
        <f>Calc!P42</f>
        <v>-1.04293498685182E-9</v>
      </c>
      <c r="CL8" s="83">
        <f>Calc!Q42</f>
        <v>-5.9928378921435799E-9</v>
      </c>
      <c r="CM8" s="83">
        <f>Calc!R42</f>
        <v>9.9891771502550206E-11</v>
      </c>
      <c r="CN8" s="84"/>
      <c r="CO8" s="84"/>
      <c r="CP8" s="84"/>
      <c r="CQ8" s="84"/>
      <c r="CR8" s="84"/>
      <c r="CS8" s="84"/>
      <c r="CT8" s="83">
        <v>0</v>
      </c>
      <c r="CU8" s="83">
        <f>Calc!T42</f>
        <v>-6.6022946931243234E-2</v>
      </c>
      <c r="CV8" s="83">
        <f>Calc!U42</f>
        <v>15.181245873408967</v>
      </c>
      <c r="CW8" s="83">
        <f>Calc!V42</f>
        <v>-1.9469668954713958E-4</v>
      </c>
      <c r="CX8" s="83">
        <f>Calc!W42</f>
        <v>-8.5904938353406962E-5</v>
      </c>
      <c r="CY8" s="83">
        <f>Calc!X42</f>
        <v>4.9593450199143004E-5</v>
      </c>
      <c r="CZ8" s="83">
        <f>Calc!Y42</f>
        <v>-9.0002044600259177E-8</v>
      </c>
      <c r="DA8" s="83">
        <f>Calc!Z42</f>
        <v>-1.9300664286234132E-7</v>
      </c>
      <c r="DB8" s="83">
        <f>Calc!AA42</f>
        <v>8.9255080607449202E-9</v>
      </c>
      <c r="DC8" s="83">
        <f>Calc!AB42</f>
        <v>-2.1405651101711631E-6</v>
      </c>
      <c r="DD8" s="83">
        <f>Calc!AC42</f>
        <v>1.27574449362868E-9</v>
      </c>
      <c r="DE8" s="83">
        <f>Calc!AD42</f>
        <v>7.7897327013718401E-10</v>
      </c>
      <c r="DF8" s="83">
        <f>Calc!AE42</f>
        <v>7.3361294369038402E-9</v>
      </c>
      <c r="DG8" s="83">
        <f>Calc!AF42</f>
        <v>-1.81798644252709E-10</v>
      </c>
      <c r="DH8" s="83">
        <f>Calc!AG42</f>
        <v>1.37896323183342E-8</v>
      </c>
      <c r="DI8" s="21"/>
      <c r="DJ8" s="21"/>
      <c r="DK8" s="21"/>
      <c r="DL8" s="21"/>
      <c r="DM8" s="21"/>
      <c r="DN8" s="21"/>
    </row>
    <row r="9" spans="1:118" s="13" customFormat="1">
      <c r="A9" s="14" t="s">
        <v>91</v>
      </c>
      <c r="B9" s="15" t="s">
        <v>201</v>
      </c>
      <c r="C9" s="14" t="str">
        <f>DDC!B10</f>
        <v>NIS_AMI</v>
      </c>
      <c r="D9" s="15" t="s">
        <v>179</v>
      </c>
      <c r="E9" s="14" t="s">
        <v>117</v>
      </c>
      <c r="F9" s="14">
        <v>2048</v>
      </c>
      <c r="G9" s="14">
        <v>2048</v>
      </c>
      <c r="H9" s="59">
        <v>963</v>
      </c>
      <c r="I9" s="59">
        <v>1936</v>
      </c>
      <c r="J9">
        <v>64</v>
      </c>
      <c r="K9">
        <v>64</v>
      </c>
      <c r="L9" s="65">
        <v>32</v>
      </c>
      <c r="M9" s="19">
        <v>33</v>
      </c>
      <c r="N9" s="68">
        <f t="shared" si="2"/>
        <v>6.5387798211970743E-2</v>
      </c>
      <c r="O9" s="68">
        <f t="shared" si="6"/>
        <v>6.5867885199635642E-2</v>
      </c>
      <c r="P9" s="76">
        <f>Calc!B78</f>
        <v>-293.5215223868816</v>
      </c>
      <c r="Q9" s="76">
        <f>Calc!C78</f>
        <v>-757.56803565160988</v>
      </c>
      <c r="R9" s="17">
        <v>-0.56998599999999999</v>
      </c>
      <c r="S9" s="14">
        <v>-1</v>
      </c>
      <c r="T9" s="35">
        <v>180</v>
      </c>
      <c r="U9" s="14">
        <v>1</v>
      </c>
      <c r="V9" s="82">
        <v>-90.306460999999999</v>
      </c>
      <c r="W9" s="82">
        <v>-0.56998599999999999</v>
      </c>
      <c r="X9" s="12">
        <f>Calc!L78</f>
        <v>-2.0599450261739363</v>
      </c>
      <c r="Y9" s="12">
        <f>Calc!M78</f>
        <v>2.1247732704389906</v>
      </c>
      <c r="Z9" s="12">
        <f>Calc!N78</f>
        <v>2.1253114665086228</v>
      </c>
      <c r="AA9" s="12">
        <f>Calc!O78</f>
        <v>-2.0595236750981671</v>
      </c>
      <c r="AB9" s="12">
        <f>Calc!P78</f>
        <v>-2.1495230432181853</v>
      </c>
      <c r="AC9" s="12">
        <f>Calc!Q78</f>
        <v>-2.1313783206125647</v>
      </c>
      <c r="AD9" s="12">
        <f>Calc!R78</f>
        <v>2.0842135467746457</v>
      </c>
      <c r="AE9" s="12">
        <f>Calc!S78</f>
        <v>2.0659688978137125</v>
      </c>
      <c r="AF9" s="32">
        <v>41640</v>
      </c>
      <c r="AH9">
        <v>4</v>
      </c>
      <c r="AI9" s="83">
        <v>0</v>
      </c>
      <c r="AJ9" s="83">
        <f>Calc!E8</f>
        <v>6.5387180374010145E-2</v>
      </c>
      <c r="AK9" s="83">
        <f>Calc!F8</f>
        <v>7.4770862273609665E-6</v>
      </c>
      <c r="AL9" s="83">
        <f>Calc!G8</f>
        <v>-2.9874613691503696E-8</v>
      </c>
      <c r="AM9" s="83">
        <f>Calc!H8</f>
        <v>2.8526609829884275E-8</v>
      </c>
      <c r="AN9" s="83">
        <f>Calc!I8</f>
        <v>-5.1125411647967699E-9</v>
      </c>
      <c r="AO9" s="83">
        <f>Calc!J8</f>
        <v>-9.7906652862785879E-12</v>
      </c>
      <c r="AP9" s="83">
        <f>Calc!K8</f>
        <v>4.6315657520231289E-12</v>
      </c>
      <c r="AQ9" s="83">
        <f>Calc!L8</f>
        <v>-2.8942220347277377E-11</v>
      </c>
      <c r="AR9" s="83">
        <f>Calc!M8</f>
        <v>3.2427910562774853E-13</v>
      </c>
      <c r="AS9" s="83">
        <f>Calc!N8</f>
        <v>1.6907453091921699E-15</v>
      </c>
      <c r="AT9" s="83">
        <f>Calc!O8</f>
        <v>8.3328937943771704E-15</v>
      </c>
      <c r="AU9" s="83">
        <f>Calc!P8</f>
        <v>1.5605946571290499E-15</v>
      </c>
      <c r="AV9" s="83">
        <f>Calc!Q8</f>
        <v>7.5558022688464296E-15</v>
      </c>
      <c r="AW9" s="83">
        <f>Calc!R8</f>
        <v>2.2323735656209599E-16</v>
      </c>
      <c r="AX9" s="83"/>
      <c r="AY9" s="83"/>
      <c r="AZ9" s="83"/>
      <c r="BA9" s="83"/>
      <c r="BB9" s="83"/>
      <c r="BC9" s="83"/>
      <c r="BD9" s="83">
        <v>0</v>
      </c>
      <c r="BE9" s="83">
        <f>Calc!T8</f>
        <v>2.8424944338836003E-4</v>
      </c>
      <c r="BF9" s="83">
        <f>Calc!U8</f>
        <v>6.586788477524963E-2</v>
      </c>
      <c r="BG9" s="83">
        <f>Calc!V8</f>
        <v>5.4720016770075757E-8</v>
      </c>
      <c r="BH9" s="83">
        <f>Calc!W8</f>
        <v>2.4396082840029568E-8</v>
      </c>
      <c r="BI9" s="83">
        <f>Calc!X8</f>
        <v>-3.9045102014666444E-9</v>
      </c>
      <c r="BJ9" s="83">
        <f>Calc!Y8</f>
        <v>1.623576496257508E-12</v>
      </c>
      <c r="BK9" s="83">
        <f>Calc!Z8</f>
        <v>2.6209003907432036E-12</v>
      </c>
      <c r="BL9" s="83">
        <f>Calc!AA8</f>
        <v>4.5502131199471509E-13</v>
      </c>
      <c r="BM9" s="83">
        <f>Calc!AB8</f>
        <v>3.4919021232055159E-11</v>
      </c>
      <c r="BN9" s="83">
        <f>Calc!AC8</f>
        <v>-1.5569775603692001E-15</v>
      </c>
      <c r="BO9" s="83">
        <f>Calc!AD8</f>
        <v>-8.9998512702542103E-16</v>
      </c>
      <c r="BP9" s="83">
        <f>Calc!AE8</f>
        <v>-9.3831850618819502E-15</v>
      </c>
      <c r="BQ9" s="83">
        <f>Calc!AF8</f>
        <v>-2.3048805578410999E-17</v>
      </c>
      <c r="BR9" s="83">
        <f>Calc!AG8</f>
        <v>-1.7480296209813501E-14</v>
      </c>
      <c r="BS9" s="83"/>
      <c r="BT9" s="83"/>
      <c r="BU9" s="83"/>
      <c r="BV9" s="83"/>
      <c r="BW9" s="83"/>
      <c r="BX9" s="83"/>
      <c r="BY9" s="83">
        <v>0</v>
      </c>
      <c r="BZ9" s="83">
        <f>Calc!E43</f>
        <v>15.293585852323336</v>
      </c>
      <c r="CA9" s="83">
        <f>Calc!F43</f>
        <v>-1.8569953558184324E-3</v>
      </c>
      <c r="CB9" s="83">
        <f>Calc!G43</f>
        <v>1.0435263171148478E-4</v>
      </c>
      <c r="CC9" s="83">
        <f>Calc!H43</f>
        <v>-1.0105257916692229E-4</v>
      </c>
      <c r="CD9" s="83">
        <f>Calc!I43</f>
        <v>2.337328807339539E-5</v>
      </c>
      <c r="CE9" s="83">
        <f>Calc!J43</f>
        <v>5.3412871238099337E-7</v>
      </c>
      <c r="CF9" s="83">
        <f>Calc!K43</f>
        <v>-2.8331388384044035E-7</v>
      </c>
      <c r="CG9" s="83">
        <f>Calc!L43</f>
        <v>1.5192190209275826E-6</v>
      </c>
      <c r="CH9" s="83">
        <f>Calc!M43</f>
        <v>-8.2660865778785241E-8</v>
      </c>
      <c r="CI9" s="83">
        <f>Calc!N43</f>
        <v>-1.3755880354115801E-9</v>
      </c>
      <c r="CJ9" s="83">
        <f>Calc!O43</f>
        <v>-6.8286810777212099E-9</v>
      </c>
      <c r="CK9" s="83">
        <f>Calc!P43</f>
        <v>-1.04293498685182E-9</v>
      </c>
      <c r="CL9" s="83">
        <f>Calc!Q43</f>
        <v>-5.9928378921435799E-9</v>
      </c>
      <c r="CM9" s="83">
        <f>Calc!R43</f>
        <v>9.9891771502550206E-11</v>
      </c>
      <c r="CN9" s="84"/>
      <c r="CO9" s="84"/>
      <c r="CP9" s="84"/>
      <c r="CQ9" s="84"/>
      <c r="CR9" s="84"/>
      <c r="CS9" s="84"/>
      <c r="CT9" s="83">
        <v>0</v>
      </c>
      <c r="CU9" s="83">
        <f>Calc!T43</f>
        <v>-6.6066129785672015E-2</v>
      </c>
      <c r="CV9" s="83">
        <f>Calc!U43</f>
        <v>15.181718398211292</v>
      </c>
      <c r="CW9" s="83">
        <f>Calc!V43</f>
        <v>-1.9526341728782435E-4</v>
      </c>
      <c r="CX9" s="83">
        <f>Calc!W43</f>
        <v>-8.5563991076455367E-5</v>
      </c>
      <c r="CY9" s="83">
        <f>Calc!X43</f>
        <v>1.4822155092116072E-5</v>
      </c>
      <c r="CZ9" s="83">
        <f>Calc!Y43</f>
        <v>-9.1441579257671248E-8</v>
      </c>
      <c r="DA9" s="83">
        <f>Calc!Z43</f>
        <v>-1.0981693289977367E-7</v>
      </c>
      <c r="DB9" s="83">
        <f>Calc!AA43</f>
        <v>-1.15265458360122E-8</v>
      </c>
      <c r="DC9" s="83">
        <f>Calc!AB43</f>
        <v>-1.8172765597503682E-6</v>
      </c>
      <c r="DD9" s="83">
        <f>Calc!AC43</f>
        <v>1.27574449362868E-9</v>
      </c>
      <c r="DE9" s="83">
        <f>Calc!AD43</f>
        <v>7.7897327013718401E-10</v>
      </c>
      <c r="DF9" s="83">
        <f>Calc!AE43</f>
        <v>7.3361294369038402E-9</v>
      </c>
      <c r="DG9" s="83">
        <f>Calc!AF43</f>
        <v>-1.81798644252709E-10</v>
      </c>
      <c r="DH9" s="83">
        <f>Calc!AG43</f>
        <v>1.37896323183342E-8</v>
      </c>
      <c r="DI9" s="21"/>
      <c r="DJ9" s="21"/>
      <c r="DK9" s="21"/>
      <c r="DL9" s="21"/>
      <c r="DM9" s="21"/>
      <c r="DN9" s="21"/>
    </row>
    <row r="10" spans="1:118" s="13" customFormat="1">
      <c r="A10" s="14" t="s">
        <v>91</v>
      </c>
      <c r="B10" s="15" t="s">
        <v>202</v>
      </c>
      <c r="C10" s="14" t="str">
        <f>DDC!B11</f>
        <v>NIS_CNTR</v>
      </c>
      <c r="D10" s="15" t="s">
        <v>179</v>
      </c>
      <c r="E10" s="14" t="s">
        <v>117</v>
      </c>
      <c r="F10" s="14">
        <v>2048</v>
      </c>
      <c r="G10" s="14">
        <v>2048</v>
      </c>
      <c r="H10" s="60">
        <v>94</v>
      </c>
      <c r="I10" s="60">
        <v>850</v>
      </c>
      <c r="J10" s="14">
        <v>64</v>
      </c>
      <c r="K10" s="14">
        <v>64</v>
      </c>
      <c r="L10" s="65">
        <v>33</v>
      </c>
      <c r="M10" s="19">
        <v>33</v>
      </c>
      <c r="N10" s="68">
        <f t="shared" si="2"/>
        <v>6.535764168515136E-2</v>
      </c>
      <c r="O10" s="68">
        <f t="shared" si="6"/>
        <v>6.5901383978181849E-2</v>
      </c>
      <c r="P10" s="76">
        <f>Calc!B79</f>
        <v>-351.04655769734256</v>
      </c>
      <c r="Q10" s="76">
        <f>Calc!C79</f>
        <v>-686.28330929230776</v>
      </c>
      <c r="R10" s="17">
        <v>-0.56998599999999999</v>
      </c>
      <c r="S10" s="14">
        <v>-1</v>
      </c>
      <c r="T10" s="35">
        <v>180</v>
      </c>
      <c r="U10" s="14">
        <v>1</v>
      </c>
      <c r="V10" s="82">
        <v>-90.306460999999999</v>
      </c>
      <c r="W10" s="82">
        <v>-0.56998599999999999</v>
      </c>
      <c r="X10" s="12">
        <f>Calc!L79</f>
        <v>-2.1241990510227406</v>
      </c>
      <c r="Y10" s="12">
        <f>Calc!M79</f>
        <v>2.0585644126699929</v>
      </c>
      <c r="Z10" s="12">
        <f>Calc!N79</f>
        <v>2.0588448954808509</v>
      </c>
      <c r="AA10" s="12">
        <f>Calc!O79</f>
        <v>-2.1240218561903381</v>
      </c>
      <c r="AB10" s="12">
        <f>Calc!P79</f>
        <v>-2.1543730611009879</v>
      </c>
      <c r="AC10" s="12">
        <f>Calc!Q79</f>
        <v>-2.129435441342133</v>
      </c>
      <c r="AD10" s="12">
        <f>Calc!R79</f>
        <v>2.088235169365781</v>
      </c>
      <c r="AE10" s="12">
        <f>Calc!S79</f>
        <v>2.0633286868299456</v>
      </c>
      <c r="AF10" s="32">
        <v>41640</v>
      </c>
      <c r="AH10">
        <v>4</v>
      </c>
      <c r="AI10" s="83">
        <v>0</v>
      </c>
      <c r="AJ10" s="83">
        <f>Calc!E9</f>
        <v>6.5356481390302951E-2</v>
      </c>
      <c r="AK10" s="83">
        <f>Calc!F9</f>
        <v>3.583158368646356E-6</v>
      </c>
      <c r="AL10" s="83">
        <f>Calc!G9</f>
        <v>-1.7275623502858037E-8</v>
      </c>
      <c r="AM10" s="83">
        <f>Calc!H9</f>
        <v>2.5216791615190305E-8</v>
      </c>
      <c r="AN10" s="83">
        <f>Calc!I9</f>
        <v>-5.0566151311313691E-9</v>
      </c>
      <c r="AO10" s="83">
        <f>Calc!J9</f>
        <v>5.1358880691670026E-12</v>
      </c>
      <c r="AP10" s="83">
        <f>Calc!K9</f>
        <v>2.9745031469248706E-11</v>
      </c>
      <c r="AQ10" s="83">
        <f>Calc!L9</f>
        <v>-1.6131030412854214E-12</v>
      </c>
      <c r="AR10" s="83">
        <f>Calc!M9</f>
        <v>7.860014354161041E-12</v>
      </c>
      <c r="AS10" s="83">
        <f>Calc!N9</f>
        <v>1.6907453091921699E-15</v>
      </c>
      <c r="AT10" s="83">
        <f>Calc!O9</f>
        <v>8.3328937943771704E-15</v>
      </c>
      <c r="AU10" s="83">
        <f>Calc!P9</f>
        <v>1.5605946571290499E-15</v>
      </c>
      <c r="AV10" s="83">
        <f>Calc!Q9</f>
        <v>7.5558022688464296E-15</v>
      </c>
      <c r="AW10" s="83">
        <f>Calc!R9</f>
        <v>2.2323735656209599E-16</v>
      </c>
      <c r="AX10" s="83"/>
      <c r="AY10" s="83"/>
      <c r="AZ10" s="83"/>
      <c r="BA10" s="83"/>
      <c r="BB10" s="83"/>
      <c r="BC10" s="83"/>
      <c r="BD10" s="83">
        <v>0</v>
      </c>
      <c r="BE10" s="83">
        <f>Calc!T9</f>
        <v>3.8944437808223936E-4</v>
      </c>
      <c r="BF10" s="83">
        <f>Calc!U9</f>
        <v>6.5901383880770964E-2</v>
      </c>
      <c r="BG10" s="83">
        <f>Calc!V9</f>
        <v>4.1129835510522456E-8</v>
      </c>
      <c r="BH10" s="83">
        <f>Calc!W9</f>
        <v>-7.601861088807422E-9</v>
      </c>
      <c r="BI10" s="83">
        <f>Calc!X9</f>
        <v>-2.0591145318289831E-8</v>
      </c>
      <c r="BJ10" s="83">
        <f>Calc!Y9</f>
        <v>-4.7658613515354383E-12</v>
      </c>
      <c r="BK10" s="83">
        <f>Calc!Z9</f>
        <v>-2.0105638789819667E-11</v>
      </c>
      <c r="BL10" s="83">
        <f>Calc!AA9</f>
        <v>-1.5928047334130578E-11</v>
      </c>
      <c r="BM10" s="83">
        <f>Calc!AB9</f>
        <v>-4.1035414915422337E-11</v>
      </c>
      <c r="BN10" s="83">
        <f>Calc!AC9</f>
        <v>-1.5569775603692001E-15</v>
      </c>
      <c r="BO10" s="83">
        <f>Calc!AD9</f>
        <v>-8.9998512702542103E-16</v>
      </c>
      <c r="BP10" s="83">
        <f>Calc!AE9</f>
        <v>-9.3831850618819502E-15</v>
      </c>
      <c r="BQ10" s="83">
        <f>Calc!AF9</f>
        <v>-2.3048805578410999E-17</v>
      </c>
      <c r="BR10" s="83">
        <f>Calc!AG9</f>
        <v>-1.7480296209813501E-14</v>
      </c>
      <c r="BS10" s="83"/>
      <c r="BT10" s="83"/>
      <c r="BU10" s="83"/>
      <c r="BV10" s="83"/>
      <c r="BW10" s="83"/>
      <c r="BX10" s="83"/>
      <c r="BY10" s="83">
        <v>0</v>
      </c>
      <c r="BZ10" s="83">
        <f>Calc!E44</f>
        <v>15.300289421965488</v>
      </c>
      <c r="CA10" s="83">
        <f>Calc!F44</f>
        <v>-8.9164886318489757E-4</v>
      </c>
      <c r="CB10" s="83">
        <f>Calc!G44</f>
        <v>5.9378891608204585E-5</v>
      </c>
      <c r="CC10" s="83">
        <f>Calc!H44</f>
        <v>-9.089697199429048E-5</v>
      </c>
      <c r="CD10" s="83">
        <f>Calc!I44</f>
        <v>1.8202301321942142E-5</v>
      </c>
      <c r="CE10" s="83">
        <f>Calc!J44</f>
        <v>-2.6914103561615933E-7</v>
      </c>
      <c r="CF10" s="83">
        <f>Calc!K44</f>
        <v>-1.5970654624409471E-6</v>
      </c>
      <c r="CG10" s="83">
        <f>Calc!L44</f>
        <v>1.08896038445804E-7</v>
      </c>
      <c r="CH10" s="83">
        <f>Calc!M44</f>
        <v>-3.9442199230518733E-7</v>
      </c>
      <c r="CI10" s="83">
        <f>Calc!N44</f>
        <v>-1.3755880354115801E-9</v>
      </c>
      <c r="CJ10" s="83">
        <f>Calc!O44</f>
        <v>-6.8286810777212099E-9</v>
      </c>
      <c r="CK10" s="83">
        <f>Calc!P44</f>
        <v>-1.04293498685182E-9</v>
      </c>
      <c r="CL10" s="83">
        <f>Calc!Q44</f>
        <v>-5.9928378921435799E-9</v>
      </c>
      <c r="CM10" s="83">
        <f>Calc!R44</f>
        <v>9.9891771502550206E-11</v>
      </c>
      <c r="CN10" s="84"/>
      <c r="CO10" s="84"/>
      <c r="CP10" s="84"/>
      <c r="CQ10" s="84"/>
      <c r="CR10" s="84"/>
      <c r="CS10" s="84"/>
      <c r="CT10" s="83">
        <v>0</v>
      </c>
      <c r="CU10" s="83">
        <f>Calc!T44</f>
        <v>-9.052877128238547E-2</v>
      </c>
      <c r="CV10" s="83">
        <f>Calc!U44</f>
        <v>15.174239432415016</v>
      </c>
      <c r="CW10" s="83">
        <f>Calc!V44</f>
        <v>-1.4661722151319557E-4</v>
      </c>
      <c r="CX10" s="83">
        <f>Calc!W44</f>
        <v>2.4819191342139335E-5</v>
      </c>
      <c r="CY10" s="83">
        <f>Calc!X44</f>
        <v>7.1055602996925981E-5</v>
      </c>
      <c r="CZ10" s="83">
        <f>Calc!Y44</f>
        <v>2.5444608863163263E-7</v>
      </c>
      <c r="DA10" s="83">
        <f>Calc!Z44</f>
        <v>1.0772031218312957E-6</v>
      </c>
      <c r="DB10" s="83">
        <f>Calc!AA44</f>
        <v>7.8286065781478244E-7</v>
      </c>
      <c r="DC10" s="83">
        <f>Calc!AB44</f>
        <v>2.135725875055737E-6</v>
      </c>
      <c r="DD10" s="83">
        <f>Calc!AC44</f>
        <v>1.27574449362868E-9</v>
      </c>
      <c r="DE10" s="83">
        <f>Calc!AD44</f>
        <v>7.7897327013718401E-10</v>
      </c>
      <c r="DF10" s="83">
        <f>Calc!AE44</f>
        <v>7.3361294369038402E-9</v>
      </c>
      <c r="DG10" s="83">
        <f>Calc!AF44</f>
        <v>-1.81798644252709E-10</v>
      </c>
      <c r="DH10" s="83">
        <f>Calc!AG44</f>
        <v>1.37896323183342E-8</v>
      </c>
      <c r="DI10" s="21"/>
      <c r="DJ10" s="21"/>
      <c r="DK10" s="21"/>
      <c r="DL10" s="21"/>
      <c r="DM10" s="21"/>
      <c r="DN10" s="21"/>
    </row>
    <row r="11" spans="1:118" s="13" customFormat="1">
      <c r="A11" s="14" t="s">
        <v>91</v>
      </c>
      <c r="B11" s="15" t="s">
        <v>186</v>
      </c>
      <c r="C11" s="14" t="str">
        <f>DDC!B12</f>
        <v>NIS_CNTR</v>
      </c>
      <c r="D11" s="14" t="s">
        <v>177</v>
      </c>
      <c r="E11" s="14" t="s">
        <v>117</v>
      </c>
      <c r="F11" s="14">
        <v>2048</v>
      </c>
      <c r="G11" s="14">
        <v>2048</v>
      </c>
      <c r="H11" s="60">
        <v>1026.5</v>
      </c>
      <c r="I11" s="60">
        <v>1027.9000000000001</v>
      </c>
      <c r="J11" s="37">
        <v>2048</v>
      </c>
      <c r="K11" s="14">
        <v>2048</v>
      </c>
      <c r="L11" s="65">
        <f t="shared" si="1"/>
        <v>1022.5</v>
      </c>
      <c r="M11" s="65">
        <f t="shared" si="0"/>
        <v>1021.0999999999999</v>
      </c>
      <c r="N11" s="68">
        <f t="shared" ref="N11" si="9">SQRT(AJ11^2+BE11^2)</f>
        <v>6.5398634814101991E-2</v>
      </c>
      <c r="O11" s="68">
        <f t="shared" ref="O11" si="10">SQRT(AK11^2+BF11^2)</f>
        <v>6.5893163705187024E-2</v>
      </c>
      <c r="P11" s="76">
        <f>Calc!B80</f>
        <v>-289.96697595522164</v>
      </c>
      <c r="Q11" s="76">
        <f>Calc!C80</f>
        <v>-697.7233259288945</v>
      </c>
      <c r="R11" s="17">
        <v>-0.56998599999999999</v>
      </c>
      <c r="S11" s="14">
        <v>-1</v>
      </c>
      <c r="T11" s="35">
        <v>180</v>
      </c>
      <c r="U11" s="14">
        <v>1</v>
      </c>
      <c r="V11" s="82">
        <v>-90.306460999999999</v>
      </c>
      <c r="W11" s="82">
        <v>-0.56998599999999999</v>
      </c>
      <c r="X11" s="12">
        <f>Calc!L80</f>
        <v>-66.870865962512866</v>
      </c>
      <c r="Y11" s="12">
        <f>Calc!M80</f>
        <v>67.076872888962683</v>
      </c>
      <c r="Z11" s="12">
        <f>Calc!N80</f>
        <v>67.0638852768531</v>
      </c>
      <c r="AA11" s="12">
        <f>Calc!O80</f>
        <v>-66.857878065924055</v>
      </c>
      <c r="AB11" s="12">
        <f>Calc!P80</f>
        <v>-67.426953931870756</v>
      </c>
      <c r="AC11" s="12">
        <f>Calc!Q80</f>
        <v>-66.867525160430958</v>
      </c>
      <c r="AD11" s="12">
        <f>Calc!R80</f>
        <v>68.139063226427353</v>
      </c>
      <c r="AE11" s="12">
        <f>Calc!S80</f>
        <v>67.466446836870958</v>
      </c>
      <c r="AF11" s="32">
        <v>41640</v>
      </c>
      <c r="AH11">
        <v>4</v>
      </c>
      <c r="AI11" s="83">
        <v>0</v>
      </c>
      <c r="AJ11" s="83">
        <f>Calc!E10</f>
        <v>6.5397944409521819E-2</v>
      </c>
      <c r="AK11" s="83">
        <f>Calc!F10</f>
        <v>3.0050778281221805E-8</v>
      </c>
      <c r="AL11" s="83">
        <f>Calc!G10</f>
        <v>-2.3917257228241926E-8</v>
      </c>
      <c r="AM11" s="83">
        <f>Calc!H10</f>
        <v>-6.1930438753112382E-9</v>
      </c>
      <c r="AN11" s="83">
        <f>Calc!I10</f>
        <v>-2.5875349406998131E-9</v>
      </c>
      <c r="AO11" s="83">
        <f>Calc!J10</f>
        <v>-2.6530137401394909E-12</v>
      </c>
      <c r="AP11" s="83">
        <f>Calc!K10</f>
        <v>5.8785015004720585E-12</v>
      </c>
      <c r="AQ11" s="83">
        <f>Calc!L10</f>
        <v>-8.5561437477144427E-12</v>
      </c>
      <c r="AR11" s="83">
        <f>Calc!M10</f>
        <v>6.5537303553215752E-13</v>
      </c>
      <c r="AS11" s="83">
        <f>Calc!N10</f>
        <v>1.6907453091921699E-15</v>
      </c>
      <c r="AT11" s="83">
        <f>Calc!O10</f>
        <v>8.3328937943771704E-15</v>
      </c>
      <c r="AU11" s="83">
        <f>Calc!P10</f>
        <v>1.5605946571290499E-15</v>
      </c>
      <c r="AV11" s="83">
        <f>Calc!Q10</f>
        <v>7.5558022688464296E-15</v>
      </c>
      <c r="AW11" s="83">
        <f>Calc!R10</f>
        <v>2.2323735656209599E-16</v>
      </c>
      <c r="AX11" s="83"/>
      <c r="AY11" s="83"/>
      <c r="AZ11" s="83"/>
      <c r="BA11" s="83"/>
      <c r="BB11" s="83"/>
      <c r="BC11" s="83"/>
      <c r="BD11" s="83">
        <v>0</v>
      </c>
      <c r="BE11" s="83">
        <f>Calc!T10</f>
        <v>3.0050383918752013E-4</v>
      </c>
      <c r="BF11" s="83">
        <f>Calc!U10</f>
        <v>6.5893163705180169E-2</v>
      </c>
      <c r="BG11" s="83">
        <f>Calc!V10</f>
        <v>4.9170985158746047E-8</v>
      </c>
      <c r="BH11" s="83">
        <f>Calc!W10</f>
        <v>2.6986031083249228E-8</v>
      </c>
      <c r="BI11" s="83">
        <f>Calc!X10</f>
        <v>4.6723402373855739E-9</v>
      </c>
      <c r="BJ11" s="83">
        <f>Calc!Y10</f>
        <v>1.2017723027395E-12</v>
      </c>
      <c r="BK11" s="83">
        <f>Calc!Z10</f>
        <v>-1.4249393151948449E-11</v>
      </c>
      <c r="BL11" s="83">
        <f>Calc!AA10</f>
        <v>1.5838939538164575E-12</v>
      </c>
      <c r="BM11" s="83">
        <f>Calc!AB10</f>
        <v>-2.8574943121317173E-11</v>
      </c>
      <c r="BN11" s="83">
        <f>Calc!AC10</f>
        <v>-1.5569775603692001E-15</v>
      </c>
      <c r="BO11" s="83">
        <f>Calc!AD10</f>
        <v>-8.9998512702542103E-16</v>
      </c>
      <c r="BP11" s="83">
        <f>Calc!AE10</f>
        <v>-9.3831850618819502E-15</v>
      </c>
      <c r="BQ11" s="83">
        <f>Calc!AF10</f>
        <v>-2.3048805578410999E-17</v>
      </c>
      <c r="BR11" s="83">
        <f>Calc!AG10</f>
        <v>-1.7480296209813501E-14</v>
      </c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4"/>
      <c r="CO11" s="84"/>
      <c r="CP11" s="84"/>
      <c r="CQ11" s="84"/>
      <c r="CR11" s="84"/>
      <c r="CS11" s="84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21"/>
      <c r="DJ11" s="21"/>
      <c r="DK11" s="21"/>
      <c r="DL11" s="21"/>
      <c r="DM11" s="21"/>
      <c r="DN11" s="21"/>
    </row>
    <row r="12" spans="1:118" s="13" customFormat="1">
      <c r="A12" s="14" t="s">
        <v>91</v>
      </c>
      <c r="B12" s="15" t="s">
        <v>203</v>
      </c>
      <c r="C12" s="14" t="str">
        <f>DDC!B13</f>
        <v>NIS_CNTR</v>
      </c>
      <c r="D12" s="15" t="s">
        <v>179</v>
      </c>
      <c r="E12" s="14" t="s">
        <v>117</v>
      </c>
      <c r="F12" s="14">
        <v>2048</v>
      </c>
      <c r="G12" s="14">
        <v>2048</v>
      </c>
      <c r="H12" s="59">
        <v>32.5</v>
      </c>
      <c r="I12" s="59">
        <v>32.5</v>
      </c>
      <c r="J12" s="37">
        <v>2048</v>
      </c>
      <c r="K12" s="14">
        <v>2048</v>
      </c>
      <c r="L12" s="65">
        <f t="shared" si="1"/>
        <v>2016.5</v>
      </c>
      <c r="M12" s="65">
        <f t="shared" si="0"/>
        <v>2016.5</v>
      </c>
      <c r="N12" s="68">
        <f t="shared" ref="N12:N21" si="11">SQRT(AJ12^2+BE12^2)</f>
        <v>6.5382351694908095E-2</v>
      </c>
      <c r="O12" s="68">
        <f t="shared" si="6"/>
        <v>6.5745039171412528E-2</v>
      </c>
      <c r="P12" s="76">
        <f>Calc!B81</f>
        <v>-355.60694638448689</v>
      </c>
      <c r="Q12" s="76">
        <f>Calc!C81</f>
        <v>-632.47263809133256</v>
      </c>
      <c r="R12" s="17">
        <v>-0.56998599999999999</v>
      </c>
      <c r="S12" s="14">
        <v>-1</v>
      </c>
      <c r="T12" s="35">
        <v>180</v>
      </c>
      <c r="U12" s="14">
        <v>1</v>
      </c>
      <c r="V12" s="82">
        <v>-90.306460999999999</v>
      </c>
      <c r="W12" s="82">
        <v>-0.56998599999999999</v>
      </c>
      <c r="X12" s="12">
        <f>Calc!L81</f>
        <v>-131.55937153099646</v>
      </c>
      <c r="Y12" s="12">
        <f>Calc!M81</f>
        <v>2.1269626975603839</v>
      </c>
      <c r="Z12" s="12">
        <f>Calc!N81</f>
        <v>2.0927190128650017</v>
      </c>
      <c r="AA12" s="12">
        <f>Calc!O81</f>
        <v>-131.76891686987582</v>
      </c>
      <c r="AB12" s="12">
        <f>Calc!P81</f>
        <v>-133.31101906859348</v>
      </c>
      <c r="AC12" s="12">
        <f>Calc!Q81</f>
        <v>-132.45692472182026</v>
      </c>
      <c r="AD12" s="12">
        <f>Calc!R81</f>
        <v>2.1158305959683794</v>
      </c>
      <c r="AE12" s="12">
        <f>Calc!S81</f>
        <v>1.4213741453492921</v>
      </c>
      <c r="AF12" s="32">
        <v>41640</v>
      </c>
      <c r="AH12">
        <v>4</v>
      </c>
      <c r="AI12" s="83">
        <v>0</v>
      </c>
      <c r="AJ12" s="83">
        <f>Calc!E11</f>
        <v>6.5381277573823185E-2</v>
      </c>
      <c r="AK12" s="83">
        <f>Calc!F11</f>
        <v>1.4006509697611265E-5</v>
      </c>
      <c r="AL12" s="83">
        <f>Calc!G11</f>
        <v>1.0326675118652863E-8</v>
      </c>
      <c r="AM12" s="83">
        <f>Calc!H11</f>
        <v>4.1795171304692266E-8</v>
      </c>
      <c r="AN12" s="83">
        <f>Calc!I11</f>
        <v>1.6161544529752292E-8</v>
      </c>
      <c r="AO12" s="83">
        <f>Calc!J11</f>
        <v>1.2363952092131612E-11</v>
      </c>
      <c r="AP12" s="83">
        <f>Calc!K11</f>
        <v>3.3834022638717297E-11</v>
      </c>
      <c r="AQ12" s="83">
        <f>Calc!L11</f>
        <v>1.7109455165887319E-11</v>
      </c>
      <c r="AR12" s="83">
        <f>Calc!M11</f>
        <v>9.0546823496531501E-12</v>
      </c>
      <c r="AS12" s="83">
        <f>Calc!N11</f>
        <v>1.6907453091921699E-15</v>
      </c>
      <c r="AT12" s="83">
        <f>Calc!O11</f>
        <v>8.3328937943771704E-15</v>
      </c>
      <c r="AU12" s="83">
        <f>Calc!P11</f>
        <v>1.5605946571290499E-15</v>
      </c>
      <c r="AV12" s="83">
        <f>Calc!Q11</f>
        <v>7.5558022688464296E-15</v>
      </c>
      <c r="AW12" s="83">
        <f>Calc!R11</f>
        <v>2.2323735656209599E-16</v>
      </c>
      <c r="AX12" s="83"/>
      <c r="AY12" s="83"/>
      <c r="AZ12" s="83"/>
      <c r="BA12" s="83"/>
      <c r="BB12" s="83"/>
      <c r="BC12" s="83"/>
      <c r="BD12" s="83">
        <v>0</v>
      </c>
      <c r="BE12" s="83">
        <f>Calc!T11</f>
        <v>3.7477456068410269E-4</v>
      </c>
      <c r="BF12" s="83">
        <f>Calc!U11</f>
        <v>6.5745037679419221E-2</v>
      </c>
      <c r="BG12" s="83">
        <f>Calc!V11</f>
        <v>1.7372256256730175E-8</v>
      </c>
      <c r="BH12" s="83">
        <f>Calc!W11</f>
        <v>-3.8060640371837846E-8</v>
      </c>
      <c r="BI12" s="83">
        <f>Calc!X11</f>
        <v>-1.9234218853686487E-7</v>
      </c>
      <c r="BJ12" s="83">
        <f>Calc!Y11</f>
        <v>-5.8846156727295431E-12</v>
      </c>
      <c r="BK12" s="83">
        <f>Calc!Z11</f>
        <v>-3.5613193621932845E-11</v>
      </c>
      <c r="BL12" s="83">
        <f>Calc!AA11</f>
        <v>-1.7138706292423111E-11</v>
      </c>
      <c r="BM12" s="83">
        <f>Calc!AB11</f>
        <v>-9.8197401023055553E-11</v>
      </c>
      <c r="BN12" s="83">
        <f>Calc!AC11</f>
        <v>-1.5569775603692001E-15</v>
      </c>
      <c r="BO12" s="83">
        <f>Calc!AD11</f>
        <v>-8.9998512702542103E-16</v>
      </c>
      <c r="BP12" s="83">
        <f>Calc!AE11</f>
        <v>-9.3831850618819502E-15</v>
      </c>
      <c r="BQ12" s="83">
        <f>Calc!AF11</f>
        <v>-2.3048805578410999E-17</v>
      </c>
      <c r="BR12" s="83">
        <f>Calc!AG11</f>
        <v>-1.7480296209813501E-14</v>
      </c>
      <c r="BS12" s="83"/>
      <c r="BT12" s="83"/>
      <c r="BU12" s="83"/>
      <c r="BV12" s="83"/>
      <c r="BW12" s="83"/>
      <c r="BX12" s="83"/>
      <c r="BY12" s="83">
        <v>0</v>
      </c>
      <c r="BZ12" s="83">
        <f>Calc!E46</f>
        <v>15.294504131696609</v>
      </c>
      <c r="CA12" s="83">
        <f>Calc!F46</f>
        <v>-2.8570603304199716E-3</v>
      </c>
      <c r="CB12" s="83">
        <f>Calc!G46</f>
        <v>-3.7477036624754567E-5</v>
      </c>
      <c r="CC12" s="83">
        <f>Calc!H46</f>
        <v>-1.4540118139413544E-4</v>
      </c>
      <c r="CD12" s="83">
        <f>Calc!I46</f>
        <v>-4.7257821404333818E-5</v>
      </c>
      <c r="CE12" s="83">
        <f>Calc!J46</f>
        <v>-6.5903473534058037E-7</v>
      </c>
      <c r="CF12" s="83">
        <f>Calc!K46</f>
        <v>-1.7918499782605522E-6</v>
      </c>
      <c r="CG12" s="83">
        <f>Calc!L46</f>
        <v>-8.6770292948899054E-7</v>
      </c>
      <c r="CH12" s="83">
        <f>Calc!M46</f>
        <v>-3.9702426674240686E-7</v>
      </c>
      <c r="CI12" s="83">
        <f>Calc!N46</f>
        <v>-1.3755880354115801E-9</v>
      </c>
      <c r="CJ12" s="83">
        <f>Calc!O46</f>
        <v>-6.8286810777212099E-9</v>
      </c>
      <c r="CK12" s="83">
        <f>Calc!P46</f>
        <v>-1.04293498685182E-9</v>
      </c>
      <c r="CL12" s="83">
        <f>Calc!Q46</f>
        <v>-5.9928378921435799E-9</v>
      </c>
      <c r="CM12" s="83">
        <f>Calc!R46</f>
        <v>9.9891771502550206E-11</v>
      </c>
      <c r="CN12" s="84"/>
      <c r="CO12" s="84"/>
      <c r="CP12" s="84"/>
      <c r="CQ12" s="84"/>
      <c r="CR12" s="84"/>
      <c r="CS12" s="84"/>
      <c r="CT12" s="83">
        <v>0</v>
      </c>
      <c r="CU12" s="83">
        <f>Calc!T46</f>
        <v>-8.7477377204617013E-2</v>
      </c>
      <c r="CV12" s="83">
        <f>Calc!U46</f>
        <v>15.209552733240036</v>
      </c>
      <c r="CW12" s="83">
        <f>Calc!V46</f>
        <v>-6.362720044771899E-5</v>
      </c>
      <c r="CX12" s="83">
        <f>Calc!W46</f>
        <v>1.2262633671808142E-4</v>
      </c>
      <c r="CY12" s="83">
        <f>Calc!X46</f>
        <v>6.5921026303106083E-4</v>
      </c>
      <c r="CZ12" s="83">
        <f>Calc!Y46</f>
        <v>3.1693518078725187E-7</v>
      </c>
      <c r="DA12" s="83">
        <f>Calc!Z46</f>
        <v>1.8767595490930674E-6</v>
      </c>
      <c r="DB12" s="83">
        <f>Calc!AA46</f>
        <v>8.1254297781646183E-7</v>
      </c>
      <c r="DC12" s="83">
        <f>Calc!AB46</f>
        <v>5.1054671302033333E-6</v>
      </c>
      <c r="DD12" s="83">
        <f>Calc!AC46</f>
        <v>1.27574449362868E-9</v>
      </c>
      <c r="DE12" s="83">
        <f>Calc!AD46</f>
        <v>7.7897327013718401E-10</v>
      </c>
      <c r="DF12" s="83">
        <f>Calc!AE46</f>
        <v>7.3361294369038402E-9</v>
      </c>
      <c r="DG12" s="83">
        <f>Calc!AF46</f>
        <v>-1.81798644252709E-10</v>
      </c>
      <c r="DH12" s="83">
        <f>Calc!AG46</f>
        <v>1.37896323183342E-8</v>
      </c>
      <c r="DI12" s="21"/>
      <c r="DJ12" s="21"/>
      <c r="DK12" s="21"/>
      <c r="DL12" s="21"/>
      <c r="DM12" s="21"/>
      <c r="DN12" s="21"/>
    </row>
    <row r="13" spans="1:118" s="13" customFormat="1">
      <c r="A13" s="14" t="s">
        <v>91</v>
      </c>
      <c r="B13" s="15" t="s">
        <v>204</v>
      </c>
      <c r="C13" s="14" t="str">
        <f>DDC!B14</f>
        <v>NIS_CNTR</v>
      </c>
      <c r="D13" s="15" t="s">
        <v>179</v>
      </c>
      <c r="E13" s="14" t="s">
        <v>117</v>
      </c>
      <c r="F13" s="14">
        <v>2048</v>
      </c>
      <c r="G13" s="14">
        <v>2048</v>
      </c>
      <c r="H13" s="59">
        <v>32.5</v>
      </c>
      <c r="I13" s="59">
        <v>1253</v>
      </c>
      <c r="J13" s="37">
        <v>64</v>
      </c>
      <c r="K13" s="14">
        <v>2048</v>
      </c>
      <c r="L13" s="61">
        <v>32.5</v>
      </c>
      <c r="M13" s="65">
        <f t="shared" si="1"/>
        <v>796</v>
      </c>
      <c r="N13" s="68">
        <f t="shared" si="11"/>
        <v>6.5343214466323005E-2</v>
      </c>
      <c r="O13" s="68">
        <f t="shared" si="6"/>
        <v>6.5902838225791627E-2</v>
      </c>
      <c r="P13" s="76">
        <f>Calc!B82</f>
        <v>-354.79825648241371</v>
      </c>
      <c r="Q13" s="76">
        <f>Calc!C82</f>
        <v>-712.85716353142516</v>
      </c>
      <c r="R13" s="17">
        <v>-0.56998599999999999</v>
      </c>
      <c r="S13" s="14">
        <v>-1</v>
      </c>
      <c r="T13" s="35">
        <v>180</v>
      </c>
      <c r="U13" s="14">
        <v>1</v>
      </c>
      <c r="V13" s="82">
        <v>-90.306460999999999</v>
      </c>
      <c r="W13" s="82">
        <v>-0.56998599999999999</v>
      </c>
      <c r="X13" s="12">
        <f>Calc!L82</f>
        <v>-2.1102610675590054</v>
      </c>
      <c r="Y13" s="12">
        <f>Calc!M82</f>
        <v>2.0699072987659153</v>
      </c>
      <c r="Z13" s="12">
        <f>Calc!N82</f>
        <v>2.0855227563210255</v>
      </c>
      <c r="AA13" s="12">
        <f>Calc!O82</f>
        <v>-2.0990754267213738</v>
      </c>
      <c r="AB13" s="12">
        <f>Calc!P82</f>
        <v>-52.40857447673099</v>
      </c>
      <c r="AC13" s="12">
        <f>Calc!Q82</f>
        <v>-52.383434106502889</v>
      </c>
      <c r="AD13" s="12">
        <f>Calc!R82</f>
        <v>82.629675123275121</v>
      </c>
      <c r="AE13" s="12">
        <f>Calc!S82</f>
        <v>82.604053464555477</v>
      </c>
      <c r="AF13" s="32">
        <v>41640</v>
      </c>
      <c r="AH13">
        <v>4</v>
      </c>
      <c r="AI13" s="83">
        <v>0</v>
      </c>
      <c r="AJ13" s="83">
        <f>Calc!E12</f>
        <v>6.5342016093690433E-2</v>
      </c>
      <c r="AK13" s="83">
        <f>Calc!F12</f>
        <v>1.3396839210764999E-5</v>
      </c>
      <c r="AL13" s="83">
        <f>Calc!G12</f>
        <v>-2.8643056108600356E-8</v>
      </c>
      <c r="AM13" s="83">
        <f>Calc!H12</f>
        <v>3.3796819438770075E-8</v>
      </c>
      <c r="AN13" s="83">
        <f>Calc!I12</f>
        <v>-1.4996941572154506E-8</v>
      </c>
      <c r="AO13" s="83">
        <f>Calc!J12</f>
        <v>2.1936552160942765E-12</v>
      </c>
      <c r="AP13" s="83">
        <f>Calc!K12</f>
        <v>3.0024611080665286E-11</v>
      </c>
      <c r="AQ13" s="83">
        <f>Calc!L12</f>
        <v>-1.0556114841493884E-11</v>
      </c>
      <c r="AR13" s="83">
        <f>Calc!M12</f>
        <v>7.9648375749169968E-12</v>
      </c>
      <c r="AS13" s="83">
        <f>Calc!N12</f>
        <v>1.6907453091921699E-15</v>
      </c>
      <c r="AT13" s="83">
        <f>Calc!O12</f>
        <v>8.3328937943771704E-15</v>
      </c>
      <c r="AU13" s="83">
        <f>Calc!P12</f>
        <v>1.5605946571290499E-15</v>
      </c>
      <c r="AV13" s="83">
        <f>Calc!Q12</f>
        <v>7.5558022688464296E-15</v>
      </c>
      <c r="AW13" s="83">
        <f>Calc!R12</f>
        <v>2.2323735656209599E-16</v>
      </c>
      <c r="AX13" s="83"/>
      <c r="AY13" s="83"/>
      <c r="AZ13" s="83"/>
      <c r="BA13" s="83"/>
      <c r="BB13" s="83"/>
      <c r="BC13" s="83"/>
      <c r="BD13" s="83">
        <v>0</v>
      </c>
      <c r="BE13" s="83">
        <f>Calc!T12</f>
        <v>3.9573931291330262E-4</v>
      </c>
      <c r="BF13" s="83">
        <f>Calc!U12</f>
        <v>6.5902836864125666E-2</v>
      </c>
      <c r="BG13" s="83">
        <f>Calc!V12</f>
        <v>4.6860776594622343E-8</v>
      </c>
      <c r="BH13" s="83">
        <f>Calc!W12</f>
        <v>3.6719397853832272E-9</v>
      </c>
      <c r="BI13" s="83">
        <f>Calc!X12</f>
        <v>1.097357604823441E-8</v>
      </c>
      <c r="BJ13" s="83">
        <f>Calc!Y12</f>
        <v>-4.7861838251950162E-12</v>
      </c>
      <c r="BK13" s="83">
        <f>Calc!Z12</f>
        <v>-1.2708838885879003E-11</v>
      </c>
      <c r="BL13" s="83">
        <f>Calc!AA12</f>
        <v>-1.7054313090797758E-11</v>
      </c>
      <c r="BM13" s="83">
        <f>Calc!AB12</f>
        <v>-1.2858594926746043E-11</v>
      </c>
      <c r="BN13" s="83">
        <f>Calc!AC12</f>
        <v>-1.5569775603692001E-15</v>
      </c>
      <c r="BO13" s="83">
        <f>Calc!AD12</f>
        <v>-8.9998512702542103E-16</v>
      </c>
      <c r="BP13" s="83">
        <f>Calc!AE12</f>
        <v>-9.3831850618819502E-15</v>
      </c>
      <c r="BQ13" s="83">
        <f>Calc!AF12</f>
        <v>-2.3048805578410999E-17</v>
      </c>
      <c r="BR13" s="83">
        <f>Calc!AG12</f>
        <v>-1.7480296209813501E-14</v>
      </c>
      <c r="BS13" s="83"/>
      <c r="BT13" s="83"/>
      <c r="BU13" s="83"/>
      <c r="BV13" s="83"/>
      <c r="BW13" s="83"/>
      <c r="BX13" s="83"/>
      <c r="BY13" s="83">
        <v>0</v>
      </c>
      <c r="BZ13" s="83">
        <f>Calc!E47</f>
        <v>15.303696817601747</v>
      </c>
      <c r="CA13" s="83">
        <f>Calc!F47</f>
        <v>-3.1626583565923972E-3</v>
      </c>
      <c r="CB13" s="83">
        <f>Calc!G47</f>
        <v>9.9830443108569664E-5</v>
      </c>
      <c r="CC13" s="83">
        <f>Calc!H47</f>
        <v>-1.2204816826075373E-4</v>
      </c>
      <c r="CD13" s="83">
        <f>Calc!I47</f>
        <v>5.235885304691505E-5</v>
      </c>
      <c r="CE13" s="83">
        <f>Calc!J47</f>
        <v>-1.1003722322092543E-7</v>
      </c>
      <c r="CF13" s="83">
        <f>Calc!K47</f>
        <v>-1.6239857149600543E-6</v>
      </c>
      <c r="CG13" s="83">
        <f>Calc!L47</f>
        <v>5.7758322904029773E-7</v>
      </c>
      <c r="CH13" s="83">
        <f>Calc!M47</f>
        <v>-4.2909104377438972E-7</v>
      </c>
      <c r="CI13" s="83">
        <f>Calc!N47</f>
        <v>-1.3755880354115801E-9</v>
      </c>
      <c r="CJ13" s="83">
        <f>Calc!O47</f>
        <v>-6.8286810777212099E-9</v>
      </c>
      <c r="CK13" s="83">
        <f>Calc!P47</f>
        <v>-1.04293498685182E-9</v>
      </c>
      <c r="CL13" s="83">
        <f>Calc!Q47</f>
        <v>-5.9928378921435799E-9</v>
      </c>
      <c r="CM13" s="83">
        <f>Calc!R47</f>
        <v>9.9891771502550206E-11</v>
      </c>
      <c r="CN13" s="84"/>
      <c r="CO13" s="84"/>
      <c r="CP13" s="84"/>
      <c r="CQ13" s="84"/>
      <c r="CR13" s="84"/>
      <c r="CS13" s="84"/>
      <c r="CT13" s="83">
        <v>0</v>
      </c>
      <c r="CU13" s="83">
        <f>Calc!T47</f>
        <v>-9.1986771087913144E-2</v>
      </c>
      <c r="CV13" s="83">
        <f>Calc!U47</f>
        <v>15.173891736821169</v>
      </c>
      <c r="CW13" s="83">
        <f>Calc!V47</f>
        <v>-1.6709565669640827E-4</v>
      </c>
      <c r="CX13" s="83">
        <f>Calc!W47</f>
        <v>-1.1549095337137277E-5</v>
      </c>
      <c r="CY13" s="83">
        <f>Calc!X47</f>
        <v>-3.7382802576495811E-5</v>
      </c>
      <c r="CZ13" s="83">
        <f>Calc!Y47</f>
        <v>2.5426875452997146E-7</v>
      </c>
      <c r="DA13" s="83">
        <f>Calc!Z47</f>
        <v>6.9725630487184209E-7</v>
      </c>
      <c r="DB13" s="83">
        <f>Calc!AA47</f>
        <v>8.5625472713129101E-7</v>
      </c>
      <c r="DC13" s="83">
        <f>Calc!AB47</f>
        <v>6.7135222293675422E-7</v>
      </c>
      <c r="DD13" s="83">
        <f>Calc!AC47</f>
        <v>1.27574449362868E-9</v>
      </c>
      <c r="DE13" s="83">
        <f>Calc!AD47</f>
        <v>7.7897327013718401E-10</v>
      </c>
      <c r="DF13" s="83">
        <f>Calc!AE47</f>
        <v>7.3361294369038402E-9</v>
      </c>
      <c r="DG13" s="83">
        <f>Calc!AF47</f>
        <v>-1.81798644252709E-10</v>
      </c>
      <c r="DH13" s="83">
        <f>Calc!AG47</f>
        <v>1.37896323183342E-8</v>
      </c>
      <c r="DI13" s="21"/>
      <c r="DJ13" s="21"/>
      <c r="DK13" s="21"/>
      <c r="DL13" s="21"/>
      <c r="DM13" s="21"/>
      <c r="DN13" s="21"/>
    </row>
    <row r="14" spans="1:118" s="13" customFormat="1">
      <c r="A14" s="14" t="s">
        <v>91</v>
      </c>
      <c r="B14" s="15" t="s">
        <v>205</v>
      </c>
      <c r="C14" s="14" t="str">
        <f>DDC!B15</f>
        <v>NIS_CNTR</v>
      </c>
      <c r="D14" s="15" t="s">
        <v>179</v>
      </c>
      <c r="E14" s="14" t="s">
        <v>117</v>
      </c>
      <c r="F14" s="14">
        <v>2048</v>
      </c>
      <c r="G14" s="14">
        <v>2048</v>
      </c>
      <c r="H14" s="59">
        <v>32.5</v>
      </c>
      <c r="I14" s="59">
        <v>300</v>
      </c>
      <c r="J14" s="37">
        <v>64</v>
      </c>
      <c r="K14" s="14">
        <v>2048</v>
      </c>
      <c r="L14" s="61">
        <v>32.5</v>
      </c>
      <c r="M14" s="65">
        <f t="shared" si="1"/>
        <v>1749</v>
      </c>
      <c r="N14" s="68">
        <f t="shared" si="11"/>
        <v>6.5372303266509835E-2</v>
      </c>
      <c r="O14" s="68">
        <f t="shared" si="6"/>
        <v>6.5828199622410002E-2</v>
      </c>
      <c r="P14" s="76">
        <f>Calc!B83</f>
        <v>-355.4291120504808</v>
      </c>
      <c r="Q14" s="76">
        <f>Calc!C83</f>
        <v>-650.07051052720476</v>
      </c>
      <c r="R14" s="17">
        <v>-0.56998599999999999</v>
      </c>
      <c r="S14" s="14">
        <v>-1</v>
      </c>
      <c r="T14" s="35">
        <v>180</v>
      </c>
      <c r="U14" s="14">
        <v>1</v>
      </c>
      <c r="V14" s="82">
        <v>-90.306460999999999</v>
      </c>
      <c r="W14" s="82">
        <v>-0.56998599999999999</v>
      </c>
      <c r="X14" s="12">
        <f>Calc!L83</f>
        <v>-2.0752122325169733</v>
      </c>
      <c r="Y14" s="12">
        <f>Calc!M83</f>
        <v>2.1047088624285299</v>
      </c>
      <c r="Z14" s="12">
        <f>Calc!N83</f>
        <v>2.0951963449723516</v>
      </c>
      <c r="AA14" s="12">
        <f>Calc!O83</f>
        <v>-2.089215749524806</v>
      </c>
      <c r="AB14" s="12">
        <f>Calc!P83</f>
        <v>-115.03429198759133</v>
      </c>
      <c r="AC14" s="12">
        <f>Calc!Q83</f>
        <v>-115.00649965717972</v>
      </c>
      <c r="AD14" s="12">
        <f>Calc!R83</f>
        <v>19.729927535713266</v>
      </c>
      <c r="AE14" s="12">
        <f>Calc!S83</f>
        <v>19.705922711668684</v>
      </c>
      <c r="AF14" s="32">
        <v>41640</v>
      </c>
      <c r="AH14">
        <v>4</v>
      </c>
      <c r="AI14" s="83">
        <v>0</v>
      </c>
      <c r="AJ14" s="83">
        <f>Calc!E13</f>
        <v>6.5371177026096031E-2</v>
      </c>
      <c r="AK14" s="83">
        <f>Calc!F13</f>
        <v>7.2867485057787131E-6</v>
      </c>
      <c r="AL14" s="83">
        <f>Calc!G13</f>
        <v>1.3877443642301783E-9</v>
      </c>
      <c r="AM14" s="83">
        <f>Calc!H13</f>
        <v>3.4263607419242973E-8</v>
      </c>
      <c r="AN14" s="83">
        <f>Calc!I13</f>
        <v>8.9910061127286184E-9</v>
      </c>
      <c r="AO14" s="83">
        <f>Calc!J13</f>
        <v>1.013490300213572E-11</v>
      </c>
      <c r="AP14" s="83">
        <f>Calc!K13</f>
        <v>3.2999104497153257E-11</v>
      </c>
      <c r="AQ14" s="83">
        <f>Calc!L13</f>
        <v>1.1045923845138059E-11</v>
      </c>
      <c r="AR14" s="83">
        <f>Calc!M13</f>
        <v>8.815818378131708E-12</v>
      </c>
      <c r="AS14" s="83">
        <f>Calc!N13</f>
        <v>1.6907453091921699E-15</v>
      </c>
      <c r="AT14" s="83">
        <f>Calc!O13</f>
        <v>8.3328937943771704E-15</v>
      </c>
      <c r="AU14" s="83">
        <f>Calc!P13</f>
        <v>1.5605946571290499E-15</v>
      </c>
      <c r="AV14" s="83">
        <f>Calc!Q13</f>
        <v>7.5558022688464296E-15</v>
      </c>
      <c r="AW14" s="83">
        <f>Calc!R13</f>
        <v>2.2323735656209599E-16</v>
      </c>
      <c r="AX14" s="83"/>
      <c r="AY14" s="83"/>
      <c r="AZ14" s="83"/>
      <c r="BA14" s="83"/>
      <c r="BB14" s="83"/>
      <c r="BC14" s="83"/>
      <c r="BD14" s="83">
        <v>0</v>
      </c>
      <c r="BE14" s="83">
        <f>Calc!T13</f>
        <v>3.8372984161546219E-4</v>
      </c>
      <c r="BF14" s="83">
        <f>Calc!U13</f>
        <v>6.5828199219112454E-2</v>
      </c>
      <c r="BG14" s="83">
        <f>Calc!V13</f>
        <v>2.622736001451292E-8</v>
      </c>
      <c r="BH14" s="83">
        <f>Calc!W13</f>
        <v>-2.8896380363673991E-8</v>
      </c>
      <c r="BI14" s="83">
        <f>Calc!X13</f>
        <v>-1.2104372088984361E-7</v>
      </c>
      <c r="BJ14" s="83">
        <f>Calc!Y13</f>
        <v>-5.6438696512502428E-12</v>
      </c>
      <c r="BK14" s="83">
        <f>Calc!Z13</f>
        <v>-3.0593189613826001E-11</v>
      </c>
      <c r="BL14" s="83">
        <f>Calc!AA13</f>
        <v>-1.7120209625946436E-11</v>
      </c>
      <c r="BM14" s="83">
        <f>Calc!AB13</f>
        <v>-7.9493484078555116E-11</v>
      </c>
      <c r="BN14" s="83">
        <f>Calc!AC13</f>
        <v>-1.5569775603692001E-15</v>
      </c>
      <c r="BO14" s="83">
        <f>Calc!AD13</f>
        <v>-8.9998512702542103E-16</v>
      </c>
      <c r="BP14" s="83">
        <f>Calc!AE13</f>
        <v>-9.3831850618819502E-15</v>
      </c>
      <c r="BQ14" s="83">
        <f>Calc!AF13</f>
        <v>-2.3048805578410999E-17</v>
      </c>
      <c r="BR14" s="83">
        <f>Calc!AG13</f>
        <v>-1.7480296209813501E-14</v>
      </c>
      <c r="BS14" s="83"/>
      <c r="BT14" s="83"/>
      <c r="BU14" s="83"/>
      <c r="BV14" s="83"/>
      <c r="BW14" s="83"/>
      <c r="BX14" s="83"/>
      <c r="BY14" s="83">
        <v>0</v>
      </c>
      <c r="BZ14" s="83">
        <f>Calc!E48</f>
        <v>15.29682697100802</v>
      </c>
      <c r="CA14" s="83">
        <f>Calc!F48</f>
        <v>-1.564441604725336E-3</v>
      </c>
      <c r="CB14" s="83">
        <f>Calc!G48</f>
        <v>-6.2612284095288877E-6</v>
      </c>
      <c r="CC14" s="83">
        <f>Calc!H48</f>
        <v>-1.2041872118269834E-4</v>
      </c>
      <c r="CD14" s="83">
        <f>Calc!I48</f>
        <v>-2.6109252392679968E-5</v>
      </c>
      <c r="CE14" s="83">
        <f>Calc!J48</f>
        <v>-5.388431425601099E-7</v>
      </c>
      <c r="CF14" s="83">
        <f>Calc!K48</f>
        <v>-1.7550846389757304E-6</v>
      </c>
      <c r="CG14" s="83">
        <f>Calc!L48</f>
        <v>-5.512974268590569E-7</v>
      </c>
      <c r="CH14" s="83">
        <f>Calc!M48</f>
        <v>-4.0403960132796596E-7</v>
      </c>
      <c r="CI14" s="83">
        <f>Calc!N48</f>
        <v>-1.3755880354115801E-9</v>
      </c>
      <c r="CJ14" s="83">
        <f>Calc!O48</f>
        <v>-6.8286810777212099E-9</v>
      </c>
      <c r="CK14" s="83">
        <f>Calc!P48</f>
        <v>-1.04293498685182E-9</v>
      </c>
      <c r="CL14" s="83">
        <f>Calc!Q48</f>
        <v>-5.9928378921435799E-9</v>
      </c>
      <c r="CM14" s="83">
        <f>Calc!R48</f>
        <v>9.9891771502550206E-11</v>
      </c>
      <c r="CN14" s="84"/>
      <c r="CO14" s="84"/>
      <c r="CP14" s="84"/>
      <c r="CQ14" s="84"/>
      <c r="CR14" s="84"/>
      <c r="CS14" s="84"/>
      <c r="CT14" s="83">
        <v>0</v>
      </c>
      <c r="CU14" s="83">
        <f>Calc!T48</f>
        <v>-8.9382279449369578E-2</v>
      </c>
      <c r="CV14" s="83">
        <f>Calc!U48</f>
        <v>15.190792990230344</v>
      </c>
      <c r="CW14" s="83">
        <f>Calc!V48</f>
        <v>-9.4386252350577162E-5</v>
      </c>
      <c r="CX14" s="83">
        <f>Calc!W48</f>
        <v>9.3848960991217538E-5</v>
      </c>
      <c r="CY14" s="83">
        <f>Calc!X48</f>
        <v>4.1528343438247608E-4</v>
      </c>
      <c r="CZ14" s="83">
        <f>Calc!Y48</f>
        <v>3.0321211203269188E-7</v>
      </c>
      <c r="DA14" s="83">
        <f>Calc!Z48</f>
        <v>1.6185393732402548E-6</v>
      </c>
      <c r="DB14" s="83">
        <f>Calc!AA48</f>
        <v>8.2210074431524892E-7</v>
      </c>
      <c r="DC14" s="83">
        <f>Calc!AB48</f>
        <v>4.1347453211745828E-6</v>
      </c>
      <c r="DD14" s="83">
        <f>Calc!AC48</f>
        <v>1.27574449362868E-9</v>
      </c>
      <c r="DE14" s="83">
        <f>Calc!AD48</f>
        <v>7.7897327013718401E-10</v>
      </c>
      <c r="DF14" s="83">
        <f>Calc!AE48</f>
        <v>7.3361294369038402E-9</v>
      </c>
      <c r="DG14" s="83">
        <f>Calc!AF48</f>
        <v>-1.81798644252709E-10</v>
      </c>
      <c r="DH14" s="83">
        <f>Calc!AG48</f>
        <v>1.37896323183342E-8</v>
      </c>
      <c r="DI14" s="21"/>
      <c r="DJ14" s="21"/>
      <c r="DK14" s="21"/>
      <c r="DL14" s="21"/>
      <c r="DM14" s="21"/>
      <c r="DN14" s="21"/>
    </row>
    <row r="15" spans="1:118" s="13" customFormat="1">
      <c r="A15" s="14" t="s">
        <v>91</v>
      </c>
      <c r="B15" s="15" t="s">
        <v>206</v>
      </c>
      <c r="C15" s="14" t="str">
        <f>DDC!B16</f>
        <v>NIS_CNTR</v>
      </c>
      <c r="D15" s="15" t="s">
        <v>179</v>
      </c>
      <c r="E15" s="14" t="s">
        <v>117</v>
      </c>
      <c r="F15" s="14">
        <v>2048</v>
      </c>
      <c r="G15" s="14">
        <v>2048</v>
      </c>
      <c r="H15" s="59">
        <v>1253</v>
      </c>
      <c r="I15" s="59">
        <v>32.5</v>
      </c>
      <c r="J15" s="37">
        <v>2048</v>
      </c>
      <c r="K15" s="14">
        <v>64</v>
      </c>
      <c r="L15" s="65">
        <f t="shared" si="1"/>
        <v>796</v>
      </c>
      <c r="M15" s="61">
        <v>32.5</v>
      </c>
      <c r="N15" s="68">
        <f t="shared" si="11"/>
        <v>6.5399797472280793E-2</v>
      </c>
      <c r="O15" s="68">
        <f t="shared" si="6"/>
        <v>6.5740076826343266E-2</v>
      </c>
      <c r="P15" s="76">
        <f>Calc!B84</f>
        <v>-275.80548088324963</v>
      </c>
      <c r="Q15" s="76">
        <f>Calc!C84</f>
        <v>-632.10304781349464</v>
      </c>
      <c r="R15" s="17">
        <v>-0.56998599999999999</v>
      </c>
      <c r="S15" s="14">
        <v>-1</v>
      </c>
      <c r="T15" s="35">
        <v>180</v>
      </c>
      <c r="U15" s="14">
        <v>1</v>
      </c>
      <c r="V15" s="82">
        <v>-90.306460999999999</v>
      </c>
      <c r="W15" s="82">
        <v>-0.56998599999999999</v>
      </c>
      <c r="X15" s="12">
        <f>Calc!L84</f>
        <v>-52.037513439479454</v>
      </c>
      <c r="Y15" s="12">
        <f>Calc!M84</f>
        <v>81.881365463686578</v>
      </c>
      <c r="Z15" s="12">
        <f>Calc!N84</f>
        <v>81.880968193954473</v>
      </c>
      <c r="AA15" s="12">
        <f>Calc!O84</f>
        <v>-52.037444730432995</v>
      </c>
      <c r="AB15" s="12">
        <f>Calc!P84</f>
        <v>-2.3391798912547093</v>
      </c>
      <c r="AC15" s="12">
        <f>Calc!Q84</f>
        <v>-1.6686946470335615</v>
      </c>
      <c r="AD15" s="12">
        <f>Calc!R84</f>
        <v>2.5422653847990491</v>
      </c>
      <c r="AE15" s="12">
        <f>Calc!S84</f>
        <v>1.8659016587579029</v>
      </c>
      <c r="AF15" s="32">
        <v>41640</v>
      </c>
      <c r="AH15">
        <v>4</v>
      </c>
      <c r="AI15" s="83">
        <v>0</v>
      </c>
      <c r="AJ15" s="83">
        <f>Calc!E14</f>
        <v>6.5399027288904232E-2</v>
      </c>
      <c r="AK15" s="83">
        <f>Calc!F14</f>
        <v>-1.7545317932308818E-6</v>
      </c>
      <c r="AL15" s="83">
        <f>Calc!G14</f>
        <v>-1.983252476569603E-8</v>
      </c>
      <c r="AM15" s="83">
        <f>Calc!H14</f>
        <v>-3.5551359448059449E-9</v>
      </c>
      <c r="AN15" s="83">
        <f>Calc!I14</f>
        <v>-2.3958520969119433E-9</v>
      </c>
      <c r="AO15" s="83">
        <f>Calc!J14</f>
        <v>4.1097334926554396E-12</v>
      </c>
      <c r="AP15" s="83">
        <f>Calc!K14</f>
        <v>3.3231320106052848E-12</v>
      </c>
      <c r="AQ15" s="83">
        <f>Calc!L14</f>
        <v>1.3300043607835308E-11</v>
      </c>
      <c r="AR15" s="83">
        <f>Calc!M14</f>
        <v>-1.6717431947391718E-13</v>
      </c>
      <c r="AS15" s="83">
        <f>Calc!N14</f>
        <v>1.6907453091921699E-15</v>
      </c>
      <c r="AT15" s="83">
        <f>Calc!O14</f>
        <v>8.3328937943771704E-15</v>
      </c>
      <c r="AU15" s="83">
        <f>Calc!P14</f>
        <v>1.5605946571290499E-15</v>
      </c>
      <c r="AV15" s="83">
        <f>Calc!Q14</f>
        <v>7.5558022688464296E-15</v>
      </c>
      <c r="AW15" s="83">
        <f>Calc!R14</f>
        <v>2.2323735656209599E-16</v>
      </c>
      <c r="AX15" s="83"/>
      <c r="AY15" s="83"/>
      <c r="AZ15" s="83"/>
      <c r="BA15" s="83"/>
      <c r="BB15" s="83"/>
      <c r="BC15" s="83"/>
      <c r="BD15" s="83">
        <v>0</v>
      </c>
      <c r="BE15" s="83">
        <f>Calc!T14</f>
        <v>3.1739420364061504E-4</v>
      </c>
      <c r="BF15" s="83">
        <f>Calc!U14</f>
        <v>6.5740076802929981E-2</v>
      </c>
      <c r="BG15" s="83">
        <f>Calc!V14</f>
        <v>2.5002944726100046E-8</v>
      </c>
      <c r="BH15" s="83">
        <f>Calc!W14</f>
        <v>4.4849257049552558E-8</v>
      </c>
      <c r="BI15" s="83">
        <f>Calc!X14</f>
        <v>-1.8540177998463933E-7</v>
      </c>
      <c r="BJ15" s="83">
        <f>Calc!Y14</f>
        <v>1.7165487769928912E-12</v>
      </c>
      <c r="BK15" s="83">
        <f>Calc!Z14</f>
        <v>-3.2317898079329263E-11</v>
      </c>
      <c r="BL15" s="83">
        <f>Calc!AA14</f>
        <v>5.7656484436307304E-12</v>
      </c>
      <c r="BM15" s="83">
        <f>Calc!AB14</f>
        <v>-9.8169269955847103E-11</v>
      </c>
      <c r="BN15" s="83">
        <f>Calc!AC14</f>
        <v>-1.5569775603692001E-15</v>
      </c>
      <c r="BO15" s="83">
        <f>Calc!AD14</f>
        <v>-8.9998512702542103E-16</v>
      </c>
      <c r="BP15" s="83">
        <f>Calc!AE14</f>
        <v>-9.3831850618819502E-15</v>
      </c>
      <c r="BQ15" s="83">
        <f>Calc!AF14</f>
        <v>-2.3048805578410999E-17</v>
      </c>
      <c r="BR15" s="83">
        <f>Calc!AG14</f>
        <v>-1.7480296209813501E-14</v>
      </c>
      <c r="BS15" s="83"/>
      <c r="BT15" s="83"/>
      <c r="BU15" s="83"/>
      <c r="BV15" s="83"/>
      <c r="BW15" s="83"/>
      <c r="BX15" s="83"/>
      <c r="BY15" s="83">
        <v>0</v>
      </c>
      <c r="BZ15" s="83">
        <f>Calc!E49</f>
        <v>15.290686733772745</v>
      </c>
      <c r="CA15" s="83">
        <f>Calc!F49</f>
        <v>7.9252059118188633E-4</v>
      </c>
      <c r="CB15" s="83">
        <f>Calc!G49</f>
        <v>6.7804311187866359E-5</v>
      </c>
      <c r="CC15" s="83">
        <f>Calc!H49</f>
        <v>1.0714336392902716E-5</v>
      </c>
      <c r="CD15" s="83">
        <f>Calc!I49</f>
        <v>1.52409938324848E-5</v>
      </c>
      <c r="CE15" s="83">
        <f>Calc!J49</f>
        <v>-2.1704312360433595E-7</v>
      </c>
      <c r="CF15" s="83">
        <f>Calc!K49</f>
        <v>-1.5615426513847945E-7</v>
      </c>
      <c r="CG15" s="83">
        <f>Calc!L49</f>
        <v>-6.9361990444163272E-7</v>
      </c>
      <c r="CH15" s="83">
        <f>Calc!M49</f>
        <v>8.1041816500643204E-8</v>
      </c>
      <c r="CI15" s="83">
        <f>Calc!N49</f>
        <v>-1.3755880354115801E-9</v>
      </c>
      <c r="CJ15" s="83">
        <f>Calc!O49</f>
        <v>-6.8286810777212099E-9</v>
      </c>
      <c r="CK15" s="83">
        <f>Calc!P49</f>
        <v>-1.04293498685182E-9</v>
      </c>
      <c r="CL15" s="83">
        <f>Calc!Q49</f>
        <v>-5.9928378921435799E-9</v>
      </c>
      <c r="CM15" s="83">
        <f>Calc!R49</f>
        <v>9.9891771502550206E-11</v>
      </c>
      <c r="CN15" s="84"/>
      <c r="CO15" s="84"/>
      <c r="CP15" s="84"/>
      <c r="CQ15" s="84"/>
      <c r="CR15" s="84"/>
      <c r="CS15" s="84"/>
      <c r="CT15" s="83">
        <v>0</v>
      </c>
      <c r="CU15" s="83">
        <f>Calc!T49</f>
        <v>-7.3791987914033241E-2</v>
      </c>
      <c r="CV15" s="83">
        <f>Calc!U49</f>
        <v>15.210781521406251</v>
      </c>
      <c r="CW15" s="83">
        <f>Calc!V49</f>
        <v>-9.1473052697421239E-5</v>
      </c>
      <c r="CX15" s="83">
        <f>Calc!W49</f>
        <v>-1.6172295688276776E-4</v>
      </c>
      <c r="CY15" s="83">
        <f>Calc!X49</f>
        <v>6.3458435188571197E-4</v>
      </c>
      <c r="CZ15" s="83">
        <f>Calc!Y49</f>
        <v>-9.0619062484928969E-8</v>
      </c>
      <c r="DA15" s="83">
        <f>Calc!Z49</f>
        <v>1.6840452598396918E-6</v>
      </c>
      <c r="DB15" s="83">
        <f>Calc!AA49</f>
        <v>-3.5808938414061212E-7</v>
      </c>
      <c r="DC15" s="83">
        <f>Calc!AB49</f>
        <v>5.0965716412304256E-6</v>
      </c>
      <c r="DD15" s="83">
        <f>Calc!AC49</f>
        <v>1.27574449362868E-9</v>
      </c>
      <c r="DE15" s="83">
        <f>Calc!AD49</f>
        <v>7.7897327013718401E-10</v>
      </c>
      <c r="DF15" s="83">
        <f>Calc!AE49</f>
        <v>7.3361294369038402E-9</v>
      </c>
      <c r="DG15" s="83">
        <f>Calc!AF49</f>
        <v>-1.81798644252709E-10</v>
      </c>
      <c r="DH15" s="83">
        <f>Calc!AG49</f>
        <v>1.37896323183342E-8</v>
      </c>
      <c r="DI15" s="21"/>
      <c r="DJ15" s="21"/>
      <c r="DK15" s="21"/>
      <c r="DL15" s="21"/>
      <c r="DM15" s="21"/>
      <c r="DN15" s="21"/>
    </row>
    <row r="16" spans="1:118" s="13" customFormat="1">
      <c r="A16" s="14" t="s">
        <v>91</v>
      </c>
      <c r="B16" s="15" t="s">
        <v>207</v>
      </c>
      <c r="C16" s="14" t="str">
        <f>DDC!B17</f>
        <v>NIS_CNTR</v>
      </c>
      <c r="D16" s="15" t="s">
        <v>179</v>
      </c>
      <c r="E16" s="14" t="s">
        <v>117</v>
      </c>
      <c r="F16" s="14">
        <v>2048</v>
      </c>
      <c r="G16" s="14">
        <v>2048</v>
      </c>
      <c r="H16" s="59">
        <v>300</v>
      </c>
      <c r="I16" s="61">
        <v>32.5</v>
      </c>
      <c r="J16" s="38">
        <v>2048</v>
      </c>
      <c r="K16" s="14">
        <v>64</v>
      </c>
      <c r="L16" s="65">
        <f t="shared" si="1"/>
        <v>1749</v>
      </c>
      <c r="M16" s="61">
        <v>32.5</v>
      </c>
      <c r="N16" s="68">
        <f t="shared" si="11"/>
        <v>6.5379292673232586E-2</v>
      </c>
      <c r="O16" s="68">
        <f t="shared" si="6"/>
        <v>6.5752687977859214E-2</v>
      </c>
      <c r="P16" s="76">
        <f>Calc!B85</f>
        <v>-338.11784706280912</v>
      </c>
      <c r="Q16" s="76">
        <f>Calc!C85</f>
        <v>-632.3975578049492</v>
      </c>
      <c r="R16" s="17">
        <v>-0.56998599999999999</v>
      </c>
      <c r="S16" s="14">
        <v>-1</v>
      </c>
      <c r="T16" s="35">
        <v>180</v>
      </c>
      <c r="U16" s="14">
        <v>1</v>
      </c>
      <c r="V16" s="82">
        <v>-90.306460999999999</v>
      </c>
      <c r="W16" s="82">
        <v>-0.56998599999999999</v>
      </c>
      <c r="X16" s="12">
        <f>Calc!L85</f>
        <v>-114.30918700200944</v>
      </c>
      <c r="Y16" s="12">
        <f>Calc!M85</f>
        <v>19.580500458559602</v>
      </c>
      <c r="Z16" s="12">
        <f>Calc!N85</f>
        <v>19.581314533932261</v>
      </c>
      <c r="AA16" s="12">
        <f>Calc!O85</f>
        <v>-114.31171300571951</v>
      </c>
      <c r="AB16" s="12">
        <f>Calc!P85</f>
        <v>-2.6766752628274539</v>
      </c>
      <c r="AC16" s="12">
        <f>Calc!Q85</f>
        <v>-1.9928393705129612</v>
      </c>
      <c r="AD16" s="12">
        <f>Calc!R85</f>
        <v>2.2149646069120252</v>
      </c>
      <c r="AE16" s="12">
        <f>Calc!S85</f>
        <v>1.533645399294816</v>
      </c>
      <c r="AF16" s="32">
        <v>41640</v>
      </c>
      <c r="AH16">
        <v>4</v>
      </c>
      <c r="AI16" s="83">
        <v>0</v>
      </c>
      <c r="AJ16" s="83">
        <f>Calc!E15</f>
        <v>6.5378277504543766E-2</v>
      </c>
      <c r="AK16" s="83">
        <f>Calc!F15</f>
        <v>5.0878347621017798E-6</v>
      </c>
      <c r="AL16" s="83">
        <f>Calc!G15</f>
        <v>1.1305039289025403E-9</v>
      </c>
      <c r="AM16" s="83">
        <f>Calc!H15</f>
        <v>2.5482781087700213E-8</v>
      </c>
      <c r="AN16" s="83">
        <f>Calc!I15</f>
        <v>1.1696435574311622E-8</v>
      </c>
      <c r="AO16" s="83">
        <f>Calc!J15</f>
        <v>1.0554854611295991E-11</v>
      </c>
      <c r="AP16" s="83">
        <f>Calc!K15</f>
        <v>2.7146875368729617E-11</v>
      </c>
      <c r="AQ16" s="83">
        <f>Calc!L15</f>
        <v>1.6274537024323279E-11</v>
      </c>
      <c r="AR16" s="83">
        <f>Calc!M15</f>
        <v>7.0335052427367303E-12</v>
      </c>
      <c r="AS16" s="83">
        <f>Calc!N15</f>
        <v>1.6907453091921699E-15</v>
      </c>
      <c r="AT16" s="83">
        <f>Calc!O15</f>
        <v>8.3328937943771704E-15</v>
      </c>
      <c r="AU16" s="83">
        <f>Calc!P15</f>
        <v>1.5605946571290499E-15</v>
      </c>
      <c r="AV16" s="83">
        <f>Calc!Q15</f>
        <v>7.5558022688464296E-15</v>
      </c>
      <c r="AW16" s="83">
        <f>Calc!R15</f>
        <v>2.2323735656209599E-16</v>
      </c>
      <c r="AX16" s="83"/>
      <c r="AY16" s="83"/>
      <c r="AZ16" s="83"/>
      <c r="BA16" s="83"/>
      <c r="BB16" s="83"/>
      <c r="BC16" s="83"/>
      <c r="BD16" s="83">
        <v>0</v>
      </c>
      <c r="BE16" s="83">
        <f>Calc!T15</f>
        <v>3.6433637077489976E-4</v>
      </c>
      <c r="BF16" s="83">
        <f>Calc!U15</f>
        <v>6.5752687781015076E-2</v>
      </c>
      <c r="BG16" s="83">
        <f>Calc!V15</f>
        <v>2.1426191480770621E-8</v>
      </c>
      <c r="BH16" s="83">
        <f>Calc!W15</f>
        <v>-1.9200780466340908E-8</v>
      </c>
      <c r="BI16" s="83">
        <f>Calc!X15</f>
        <v>-1.8842901013972598E-7</v>
      </c>
      <c r="BJ16" s="83">
        <f>Calc!Y15</f>
        <v>-4.2186496831344992E-12</v>
      </c>
      <c r="BK16" s="83">
        <f>Calc!Z15</f>
        <v>-3.4890955557494941E-11</v>
      </c>
      <c r="BL16" s="83">
        <f>Calc!AA15</f>
        <v>-1.2118702284316268E-11</v>
      </c>
      <c r="BM16" s="83">
        <f>Calc!AB15</f>
        <v>-9.8191235467563332E-11</v>
      </c>
      <c r="BN16" s="83">
        <f>Calc!AC15</f>
        <v>-1.5569775603692001E-15</v>
      </c>
      <c r="BO16" s="83">
        <f>Calc!AD15</f>
        <v>-8.9998512702542103E-16</v>
      </c>
      <c r="BP16" s="83">
        <f>Calc!AE15</f>
        <v>-9.3831850618819502E-15</v>
      </c>
      <c r="BQ16" s="83">
        <f>Calc!AF15</f>
        <v>-2.3048805578410999E-17</v>
      </c>
      <c r="BR16" s="83">
        <f>Calc!AG15</f>
        <v>-1.7480296209813501E-14</v>
      </c>
      <c r="BS16" s="83"/>
      <c r="BT16" s="83"/>
      <c r="BU16" s="83"/>
      <c r="BV16" s="83"/>
      <c r="BW16" s="83"/>
      <c r="BX16" s="83"/>
      <c r="BY16" s="83">
        <v>0</v>
      </c>
      <c r="BZ16" s="83">
        <f>Calc!E50</f>
        <v>15.295248503219353</v>
      </c>
      <c r="CA16" s="83">
        <f>Calc!F50</f>
        <v>-8.1927594910458968E-4</v>
      </c>
      <c r="CB16" s="83">
        <f>Calc!G50</f>
        <v>-5.2821837342556503E-6</v>
      </c>
      <c r="CC16" s="83">
        <f>Calc!H50</f>
        <v>-8.8827626493282092E-5</v>
      </c>
      <c r="CD16" s="83">
        <f>Calc!I50</f>
        <v>-3.2314868120424175E-5</v>
      </c>
      <c r="CE16" s="83">
        <f>Calc!J50</f>
        <v>-5.6212881744223094E-7</v>
      </c>
      <c r="CF16" s="83">
        <f>Calc!K50</f>
        <v>-1.4333636593327572E-6</v>
      </c>
      <c r="CG16" s="83">
        <f>Calc!L50</f>
        <v>-8.2944503480242728E-7</v>
      </c>
      <c r="CH16" s="83">
        <f>Calc!M50</f>
        <v>-2.9225515875913815E-7</v>
      </c>
      <c r="CI16" s="83">
        <f>Calc!N50</f>
        <v>-1.3755880354115801E-9</v>
      </c>
      <c r="CJ16" s="83">
        <f>Calc!O50</f>
        <v>-6.8286810777212099E-9</v>
      </c>
      <c r="CK16" s="83">
        <f>Calc!P50</f>
        <v>-1.04293498685182E-9</v>
      </c>
      <c r="CL16" s="83">
        <f>Calc!Q50</f>
        <v>-5.9928378921435799E-9</v>
      </c>
      <c r="CM16" s="83">
        <f>Calc!R50</f>
        <v>9.9891771502550206E-11</v>
      </c>
      <c r="CN16" s="84"/>
      <c r="CO16" s="84"/>
      <c r="CP16" s="84"/>
      <c r="CQ16" s="84"/>
      <c r="CR16" s="84"/>
      <c r="CS16" s="84"/>
      <c r="CT16" s="83">
        <v>0</v>
      </c>
      <c r="CU16" s="83">
        <f>Calc!T50</f>
        <v>-8.4994007898588589E-2</v>
      </c>
      <c r="CV16" s="83">
        <f>Calc!U50</f>
        <v>15.207850110034824</v>
      </c>
      <c r="CW16" s="83">
        <f>Calc!V50</f>
        <v>-7.8096096832669967E-5</v>
      </c>
      <c r="CX16" s="83">
        <f>Calc!W50</f>
        <v>5.7585918681014303E-5</v>
      </c>
      <c r="CY16" s="83">
        <f>Calc!X50</f>
        <v>6.4572858161258549E-4</v>
      </c>
      <c r="CZ16" s="83">
        <f>Calc!Y50</f>
        <v>2.2761225296649276E-7</v>
      </c>
      <c r="DA16" s="83">
        <f>Calc!Z50</f>
        <v>1.8344380518895153E-6</v>
      </c>
      <c r="DB16" s="83">
        <f>Calc!AA50</f>
        <v>5.5599406589478413E-7</v>
      </c>
      <c r="DC16" s="83">
        <f>Calc!AB50</f>
        <v>5.1031911800606775E-6</v>
      </c>
      <c r="DD16" s="83">
        <f>Calc!AC50</f>
        <v>1.27574449362868E-9</v>
      </c>
      <c r="DE16" s="83">
        <f>Calc!AD50</f>
        <v>7.7897327013718401E-10</v>
      </c>
      <c r="DF16" s="83">
        <f>Calc!AE50</f>
        <v>7.3361294369038402E-9</v>
      </c>
      <c r="DG16" s="83">
        <f>Calc!AF50</f>
        <v>-1.81798644252709E-10</v>
      </c>
      <c r="DH16" s="83">
        <f>Calc!AG50</f>
        <v>1.37896323183342E-8</v>
      </c>
      <c r="DI16" s="21"/>
      <c r="DJ16" s="21"/>
      <c r="DK16" s="21"/>
      <c r="DL16" s="21"/>
      <c r="DM16" s="21"/>
      <c r="DN16" s="21"/>
    </row>
    <row r="17" spans="1:118" s="13" customFormat="1">
      <c r="A17" s="14" t="s">
        <v>91</v>
      </c>
      <c r="B17" s="15" t="s">
        <v>208</v>
      </c>
      <c r="C17" s="14" t="str">
        <f>DDC!B18</f>
        <v>NIS_CNTR</v>
      </c>
      <c r="D17" s="15" t="s">
        <v>179</v>
      </c>
      <c r="E17" s="14" t="s">
        <v>117</v>
      </c>
      <c r="F17" s="14">
        <v>2048</v>
      </c>
      <c r="G17" s="14">
        <v>2048</v>
      </c>
      <c r="H17" s="59">
        <v>80</v>
      </c>
      <c r="I17" s="61">
        <v>80</v>
      </c>
      <c r="J17" s="38">
        <v>2048</v>
      </c>
      <c r="K17" s="14">
        <v>2048</v>
      </c>
      <c r="L17" s="65">
        <f t="shared" ref="L17:L21" si="12">2049-H17</f>
        <v>1969</v>
      </c>
      <c r="M17" s="65">
        <f t="shared" ref="M17:M18" si="13">2049-I17</f>
        <v>1969</v>
      </c>
      <c r="N17" s="68">
        <f t="shared" si="11"/>
        <v>6.5379655402741418E-2</v>
      </c>
      <c r="O17" s="68">
        <f t="shared" si="6"/>
        <v>6.5764306182049231E-2</v>
      </c>
      <c r="P17" s="76">
        <f>Calc!B86</f>
        <v>-352.46972238552024</v>
      </c>
      <c r="Q17" s="76">
        <f>Calc!C86</f>
        <v>-635.58273805403235</v>
      </c>
      <c r="R17" s="17">
        <v>-0.56998599999999999</v>
      </c>
      <c r="S17" s="14">
        <v>-1</v>
      </c>
      <c r="T17" s="35">
        <v>180</v>
      </c>
      <c r="U17" s="14">
        <v>1</v>
      </c>
      <c r="V17" s="82">
        <v>-90.306460999999999</v>
      </c>
      <c r="W17" s="82">
        <v>-0.56998599999999999</v>
      </c>
      <c r="X17" s="12">
        <f>Calc!L86</f>
        <v>-128.49313905568806</v>
      </c>
      <c r="Y17" s="12">
        <f>Calc!M86</f>
        <v>5.2254826500410898</v>
      </c>
      <c r="Z17" s="12">
        <f>Calc!N86</f>
        <v>5.1988157065345195</v>
      </c>
      <c r="AA17" s="12">
        <f>Calc!O86</f>
        <v>-128.67531892956785</v>
      </c>
      <c r="AB17" s="12">
        <f>Calc!P86</f>
        <v>-130.16917258980681</v>
      </c>
      <c r="AC17" s="12">
        <f>Calc!Q86</f>
        <v>-129.34500042767385</v>
      </c>
      <c r="AD17" s="12">
        <f>Calc!R86</f>
        <v>5.2580921035346035</v>
      </c>
      <c r="AE17" s="12">
        <f>Calc!S86</f>
        <v>4.5729197669855921</v>
      </c>
      <c r="AF17" s="32">
        <v>41640</v>
      </c>
      <c r="AH17">
        <v>4</v>
      </c>
      <c r="AI17" s="83">
        <v>0</v>
      </c>
      <c r="AJ17" s="83">
        <f>Calc!E16</f>
        <v>6.5378581688555898E-2</v>
      </c>
      <c r="AK17" s="83">
        <f>Calc!F16</f>
        <v>1.0696973078364509E-5</v>
      </c>
      <c r="AL17" s="83">
        <f>Calc!G16</f>
        <v>7.04050870137407E-9</v>
      </c>
      <c r="AM17" s="83">
        <f>Calc!H16</f>
        <v>3.7077171891513354E-8</v>
      </c>
      <c r="AN17" s="83">
        <f>Calc!I16</f>
        <v>1.4116239678563933E-8</v>
      </c>
      <c r="AO17" s="83">
        <f>Calc!J16</f>
        <v>1.1646898028152185E-11</v>
      </c>
      <c r="AP17" s="83">
        <f>Calc!K16</f>
        <v>3.2498328780591288E-11</v>
      </c>
      <c r="AQ17" s="83">
        <f>Calc!L16</f>
        <v>1.5884496850149446E-11</v>
      </c>
      <c r="AR17" s="83">
        <f>Calc!M16</f>
        <v>8.6533666441361461E-12</v>
      </c>
      <c r="AS17" s="83">
        <f>Calc!N16</f>
        <v>1.6907453091921699E-15</v>
      </c>
      <c r="AT17" s="83">
        <f>Calc!O16</f>
        <v>8.3328937943771704E-15</v>
      </c>
      <c r="AU17" s="83">
        <f>Calc!P16</f>
        <v>1.5605946571290499E-15</v>
      </c>
      <c r="AV17" s="83">
        <f>Calc!Q16</f>
        <v>7.5558022688464296E-15</v>
      </c>
      <c r="AW17" s="83">
        <f>Calc!R16</f>
        <v>2.2323735656209599E-16</v>
      </c>
      <c r="AX17" s="83"/>
      <c r="AY17" s="83"/>
      <c r="AZ17" s="83"/>
      <c r="BA17" s="83"/>
      <c r="BB17" s="83"/>
      <c r="BC17" s="83"/>
      <c r="BD17" s="83">
        <v>0</v>
      </c>
      <c r="BE17" s="83">
        <f>Calc!T16</f>
        <v>3.7469584203610488E-4</v>
      </c>
      <c r="BF17" s="83">
        <f>Calc!U16</f>
        <v>6.5764305312084659E-2</v>
      </c>
      <c r="BG17" s="83">
        <f>Calc!V16</f>
        <v>1.9854100517788017E-8</v>
      </c>
      <c r="BH17" s="83">
        <f>Calc!W16</f>
        <v>-3.3140140911088824E-8</v>
      </c>
      <c r="BI17" s="83">
        <f>Calc!X16</f>
        <v>-1.7779293667502834E-7</v>
      </c>
      <c r="BJ17" s="83">
        <f>Calc!Y16</f>
        <v>-5.5460406427256889E-12</v>
      </c>
      <c r="BK17" s="83">
        <f>Calc!Z16</f>
        <v>-3.4593543160452938E-11</v>
      </c>
      <c r="BL17" s="83">
        <f>Calc!AA16</f>
        <v>-1.6244019256749402E-11</v>
      </c>
      <c r="BM17" s="83">
        <f>Calc!AB16</f>
        <v>-9.4875049924926017E-11</v>
      </c>
      <c r="BN17" s="83">
        <f>Calc!AC16</f>
        <v>-1.5569775603692001E-15</v>
      </c>
      <c r="BO17" s="83">
        <f>Calc!AD16</f>
        <v>-8.9998512702542103E-16</v>
      </c>
      <c r="BP17" s="83">
        <f>Calc!AE16</f>
        <v>-9.3831850618819502E-15</v>
      </c>
      <c r="BQ17" s="83">
        <f>Calc!AF16</f>
        <v>-2.3048805578410999E-17</v>
      </c>
      <c r="BR17" s="83">
        <f>Calc!AG16</f>
        <v>-1.7480296209813501E-14</v>
      </c>
      <c r="BS17" s="83"/>
      <c r="BT17" s="83"/>
      <c r="BU17" s="83"/>
      <c r="BV17" s="83"/>
      <c r="BW17" s="83"/>
      <c r="BX17" s="83"/>
      <c r="BY17" s="83">
        <v>0</v>
      </c>
      <c r="BZ17" s="83">
        <f>Calc!E51</f>
        <v>15.295132109579813</v>
      </c>
      <c r="CA17" s="83">
        <f>Calc!F51</f>
        <v>-2.153702707720881E-3</v>
      </c>
      <c r="CB17" s="83">
        <f>Calc!G51</f>
        <v>-2.5997215911259644E-5</v>
      </c>
      <c r="CC17" s="83">
        <f>Calc!H51</f>
        <v>-1.2923431056713518E-4</v>
      </c>
      <c r="CD17" s="83">
        <f>Calc!I51</f>
        <v>-4.1000841254358079E-5</v>
      </c>
      <c r="CE17" s="83">
        <f>Calc!J51</f>
        <v>-6.2049377035184E-7</v>
      </c>
      <c r="CF17" s="83">
        <f>Calc!K51</f>
        <v>-1.7216656322211495E-6</v>
      </c>
      <c r="CG17" s="83">
        <f>Calc!L51</f>
        <v>-8.0475064761413247E-7</v>
      </c>
      <c r="CH17" s="83">
        <f>Calc!M51</f>
        <v>-3.7966483783960862E-7</v>
      </c>
      <c r="CI17" s="83">
        <f>Calc!N51</f>
        <v>-1.3755880354115801E-9</v>
      </c>
      <c r="CJ17" s="83">
        <f>Calc!O51</f>
        <v>-6.8286810777212099E-9</v>
      </c>
      <c r="CK17" s="83">
        <f>Calc!P51</f>
        <v>-1.04293498685182E-9</v>
      </c>
      <c r="CL17" s="83">
        <f>Calc!Q51</f>
        <v>-5.9928378921435799E-9</v>
      </c>
      <c r="CM17" s="83">
        <f>Calc!R51</f>
        <v>9.9891771502550206E-11</v>
      </c>
      <c r="CN17" s="84"/>
      <c r="CO17" s="84"/>
      <c r="CP17" s="84"/>
      <c r="CQ17" s="84"/>
      <c r="CR17" s="84"/>
      <c r="CS17" s="84"/>
      <c r="CT17" s="83">
        <v>0</v>
      </c>
      <c r="CU17" s="83">
        <f>Calc!T51</f>
        <v>-8.7414151550450209E-2</v>
      </c>
      <c r="CV17" s="83">
        <f>Calc!U51</f>
        <v>15.205213403254046</v>
      </c>
      <c r="CW17" s="83">
        <f>Calc!V51</f>
        <v>-7.2306682373401445E-5</v>
      </c>
      <c r="CX17" s="83">
        <f>Calc!W51</f>
        <v>1.0616624796627864E-4</v>
      </c>
      <c r="CY17" s="83">
        <f>Calc!X51</f>
        <v>6.0945702709309523E-4</v>
      </c>
      <c r="CZ17" s="83">
        <f>Calc!Y51</f>
        <v>2.9863779408391013E-7</v>
      </c>
      <c r="DA17" s="83">
        <f>Calc!Z51</f>
        <v>1.8234129329381255E-6</v>
      </c>
      <c r="DB17" s="83">
        <f>Calc!AA51</f>
        <v>7.6868221363335195E-7</v>
      </c>
      <c r="DC17" s="83">
        <f>Calc!AB51</f>
        <v>4.9327703263143337E-6</v>
      </c>
      <c r="DD17" s="83">
        <f>Calc!AC51</f>
        <v>1.27574449362868E-9</v>
      </c>
      <c r="DE17" s="83">
        <f>Calc!AD51</f>
        <v>7.7897327013718401E-10</v>
      </c>
      <c r="DF17" s="83">
        <f>Calc!AE51</f>
        <v>7.3361294369038402E-9</v>
      </c>
      <c r="DG17" s="83">
        <f>Calc!AF51</f>
        <v>-1.81798644252709E-10</v>
      </c>
      <c r="DH17" s="83">
        <f>Calc!AG51</f>
        <v>1.37896323183342E-8</v>
      </c>
      <c r="DI17" s="21"/>
      <c r="DJ17" s="21"/>
      <c r="DK17" s="21"/>
      <c r="DL17" s="21"/>
      <c r="DM17" s="21"/>
      <c r="DN17" s="21"/>
    </row>
    <row r="18" spans="1:118" s="13" customFormat="1">
      <c r="A18" s="14" t="s">
        <v>91</v>
      </c>
      <c r="B18" s="15" t="s">
        <v>209</v>
      </c>
      <c r="C18" s="14" t="str">
        <f>DDC!B19</f>
        <v>NIS_CNTR</v>
      </c>
      <c r="D18" s="15" t="s">
        <v>179</v>
      </c>
      <c r="E18" s="14" t="s">
        <v>117</v>
      </c>
      <c r="F18" s="14">
        <v>2048</v>
      </c>
      <c r="G18" s="14">
        <v>2048</v>
      </c>
      <c r="H18" s="59">
        <v>64.5</v>
      </c>
      <c r="I18" s="61">
        <v>1253</v>
      </c>
      <c r="J18" s="38">
        <v>128</v>
      </c>
      <c r="K18" s="14">
        <v>2048</v>
      </c>
      <c r="L18" s="61">
        <v>64.5</v>
      </c>
      <c r="M18" s="65">
        <f t="shared" si="13"/>
        <v>796</v>
      </c>
      <c r="N18" s="68">
        <f t="shared" si="11"/>
        <v>6.5345035924223888E-2</v>
      </c>
      <c r="O18" s="68">
        <f t="shared" si="6"/>
        <v>6.5902707534087057E-2</v>
      </c>
      <c r="P18" s="76">
        <f>Calc!B87</f>
        <v>-352.70726053416729</v>
      </c>
      <c r="Q18" s="76">
        <f>Calc!C87</f>
        <v>-712.84897748232015</v>
      </c>
      <c r="R18" s="17">
        <v>-0.56998599999999999</v>
      </c>
      <c r="S18" s="14">
        <v>-1</v>
      </c>
      <c r="T18" s="35">
        <v>180</v>
      </c>
      <c r="U18" s="14">
        <v>1</v>
      </c>
      <c r="V18" s="82">
        <v>-90.306460999999999</v>
      </c>
      <c r="W18" s="82">
        <v>-0.56998599999999999</v>
      </c>
      <c r="X18" s="12">
        <f>Calc!L87</f>
        <v>-4.1995974627777501</v>
      </c>
      <c r="Y18" s="12">
        <f>Calc!M87</f>
        <v>4.1611678039090654</v>
      </c>
      <c r="Z18" s="12">
        <f>Calc!N87</f>
        <v>4.176914809804158</v>
      </c>
      <c r="AA18" s="12">
        <f>Calc!O87</f>
        <v>-4.1922130714646357</v>
      </c>
      <c r="AB18" s="12">
        <f>Calc!P87</f>
        <v>-52.420376211137814</v>
      </c>
      <c r="AC18" s="12">
        <f>Calc!Q87</f>
        <v>-52.37056374867533</v>
      </c>
      <c r="AD18" s="12">
        <f>Calc!R87</f>
        <v>82.643046220916474</v>
      </c>
      <c r="AE18" s="12">
        <f>Calc!S87</f>
        <v>82.592058687299541</v>
      </c>
      <c r="AF18" s="32">
        <v>41640</v>
      </c>
      <c r="AH18">
        <v>4</v>
      </c>
      <c r="AI18" s="83">
        <v>0</v>
      </c>
      <c r="AJ18" s="83">
        <f>Calc!E17</f>
        <v>6.5343855766580819E-2</v>
      </c>
      <c r="AK18" s="83">
        <f>Calc!F17</f>
        <v>1.2345813138207103E-5</v>
      </c>
      <c r="AL18" s="83">
        <f>Calc!G17</f>
        <v>-2.884325907016573E-8</v>
      </c>
      <c r="AM18" s="83">
        <f>Calc!H17</f>
        <v>3.190084297934382E-8</v>
      </c>
      <c r="AN18" s="83">
        <f>Calc!I17</f>
        <v>-1.4657547848297803E-8</v>
      </c>
      <c r="AO18" s="83">
        <f>Calc!J17</f>
        <v>1.9772398165176793E-12</v>
      </c>
      <c r="AP18" s="83">
        <f>Calc!K17</f>
        <v>2.9224653276405078E-11</v>
      </c>
      <c r="AQ18" s="83">
        <f>Calc!L17</f>
        <v>-1.0655992899550142E-11</v>
      </c>
      <c r="AR18" s="83">
        <f>Calc!M17</f>
        <v>7.7230519023139111E-12</v>
      </c>
      <c r="AS18" s="83">
        <f>Calc!N17</f>
        <v>1.6907453091921699E-15</v>
      </c>
      <c r="AT18" s="83">
        <f>Calc!O17</f>
        <v>8.3328937943771704E-15</v>
      </c>
      <c r="AU18" s="83">
        <f>Calc!P17</f>
        <v>1.5605946571290499E-15</v>
      </c>
      <c r="AV18" s="83">
        <f>Calc!Q17</f>
        <v>7.5558022688464296E-15</v>
      </c>
      <c r="AW18" s="83">
        <f>Calc!R17</f>
        <v>2.2323735656209599E-16</v>
      </c>
      <c r="AX18" s="83"/>
      <c r="AY18" s="83"/>
      <c r="AZ18" s="83"/>
      <c r="BA18" s="83"/>
      <c r="BB18" s="83"/>
      <c r="BC18" s="83"/>
      <c r="BD18" s="83">
        <v>0</v>
      </c>
      <c r="BE18" s="83">
        <f>Calc!T17</f>
        <v>3.9272572413069862E-4</v>
      </c>
      <c r="BF18" s="83">
        <f>Calc!U17</f>
        <v>6.5902706377692216E-2</v>
      </c>
      <c r="BG18" s="83">
        <f>Calc!V17</f>
        <v>4.731068417171016E-8</v>
      </c>
      <c r="BH18" s="83">
        <f>Calc!W17</f>
        <v>4.4825407197692613E-9</v>
      </c>
      <c r="BI18" s="83">
        <f>Calc!X17</f>
        <v>1.1509705685636567E-8</v>
      </c>
      <c r="BJ18" s="83">
        <f>Calc!Y17</f>
        <v>-4.5868906974677599E-12</v>
      </c>
      <c r="BK18" s="83">
        <f>Calc!Z17</f>
        <v>-1.2622440313684562E-11</v>
      </c>
      <c r="BL18" s="83">
        <f>Calc!AA17</f>
        <v>-1.6453789246837314E-11</v>
      </c>
      <c r="BM18" s="83">
        <f>Calc!AB17</f>
        <v>-1.2857857364967536E-11</v>
      </c>
      <c r="BN18" s="83">
        <f>Calc!AC17</f>
        <v>-1.5569775603692001E-15</v>
      </c>
      <c r="BO18" s="83">
        <f>Calc!AD17</f>
        <v>-8.9998512702542103E-16</v>
      </c>
      <c r="BP18" s="83">
        <f>Calc!AE17</f>
        <v>-9.3831850618819502E-15</v>
      </c>
      <c r="BQ18" s="83">
        <f>Calc!AF17</f>
        <v>-2.3048805578410999E-17</v>
      </c>
      <c r="BR18" s="83">
        <f>Calc!AG17</f>
        <v>-1.7480296209813501E-14</v>
      </c>
      <c r="BS18" s="83"/>
      <c r="BT18" s="83"/>
      <c r="BU18" s="83"/>
      <c r="BV18" s="83"/>
      <c r="BW18" s="83"/>
      <c r="BX18" s="83"/>
      <c r="BY18" s="83">
        <v>0</v>
      </c>
      <c r="BZ18" s="83">
        <f>Calc!E52</f>
        <v>15.303279394140819</v>
      </c>
      <c r="CA18" s="83">
        <f>Calc!F52</f>
        <v>-2.9157874166487827E-3</v>
      </c>
      <c r="CB18" s="83">
        <f>Calc!G52</f>
        <v>1.0050455901328239E-4</v>
      </c>
      <c r="CC18" s="83">
        <f>Calc!H52</f>
        <v>-1.1536099915405584E-4</v>
      </c>
      <c r="CD18" s="83">
        <f>Calc!I52</f>
        <v>5.1162347151652804E-5</v>
      </c>
      <c r="CE18" s="83">
        <f>Calc!J52</f>
        <v>-9.8445801073519733E-8</v>
      </c>
      <c r="CF18" s="83">
        <f>Calc!K52</f>
        <v>-1.581123618596831E-6</v>
      </c>
      <c r="CG18" s="83">
        <f>Calc!L52</f>
        <v>5.8217153699833409E-7</v>
      </c>
      <c r="CH18" s="83">
        <f>Calc!M52</f>
        <v>-4.1656521680703694E-7</v>
      </c>
      <c r="CI18" s="83">
        <f>Calc!N52</f>
        <v>-1.3755880354115801E-9</v>
      </c>
      <c r="CJ18" s="83">
        <f>Calc!O52</f>
        <v>-6.8286810777212099E-9</v>
      </c>
      <c r="CK18" s="83">
        <f>Calc!P52</f>
        <v>-1.04293498685182E-9</v>
      </c>
      <c r="CL18" s="83">
        <f>Calc!Q52</f>
        <v>-5.9928378921435799E-9</v>
      </c>
      <c r="CM18" s="83">
        <f>Calc!R52</f>
        <v>9.9891771502550206E-11</v>
      </c>
      <c r="CN18" s="84"/>
      <c r="CO18" s="84"/>
      <c r="CP18" s="84"/>
      <c r="CQ18" s="84"/>
      <c r="CR18" s="84"/>
      <c r="CS18" s="84"/>
      <c r="CT18" s="83">
        <v>0</v>
      </c>
      <c r="CU18" s="83">
        <f>Calc!T52</f>
        <v>-9.1284514814827689E-2</v>
      </c>
      <c r="CV18" s="83">
        <f>Calc!U52</f>
        <v>15.17391991497318</v>
      </c>
      <c r="CW18" s="83">
        <f>Calc!V52</f>
        <v>-1.6866593148727615E-4</v>
      </c>
      <c r="CX18" s="83">
        <f>Calc!W52</f>
        <v>-1.4475597622744368E-5</v>
      </c>
      <c r="CY18" s="83">
        <f>Calc!X52</f>
        <v>-3.9166543642862604E-5</v>
      </c>
      <c r="CZ18" s="83">
        <f>Calc!Y52</f>
        <v>2.4358873354257297E-7</v>
      </c>
      <c r="DA18" s="83">
        <f>Calc!Z52</f>
        <v>6.9218476836864995E-7</v>
      </c>
      <c r="DB18" s="83">
        <f>Calc!AA52</f>
        <v>8.2558229699514907E-7</v>
      </c>
      <c r="DC18" s="83">
        <f>Calc!AB52</f>
        <v>6.7103650577524371E-7</v>
      </c>
      <c r="DD18" s="83">
        <f>Calc!AC52</f>
        <v>1.27574449362868E-9</v>
      </c>
      <c r="DE18" s="83">
        <f>Calc!AD52</f>
        <v>7.7897327013718401E-10</v>
      </c>
      <c r="DF18" s="83">
        <f>Calc!AE52</f>
        <v>7.3361294369038402E-9</v>
      </c>
      <c r="DG18" s="83">
        <f>Calc!AF52</f>
        <v>-1.81798644252709E-10</v>
      </c>
      <c r="DH18" s="83">
        <f>Calc!AG52</f>
        <v>1.37896323183342E-8</v>
      </c>
      <c r="DI18" s="21"/>
      <c r="DJ18" s="21"/>
      <c r="DK18" s="21"/>
      <c r="DL18" s="21"/>
      <c r="DM18" s="21"/>
      <c r="DN18" s="21"/>
    </row>
    <row r="19" spans="1:118" s="13" customFormat="1">
      <c r="A19" s="14" t="s">
        <v>91</v>
      </c>
      <c r="B19" s="15" t="s">
        <v>210</v>
      </c>
      <c r="C19" s="14" t="str">
        <f>DDC!B20</f>
        <v>NIS_CNTR</v>
      </c>
      <c r="D19" s="15" t="s">
        <v>179</v>
      </c>
      <c r="E19" s="14" t="s">
        <v>117</v>
      </c>
      <c r="F19" s="14">
        <v>2048</v>
      </c>
      <c r="G19" s="14">
        <v>2048</v>
      </c>
      <c r="H19" s="59">
        <v>64.5</v>
      </c>
      <c r="I19" s="59">
        <v>300</v>
      </c>
      <c r="J19" s="37">
        <v>128</v>
      </c>
      <c r="K19" s="14">
        <v>2048</v>
      </c>
      <c r="L19" s="61">
        <v>64.5</v>
      </c>
      <c r="M19" s="65">
        <f>2049-I19</f>
        <v>1749</v>
      </c>
      <c r="N19" s="68">
        <f t="shared" si="11"/>
        <v>6.5372235433137402E-2</v>
      </c>
      <c r="O19" s="68">
        <f t="shared" si="6"/>
        <v>6.5829092899565608E-2</v>
      </c>
      <c r="P19" s="76">
        <f>Calc!B88</f>
        <v>-353.3372171015115</v>
      </c>
      <c r="Q19" s="76">
        <f>Calc!C88</f>
        <v>-650.06195231388585</v>
      </c>
      <c r="R19" s="17">
        <v>-0.56998599999999999</v>
      </c>
      <c r="S19" s="14">
        <v>-1</v>
      </c>
      <c r="T19" s="35">
        <v>180</v>
      </c>
      <c r="U19" s="14">
        <v>1</v>
      </c>
      <c r="V19" s="82">
        <v>-90.306460999999999</v>
      </c>
      <c r="W19" s="82">
        <v>-0.56998599999999999</v>
      </c>
      <c r="X19" s="12">
        <f>Calc!L88</f>
        <v>-4.1646194728510588</v>
      </c>
      <c r="Y19" s="12">
        <f>Calc!M88</f>
        <v>4.1956822459646075</v>
      </c>
      <c r="Z19" s="12">
        <f>Calc!N88</f>
        <v>4.1870091091650847</v>
      </c>
      <c r="AA19" s="12">
        <f>Calc!O88</f>
        <v>-4.1817276861823727</v>
      </c>
      <c r="AB19" s="12">
        <f>Calc!P88</f>
        <v>-115.04771296113992</v>
      </c>
      <c r="AC19" s="12">
        <f>Calc!Q88</f>
        <v>-114.99278293725109</v>
      </c>
      <c r="AD19" s="12">
        <f>Calc!R88</f>
        <v>19.74225696341346</v>
      </c>
      <c r="AE19" s="12">
        <f>Calc!S88</f>
        <v>19.694389408472169</v>
      </c>
      <c r="AF19" s="32">
        <v>41640</v>
      </c>
      <c r="AH19">
        <v>4</v>
      </c>
      <c r="AI19" s="83">
        <v>0</v>
      </c>
      <c r="AJ19" s="83">
        <f>Calc!E18</f>
        <v>6.5371119123269358E-2</v>
      </c>
      <c r="AK19" s="83">
        <f>Calc!F18</f>
        <v>6.2238310991041714E-6</v>
      </c>
      <c r="AL19" s="83">
        <f>Calc!G18</f>
        <v>4.251816152048265E-10</v>
      </c>
      <c r="AM19" s="83">
        <f>Calc!H18</f>
        <v>3.217726338116149E-8</v>
      </c>
      <c r="AN19" s="83">
        <f>Calc!I18</f>
        <v>8.6391345986130997E-9</v>
      </c>
      <c r="AO19" s="83">
        <f>Calc!J18</f>
        <v>9.9184876025591214E-12</v>
      </c>
      <c r="AP19" s="83">
        <f>Calc!K18</f>
        <v>3.2199146692893049E-11</v>
      </c>
      <c r="AQ19" s="83">
        <f>Calc!L18</f>
        <v>1.0946045787081801E-11</v>
      </c>
      <c r="AR19" s="83">
        <f>Calc!M18</f>
        <v>8.5740327055286223E-12</v>
      </c>
      <c r="AS19" s="83">
        <f>Calc!N18</f>
        <v>1.6907453091921699E-15</v>
      </c>
      <c r="AT19" s="83">
        <f>Calc!O18</f>
        <v>8.3328937943771704E-15</v>
      </c>
      <c r="AU19" s="83">
        <f>Calc!P18</f>
        <v>1.5605946571290499E-15</v>
      </c>
      <c r="AV19" s="83">
        <f>Calc!Q18</f>
        <v>7.5558022688464296E-15</v>
      </c>
      <c r="AW19" s="83">
        <f>Calc!R18</f>
        <v>2.2323735656209599E-16</v>
      </c>
      <c r="AX19" s="83"/>
      <c r="AY19" s="83"/>
      <c r="AZ19" s="83"/>
      <c r="BA19" s="83"/>
      <c r="BB19" s="83"/>
      <c r="BC19" s="83"/>
      <c r="BD19" s="83">
        <v>0</v>
      </c>
      <c r="BE19" s="83">
        <f>Calc!T18</f>
        <v>3.8203415668312753E-4</v>
      </c>
      <c r="BF19" s="83">
        <f>Calc!U18</f>
        <v>6.5829092605348638E-2</v>
      </c>
      <c r="BG19" s="83">
        <f>Calc!V18</f>
        <v>2.6759605430902038E-8</v>
      </c>
      <c r="BH19" s="83">
        <f>Calc!W18</f>
        <v>-2.694118098269935E-8</v>
      </c>
      <c r="BI19" s="83">
        <f>Calc!X18</f>
        <v>-1.2050548256331668E-7</v>
      </c>
      <c r="BJ19" s="83">
        <f>Calc!Y18</f>
        <v>-5.4445765235229864E-12</v>
      </c>
      <c r="BK19" s="83">
        <f>Calc!Z18</f>
        <v>-3.0506791041631556E-11</v>
      </c>
      <c r="BL19" s="83">
        <f>Calc!AA18</f>
        <v>-1.6519685781985991E-11</v>
      </c>
      <c r="BM19" s="83">
        <f>Calc!AB18</f>
        <v>-7.94927465167766E-11</v>
      </c>
      <c r="BN19" s="83">
        <f>Calc!AC18</f>
        <v>-1.5569775603692001E-15</v>
      </c>
      <c r="BO19" s="83">
        <f>Calc!AD18</f>
        <v>-8.9998512702542103E-16</v>
      </c>
      <c r="BP19" s="83">
        <f>Calc!AE18</f>
        <v>-9.3831850618819502E-15</v>
      </c>
      <c r="BQ19" s="83">
        <f>Calc!AF18</f>
        <v>-2.3048805578410999E-17</v>
      </c>
      <c r="BR19" s="83">
        <f>Calc!AG18</f>
        <v>-1.7480296209813501E-14</v>
      </c>
      <c r="BS19" s="83"/>
      <c r="BT19" s="83"/>
      <c r="BU19" s="83"/>
      <c r="BV19" s="83"/>
      <c r="BW19" s="83"/>
      <c r="BX19" s="83"/>
      <c r="BY19" s="83">
        <v>0</v>
      </c>
      <c r="BZ19" s="83">
        <f>Calc!E53</f>
        <v>15.296847529419795</v>
      </c>
      <c r="CA19" s="83">
        <f>Calc!F53</f>
        <v>-1.3195466786554313E-3</v>
      </c>
      <c r="CB19" s="83">
        <f>Calc!G53</f>
        <v>-2.8947867464907423E-6</v>
      </c>
      <c r="CC19" s="83">
        <f>Calc!H53</f>
        <v>-1.1315212643346751E-4</v>
      </c>
      <c r="CD19" s="83">
        <f>Calc!I53</f>
        <v>-2.4946179493016643E-5</v>
      </c>
      <c r="CE19" s="83">
        <f>Calc!J53</f>
        <v>-5.2724923386218561E-7</v>
      </c>
      <c r="CF19" s="83">
        <f>Calc!K53</f>
        <v>-1.7122048083044507E-6</v>
      </c>
      <c r="CG19" s="83">
        <f>Calc!L53</f>
        <v>-5.4671376591505398E-7</v>
      </c>
      <c r="CH19" s="83">
        <f>Calc!M53</f>
        <v>-3.9150821975066245E-7</v>
      </c>
      <c r="CI19" s="83">
        <f>Calc!N53</f>
        <v>-1.3755880354115801E-9</v>
      </c>
      <c r="CJ19" s="83">
        <f>Calc!O53</f>
        <v>-6.8286810777212099E-9</v>
      </c>
      <c r="CK19" s="83">
        <f>Calc!P53</f>
        <v>-1.04293498685182E-9</v>
      </c>
      <c r="CL19" s="83">
        <f>Calc!Q53</f>
        <v>-5.9928378921435799E-9</v>
      </c>
      <c r="CM19" s="83">
        <f>Calc!R53</f>
        <v>9.9891771502550206E-11</v>
      </c>
      <c r="CN19" s="84"/>
      <c r="CO19" s="84"/>
      <c r="CP19" s="84"/>
      <c r="CQ19" s="84"/>
      <c r="CR19" s="84"/>
      <c r="CS19" s="84"/>
      <c r="CT19" s="83">
        <v>0</v>
      </c>
      <c r="CU19" s="83">
        <f>Calc!T53</f>
        <v>-8.8984523766477711E-2</v>
      </c>
      <c r="CV19" s="83">
        <f>Calc!U53</f>
        <v>15.190593612150359</v>
      </c>
      <c r="CW19" s="83">
        <f>Calc!V53</f>
        <v>-9.6275373603293019E-5</v>
      </c>
      <c r="CX19" s="83">
        <f>Calc!W53</f>
        <v>8.706822478509657E-5</v>
      </c>
      <c r="CY19" s="83">
        <f>Calc!X53</f>
        <v>4.1344382144975565E-4</v>
      </c>
      <c r="CZ19" s="83">
        <f>Calc!Y53</f>
        <v>2.9252776772385888E-7</v>
      </c>
      <c r="DA19" s="83">
        <f>Calc!Z53</f>
        <v>1.6134710562985896E-6</v>
      </c>
      <c r="DB19" s="83">
        <f>Calc!AA53</f>
        <v>7.9141487205048074E-7</v>
      </c>
      <c r="DC19" s="83">
        <f>Calc!AB53</f>
        <v>4.1344498018346234E-6</v>
      </c>
      <c r="DD19" s="83">
        <f>Calc!AC53</f>
        <v>1.27574449362868E-9</v>
      </c>
      <c r="DE19" s="83">
        <f>Calc!AD53</f>
        <v>7.7897327013718401E-10</v>
      </c>
      <c r="DF19" s="83">
        <f>Calc!AE53</f>
        <v>7.3361294369038402E-9</v>
      </c>
      <c r="DG19" s="83">
        <f>Calc!AF53</f>
        <v>-1.81798644252709E-10</v>
      </c>
      <c r="DH19" s="83">
        <f>Calc!AG53</f>
        <v>1.37896323183342E-8</v>
      </c>
      <c r="DI19" s="21"/>
      <c r="DJ19" s="21"/>
      <c r="DK19" s="21"/>
      <c r="DL19" s="21"/>
      <c r="DM19" s="21"/>
      <c r="DN19" s="21"/>
    </row>
    <row r="20" spans="1:118" s="13" customFormat="1">
      <c r="A20" s="14" t="s">
        <v>91</v>
      </c>
      <c r="B20" s="15" t="s">
        <v>211</v>
      </c>
      <c r="C20" s="14" t="str">
        <f>DDC!B21</f>
        <v>NIS_CNTR</v>
      </c>
      <c r="D20" s="15" t="s">
        <v>179</v>
      </c>
      <c r="E20" s="14" t="s">
        <v>117</v>
      </c>
      <c r="F20" s="14">
        <v>2048</v>
      </c>
      <c r="G20" s="14">
        <v>2048</v>
      </c>
      <c r="H20" s="59">
        <v>1253</v>
      </c>
      <c r="I20" s="59">
        <v>64.5</v>
      </c>
      <c r="J20" s="37">
        <v>2048</v>
      </c>
      <c r="K20" s="14">
        <v>128</v>
      </c>
      <c r="L20" s="65">
        <f t="shared" si="12"/>
        <v>796</v>
      </c>
      <c r="M20" s="61">
        <v>64.5</v>
      </c>
      <c r="N20" s="68">
        <f t="shared" si="11"/>
        <v>6.5399917685970199E-2</v>
      </c>
      <c r="O20" s="68">
        <f t="shared" si="6"/>
        <v>6.5751643251538636E-2</v>
      </c>
      <c r="P20" s="76">
        <f>Calc!B89</f>
        <v>-275.78460535474034</v>
      </c>
      <c r="Q20" s="76">
        <f>Calc!C89</f>
        <v>-634.2068133541095</v>
      </c>
      <c r="R20" s="17">
        <v>-0.56998599999999999</v>
      </c>
      <c r="S20" s="14">
        <v>-1</v>
      </c>
      <c r="T20" s="35">
        <v>180</v>
      </c>
      <c r="U20" s="14">
        <v>1</v>
      </c>
      <c r="V20" s="82">
        <v>-90.306460999999999</v>
      </c>
      <c r="W20" s="82">
        <v>-0.56998599999999999</v>
      </c>
      <c r="X20" s="12">
        <f>Calc!L89</f>
        <v>-52.037774435735606</v>
      </c>
      <c r="Y20" s="12">
        <f>Calc!M89</f>
        <v>81.881608325872406</v>
      </c>
      <c r="Z20" s="12">
        <f>Calc!N89</f>
        <v>81.880700600171792</v>
      </c>
      <c r="AA20" s="12">
        <f>Calc!O89</f>
        <v>-52.037533150910342</v>
      </c>
      <c r="AB20" s="12">
        <f>Calc!P89</f>
        <v>-4.4406133517627078</v>
      </c>
      <c r="AC20" s="12">
        <f>Calc!Q89</f>
        <v>-3.7749871946622142</v>
      </c>
      <c r="AD20" s="12">
        <f>Calc!R89</f>
        <v>4.6483542022555415</v>
      </c>
      <c r="AE20" s="12">
        <f>Calc!S89</f>
        <v>3.9710678316057195</v>
      </c>
      <c r="AF20" s="32">
        <v>41640</v>
      </c>
      <c r="AH20">
        <v>4</v>
      </c>
      <c r="AI20" s="83">
        <v>0</v>
      </c>
      <c r="AJ20" s="83">
        <f>Calc!E19</f>
        <v>6.539915442491058E-2</v>
      </c>
      <c r="AK20" s="83">
        <f>Calc!F19</f>
        <v>-1.6017400787047403E-6</v>
      </c>
      <c r="AL20" s="83">
        <f>Calc!G19</f>
        <v>-1.9937266941106498E-8</v>
      </c>
      <c r="AM20" s="83">
        <f>Calc!H19</f>
        <v>-4.3831273111375067E-9</v>
      </c>
      <c r="AN20" s="83">
        <f>Calc!I19</f>
        <v>-2.3784317919237296E-9</v>
      </c>
      <c r="AO20" s="83">
        <f>Calc!J19</f>
        <v>3.8430808912353699E-12</v>
      </c>
      <c r="AP20" s="83">
        <f>Calc!K19</f>
        <v>3.2232539525490256E-12</v>
      </c>
      <c r="AQ20" s="83">
        <f>Calc!L19</f>
        <v>1.2574686590026053E-11</v>
      </c>
      <c r="AR20" s="83">
        <f>Calc!M19</f>
        <v>-1.9574870111386544E-13</v>
      </c>
      <c r="AS20" s="83">
        <f>Calc!N19</f>
        <v>1.6907453091921699E-15</v>
      </c>
      <c r="AT20" s="83">
        <f>Calc!O19</f>
        <v>8.3328937943771704E-15</v>
      </c>
      <c r="AU20" s="83">
        <f>Calc!P19</f>
        <v>1.5605946571290499E-15</v>
      </c>
      <c r="AV20" s="83">
        <f>Calc!Q19</f>
        <v>7.5558022688464296E-15</v>
      </c>
      <c r="AW20" s="83">
        <f>Calc!R19</f>
        <v>2.2323735656209599E-16</v>
      </c>
      <c r="AX20" s="83"/>
      <c r="AY20" s="83"/>
      <c r="AZ20" s="83"/>
      <c r="BA20" s="83"/>
      <c r="BB20" s="83"/>
      <c r="BC20" s="83"/>
      <c r="BD20" s="83">
        <v>0</v>
      </c>
      <c r="BE20" s="83">
        <f>Calc!T19</f>
        <v>3.1596493219429892E-4</v>
      </c>
      <c r="BF20" s="83">
        <f>Calc!U19</f>
        <v>6.5751643232029075E-2</v>
      </c>
      <c r="BG20" s="83">
        <f>Calc!V19</f>
        <v>2.6027509083135217E-8</v>
      </c>
      <c r="BH20" s="83">
        <f>Calc!W19</f>
        <v>4.4480184743229454E-8</v>
      </c>
      <c r="BI20" s="83">
        <f>Calc!X19</f>
        <v>-1.760849290087911E-7</v>
      </c>
      <c r="BJ20" s="83">
        <f>Calc!Y19</f>
        <v>1.7453483010577046E-12</v>
      </c>
      <c r="BK20" s="83">
        <f>Calc!Z19</f>
        <v>-3.1717374235368819E-11</v>
      </c>
      <c r="BL20" s="83">
        <f>Calc!AA19</f>
        <v>5.7678611289662578E-12</v>
      </c>
      <c r="BM20" s="83">
        <f>Calc!AB19</f>
        <v>-9.5931792040990973E-11</v>
      </c>
      <c r="BN20" s="83">
        <f>Calc!AC19</f>
        <v>-1.5569775603692001E-15</v>
      </c>
      <c r="BO20" s="83">
        <f>Calc!AD19</f>
        <v>-8.9998512702542103E-16</v>
      </c>
      <c r="BP20" s="83">
        <f>Calc!AE19</f>
        <v>-9.3831850618819502E-15</v>
      </c>
      <c r="BQ20" s="83">
        <f>Calc!AF19</f>
        <v>-2.3048805578410999E-17</v>
      </c>
      <c r="BR20" s="83">
        <f>Calc!AG19</f>
        <v>-1.7480296209813501E-14</v>
      </c>
      <c r="BS20" s="83"/>
      <c r="BT20" s="83"/>
      <c r="BU20" s="83"/>
      <c r="BV20" s="83"/>
      <c r="BW20" s="83"/>
      <c r="BX20" s="83"/>
      <c r="BY20" s="83">
        <v>0</v>
      </c>
      <c r="BZ20" s="83">
        <f>Calc!E54</f>
        <v>15.290661185189313</v>
      </c>
      <c r="CA20" s="83">
        <f>Calc!F54</f>
        <v>7.2946362352374118E-4</v>
      </c>
      <c r="CB20" s="83">
        <f>Calc!G54</f>
        <v>6.8128190366302226E-5</v>
      </c>
      <c r="CC20" s="83">
        <f>Calc!H54</f>
        <v>1.3553313406881458E-5</v>
      </c>
      <c r="CD20" s="83">
        <f>Calc!I54</f>
        <v>1.4732107379621725E-5</v>
      </c>
      <c r="CE20" s="83">
        <f>Calc!J54</f>
        <v>-2.0267676788041545E-7</v>
      </c>
      <c r="CF20" s="83">
        <f>Calc!K54</f>
        <v>-1.5176696777878721E-7</v>
      </c>
      <c r="CG20" s="83">
        <f>Calc!L54</f>
        <v>-6.5579557686840251E-7</v>
      </c>
      <c r="CH20" s="83">
        <f>Calc!M54</f>
        <v>8.0200857851084864E-8</v>
      </c>
      <c r="CI20" s="83">
        <f>Calc!N54</f>
        <v>-1.3755880354115801E-9</v>
      </c>
      <c r="CJ20" s="83">
        <f>Calc!O54</f>
        <v>-6.8286810777212099E-9</v>
      </c>
      <c r="CK20" s="83">
        <f>Calc!P54</f>
        <v>-1.04293498685182E-9</v>
      </c>
      <c r="CL20" s="83">
        <f>Calc!Q54</f>
        <v>-5.9928378921435799E-9</v>
      </c>
      <c r="CM20" s="83">
        <f>Calc!R54</f>
        <v>9.9891771502550206E-11</v>
      </c>
      <c r="CN20" s="84"/>
      <c r="CO20" s="84"/>
      <c r="CP20" s="84"/>
      <c r="CQ20" s="84"/>
      <c r="CR20" s="84"/>
      <c r="CS20" s="84"/>
      <c r="CT20" s="83">
        <v>0</v>
      </c>
      <c r="CU20" s="83">
        <f>Calc!T54</f>
        <v>-7.3453337486938858E-2</v>
      </c>
      <c r="CV20" s="83">
        <f>Calc!U54</f>
        <v>15.208178510652681</v>
      </c>
      <c r="CW20" s="83">
        <f>Calc!V54</f>
        <v>-9.4983606707828896E-5</v>
      </c>
      <c r="CX20" s="83">
        <f>Calc!W54</f>
        <v>-1.6021844701902786E-4</v>
      </c>
      <c r="CY20" s="83">
        <f>Calc!X54</f>
        <v>6.0278299320129232E-4</v>
      </c>
      <c r="CZ20" s="83">
        <f>Calc!Y54</f>
        <v>-9.2257646269449589E-8</v>
      </c>
      <c r="DA20" s="83">
        <f>Calc!Z54</f>
        <v>1.6531768730983072E-6</v>
      </c>
      <c r="DB20" s="83">
        <f>Calc!AA54</f>
        <v>-3.5694115462280164E-7</v>
      </c>
      <c r="DC20" s="83">
        <f>Calc!AB54</f>
        <v>4.9805253055420704E-6</v>
      </c>
      <c r="DD20" s="83">
        <f>Calc!AC54</f>
        <v>1.27574449362868E-9</v>
      </c>
      <c r="DE20" s="83">
        <f>Calc!AD54</f>
        <v>7.7897327013718401E-10</v>
      </c>
      <c r="DF20" s="83">
        <f>Calc!AE54</f>
        <v>7.3361294369038402E-9</v>
      </c>
      <c r="DG20" s="83">
        <f>Calc!AF54</f>
        <v>-1.81798644252709E-10</v>
      </c>
      <c r="DH20" s="83">
        <f>Calc!AG54</f>
        <v>1.37896323183342E-8</v>
      </c>
      <c r="DI20" s="21"/>
      <c r="DJ20" s="21"/>
      <c r="DK20" s="21"/>
      <c r="DL20" s="21"/>
      <c r="DM20" s="21"/>
      <c r="DN20" s="21"/>
    </row>
    <row r="21" spans="1:118" s="13" customFormat="1">
      <c r="A21" s="14" t="s">
        <v>91</v>
      </c>
      <c r="B21" s="15" t="s">
        <v>212</v>
      </c>
      <c r="C21" s="14" t="str">
        <f>DDC!B22</f>
        <v>NIS_CNTR</v>
      </c>
      <c r="D21" s="15" t="s">
        <v>179</v>
      </c>
      <c r="E21" s="14" t="s">
        <v>117</v>
      </c>
      <c r="F21" s="14">
        <v>2048</v>
      </c>
      <c r="G21" s="14">
        <v>2048</v>
      </c>
      <c r="H21" s="59">
        <v>300</v>
      </c>
      <c r="I21" s="59">
        <v>64.5</v>
      </c>
      <c r="J21" s="37">
        <v>2048</v>
      </c>
      <c r="K21" s="14">
        <v>128</v>
      </c>
      <c r="L21" s="65">
        <f t="shared" si="12"/>
        <v>1749</v>
      </c>
      <c r="M21" s="59">
        <v>64.5</v>
      </c>
      <c r="N21" s="68">
        <f t="shared" si="11"/>
        <v>6.5378497011824466E-2</v>
      </c>
      <c r="O21" s="68">
        <f t="shared" si="6"/>
        <v>6.5764448029949726E-2</v>
      </c>
      <c r="P21" s="76">
        <f>Calc!B90</f>
        <v>-338.09676273790689</v>
      </c>
      <c r="Q21" s="76">
        <f>Calc!C90</f>
        <v>-634.50172793894671</v>
      </c>
      <c r="R21" s="17">
        <v>-0.56998599999999999</v>
      </c>
      <c r="S21" s="14">
        <v>-1</v>
      </c>
      <c r="T21" s="35">
        <v>180</v>
      </c>
      <c r="U21" s="14">
        <v>1</v>
      </c>
      <c r="V21" s="82">
        <v>-90.306460999999999</v>
      </c>
      <c r="W21" s="82">
        <v>-0.56998599999999999</v>
      </c>
      <c r="X21" s="12">
        <f>Calc!L90</f>
        <v>-114.30921210250683</v>
      </c>
      <c r="Y21" s="12">
        <f>Calc!M90</f>
        <v>19.579875550603784</v>
      </c>
      <c r="Z21" s="12">
        <f>Calc!N90</f>
        <v>19.581371606281866</v>
      </c>
      <c r="AA21" s="12">
        <f>Calc!O90</f>
        <v>-114.31412924830691</v>
      </c>
      <c r="AB21" s="12">
        <f>Calc!P90</f>
        <v>-4.7800996470170114</v>
      </c>
      <c r="AC21" s="12">
        <f>Calc!Q90</f>
        <v>-4.0971589228079877</v>
      </c>
      <c r="AD21" s="12">
        <f>Calc!R90</f>
        <v>4.3199840559690239</v>
      </c>
      <c r="AE21" s="12">
        <f>Calc!S90</f>
        <v>3.6418734016300549</v>
      </c>
      <c r="AF21" s="32">
        <v>41640</v>
      </c>
      <c r="AH21">
        <v>4</v>
      </c>
      <c r="AI21" s="83">
        <v>0</v>
      </c>
      <c r="AJ21" s="83">
        <f>Calc!E20</f>
        <v>6.5377478473086337E-2</v>
      </c>
      <c r="AK21" s="83">
        <f>Calc!F20</f>
        <v>4.3608405532847283E-6</v>
      </c>
      <c r="AL21" s="83">
        <f>Calc!G20</f>
        <v>2.6340196603209032E-10</v>
      </c>
      <c r="AM21" s="83">
        <f>Calc!H20</f>
        <v>2.446442214271342E-8</v>
      </c>
      <c r="AN21" s="83">
        <f>Calc!I20</f>
        <v>1.1022590641327617E-8</v>
      </c>
      <c r="AO21" s="83">
        <f>Calc!J20</f>
        <v>1.0288202009875921E-11</v>
      </c>
      <c r="AP21" s="83">
        <f>Calc!K20</f>
        <v>2.7046997310673358E-11</v>
      </c>
      <c r="AQ21" s="83">
        <f>Calc!L20</f>
        <v>1.554918000651402E-11</v>
      </c>
      <c r="AR21" s="83">
        <f>Calc!M20</f>
        <v>7.004930861096782E-12</v>
      </c>
      <c r="AS21" s="83">
        <f>Calc!N20</f>
        <v>1.6907453091921699E-15</v>
      </c>
      <c r="AT21" s="83">
        <f>Calc!O20</f>
        <v>8.3328937943771704E-15</v>
      </c>
      <c r="AU21" s="83">
        <f>Calc!P20</f>
        <v>1.5605946571290499E-15</v>
      </c>
      <c r="AV21" s="83">
        <f>Calc!Q20</f>
        <v>7.5558022688464296E-15</v>
      </c>
      <c r="AW21" s="83">
        <f>Calc!R20</f>
        <v>2.2323735656209599E-16</v>
      </c>
      <c r="AX21" s="83"/>
      <c r="AY21" s="83"/>
      <c r="AZ21" s="83"/>
      <c r="BA21" s="83"/>
      <c r="BB21" s="83"/>
      <c r="BC21" s="83"/>
      <c r="BD21" s="83">
        <v>0</v>
      </c>
      <c r="BE21" s="83">
        <f>Calc!T20</f>
        <v>3.6493838695394678E-4</v>
      </c>
      <c r="BF21" s="83">
        <f>Calc!U20</f>
        <v>6.5764447885366062E-2</v>
      </c>
      <c r="BG21" s="83">
        <f>Calc!V20</f>
        <v>2.2533093677107094E-8</v>
      </c>
      <c r="BH21" s="83">
        <f>Calc!W20</f>
        <v>-1.8425254326075404E-8</v>
      </c>
      <c r="BI21" s="83">
        <f>Calc!X20</f>
        <v>-1.7911005047475301E-7</v>
      </c>
      <c r="BJ21" s="83">
        <f>Calc!Y20</f>
        <v>-4.1898501590696861E-12</v>
      </c>
      <c r="BK21" s="83">
        <f>Calc!Z20</f>
        <v>-3.4290431713534503E-11</v>
      </c>
      <c r="BL21" s="83">
        <f>Calc!AA20</f>
        <v>-1.2116489598980741E-11</v>
      </c>
      <c r="BM21" s="83">
        <f>Calc!AB20</f>
        <v>-9.5953757552707202E-11</v>
      </c>
      <c r="BN21" s="83">
        <f>Calc!AC20</f>
        <v>-1.5569775603692001E-15</v>
      </c>
      <c r="BO21" s="83">
        <f>Calc!AD20</f>
        <v>-8.9998512702542103E-16</v>
      </c>
      <c r="BP21" s="83">
        <f>Calc!AE20</f>
        <v>-9.3831850618819502E-15</v>
      </c>
      <c r="BQ21" s="83">
        <f>Calc!AF20</f>
        <v>-2.3048805578410999E-17</v>
      </c>
      <c r="BR21" s="83">
        <f>Calc!AG20</f>
        <v>-1.7480296209813501E-14</v>
      </c>
      <c r="BS21" s="83"/>
      <c r="BT21" s="83"/>
      <c r="BU21" s="83"/>
      <c r="BV21" s="83"/>
      <c r="BW21" s="83"/>
      <c r="BX21" s="83"/>
      <c r="BY21" s="83">
        <v>0</v>
      </c>
      <c r="BZ21" s="83">
        <f>Calc!E55</f>
        <v>15.295431804802938</v>
      </c>
      <c r="CA21" s="83">
        <f>Calc!F55</f>
        <v>-6.8715027832829496E-4</v>
      </c>
      <c r="CB21" s="83">
        <f>Calc!G55</f>
        <v>-2.2703611810140396E-6</v>
      </c>
      <c r="CC21" s="83">
        <f>Calc!H55</f>
        <v>-8.5416041033019847E-5</v>
      </c>
      <c r="CD21" s="83">
        <f>Calc!I55</f>
        <v>-3.0467138285949614E-5</v>
      </c>
      <c r="CE21" s="83">
        <f>Calc!J55</f>
        <v>-5.4775855816387894E-7</v>
      </c>
      <c r="CF21" s="83">
        <f>Calc!K55</f>
        <v>-1.4289713190067085E-6</v>
      </c>
      <c r="CG21" s="83">
        <f>Calc!L55</f>
        <v>-7.9161296915309814E-7</v>
      </c>
      <c r="CH21" s="83">
        <f>Calc!M55</f>
        <v>-2.9309505279228412E-7</v>
      </c>
      <c r="CI21" s="83">
        <f>Calc!N55</f>
        <v>-1.3755880354115801E-9</v>
      </c>
      <c r="CJ21" s="83">
        <f>Calc!O55</f>
        <v>-6.8286810777212099E-9</v>
      </c>
      <c r="CK21" s="83">
        <f>Calc!P55</f>
        <v>-1.04293498685182E-9</v>
      </c>
      <c r="CL21" s="83">
        <f>Calc!Q55</f>
        <v>-5.9928378921435799E-9</v>
      </c>
      <c r="CM21" s="83">
        <f>Calc!R55</f>
        <v>9.9891771502550206E-11</v>
      </c>
      <c r="CN21" s="84"/>
      <c r="CO21" s="84"/>
      <c r="CP21" s="84"/>
      <c r="CQ21" s="84"/>
      <c r="CR21" s="84"/>
      <c r="CS21" s="84"/>
      <c r="CT21" s="83">
        <v>0</v>
      </c>
      <c r="CU21" s="83">
        <f>Calc!T55</f>
        <v>-8.5112696177411559E-2</v>
      </c>
      <c r="CV21" s="83">
        <f>Calc!U55</f>
        <v>15.205199796166303</v>
      </c>
      <c r="CW21" s="83">
        <f>Calc!V55</f>
        <v>-8.1923878560787605E-5</v>
      </c>
      <c r="CX21" s="83">
        <f>Calc!W55</f>
        <v>5.5243029102010833E-5</v>
      </c>
      <c r="CY21" s="83">
        <f>Calc!X55</f>
        <v>6.138792939407911E-4</v>
      </c>
      <c r="CZ21" s="83">
        <f>Calc!Y55</f>
        <v>2.2597230752034471E-7</v>
      </c>
      <c r="DA21" s="83">
        <f>Calc!Z55</f>
        <v>1.8035632201568165E-6</v>
      </c>
      <c r="DB21" s="83">
        <f>Calc!AA55</f>
        <v>5.5713951288907659E-7</v>
      </c>
      <c r="DC21" s="83">
        <f>Calc!AB55</f>
        <v>4.9871224513561819E-6</v>
      </c>
      <c r="DD21" s="83">
        <f>Calc!AC55</f>
        <v>1.27574449362868E-9</v>
      </c>
      <c r="DE21" s="83">
        <f>Calc!AD55</f>
        <v>7.7897327013718401E-10</v>
      </c>
      <c r="DF21" s="83">
        <f>Calc!AE55</f>
        <v>7.3361294369038402E-9</v>
      </c>
      <c r="DG21" s="83">
        <f>Calc!AF55</f>
        <v>-1.81798644252709E-10</v>
      </c>
      <c r="DH21" s="83">
        <f>Calc!AG55</f>
        <v>1.37896323183342E-8</v>
      </c>
      <c r="DI21" s="21"/>
      <c r="DJ21" s="21"/>
      <c r="DK21" s="21"/>
      <c r="DL21" s="21"/>
      <c r="DM21" s="21"/>
      <c r="DN21" s="21"/>
    </row>
    <row r="22" spans="1:118" s="13" customFormat="1">
      <c r="A22" s="15" t="s">
        <v>91</v>
      </c>
      <c r="B22" s="15" t="s">
        <v>213</v>
      </c>
      <c r="C22" s="14" t="str">
        <f>DDC!B23</f>
        <v>NIS_CNTR</v>
      </c>
      <c r="D22" s="15" t="s">
        <v>179</v>
      </c>
      <c r="E22" s="15" t="s">
        <v>117</v>
      </c>
      <c r="F22" s="14">
        <v>2048</v>
      </c>
      <c r="G22" s="14">
        <v>2048</v>
      </c>
      <c r="H22" s="59">
        <v>32.5</v>
      </c>
      <c r="I22" s="59">
        <v>32.5</v>
      </c>
      <c r="J22" s="39">
        <v>64</v>
      </c>
      <c r="K22" s="15">
        <v>64</v>
      </c>
      <c r="L22" s="59">
        <v>32.5</v>
      </c>
      <c r="M22" s="59">
        <v>32.5</v>
      </c>
      <c r="N22" s="69">
        <f t="shared" ref="N22:O24" si="14">SQRT(AJ22^2+BE22^2)</f>
        <v>6.5382351694908095E-2</v>
      </c>
      <c r="O22" s="69">
        <f t="shared" si="14"/>
        <v>6.5745039171412528E-2</v>
      </c>
      <c r="P22" s="76">
        <f>Calc!B91</f>
        <v>-355.60694638448689</v>
      </c>
      <c r="Q22" s="76">
        <f>Calc!C91</f>
        <v>-632.47263809133256</v>
      </c>
      <c r="R22" s="17">
        <v>-0.56998599999999999</v>
      </c>
      <c r="S22" s="15">
        <v>-1</v>
      </c>
      <c r="T22" s="80">
        <v>180</v>
      </c>
      <c r="U22" s="15">
        <v>1</v>
      </c>
      <c r="V22" s="82">
        <v>-90.306460999999999</v>
      </c>
      <c r="W22" s="82">
        <v>-0.56998599999999999</v>
      </c>
      <c r="X22" s="12">
        <f>Calc!L91</f>
        <v>-2.0925791684803294</v>
      </c>
      <c r="Y22" s="12">
        <f>Calc!M91</f>
        <v>2.0917369997335222</v>
      </c>
      <c r="Z22" s="12">
        <f>Calc!N91</f>
        <v>2.0927190128650017</v>
      </c>
      <c r="AA22" s="12">
        <f>Calc!O91</f>
        <v>-2.0917683483705143</v>
      </c>
      <c r="AB22" s="12">
        <f>Calc!P91</f>
        <v>-2.1158373873982335</v>
      </c>
      <c r="AC22" s="12">
        <f>Calc!Q91</f>
        <v>-2.0917738673229689</v>
      </c>
      <c r="AD22" s="12">
        <f>Calc!R91</f>
        <v>2.1158305959683794</v>
      </c>
      <c r="AE22" s="12">
        <f>Calc!S91</f>
        <v>2.0919229722760786</v>
      </c>
      <c r="AF22" s="32">
        <v>41640</v>
      </c>
      <c r="AH22" s="13">
        <v>4</v>
      </c>
      <c r="AI22" s="83">
        <v>0</v>
      </c>
      <c r="AJ22" s="83">
        <f>Calc!E21</f>
        <v>6.5381277573823185E-2</v>
      </c>
      <c r="AK22" s="83">
        <f>Calc!F21</f>
        <v>1.4006509697611265E-5</v>
      </c>
      <c r="AL22" s="83">
        <f>Calc!G21</f>
        <v>1.0326675118652863E-8</v>
      </c>
      <c r="AM22" s="83">
        <f>Calc!H21</f>
        <v>4.1795171304692266E-8</v>
      </c>
      <c r="AN22" s="83">
        <f>Calc!I21</f>
        <v>1.6161544529752292E-8</v>
      </c>
      <c r="AO22" s="83">
        <f>Calc!J21</f>
        <v>1.2363952092131612E-11</v>
      </c>
      <c r="AP22" s="83">
        <f>Calc!K21</f>
        <v>3.3834022638717297E-11</v>
      </c>
      <c r="AQ22" s="83">
        <f>Calc!L21</f>
        <v>1.7109455165887319E-11</v>
      </c>
      <c r="AR22" s="83">
        <f>Calc!M21</f>
        <v>9.0546823496531501E-12</v>
      </c>
      <c r="AS22" s="83">
        <f>Calc!N21</f>
        <v>1.6907453091921699E-15</v>
      </c>
      <c r="AT22" s="83">
        <f>Calc!O21</f>
        <v>8.3328937943771704E-15</v>
      </c>
      <c r="AU22" s="83">
        <f>Calc!P21</f>
        <v>1.5605946571290499E-15</v>
      </c>
      <c r="AV22" s="83">
        <f>Calc!Q21</f>
        <v>7.5558022688464296E-15</v>
      </c>
      <c r="AW22" s="83">
        <f>Calc!R21</f>
        <v>2.2323735656209599E-16</v>
      </c>
      <c r="AX22" s="83"/>
      <c r="AY22" s="83"/>
      <c r="AZ22" s="83"/>
      <c r="BA22" s="83"/>
      <c r="BB22" s="83"/>
      <c r="BC22" s="83"/>
      <c r="BD22" s="83">
        <v>0</v>
      </c>
      <c r="BE22" s="83">
        <f>Calc!T21</f>
        <v>3.7477456068410269E-4</v>
      </c>
      <c r="BF22" s="83">
        <f>Calc!U21</f>
        <v>6.5745037679419221E-2</v>
      </c>
      <c r="BG22" s="83">
        <f>Calc!V21</f>
        <v>1.7372256256730175E-8</v>
      </c>
      <c r="BH22" s="83">
        <f>Calc!W21</f>
        <v>-3.8060640371837846E-8</v>
      </c>
      <c r="BI22" s="83">
        <f>Calc!X21</f>
        <v>-1.9234218853686487E-7</v>
      </c>
      <c r="BJ22" s="83">
        <f>Calc!Y21</f>
        <v>-5.8846156727295431E-12</v>
      </c>
      <c r="BK22" s="83">
        <f>Calc!Z21</f>
        <v>-3.5613193621932845E-11</v>
      </c>
      <c r="BL22" s="83">
        <f>Calc!AA21</f>
        <v>-1.7138706292423111E-11</v>
      </c>
      <c r="BM22" s="83">
        <f>Calc!AB21</f>
        <v>-9.8197401023055553E-11</v>
      </c>
      <c r="BN22" s="83">
        <f>Calc!AC21</f>
        <v>-1.5569775603692001E-15</v>
      </c>
      <c r="BO22" s="83">
        <f>Calc!AD21</f>
        <v>-8.9998512702542103E-16</v>
      </c>
      <c r="BP22" s="83">
        <f>Calc!AE21</f>
        <v>-9.3831850618819502E-15</v>
      </c>
      <c r="BQ22" s="83">
        <f>Calc!AF21</f>
        <v>-2.3048805578410999E-17</v>
      </c>
      <c r="BR22" s="83">
        <f>Calc!AG21</f>
        <v>-1.7480296209813501E-14</v>
      </c>
      <c r="BS22" s="83"/>
      <c r="BT22" s="83"/>
      <c r="BU22" s="83"/>
      <c r="BV22" s="83"/>
      <c r="BW22" s="83"/>
      <c r="BX22" s="83"/>
      <c r="BY22" s="83">
        <v>0</v>
      </c>
      <c r="BZ22" s="83">
        <f>Calc!E56</f>
        <v>15.294504131696609</v>
      </c>
      <c r="CA22" s="83">
        <f>Calc!F56</f>
        <v>-2.8570603304199716E-3</v>
      </c>
      <c r="CB22" s="83">
        <f>Calc!G56</f>
        <v>-3.7477036624754567E-5</v>
      </c>
      <c r="CC22" s="83">
        <f>Calc!H56</f>
        <v>-1.4540118139413544E-4</v>
      </c>
      <c r="CD22" s="83">
        <f>Calc!I56</f>
        <v>-4.7257821404333818E-5</v>
      </c>
      <c r="CE22" s="83">
        <f>Calc!J56</f>
        <v>-6.5903473534058037E-7</v>
      </c>
      <c r="CF22" s="83">
        <f>Calc!K56</f>
        <v>-1.7918499782605522E-6</v>
      </c>
      <c r="CG22" s="83">
        <f>Calc!L56</f>
        <v>-8.6770292948899054E-7</v>
      </c>
      <c r="CH22" s="83">
        <f>Calc!M56</f>
        <v>-3.9702426674240686E-7</v>
      </c>
      <c r="CI22" s="83">
        <f>Calc!N56</f>
        <v>-1.3755880354115801E-9</v>
      </c>
      <c r="CJ22" s="83">
        <f>Calc!O56</f>
        <v>-6.8286810777212099E-9</v>
      </c>
      <c r="CK22" s="83">
        <f>Calc!P56</f>
        <v>-1.04293498685182E-9</v>
      </c>
      <c r="CL22" s="83">
        <f>Calc!Q56</f>
        <v>-5.9928378921435799E-9</v>
      </c>
      <c r="CM22" s="83">
        <f>Calc!R56</f>
        <v>9.9891771502550206E-11</v>
      </c>
      <c r="CN22" s="84"/>
      <c r="CO22" s="84"/>
      <c r="CP22" s="84"/>
      <c r="CQ22" s="84"/>
      <c r="CR22" s="84"/>
      <c r="CS22" s="84"/>
      <c r="CT22" s="83">
        <v>0</v>
      </c>
      <c r="CU22" s="83">
        <f>Calc!T56</f>
        <v>-8.7477377204617013E-2</v>
      </c>
      <c r="CV22" s="83">
        <f>Calc!U56</f>
        <v>15.209552733240036</v>
      </c>
      <c r="CW22" s="83">
        <f>Calc!V56</f>
        <v>-6.362720044771899E-5</v>
      </c>
      <c r="CX22" s="83">
        <f>Calc!W56</f>
        <v>1.2262633671808142E-4</v>
      </c>
      <c r="CY22" s="83">
        <f>Calc!X56</f>
        <v>6.5921026303106083E-4</v>
      </c>
      <c r="CZ22" s="83">
        <f>Calc!Y56</f>
        <v>3.1693518078725187E-7</v>
      </c>
      <c r="DA22" s="83">
        <f>Calc!Z56</f>
        <v>1.8767595490930674E-6</v>
      </c>
      <c r="DB22" s="83">
        <f>Calc!AA56</f>
        <v>8.1254297781646183E-7</v>
      </c>
      <c r="DC22" s="83">
        <f>Calc!AB56</f>
        <v>5.1054671302033333E-6</v>
      </c>
      <c r="DD22" s="83">
        <f>Calc!AC56</f>
        <v>1.27574449362868E-9</v>
      </c>
      <c r="DE22" s="83">
        <f>Calc!AD56</f>
        <v>7.7897327013718401E-10</v>
      </c>
      <c r="DF22" s="83">
        <f>Calc!AE56</f>
        <v>7.3361294369038402E-9</v>
      </c>
      <c r="DG22" s="83">
        <f>Calc!AF56</f>
        <v>-1.81798644252709E-10</v>
      </c>
      <c r="DH22" s="83">
        <f>Calc!AG56</f>
        <v>1.37896323183342E-8</v>
      </c>
      <c r="DI22" s="21"/>
      <c r="DJ22" s="21"/>
      <c r="DK22" s="21"/>
      <c r="DL22" s="21"/>
      <c r="DM22" s="21"/>
      <c r="DN22" s="21"/>
    </row>
    <row r="23" spans="1:118" s="13" customFormat="1">
      <c r="A23" s="15" t="s">
        <v>91</v>
      </c>
      <c r="B23" s="15" t="s">
        <v>214</v>
      </c>
      <c r="C23" s="14" t="str">
        <f>DDC!B24</f>
        <v>NIS_CNTR</v>
      </c>
      <c r="D23" s="15" t="s">
        <v>179</v>
      </c>
      <c r="E23" s="15" t="s">
        <v>117</v>
      </c>
      <c r="F23" s="14">
        <v>2048</v>
      </c>
      <c r="G23" s="14">
        <v>2048</v>
      </c>
      <c r="H23" s="59">
        <v>64.5</v>
      </c>
      <c r="I23" s="59">
        <v>64.5</v>
      </c>
      <c r="J23" s="39">
        <v>128</v>
      </c>
      <c r="K23" s="15">
        <v>128</v>
      </c>
      <c r="L23" s="59">
        <v>64.5</v>
      </c>
      <c r="M23" s="59">
        <v>64.5</v>
      </c>
      <c r="N23" s="69">
        <f t="shared" si="14"/>
        <v>6.5380476767791088E-2</v>
      </c>
      <c r="O23" s="69">
        <f t="shared" si="14"/>
        <v>6.5758196273847214E-2</v>
      </c>
      <c r="P23" s="76">
        <f>Calc!B92</f>
        <v>-353.4934180420621</v>
      </c>
      <c r="Q23" s="76">
        <f>Calc!C92</f>
        <v>-634.56776347653749</v>
      </c>
      <c r="R23" s="17">
        <v>-0.56998599999999999</v>
      </c>
      <c r="S23" s="15">
        <v>-1</v>
      </c>
      <c r="T23" s="80">
        <v>180</v>
      </c>
      <c r="U23" s="15">
        <v>1</v>
      </c>
      <c r="V23" s="82">
        <v>-90.306460999999999</v>
      </c>
      <c r="W23" s="82">
        <v>-0.56998599999999999</v>
      </c>
      <c r="X23" s="12">
        <f>Calc!L92</f>
        <v>-4.1847808349934956</v>
      </c>
      <c r="Y23" s="12">
        <f>Calc!M92</f>
        <v>4.1834665717651083</v>
      </c>
      <c r="Z23" s="12">
        <f>Calc!N92</f>
        <v>4.1852842792369858</v>
      </c>
      <c r="AA23" s="12">
        <f>Calc!O92</f>
        <v>-4.1835953859340842</v>
      </c>
      <c r="AB23" s="12">
        <f>Calc!P92</f>
        <v>-4.2324961073352849</v>
      </c>
      <c r="AC23" s="12">
        <f>Calc!Q92</f>
        <v>-4.184240686913693</v>
      </c>
      <c r="AD23" s="12">
        <f>Calc!R92</f>
        <v>4.2325238285458688</v>
      </c>
      <c r="AE23" s="12">
        <f>Calc!S92</f>
        <v>4.1848373554326326</v>
      </c>
      <c r="AF23" s="32">
        <v>41640</v>
      </c>
      <c r="AH23" s="13">
        <v>4</v>
      </c>
      <c r="AI23" s="83">
        <v>0</v>
      </c>
      <c r="AJ23" s="83">
        <f>Calc!E22</f>
        <v>6.5379402624725289E-2</v>
      </c>
      <c r="AK23" s="83">
        <f>Calc!F22</f>
        <v>1.1731080200348548E-5</v>
      </c>
      <c r="AL23" s="83">
        <f>Calc!G22</f>
        <v>8.0946316312141773E-9</v>
      </c>
      <c r="AM23" s="83">
        <f>Calc!H22</f>
        <v>3.8589990995219396E-8</v>
      </c>
      <c r="AN23" s="83">
        <f>Calc!I22</f>
        <v>1.477097350269471E-8</v>
      </c>
      <c r="AO23" s="83">
        <f>Calc!J22</f>
        <v>1.1880884091134946E-11</v>
      </c>
      <c r="AP23" s="83">
        <f>Calc!K22</f>
        <v>3.2934186776400831E-11</v>
      </c>
      <c r="AQ23" s="83">
        <f>Calc!L22</f>
        <v>1.6284220090021805E-11</v>
      </c>
      <c r="AR23" s="83">
        <f>Calc!M22</f>
        <v>8.7843222954101153E-12</v>
      </c>
      <c r="AS23" s="83">
        <f>Calc!N22</f>
        <v>1.6907453091921699E-15</v>
      </c>
      <c r="AT23" s="83">
        <f>Calc!O22</f>
        <v>8.3328937943771704E-15</v>
      </c>
      <c r="AU23" s="83">
        <f>Calc!P22</f>
        <v>1.5605946571290499E-15</v>
      </c>
      <c r="AV23" s="83">
        <f>Calc!Q22</f>
        <v>7.5558022688464296E-15</v>
      </c>
      <c r="AW23" s="83">
        <f>Calc!R22</f>
        <v>2.2323735656209599E-16</v>
      </c>
      <c r="AX23" s="83"/>
      <c r="AY23" s="83"/>
      <c r="AZ23" s="83"/>
      <c r="BA23" s="83"/>
      <c r="BB23" s="83"/>
      <c r="BC23" s="83"/>
      <c r="BD23" s="83">
        <v>0</v>
      </c>
      <c r="BE23" s="83">
        <f>Calc!T22</f>
        <v>3.7477302162042318E-4</v>
      </c>
      <c r="BF23" s="83">
        <f>Calc!U22</f>
        <v>6.5758195227451091E-2</v>
      </c>
      <c r="BG23" s="83">
        <f>Calc!V22</f>
        <v>1.9054862351269556E-8</v>
      </c>
      <c r="BH23" s="83">
        <f>Calc!W22</f>
        <v>-3.4725787863573487E-8</v>
      </c>
      <c r="BI23" s="83">
        <f>Calc!X22</f>
        <v>-1.824838775646412E-7</v>
      </c>
      <c r="BJ23" s="83">
        <f>Calc!Y22</f>
        <v>-5.6565230209374728E-12</v>
      </c>
      <c r="BK23" s="83">
        <f>Calc!Z22</f>
        <v>-3.4926271205777955E-11</v>
      </c>
      <c r="BL23" s="83">
        <f>Calc!AA22</f>
        <v>-1.653596976312714E-11</v>
      </c>
      <c r="BM23" s="83">
        <f>Calc!AB22</f>
        <v>-9.5959185546420919E-11</v>
      </c>
      <c r="BN23" s="83">
        <f>Calc!AC22</f>
        <v>-1.5569775603692001E-15</v>
      </c>
      <c r="BO23" s="83">
        <f>Calc!AD22</f>
        <v>-8.9998512702542103E-16</v>
      </c>
      <c r="BP23" s="83">
        <f>Calc!AE22</f>
        <v>-9.3831850618819502E-15</v>
      </c>
      <c r="BQ23" s="83">
        <f>Calc!AF22</f>
        <v>-2.3048805578410999E-17</v>
      </c>
      <c r="BR23" s="83">
        <f>Calc!AG22</f>
        <v>-1.7480296209813501E-14</v>
      </c>
      <c r="BS23" s="83"/>
      <c r="BT23" s="83"/>
      <c r="BU23" s="83"/>
      <c r="BV23" s="83"/>
      <c r="BW23" s="83"/>
      <c r="BX23" s="83"/>
      <c r="BY23" s="83">
        <v>0</v>
      </c>
      <c r="BZ23" s="83">
        <f>Calc!E57</f>
        <v>15.294940560073012</v>
      </c>
      <c r="CA23" s="83">
        <f>Calc!F57</f>
        <v>-2.3734143090633768E-3</v>
      </c>
      <c r="CB23" s="83">
        <f>Calc!G57</f>
        <v>-2.967966955711906E-5</v>
      </c>
      <c r="CC23" s="83">
        <f>Calc!H57</f>
        <v>-1.3441847701839302E-4</v>
      </c>
      <c r="CD23" s="83">
        <f>Calc!I57</f>
        <v>-4.3003208327136278E-5</v>
      </c>
      <c r="CE23" s="83">
        <f>Calc!J57</f>
        <v>-6.3307080464579983E-7</v>
      </c>
      <c r="CF23" s="83">
        <f>Calc!K57</f>
        <v>-1.7445674638306903E-6</v>
      </c>
      <c r="CG23" s="83">
        <f>Calc!L57</f>
        <v>-8.2529469612213145E-7</v>
      </c>
      <c r="CH23" s="83">
        <f>Calc!M57</f>
        <v>-3.8532926766520685E-7</v>
      </c>
      <c r="CI23" s="83">
        <f>Calc!N57</f>
        <v>-1.3755880354115801E-9</v>
      </c>
      <c r="CJ23" s="83">
        <f>Calc!O57</f>
        <v>-6.8286810777212099E-9</v>
      </c>
      <c r="CK23" s="83">
        <f>Calc!P57</f>
        <v>-1.04293498685182E-9</v>
      </c>
      <c r="CL23" s="83">
        <f>Calc!Q57</f>
        <v>-5.9928378921435799E-9</v>
      </c>
      <c r="CM23" s="83">
        <f>Calc!R57</f>
        <v>9.9891771502550206E-11</v>
      </c>
      <c r="CN23" s="84"/>
      <c r="CO23" s="84"/>
      <c r="CP23" s="84"/>
      <c r="CQ23" s="84"/>
      <c r="CR23" s="84"/>
      <c r="CS23" s="84"/>
      <c r="CT23" s="83">
        <v>0</v>
      </c>
      <c r="CU23" s="83">
        <f>Calc!T57</f>
        <v>-8.7446351907070952E-2</v>
      </c>
      <c r="CV23" s="83">
        <f>Calc!U57</f>
        <v>15.206589622778003</v>
      </c>
      <c r="CW23" s="83">
        <f>Calc!V57</f>
        <v>-6.9511435352284176E-5</v>
      </c>
      <c r="CX23" s="83">
        <f>Calc!W57</f>
        <v>1.1147076230464321E-4</v>
      </c>
      <c r="CY23" s="83">
        <f>Calc!X57</f>
        <v>6.2549990543352076E-4</v>
      </c>
      <c r="CZ23" s="83">
        <f>Calc!Y57</f>
        <v>3.0460843931209879E-7</v>
      </c>
      <c r="DA23" s="83">
        <f>Calc!Z57</f>
        <v>1.8408221641218353E-6</v>
      </c>
      <c r="DB23" s="83">
        <f>Calc!AA57</f>
        <v>7.8299416349203282E-7</v>
      </c>
      <c r="DC23" s="83">
        <f>Calc!AB57</f>
        <v>4.9891295168246968E-6</v>
      </c>
      <c r="DD23" s="83">
        <f>Calc!AC57</f>
        <v>1.27574449362868E-9</v>
      </c>
      <c r="DE23" s="83">
        <f>Calc!AD57</f>
        <v>7.7897327013718401E-10</v>
      </c>
      <c r="DF23" s="83">
        <f>Calc!AE57</f>
        <v>7.3361294369038402E-9</v>
      </c>
      <c r="DG23" s="83">
        <f>Calc!AF57</f>
        <v>-1.81798644252709E-10</v>
      </c>
      <c r="DH23" s="83">
        <f>Calc!AG57</f>
        <v>1.37896323183342E-8</v>
      </c>
      <c r="DI23" s="21"/>
      <c r="DJ23" s="21"/>
      <c r="DK23" s="21"/>
      <c r="DL23" s="21"/>
      <c r="DM23" s="21"/>
      <c r="DN23" s="21"/>
    </row>
    <row r="24" spans="1:118" s="13" customFormat="1">
      <c r="A24" s="15" t="s">
        <v>91</v>
      </c>
      <c r="B24" s="15" t="s">
        <v>215</v>
      </c>
      <c r="C24" s="14" t="str">
        <f>DDC!B25</f>
        <v>NIS_CNTR</v>
      </c>
      <c r="D24" s="15" t="s">
        <v>179</v>
      </c>
      <c r="E24" s="15" t="s">
        <v>117</v>
      </c>
      <c r="F24" s="14">
        <v>2048</v>
      </c>
      <c r="G24" s="14">
        <v>2048</v>
      </c>
      <c r="H24" s="59">
        <v>128.5</v>
      </c>
      <c r="I24" s="59">
        <v>128.5</v>
      </c>
      <c r="J24" s="39">
        <v>256</v>
      </c>
      <c r="K24" s="15">
        <v>256</v>
      </c>
      <c r="L24" s="59">
        <v>128.5</v>
      </c>
      <c r="M24" s="59">
        <v>128.5</v>
      </c>
      <c r="N24" s="69">
        <f t="shared" si="14"/>
        <v>6.5377438686027883E-2</v>
      </c>
      <c r="O24" s="69">
        <f t="shared" si="14"/>
        <v>6.5782341905098171E-2</v>
      </c>
      <c r="P24" s="76">
        <f>Calc!B93</f>
        <v>-349.26671373076886</v>
      </c>
      <c r="Q24" s="76">
        <f>Calc!C93</f>
        <v>-638.75920573190626</v>
      </c>
      <c r="R24" s="17">
        <v>-0.56998599999999999</v>
      </c>
      <c r="S24" s="15">
        <v>-1</v>
      </c>
      <c r="T24" s="80">
        <v>180</v>
      </c>
      <c r="U24" s="15">
        <v>1</v>
      </c>
      <c r="V24" s="82">
        <v>-90.306460999999999</v>
      </c>
      <c r="W24" s="82">
        <v>-0.56998599999999999</v>
      </c>
      <c r="X24" s="12">
        <f>Calc!L93</f>
        <v>-8.368370693936706</v>
      </c>
      <c r="Y24" s="12">
        <f>Calc!M93</f>
        <v>8.3669142286130427</v>
      </c>
      <c r="Z24" s="12">
        <f>Calc!N93</f>
        <v>8.3699603946001258</v>
      </c>
      <c r="AA24" s="12">
        <f>Calc!O93</f>
        <v>-8.3674551586217714</v>
      </c>
      <c r="AB24" s="12">
        <f>Calc!P93</f>
        <v>-8.467763051994158</v>
      </c>
      <c r="AC24" s="12">
        <f>Calc!Q93</f>
        <v>-8.3710556640531699</v>
      </c>
      <c r="AD24" s="12">
        <f>Calc!R93</f>
        <v>8.4682962915971878</v>
      </c>
      <c r="AE24" s="12">
        <f>Calc!S93</f>
        <v>8.3734438147666843</v>
      </c>
      <c r="AF24" s="32">
        <v>41640</v>
      </c>
      <c r="AH24" s="13">
        <v>4</v>
      </c>
      <c r="AI24" s="83">
        <v>0</v>
      </c>
      <c r="AJ24" s="83">
        <f>Calc!E23</f>
        <v>6.5376368116741496E-2</v>
      </c>
      <c r="AK24" s="83">
        <f>Calc!F23</f>
        <v>7.7376978555024574E-6</v>
      </c>
      <c r="AL24" s="83">
        <f>Calc!G23</f>
        <v>3.8560524834062326E-9</v>
      </c>
      <c r="AM24" s="83">
        <f>Calc!H23</f>
        <v>3.2510843996404586E-8</v>
      </c>
      <c r="AN24" s="83">
        <f>Calc!I23</f>
        <v>1.2146917711484628E-8</v>
      </c>
      <c r="AO24" s="83">
        <f>Calc!J23</f>
        <v>1.0914748089141612E-11</v>
      </c>
      <c r="AP24" s="83">
        <f>Calc!K23</f>
        <v>3.1134515051767886E-11</v>
      </c>
      <c r="AQ24" s="83">
        <f>Calc!L23</f>
        <v>1.4633749938290774E-11</v>
      </c>
      <c r="AR24" s="83">
        <f>Calc!M23</f>
        <v>8.2436021869240474E-12</v>
      </c>
      <c r="AS24" s="83">
        <f>Calc!N23</f>
        <v>1.6907453091921699E-15</v>
      </c>
      <c r="AT24" s="83">
        <f>Calc!O23</f>
        <v>8.3328937943771704E-15</v>
      </c>
      <c r="AU24" s="83">
        <f>Calc!P23</f>
        <v>1.5605946571290499E-15</v>
      </c>
      <c r="AV24" s="83">
        <f>Calc!Q23</f>
        <v>7.5558022688464296E-15</v>
      </c>
      <c r="AW24" s="83">
        <f>Calc!R23</f>
        <v>2.2323735656209599E-16</v>
      </c>
      <c r="AX24" s="83"/>
      <c r="AY24" s="83"/>
      <c r="AZ24" s="83"/>
      <c r="BA24" s="83"/>
      <c r="BB24" s="83"/>
      <c r="BC24" s="83"/>
      <c r="BD24" s="83">
        <v>0</v>
      </c>
      <c r="BE24" s="83">
        <f>Calc!T23</f>
        <v>3.7414036088182211E-4</v>
      </c>
      <c r="BF24" s="83">
        <f>Calc!U23</f>
        <v>6.5782341450021875E-2</v>
      </c>
      <c r="BG24" s="83">
        <f>Calc!V23</f>
        <v>2.2288439304681349E-8</v>
      </c>
      <c r="BH24" s="83">
        <f>Calc!W23</f>
        <v>-2.8303697364571341E-8</v>
      </c>
      <c r="BI24" s="83">
        <f>Calc!X23</f>
        <v>-1.6346972438427706E-7</v>
      </c>
      <c r="BJ24" s="83">
        <f>Calc!Y23</f>
        <v>-5.2003377173533299E-12</v>
      </c>
      <c r="BK24" s="83">
        <f>Calc!Z23</f>
        <v>-3.355242637346819E-11</v>
      </c>
      <c r="BL24" s="83">
        <f>Calc!AA23</f>
        <v>-1.5330496704535192E-11</v>
      </c>
      <c r="BM24" s="83">
        <f>Calc!AB23</f>
        <v>-9.148275459315164E-11</v>
      </c>
      <c r="BN24" s="83">
        <f>Calc!AC23</f>
        <v>-1.5569775603692001E-15</v>
      </c>
      <c r="BO24" s="83">
        <f>Calc!AD23</f>
        <v>-8.9998512702542103E-16</v>
      </c>
      <c r="BP24" s="83">
        <f>Calc!AE23</f>
        <v>-9.3831850618819502E-15</v>
      </c>
      <c r="BQ24" s="83">
        <f>Calc!AF23</f>
        <v>-2.3048805578410999E-17</v>
      </c>
      <c r="BR24" s="83">
        <f>Calc!AG23</f>
        <v>-1.7480296209813501E-14</v>
      </c>
      <c r="BS24" s="83"/>
      <c r="BT24" s="83"/>
      <c r="BU24" s="83"/>
      <c r="BV24" s="83"/>
      <c r="BW24" s="83"/>
      <c r="BX24" s="83"/>
      <c r="BY24" s="83">
        <v>0</v>
      </c>
      <c r="BZ24" s="83">
        <f>Calc!E58</f>
        <v>15.295650669925593</v>
      </c>
      <c r="CA24" s="83">
        <f>Calc!F58</f>
        <v>-1.5253463471029921E-3</v>
      </c>
      <c r="CB24" s="83">
        <f>Calc!G58</f>
        <v>-1.4872751162177861E-5</v>
      </c>
      <c r="CC24" s="83">
        <f>Calc!H58</f>
        <v>-1.1358459291792015E-4</v>
      </c>
      <c r="CD24" s="83">
        <f>Calc!I58</f>
        <v>-3.498191455617589E-5</v>
      </c>
      <c r="CE24" s="83">
        <f>Calc!J58</f>
        <v>-5.8113683533134376E-7</v>
      </c>
      <c r="CF24" s="83">
        <f>Calc!K58</f>
        <v>-1.6500074183238562E-6</v>
      </c>
      <c r="CG24" s="83">
        <f>Calc!L58</f>
        <v>-7.4045763203421504E-7</v>
      </c>
      <c r="CH24" s="83">
        <f>Calc!M58</f>
        <v>-3.6194192681012383E-7</v>
      </c>
      <c r="CI24" s="83">
        <f>Calc!N58</f>
        <v>-1.3755880354115801E-9</v>
      </c>
      <c r="CJ24" s="83">
        <f>Calc!O58</f>
        <v>-6.8286810777212099E-9</v>
      </c>
      <c r="CK24" s="83">
        <f>Calc!P58</f>
        <v>-1.04293498685182E-9</v>
      </c>
      <c r="CL24" s="83">
        <f>Calc!Q58</f>
        <v>-5.9928378921435799E-9</v>
      </c>
      <c r="CM24" s="83">
        <f>Calc!R58</f>
        <v>9.9891771502550206E-11</v>
      </c>
      <c r="CN24" s="84"/>
      <c r="CO24" s="84"/>
      <c r="CP24" s="84"/>
      <c r="CQ24" s="84"/>
      <c r="CR24" s="84"/>
      <c r="CS24" s="84"/>
      <c r="CT24" s="83">
        <v>0</v>
      </c>
      <c r="CU24" s="83">
        <f>Calc!T58</f>
        <v>-8.7242832989297969E-2</v>
      </c>
      <c r="CV24" s="83">
        <f>Calc!U58</f>
        <v>15.201150222045742</v>
      </c>
      <c r="CW24" s="83">
        <f>Calc!V58</f>
        <v>-8.0821412641305569E-5</v>
      </c>
      <c r="CX24" s="83">
        <f>Calc!W58</f>
        <v>8.9985553664445738E-5</v>
      </c>
      <c r="CY24" s="83">
        <f>Calc!X58</f>
        <v>5.6046358579210154E-4</v>
      </c>
      <c r="CZ24" s="83">
        <f>Calc!Y58</f>
        <v>2.7995588955377383E-7</v>
      </c>
      <c r="DA24" s="83">
        <f>Calc!Z58</f>
        <v>1.7689308158279662E-6</v>
      </c>
      <c r="DB24" s="83">
        <f>Calc!AA58</f>
        <v>7.2390252649859993E-7</v>
      </c>
      <c r="DC24" s="83">
        <f>Calc!AB58</f>
        <v>4.756388699901507E-6</v>
      </c>
      <c r="DD24" s="83">
        <f>Calc!AC58</f>
        <v>1.27574449362868E-9</v>
      </c>
      <c r="DE24" s="83">
        <f>Calc!AD58</f>
        <v>7.7897327013718401E-10</v>
      </c>
      <c r="DF24" s="83">
        <f>Calc!AE58</f>
        <v>7.3361294369038402E-9</v>
      </c>
      <c r="DG24" s="83">
        <f>Calc!AF58</f>
        <v>-1.81798644252709E-10</v>
      </c>
      <c r="DH24" s="83">
        <f>Calc!AG58</f>
        <v>1.37896323183342E-8</v>
      </c>
      <c r="DI24" s="21"/>
      <c r="DJ24" s="21"/>
      <c r="DK24" s="21"/>
      <c r="DL24" s="21"/>
      <c r="DM24" s="21"/>
      <c r="DN24" s="21"/>
    </row>
    <row r="25" spans="1:118" s="53" customFormat="1">
      <c r="A25" s="48" t="s">
        <v>91</v>
      </c>
      <c r="B25" s="48" t="s">
        <v>189</v>
      </c>
      <c r="C25" s="14" t="str">
        <f>DDC!B26</f>
        <v>NIS_CNTR</v>
      </c>
      <c r="D25" s="48" t="s">
        <v>179</v>
      </c>
      <c r="E25" s="48" t="s">
        <v>117</v>
      </c>
      <c r="F25" s="49">
        <v>2048</v>
      </c>
      <c r="G25" s="49">
        <v>2048</v>
      </c>
      <c r="H25" s="59">
        <v>1024.5</v>
      </c>
      <c r="I25" s="59">
        <v>1024.5</v>
      </c>
      <c r="J25" s="48">
        <v>512</v>
      </c>
      <c r="K25" s="48">
        <v>1792</v>
      </c>
      <c r="L25" s="59">
        <v>1024.5</v>
      </c>
      <c r="M25" s="59">
        <v>1024.5</v>
      </c>
      <c r="N25" s="70">
        <f t="shared" ref="N25" si="15">SQRT(AJ25^2+BE25^2)</f>
        <v>6.5398519365170327E-2</v>
      </c>
      <c r="O25" s="70">
        <f t="shared" ref="O25" si="16">SQRT(AK25^2+BF25^2)</f>
        <v>6.5893248419708103E-2</v>
      </c>
      <c r="P25" s="77">
        <f>Calc!B94</f>
        <v>-290.10000000000002</v>
      </c>
      <c r="Q25" s="77">
        <f>Calc!C94</f>
        <v>-697.5</v>
      </c>
      <c r="R25" s="78">
        <v>-0.56998599999999999</v>
      </c>
      <c r="S25" s="48">
        <v>-1</v>
      </c>
      <c r="T25" s="41">
        <v>180</v>
      </c>
      <c r="U25" s="48">
        <v>1</v>
      </c>
      <c r="V25" s="78">
        <v>-90.306460999999999</v>
      </c>
      <c r="W25" s="78">
        <v>-0.56998599999999999</v>
      </c>
      <c r="X25" s="51">
        <f>Calc!L94</f>
        <v>-67.001703834539583</v>
      </c>
      <c r="Y25" s="51">
        <f>Calc!M94</f>
        <v>-33.495945266656285</v>
      </c>
      <c r="Z25" s="51">
        <f>Calc!N94</f>
        <v>-33.489039947640407</v>
      </c>
      <c r="AA25" s="51">
        <f>Calc!O94</f>
        <v>-66.989084936287213</v>
      </c>
      <c r="AB25" s="51">
        <f>Calc!P94</f>
        <v>-67.651417149815202</v>
      </c>
      <c r="AC25" s="51">
        <f>Calc!Q94</f>
        <v>-67.550172740219423</v>
      </c>
      <c r="AD25" s="51">
        <f>Calc!R94</f>
        <v>50.483273000025171</v>
      </c>
      <c r="AE25" s="51">
        <f>Calc!S94</f>
        <v>50.357311457319845</v>
      </c>
      <c r="AF25" s="52">
        <v>41640</v>
      </c>
      <c r="AH25" s="53">
        <v>4</v>
      </c>
      <c r="AI25" s="85">
        <v>0</v>
      </c>
      <c r="AJ25" s="85">
        <f>Calc!E24</f>
        <v>6.5397827634109396E-2</v>
      </c>
      <c r="AK25" s="85">
        <f>Calc!F24</f>
        <v>0</v>
      </c>
      <c r="AL25" s="85">
        <f>Calc!G24</f>
        <v>-2.3912959796186099E-8</v>
      </c>
      <c r="AM25" s="85">
        <f>Calc!H24</f>
        <v>-6.2273071686709202E-9</v>
      </c>
      <c r="AN25" s="85">
        <f>Calc!I24</f>
        <v>-2.5977865587448502E-9</v>
      </c>
      <c r="AO25" s="85">
        <f>Calc!J24</f>
        <v>-2.6111559387650702E-12</v>
      </c>
      <c r="AP25" s="85">
        <f>Calc!K24</f>
        <v>5.9391109069067996E-12</v>
      </c>
      <c r="AQ25" s="85">
        <f>Calc!L24</f>
        <v>-8.47283218594369E-12</v>
      </c>
      <c r="AR25" s="85">
        <f>Calc!M24</f>
        <v>6.7352066811909497E-13</v>
      </c>
      <c r="AS25" s="85">
        <f>Calc!N24</f>
        <v>1.6907453091921699E-15</v>
      </c>
      <c r="AT25" s="85">
        <f>Calc!O24</f>
        <v>8.3328937943771704E-15</v>
      </c>
      <c r="AU25" s="85">
        <f>Calc!P24</f>
        <v>1.5605946571290499E-15</v>
      </c>
      <c r="AV25" s="85">
        <f>Calc!Q24</f>
        <v>7.5558022688464296E-15</v>
      </c>
      <c r="AW25" s="85">
        <f>Calc!R24</f>
        <v>2.2323735656209599E-16</v>
      </c>
      <c r="AX25" s="85"/>
      <c r="AY25" s="85"/>
      <c r="AZ25" s="85"/>
      <c r="BA25" s="85"/>
      <c r="BB25" s="85"/>
      <c r="BC25" s="85"/>
      <c r="BD25" s="85">
        <v>0</v>
      </c>
      <c r="BE25" s="85">
        <f>Calc!T24</f>
        <v>3.0079211405184601E-4</v>
      </c>
      <c r="BF25" s="85">
        <f>Calc!U24</f>
        <v>6.5893248419708103E-2</v>
      </c>
      <c r="BG25" s="85">
        <f>Calc!V24</f>
        <v>4.9129583659068501E-8</v>
      </c>
      <c r="BH25" s="85">
        <f>Calc!W24</f>
        <v>2.6939537167739599E-8</v>
      </c>
      <c r="BI25" s="85">
        <f>Calc!X24</f>
        <v>4.3827931691747701E-9</v>
      </c>
      <c r="BJ25" s="85">
        <f>Calc!Y24</f>
        <v>1.1862565328246599E-12</v>
      </c>
      <c r="BK25" s="85">
        <f>Calc!Z24</f>
        <v>-1.4318598721131401E-11</v>
      </c>
      <c r="BL25" s="85">
        <f>Calc!AA24</f>
        <v>1.5461261157520301E-12</v>
      </c>
      <c r="BM25" s="85">
        <f>Calc!AB24</f>
        <v>-2.88127212473818E-11</v>
      </c>
      <c r="BN25" s="85">
        <f>Calc!AC24</f>
        <v>-1.5569775603692001E-15</v>
      </c>
      <c r="BO25" s="85">
        <f>Calc!AD24</f>
        <v>-8.9998512702542103E-16</v>
      </c>
      <c r="BP25" s="85">
        <f>Calc!AE24</f>
        <v>-9.3831850618819502E-15</v>
      </c>
      <c r="BQ25" s="85">
        <f>Calc!AF24</f>
        <v>-2.3048805578410999E-17</v>
      </c>
      <c r="BR25" s="85">
        <f>Calc!AG24</f>
        <v>-1.7480296209813501E-14</v>
      </c>
      <c r="BS25" s="85"/>
      <c r="BT25" s="85"/>
      <c r="BU25" s="85"/>
      <c r="BV25" s="85"/>
      <c r="BW25" s="85"/>
      <c r="BX25" s="85"/>
      <c r="BY25" s="85">
        <v>0</v>
      </c>
      <c r="BZ25" s="85">
        <f>Calc!E59</f>
        <v>15.2910324680727</v>
      </c>
      <c r="CA25" s="85">
        <f>Calc!F59</f>
        <v>6.9327421171605494E-5</v>
      </c>
      <c r="CB25" s="85">
        <f>Calc!G59</f>
        <v>8.1955854077787399E-5</v>
      </c>
      <c r="CC25" s="85">
        <f>Calc!H59</f>
        <v>1.9511183924887398E-5</v>
      </c>
      <c r="CD25" s="85">
        <f>Calc!I59</f>
        <v>8.8615673371015808E-6</v>
      </c>
      <c r="CE25" s="85">
        <f>Calc!J59</f>
        <v>1.4630942703716699E-7</v>
      </c>
      <c r="CF25" s="85">
        <f>Calc!K59</f>
        <v>-3.2619927580752703E-7</v>
      </c>
      <c r="CG25" s="85">
        <f>Calc!L59</f>
        <v>4.4833331574120698E-7</v>
      </c>
      <c r="CH25" s="85">
        <f>Calc!M59</f>
        <v>-3.4589779459197101E-8</v>
      </c>
      <c r="CI25" s="85">
        <f>Calc!N59</f>
        <v>-1.3755880354115801E-9</v>
      </c>
      <c r="CJ25" s="85">
        <f>Calc!O59</f>
        <v>-6.8286810777212099E-9</v>
      </c>
      <c r="CK25" s="85">
        <f>Calc!P59</f>
        <v>-1.04293498685182E-9</v>
      </c>
      <c r="CL25" s="85">
        <f>Calc!Q59</f>
        <v>-5.9928378921435799E-9</v>
      </c>
      <c r="CM25" s="85">
        <f>Calc!R59</f>
        <v>9.9891771502550206E-11</v>
      </c>
      <c r="CN25" s="86"/>
      <c r="CO25" s="86"/>
      <c r="CP25" s="86"/>
      <c r="CQ25" s="86"/>
      <c r="CR25" s="86"/>
      <c r="CS25" s="86"/>
      <c r="CT25" s="83">
        <v>0</v>
      </c>
      <c r="CU25" s="83">
        <f>Calc!T59</f>
        <v>-6.9876006823279893E-2</v>
      </c>
      <c r="CV25" s="83">
        <f>Calc!U59</f>
        <v>15.176153557578299</v>
      </c>
      <c r="CW25" s="83">
        <f>Calc!V59</f>
        <v>-1.7475613939983001E-4</v>
      </c>
      <c r="CX25" s="83">
        <f>Calc!W59</f>
        <v>-9.5072548976459195E-5</v>
      </c>
      <c r="CY25" s="83">
        <f>Calc!X59</f>
        <v>-1.3996196704771699E-5</v>
      </c>
      <c r="CZ25" s="83">
        <f>Calc!Y59</f>
        <v>-6.5187413495691002E-8</v>
      </c>
      <c r="DA25" s="83">
        <f>Calc!Z59</f>
        <v>7.6158195756501102E-7</v>
      </c>
      <c r="DB25" s="83">
        <f>Calc!AA59</f>
        <v>-1.03233681861025E-7</v>
      </c>
      <c r="DC25" s="83">
        <f>Calc!AB59</f>
        <v>1.4946771856511801E-6</v>
      </c>
      <c r="DD25" s="83">
        <f>Calc!AC59</f>
        <v>1.27574449362868E-9</v>
      </c>
      <c r="DE25" s="83">
        <f>Calc!AD59</f>
        <v>7.7897327013718401E-10</v>
      </c>
      <c r="DF25" s="83">
        <f>Calc!AE59</f>
        <v>7.3361294369038402E-9</v>
      </c>
      <c r="DG25" s="83">
        <f>Calc!AF59</f>
        <v>-1.81798644252709E-10</v>
      </c>
      <c r="DH25" s="83">
        <f>Calc!AG59</f>
        <v>1.37896323183342E-8</v>
      </c>
      <c r="DI25" s="54"/>
      <c r="DJ25" s="54"/>
      <c r="DK25" s="54"/>
      <c r="DL25" s="54"/>
      <c r="DM25" s="54"/>
      <c r="DN25" s="54"/>
    </row>
    <row r="26" spans="1:118" s="53" customFormat="1">
      <c r="A26" s="48" t="s">
        <v>91</v>
      </c>
      <c r="B26" s="48" t="s">
        <v>187</v>
      </c>
      <c r="C26" s="14" t="str">
        <f>DDC!B27</f>
        <v>NIS_CNTR</v>
      </c>
      <c r="D26" s="48" t="s">
        <v>179</v>
      </c>
      <c r="E26" s="48" t="s">
        <v>117</v>
      </c>
      <c r="F26" s="49">
        <v>2048</v>
      </c>
      <c r="G26" s="49">
        <v>2048</v>
      </c>
      <c r="H26" s="60">
        <v>94</v>
      </c>
      <c r="I26" s="60">
        <v>850</v>
      </c>
      <c r="J26" s="50">
        <v>2098</v>
      </c>
      <c r="K26" s="48">
        <v>317</v>
      </c>
      <c r="L26" s="59">
        <v>1980</v>
      </c>
      <c r="M26" s="59">
        <v>258</v>
      </c>
      <c r="N26" s="70">
        <f t="shared" ref="N26" si="17">SQRT(AJ26^2+BE26^2)</f>
        <v>6.535764168515136E-2</v>
      </c>
      <c r="O26" s="70">
        <f t="shared" ref="O26" si="18">SQRT(AK26^2+BF26^2)</f>
        <v>6.5901383978181849E-2</v>
      </c>
      <c r="P26" s="77">
        <f>Calc!B95</f>
        <v>-351.04655769734256</v>
      </c>
      <c r="Q26" s="77">
        <f>Calc!C95</f>
        <v>-686.28330929230776</v>
      </c>
      <c r="R26" s="78">
        <v>-0.56998599999999999</v>
      </c>
      <c r="S26" s="48">
        <v>-1</v>
      </c>
      <c r="T26" s="41">
        <v>180</v>
      </c>
      <c r="U26" s="48">
        <v>1</v>
      </c>
      <c r="V26" s="78">
        <v>-90.306460999999999</v>
      </c>
      <c r="W26" s="78">
        <v>-0.56998599999999999</v>
      </c>
      <c r="X26" s="51">
        <f>Calc!L95</f>
        <v>-129.42925247899356</v>
      </c>
      <c r="Y26" s="51">
        <f>Calc!M95</f>
        <v>7.7424730487846549</v>
      </c>
      <c r="Z26" s="51">
        <f>Calc!N95</f>
        <v>7.744873549661464</v>
      </c>
      <c r="AA26" s="51">
        <f>Calc!O95</f>
        <v>-129.44362280884911</v>
      </c>
      <c r="AB26" s="51">
        <f>Calc!P95</f>
        <v>-17.580495180349409</v>
      </c>
      <c r="AC26" s="51">
        <f>Calc!Q95</f>
        <v>-16.919920508618464</v>
      </c>
      <c r="AD26" s="51">
        <f>Calc!R95</f>
        <v>3.9679510662194097</v>
      </c>
      <c r="AE26" s="51">
        <f>Calc!S95</f>
        <v>3.3124321338353511</v>
      </c>
      <c r="AF26" s="52">
        <v>41640</v>
      </c>
      <c r="AG26" s="55"/>
      <c r="AH26" s="53">
        <v>4</v>
      </c>
      <c r="AI26" s="85">
        <v>0</v>
      </c>
      <c r="AJ26" s="85">
        <f>Calc!E25</f>
        <v>6.5356481390302951E-2</v>
      </c>
      <c r="AK26" s="85">
        <f>Calc!F25</f>
        <v>3.583158368646356E-6</v>
      </c>
      <c r="AL26" s="85">
        <f>Calc!G25</f>
        <v>-1.7275623502858037E-8</v>
      </c>
      <c r="AM26" s="85">
        <f>Calc!H25</f>
        <v>2.5216791615190305E-8</v>
      </c>
      <c r="AN26" s="85">
        <f>Calc!I25</f>
        <v>-5.0566151311313691E-9</v>
      </c>
      <c r="AO26" s="85">
        <f>Calc!J25</f>
        <v>5.1358880691670026E-12</v>
      </c>
      <c r="AP26" s="85">
        <f>Calc!K25</f>
        <v>2.9745031469248706E-11</v>
      </c>
      <c r="AQ26" s="85">
        <f>Calc!L25</f>
        <v>-1.6131030412854214E-12</v>
      </c>
      <c r="AR26" s="85">
        <f>Calc!M25</f>
        <v>7.860014354161041E-12</v>
      </c>
      <c r="AS26" s="85">
        <f>Calc!N25</f>
        <v>1.6907453091921699E-15</v>
      </c>
      <c r="AT26" s="85">
        <f>Calc!O25</f>
        <v>8.3328937943771704E-15</v>
      </c>
      <c r="AU26" s="85">
        <f>Calc!P25</f>
        <v>1.5605946571290499E-15</v>
      </c>
      <c r="AV26" s="85">
        <f>Calc!Q25</f>
        <v>7.5558022688464296E-15</v>
      </c>
      <c r="AW26" s="85">
        <f>Calc!R25</f>
        <v>2.2323735656209599E-16</v>
      </c>
      <c r="AX26" s="85"/>
      <c r="AY26" s="85"/>
      <c r="AZ26" s="85"/>
      <c r="BA26" s="85"/>
      <c r="BB26" s="85"/>
      <c r="BC26" s="85"/>
      <c r="BD26" s="85">
        <v>0</v>
      </c>
      <c r="BE26" s="85">
        <f>Calc!T25</f>
        <v>3.8944437808223936E-4</v>
      </c>
      <c r="BF26" s="85">
        <f>Calc!U25</f>
        <v>6.5901383880770964E-2</v>
      </c>
      <c r="BG26" s="85">
        <f>Calc!V25</f>
        <v>4.1129835510522456E-8</v>
      </c>
      <c r="BH26" s="85">
        <f>Calc!W25</f>
        <v>-7.601861088807422E-9</v>
      </c>
      <c r="BI26" s="85">
        <f>Calc!X25</f>
        <v>-2.0591145318289831E-8</v>
      </c>
      <c r="BJ26" s="85">
        <f>Calc!Y25</f>
        <v>-4.7658613515354383E-12</v>
      </c>
      <c r="BK26" s="85">
        <f>Calc!Z25</f>
        <v>-2.0105638789819667E-11</v>
      </c>
      <c r="BL26" s="85">
        <f>Calc!AA25</f>
        <v>-1.5928047334130578E-11</v>
      </c>
      <c r="BM26" s="85">
        <f>Calc!AB25</f>
        <v>-4.1035414915422337E-11</v>
      </c>
      <c r="BN26" s="85">
        <f>Calc!AC25</f>
        <v>-1.5569775603692001E-15</v>
      </c>
      <c r="BO26" s="85">
        <f>Calc!AD25</f>
        <v>-8.9998512702542103E-16</v>
      </c>
      <c r="BP26" s="85">
        <f>Calc!AE25</f>
        <v>-9.3831850618819502E-15</v>
      </c>
      <c r="BQ26" s="85">
        <f>Calc!AF25</f>
        <v>-2.3048805578410999E-17</v>
      </c>
      <c r="BR26" s="85">
        <f>Calc!AG25</f>
        <v>-1.7480296209813501E-14</v>
      </c>
      <c r="BS26" s="85"/>
      <c r="BT26" s="85"/>
      <c r="BU26" s="85"/>
      <c r="BV26" s="85"/>
      <c r="BW26" s="85"/>
      <c r="BX26" s="85"/>
      <c r="BY26" s="85">
        <v>0</v>
      </c>
      <c r="BZ26" s="85">
        <f>Calc!E60</f>
        <v>15.300289421965488</v>
      </c>
      <c r="CA26" s="85">
        <f>Calc!F60</f>
        <v>-8.9164886318489757E-4</v>
      </c>
      <c r="CB26" s="85">
        <f>Calc!G60</f>
        <v>5.9378891608204585E-5</v>
      </c>
      <c r="CC26" s="85">
        <f>Calc!H60</f>
        <v>-9.089697199429048E-5</v>
      </c>
      <c r="CD26" s="85">
        <f>Calc!I60</f>
        <v>1.8202301321942142E-5</v>
      </c>
      <c r="CE26" s="85">
        <f>Calc!J60</f>
        <v>-2.6914103561615933E-7</v>
      </c>
      <c r="CF26" s="85">
        <f>Calc!K60</f>
        <v>-1.5970654624409471E-6</v>
      </c>
      <c r="CG26" s="85">
        <f>Calc!L60</f>
        <v>1.08896038445804E-7</v>
      </c>
      <c r="CH26" s="85">
        <f>Calc!M60</f>
        <v>-3.9442199230518733E-7</v>
      </c>
      <c r="CI26" s="85">
        <f>Calc!N60</f>
        <v>-1.3755880354115801E-9</v>
      </c>
      <c r="CJ26" s="85">
        <f>Calc!O60</f>
        <v>-6.8286810777212099E-9</v>
      </c>
      <c r="CK26" s="85">
        <f>Calc!P60</f>
        <v>-1.04293498685182E-9</v>
      </c>
      <c r="CL26" s="85">
        <f>Calc!Q60</f>
        <v>-5.9928378921435799E-9</v>
      </c>
      <c r="CM26" s="85">
        <f>Calc!R60</f>
        <v>9.9891771502550206E-11</v>
      </c>
      <c r="CN26" s="86"/>
      <c r="CO26" s="86"/>
      <c r="CP26" s="86"/>
      <c r="CQ26" s="86"/>
      <c r="CR26" s="86"/>
      <c r="CS26" s="86"/>
      <c r="CT26" s="85">
        <v>0</v>
      </c>
      <c r="CU26" s="85">
        <f>Calc!T60</f>
        <v>-9.052877128238547E-2</v>
      </c>
      <c r="CV26" s="85">
        <f>Calc!U60</f>
        <v>15.174239432415016</v>
      </c>
      <c r="CW26" s="85">
        <f>Calc!V60</f>
        <v>-1.4661722151319557E-4</v>
      </c>
      <c r="CX26" s="85">
        <f>Calc!W60</f>
        <v>2.4819191342139335E-5</v>
      </c>
      <c r="CY26" s="85">
        <f>Calc!X60</f>
        <v>7.1055602996925981E-5</v>
      </c>
      <c r="CZ26" s="85">
        <f>Calc!Y60</f>
        <v>2.5444608863163263E-7</v>
      </c>
      <c r="DA26" s="85">
        <f>Calc!Z60</f>
        <v>1.0772031218312957E-6</v>
      </c>
      <c r="DB26" s="85">
        <f>Calc!AA60</f>
        <v>7.8286065781478244E-7</v>
      </c>
      <c r="DC26" s="85">
        <f>Calc!AB60</f>
        <v>2.135725875055737E-6</v>
      </c>
      <c r="DD26" s="85">
        <f>Calc!AC60</f>
        <v>1.27574449362868E-9</v>
      </c>
      <c r="DE26" s="85">
        <f>Calc!AD60</f>
        <v>7.7897327013718401E-10</v>
      </c>
      <c r="DF26" s="85">
        <f>Calc!AE60</f>
        <v>7.3361294369038402E-9</v>
      </c>
      <c r="DG26" s="85">
        <f>Calc!AF60</f>
        <v>-1.81798644252709E-10</v>
      </c>
      <c r="DH26" s="85">
        <f>Calc!AG60</f>
        <v>1.37896323183342E-8</v>
      </c>
      <c r="DI26" s="54"/>
      <c r="DJ26" s="54"/>
      <c r="DK26" s="54"/>
      <c r="DL26" s="54"/>
      <c r="DM26" s="54"/>
      <c r="DN26" s="54"/>
    </row>
    <row r="27" spans="1:118" s="53" customFormat="1">
      <c r="A27" s="48" t="s">
        <v>91</v>
      </c>
      <c r="B27" s="48" t="s">
        <v>188</v>
      </c>
      <c r="C27" s="14" t="str">
        <f>DDC!B28</f>
        <v>NIS_CNTR</v>
      </c>
      <c r="D27" s="48" t="s">
        <v>179</v>
      </c>
      <c r="E27" s="48" t="s">
        <v>117</v>
      </c>
      <c r="F27" s="49">
        <v>2048</v>
      </c>
      <c r="G27" s="49">
        <v>2048</v>
      </c>
      <c r="H27" s="60">
        <v>94</v>
      </c>
      <c r="I27" s="60">
        <v>850</v>
      </c>
      <c r="J27" s="50">
        <v>2098</v>
      </c>
      <c r="K27" s="48">
        <v>477</v>
      </c>
      <c r="L27" s="59">
        <v>1980</v>
      </c>
      <c r="M27" s="59">
        <v>258</v>
      </c>
      <c r="N27" s="70">
        <f t="shared" ref="N27" si="19">SQRT(AJ27^2+BE27^2)</f>
        <v>6.535764168515136E-2</v>
      </c>
      <c r="O27" s="70">
        <f t="shared" ref="O27" si="20">SQRT(AK27^2+BF27^2)</f>
        <v>6.5901383978181849E-2</v>
      </c>
      <c r="P27" s="77">
        <f>Calc!B96</f>
        <v>-351.04655769734256</v>
      </c>
      <c r="Q27" s="77">
        <f>Calc!C96</f>
        <v>-686.28330929230776</v>
      </c>
      <c r="R27" s="78">
        <v>-0.56998599999999999</v>
      </c>
      <c r="S27" s="48">
        <v>-1</v>
      </c>
      <c r="T27" s="41">
        <v>180</v>
      </c>
      <c r="U27" s="48">
        <v>1</v>
      </c>
      <c r="V27" s="78">
        <v>-90.306460999999999</v>
      </c>
      <c r="W27" s="78">
        <v>-0.56998599999999999</v>
      </c>
      <c r="X27" s="51">
        <f>Calc!L96</f>
        <v>-129.42925247899356</v>
      </c>
      <c r="Y27" s="51">
        <f>Calc!M96</f>
        <v>7.7424730487846549</v>
      </c>
      <c r="Z27" s="51">
        <f>Calc!N96</f>
        <v>7.7456992380700189</v>
      </c>
      <c r="AA27" s="51">
        <f>Calc!O96</f>
        <v>-129.45126189304995</v>
      </c>
      <c r="AB27" s="51">
        <f>Calc!P96</f>
        <v>-17.580495180349409</v>
      </c>
      <c r="AC27" s="51">
        <f>Calc!Q96</f>
        <v>-16.919920508618464</v>
      </c>
      <c r="AD27" s="51">
        <f>Calc!R96</f>
        <v>14.513864391713708</v>
      </c>
      <c r="AE27" s="51">
        <f>Calc!S96</f>
        <v>13.860897252059942</v>
      </c>
      <c r="AF27" s="52">
        <v>41640</v>
      </c>
      <c r="AG27" s="55"/>
      <c r="AH27" s="53">
        <v>4</v>
      </c>
      <c r="AI27" s="85">
        <v>0</v>
      </c>
      <c r="AJ27" s="85">
        <f>Calc!E26</f>
        <v>6.5356481390302951E-2</v>
      </c>
      <c r="AK27" s="85">
        <f>Calc!F26</f>
        <v>3.583158368646356E-6</v>
      </c>
      <c r="AL27" s="85">
        <f>Calc!G26</f>
        <v>-1.7275623502858037E-8</v>
      </c>
      <c r="AM27" s="85">
        <f>Calc!H26</f>
        <v>2.5216791615190305E-8</v>
      </c>
      <c r="AN27" s="85">
        <f>Calc!I26</f>
        <v>-5.0566151311313691E-9</v>
      </c>
      <c r="AO27" s="85">
        <f>Calc!J26</f>
        <v>5.1358880691670026E-12</v>
      </c>
      <c r="AP27" s="85">
        <f>Calc!K26</f>
        <v>2.9745031469248706E-11</v>
      </c>
      <c r="AQ27" s="85">
        <f>Calc!L26</f>
        <v>-1.6131030412854214E-12</v>
      </c>
      <c r="AR27" s="85">
        <f>Calc!M26</f>
        <v>7.860014354161041E-12</v>
      </c>
      <c r="AS27" s="85">
        <f>Calc!N26</f>
        <v>1.6907453091921699E-15</v>
      </c>
      <c r="AT27" s="85">
        <f>Calc!O26</f>
        <v>8.3328937943771704E-15</v>
      </c>
      <c r="AU27" s="85">
        <f>Calc!P26</f>
        <v>1.5605946571290499E-15</v>
      </c>
      <c r="AV27" s="85">
        <f>Calc!Q26</f>
        <v>7.5558022688464296E-15</v>
      </c>
      <c r="AW27" s="85">
        <f>Calc!R26</f>
        <v>2.2323735656209599E-16</v>
      </c>
      <c r="AX27" s="85"/>
      <c r="AY27" s="85"/>
      <c r="AZ27" s="85"/>
      <c r="BA27" s="85"/>
      <c r="BB27" s="85"/>
      <c r="BC27" s="85"/>
      <c r="BD27" s="85">
        <v>0</v>
      </c>
      <c r="BE27" s="85">
        <f>Calc!T26</f>
        <v>3.8944437808223936E-4</v>
      </c>
      <c r="BF27" s="85">
        <f>Calc!U26</f>
        <v>6.5901383880770964E-2</v>
      </c>
      <c r="BG27" s="85">
        <f>Calc!V26</f>
        <v>4.1129835510522456E-8</v>
      </c>
      <c r="BH27" s="85">
        <f>Calc!W26</f>
        <v>-7.601861088807422E-9</v>
      </c>
      <c r="BI27" s="85">
        <f>Calc!X26</f>
        <v>-2.0591145318289831E-8</v>
      </c>
      <c r="BJ27" s="85">
        <f>Calc!Y26</f>
        <v>-4.7658613515354383E-12</v>
      </c>
      <c r="BK27" s="85">
        <f>Calc!Z26</f>
        <v>-2.0105638789819667E-11</v>
      </c>
      <c r="BL27" s="85">
        <f>Calc!AA26</f>
        <v>-1.5928047334130578E-11</v>
      </c>
      <c r="BM27" s="85">
        <f>Calc!AB26</f>
        <v>-4.1035414915422337E-11</v>
      </c>
      <c r="BN27" s="85">
        <f>Calc!AC26</f>
        <v>-1.5569775603692001E-15</v>
      </c>
      <c r="BO27" s="85">
        <f>Calc!AD26</f>
        <v>-8.9998512702542103E-16</v>
      </c>
      <c r="BP27" s="85">
        <f>Calc!AE26</f>
        <v>-9.3831850618819502E-15</v>
      </c>
      <c r="BQ27" s="85">
        <f>Calc!AF26</f>
        <v>-2.3048805578410999E-17</v>
      </c>
      <c r="BR27" s="85">
        <f>Calc!AG26</f>
        <v>-1.7480296209813501E-14</v>
      </c>
      <c r="BS27" s="85"/>
      <c r="BT27" s="85"/>
      <c r="BU27" s="85"/>
      <c r="BV27" s="85"/>
      <c r="BW27" s="85"/>
      <c r="BX27" s="85"/>
      <c r="BY27" s="85">
        <v>0</v>
      </c>
      <c r="BZ27" s="85">
        <f>Calc!E61</f>
        <v>15.300289421965488</v>
      </c>
      <c r="CA27" s="85">
        <f>Calc!F61</f>
        <v>-8.9164886318489757E-4</v>
      </c>
      <c r="CB27" s="85">
        <f>Calc!G61</f>
        <v>5.9378891608204585E-5</v>
      </c>
      <c r="CC27" s="85">
        <f>Calc!H61</f>
        <v>-9.089697199429048E-5</v>
      </c>
      <c r="CD27" s="85">
        <f>Calc!I61</f>
        <v>1.8202301321942142E-5</v>
      </c>
      <c r="CE27" s="85">
        <f>Calc!J61</f>
        <v>-2.6914103561615933E-7</v>
      </c>
      <c r="CF27" s="85">
        <f>Calc!K61</f>
        <v>-1.5970654624409471E-6</v>
      </c>
      <c r="CG27" s="85">
        <f>Calc!L61</f>
        <v>1.08896038445804E-7</v>
      </c>
      <c r="CH27" s="85">
        <f>Calc!M61</f>
        <v>-3.9442199230518733E-7</v>
      </c>
      <c r="CI27" s="85">
        <f>Calc!N61</f>
        <v>-1.3755880354115801E-9</v>
      </c>
      <c r="CJ27" s="85">
        <f>Calc!O61</f>
        <v>-6.8286810777212099E-9</v>
      </c>
      <c r="CK27" s="85">
        <f>Calc!P61</f>
        <v>-1.04293498685182E-9</v>
      </c>
      <c r="CL27" s="85">
        <f>Calc!Q61</f>
        <v>-5.9928378921435799E-9</v>
      </c>
      <c r="CM27" s="85">
        <f>Calc!R61</f>
        <v>9.9891771502550206E-11</v>
      </c>
      <c r="CN27" s="86"/>
      <c r="CO27" s="86"/>
      <c r="CP27" s="86"/>
      <c r="CQ27" s="86"/>
      <c r="CR27" s="86"/>
      <c r="CS27" s="86"/>
      <c r="CT27" s="85">
        <v>0</v>
      </c>
      <c r="CU27" s="85">
        <f>Calc!T61</f>
        <v>-9.052877128238547E-2</v>
      </c>
      <c r="CV27" s="85">
        <f>Calc!U61</f>
        <v>15.174239432415016</v>
      </c>
      <c r="CW27" s="85">
        <f>Calc!V61</f>
        <v>-1.4661722151319557E-4</v>
      </c>
      <c r="CX27" s="85">
        <f>Calc!W61</f>
        <v>2.4819191342139335E-5</v>
      </c>
      <c r="CY27" s="85">
        <f>Calc!X61</f>
        <v>7.1055602996925981E-5</v>
      </c>
      <c r="CZ27" s="85">
        <f>Calc!Y61</f>
        <v>2.5444608863163263E-7</v>
      </c>
      <c r="DA27" s="85">
        <f>Calc!Z61</f>
        <v>1.0772031218312957E-6</v>
      </c>
      <c r="DB27" s="85">
        <f>Calc!AA61</f>
        <v>7.8286065781478244E-7</v>
      </c>
      <c r="DC27" s="85">
        <f>Calc!AB61</f>
        <v>2.135725875055737E-6</v>
      </c>
      <c r="DD27" s="85">
        <f>Calc!AC61</f>
        <v>1.27574449362868E-9</v>
      </c>
      <c r="DE27" s="85">
        <f>Calc!AD61</f>
        <v>7.7897327013718401E-10</v>
      </c>
      <c r="DF27" s="85">
        <f>Calc!AE61</f>
        <v>7.3361294369038402E-9</v>
      </c>
      <c r="DG27" s="85">
        <f>Calc!AF61</f>
        <v>-1.81798644252709E-10</v>
      </c>
      <c r="DH27" s="85">
        <f>Calc!AG61</f>
        <v>1.37896323183342E-8</v>
      </c>
      <c r="DI27" s="54"/>
      <c r="DJ27" s="54"/>
      <c r="DK27" s="54"/>
      <c r="DL27" s="54"/>
      <c r="DM27" s="54"/>
      <c r="DN27" s="54"/>
    </row>
    <row r="28" spans="1:118" s="34" customFormat="1">
      <c r="A28" s="48" t="s">
        <v>91</v>
      </c>
      <c r="B28" s="48" t="s">
        <v>181</v>
      </c>
      <c r="C28" s="14" t="str">
        <f>DDC!B29</f>
        <v>NIS_CNTR</v>
      </c>
      <c r="D28" s="48" t="s">
        <v>177</v>
      </c>
      <c r="E28" s="48" t="s">
        <v>117</v>
      </c>
      <c r="F28" s="49">
        <v>2048</v>
      </c>
      <c r="G28" s="49">
        <v>2048</v>
      </c>
      <c r="H28" s="59">
        <v>1024</v>
      </c>
      <c r="I28" s="62">
        <v>1036</v>
      </c>
      <c r="J28" s="49">
        <v>2048</v>
      </c>
      <c r="K28" s="49">
        <v>2048</v>
      </c>
      <c r="L28" s="66">
        <f t="shared" ref="L28:L32" si="21">2049-H28</f>
        <v>1025</v>
      </c>
      <c r="M28" s="66">
        <f t="shared" ref="M28:M34" si="22">2049-I28</f>
        <v>1013</v>
      </c>
      <c r="N28" s="70">
        <f t="shared" ref="N28:N32" si="23">SQRT(AJ28^2+BE28^2)</f>
        <v>6.5398564666878461E-2</v>
      </c>
      <c r="O28" s="70">
        <f t="shared" ref="O28:O32" si="24">SQRT(AK28^2+BF28^2)</f>
        <v>6.5893149738841847E-2</v>
      </c>
      <c r="P28" s="77">
        <f>Calc!B97</f>
        <v>-290.12516018601337</v>
      </c>
      <c r="Q28" s="77">
        <f>Calc!C97</f>
        <v>-698.25790927590469</v>
      </c>
      <c r="R28" s="78">
        <v>-0.56998599999999999</v>
      </c>
      <c r="S28" s="48">
        <v>-1</v>
      </c>
      <c r="T28" s="41">
        <v>180</v>
      </c>
      <c r="U28" s="48">
        <v>1</v>
      </c>
      <c r="V28" s="78">
        <v>-90.306460999999999</v>
      </c>
      <c r="W28" s="78">
        <v>-0.56998599999999999</v>
      </c>
      <c r="X28" s="51">
        <f>Calc!L97</f>
        <v>-67.034294034820519</v>
      </c>
      <c r="Y28" s="51">
        <f>Calc!M97</f>
        <v>66.913091692163306</v>
      </c>
      <c r="Z28" s="51">
        <f>Calc!N97</f>
        <v>66.900458694685895</v>
      </c>
      <c r="AA28" s="51">
        <f>Calc!O97</f>
        <v>-67.021662538147993</v>
      </c>
      <c r="AB28" s="51">
        <f>Calc!P97</f>
        <v>-66.894541218952682</v>
      </c>
      <c r="AC28" s="51">
        <f>Calc!Q97</f>
        <v>-66.334911853641245</v>
      </c>
      <c r="AD28" s="51">
        <f>Calc!R97</f>
        <v>68.672945389815652</v>
      </c>
      <c r="AE28" s="51">
        <f>Calc!S97</f>
        <v>68.000531761787201</v>
      </c>
      <c r="AF28" s="52">
        <v>41640</v>
      </c>
      <c r="AG28" s="55"/>
      <c r="AH28" s="53">
        <v>4</v>
      </c>
      <c r="AI28" s="85">
        <v>0</v>
      </c>
      <c r="AJ28" s="85">
        <f>Calc!E27</f>
        <v>6.5397874133035785E-2</v>
      </c>
      <c r="AK28" s="85">
        <f>Calc!F27</f>
        <v>5.7001711825746302E-8</v>
      </c>
      <c r="AL28" s="85">
        <f>Calc!G27</f>
        <v>-2.3985111123180258E-8</v>
      </c>
      <c r="AM28" s="85">
        <f>Calc!H27</f>
        <v>-6.0235247969439123E-9</v>
      </c>
      <c r="AN28" s="85">
        <f>Calc!I27</f>
        <v>-2.6252122464859727E-9</v>
      </c>
      <c r="AO28" s="85">
        <f>Calc!J27</f>
        <v>-2.7036027267820232E-12</v>
      </c>
      <c r="AP28" s="85">
        <f>Calc!K27</f>
        <v>5.9157165704843974E-12</v>
      </c>
      <c r="AQ28" s="85">
        <f>Calc!L27</f>
        <v>-8.7319467695617628E-12</v>
      </c>
      <c r="AR28" s="85">
        <f>Calc!M27</f>
        <v>6.6702965085166174E-13</v>
      </c>
      <c r="AS28" s="85">
        <f>Calc!N27</f>
        <v>1.6907453091921699E-15</v>
      </c>
      <c r="AT28" s="85">
        <f>Calc!O27</f>
        <v>8.3328937943771704E-15</v>
      </c>
      <c r="AU28" s="85">
        <f>Calc!P27</f>
        <v>1.5605946571290499E-15</v>
      </c>
      <c r="AV28" s="85">
        <f>Calc!Q27</f>
        <v>7.5558022688464296E-15</v>
      </c>
      <c r="AW28" s="85">
        <f>Calc!R27</f>
        <v>2.2323735656209599E-16</v>
      </c>
      <c r="AX28" s="85"/>
      <c r="AY28" s="85"/>
      <c r="AZ28" s="85"/>
      <c r="BA28" s="85"/>
      <c r="BB28" s="85"/>
      <c r="BC28" s="85"/>
      <c r="BD28" s="85">
        <v>0</v>
      </c>
      <c r="BE28" s="85">
        <f>Calc!T27</f>
        <v>3.0053180778794459E-4</v>
      </c>
      <c r="BF28" s="85">
        <f>Calc!U27</f>
        <v>6.58931497388172E-2</v>
      </c>
      <c r="BG28" s="85">
        <f>Calc!V27</f>
        <v>4.9294799192213419E-8</v>
      </c>
      <c r="BH28" s="85">
        <f>Calc!W27</f>
        <v>2.6889863662010135E-8</v>
      </c>
      <c r="BI28" s="85">
        <f>Calc!X27</f>
        <v>5.3637325520204623E-9</v>
      </c>
      <c r="BJ28" s="85">
        <f>Calc!Y27</f>
        <v>1.1934924066647139E-12</v>
      </c>
      <c r="BK28" s="85">
        <f>Calc!Z27</f>
        <v>-1.4104135442398654E-11</v>
      </c>
      <c r="BL28" s="85">
        <f>Calc!AA27</f>
        <v>1.5375381144826031E-12</v>
      </c>
      <c r="BM28" s="85">
        <f>Calc!AB27</f>
        <v>-2.8008639146133167E-11</v>
      </c>
      <c r="BN28" s="85">
        <f>Calc!AC27</f>
        <v>-1.5569775603692001E-15</v>
      </c>
      <c r="BO28" s="85">
        <f>Calc!AD27</f>
        <v>-8.9998512702542103E-16</v>
      </c>
      <c r="BP28" s="85">
        <f>Calc!AE27</f>
        <v>-9.3831850618819502E-15</v>
      </c>
      <c r="BQ28" s="85">
        <f>Calc!AF27</f>
        <v>-2.3048805578410999E-17</v>
      </c>
      <c r="BR28" s="85">
        <f>Calc!AG27</f>
        <v>-1.7480296209813501E-14</v>
      </c>
      <c r="BS28" s="85"/>
      <c r="BT28" s="85"/>
      <c r="BU28" s="85"/>
      <c r="BV28" s="85"/>
      <c r="BW28" s="85"/>
      <c r="BX28" s="85"/>
      <c r="BY28" s="85">
        <v>0</v>
      </c>
      <c r="BZ28" s="85">
        <f>Calc!E62</f>
        <v>15.291023322217383</v>
      </c>
      <c r="CA28" s="85">
        <f>Calc!F62</f>
        <v>5.6455347643416259E-5</v>
      </c>
      <c r="CB28" s="85">
        <f>Calc!G62</f>
        <v>8.2217242040368843E-5</v>
      </c>
      <c r="CC28" s="85">
        <f>Calc!H62</f>
        <v>1.880027945704322E-5</v>
      </c>
      <c r="CD28" s="85">
        <f>Calc!I62</f>
        <v>8.9556333788652857E-6</v>
      </c>
      <c r="CE28" s="85">
        <f>Calc!J62</f>
        <v>1.5130306329904798E-7</v>
      </c>
      <c r="CF28" s="85">
        <f>Calc!K62</f>
        <v>-3.252888408129612E-7</v>
      </c>
      <c r="CG28" s="85">
        <f>Calc!L62</f>
        <v>4.618860188581084E-7</v>
      </c>
      <c r="CH28" s="85">
        <f>Calc!M62</f>
        <v>-3.5088457466321614E-8</v>
      </c>
      <c r="CI28" s="85">
        <f>Calc!N62</f>
        <v>-1.3755880354115801E-9</v>
      </c>
      <c r="CJ28" s="85">
        <f>Calc!O62</f>
        <v>-6.8286810777212099E-9</v>
      </c>
      <c r="CK28" s="85">
        <f>Calc!P62</f>
        <v>-1.04293498685182E-9</v>
      </c>
      <c r="CL28" s="85">
        <f>Calc!Q62</f>
        <v>-5.9928378921435799E-9</v>
      </c>
      <c r="CM28" s="85">
        <f>Calc!R62</f>
        <v>9.9891771502550206E-11</v>
      </c>
      <c r="CN28" s="86"/>
      <c r="CO28" s="86"/>
      <c r="CP28" s="86"/>
      <c r="CQ28" s="86"/>
      <c r="CR28" s="86"/>
      <c r="CS28" s="86"/>
      <c r="CT28" s="85">
        <v>0</v>
      </c>
      <c r="CU28" s="85">
        <f>Calc!T62</f>
        <v>-6.9815503224765971E-2</v>
      </c>
      <c r="CV28" s="85">
        <f>Calc!U62</f>
        <v>15.17617421218876</v>
      </c>
      <c r="CW28" s="85">
        <f>Calc!V62</f>
        <v>-1.7533536370248153E-4</v>
      </c>
      <c r="CX28" s="85">
        <f>Calc!W62</f>
        <v>-9.4867357051273501E-5</v>
      </c>
      <c r="CY28" s="85">
        <f>Calc!X62</f>
        <v>-1.7349258879815736E-5</v>
      </c>
      <c r="CZ28" s="85">
        <f>Calc!Y62</f>
        <v>-6.5610720149711016E-8</v>
      </c>
      <c r="DA28" s="85">
        <f>Calc!Z62</f>
        <v>7.5054235308309421E-7</v>
      </c>
      <c r="DB28" s="85">
        <f>Calc!AA62</f>
        <v>-1.0234071588542547E-7</v>
      </c>
      <c r="DC28" s="85">
        <f>Calc!AB62</f>
        <v>1.4528819545017112E-6</v>
      </c>
      <c r="DD28" s="85">
        <f>Calc!AC62</f>
        <v>1.27574449362868E-9</v>
      </c>
      <c r="DE28" s="85">
        <f>Calc!AD62</f>
        <v>7.7897327013718401E-10</v>
      </c>
      <c r="DF28" s="85">
        <f>Calc!AE62</f>
        <v>7.3361294369038402E-9</v>
      </c>
      <c r="DG28" s="85">
        <f>Calc!AF62</f>
        <v>-1.81798644252709E-10</v>
      </c>
      <c r="DH28" s="85">
        <f>Calc!AG62</f>
        <v>1.37896323183342E-8</v>
      </c>
    </row>
    <row r="29" spans="1:118" s="34" customFormat="1">
      <c r="A29" s="48" t="s">
        <v>91</v>
      </c>
      <c r="B29" s="48" t="s">
        <v>182</v>
      </c>
      <c r="C29" s="14" t="str">
        <f>DDC!B30</f>
        <v>NIS_CNTR</v>
      </c>
      <c r="D29" s="48" t="s">
        <v>177</v>
      </c>
      <c r="E29" s="48" t="s">
        <v>117</v>
      </c>
      <c r="F29" s="49">
        <v>2048</v>
      </c>
      <c r="G29" s="49">
        <v>2048</v>
      </c>
      <c r="H29" s="59">
        <v>330</v>
      </c>
      <c r="I29" s="59">
        <v>1392</v>
      </c>
      <c r="J29" s="49">
        <v>2048</v>
      </c>
      <c r="K29" s="49">
        <v>2048</v>
      </c>
      <c r="L29" s="66">
        <f t="shared" si="21"/>
        <v>1719</v>
      </c>
      <c r="M29" s="66">
        <f t="shared" si="22"/>
        <v>657</v>
      </c>
      <c r="N29" s="70">
        <f t="shared" si="23"/>
        <v>6.5357718001774534E-2</v>
      </c>
      <c r="O29" s="70">
        <f t="shared" si="24"/>
        <v>6.5895856609344675E-2</v>
      </c>
      <c r="P29" s="77">
        <f>Calc!B98</f>
        <v>-335.2640931535754</v>
      </c>
      <c r="Q29" s="77">
        <f>Calc!C98</f>
        <v>-721.93662614607865</v>
      </c>
      <c r="R29" s="78">
        <v>-0.56998599999999999</v>
      </c>
      <c r="S29" s="48">
        <v>-1</v>
      </c>
      <c r="T29" s="41">
        <v>180</v>
      </c>
      <c r="U29" s="48">
        <v>1</v>
      </c>
      <c r="V29" s="78">
        <v>-90.306460999999999</v>
      </c>
      <c r="W29" s="78">
        <v>-0.56998599999999999</v>
      </c>
      <c r="X29" s="51">
        <f>Calc!L98</f>
        <v>-112.40003962377727</v>
      </c>
      <c r="Y29" s="51">
        <f>Calc!M98</f>
        <v>21.514543159227578</v>
      </c>
      <c r="Z29" s="51">
        <f>Calc!N98</f>
        <v>21.527231973653389</v>
      </c>
      <c r="AA29" s="51">
        <f>Calc!O98</f>
        <v>-112.47868349964379</v>
      </c>
      <c r="AB29" s="51">
        <f>Calc!P98</f>
        <v>-43.696649171755567</v>
      </c>
      <c r="AC29" s="51">
        <f>Calc!Q98</f>
        <v>-43.11549154391372</v>
      </c>
      <c r="AD29" s="51">
        <f>Calc!R98</f>
        <v>91.926734178675929</v>
      </c>
      <c r="AE29" s="51">
        <f>Calc!S98</f>
        <v>91.286091142984532</v>
      </c>
      <c r="AF29" s="52">
        <v>41640</v>
      </c>
      <c r="AG29" s="55"/>
      <c r="AH29" s="53">
        <v>4</v>
      </c>
      <c r="AI29" s="85">
        <v>0</v>
      </c>
      <c r="AJ29" s="85">
        <f>Calc!E28</f>
        <v>6.5356698792520249E-2</v>
      </c>
      <c r="AK29" s="85">
        <f>Calc!F28</f>
        <v>9.3669248086908378E-6</v>
      </c>
      <c r="AL29" s="85">
        <f>Calc!G28</f>
        <v>-3.2812554945780492E-8</v>
      </c>
      <c r="AM29" s="85">
        <f>Calc!H28</f>
        <v>2.1775410245020172E-8</v>
      </c>
      <c r="AN29" s="85">
        <f>Calc!I28</f>
        <v>-1.4076479340913703E-8</v>
      </c>
      <c r="AO29" s="85">
        <f>Calc!J28</f>
        <v>-9.766039392628321E-13</v>
      </c>
      <c r="AP29" s="85">
        <f>Calc!K28</f>
        <v>2.2153658054501784E-11</v>
      </c>
      <c r="AQ29" s="85">
        <f>Calc!L28</f>
        <v>-1.463543820859463E-11</v>
      </c>
      <c r="AR29" s="85">
        <f>Calc!M28</f>
        <v>5.5928664296866589E-12</v>
      </c>
      <c r="AS29" s="85">
        <f>Calc!N28</f>
        <v>1.6907453091921699E-15</v>
      </c>
      <c r="AT29" s="85">
        <f>Calc!O28</f>
        <v>8.3328937943771704E-15</v>
      </c>
      <c r="AU29" s="85">
        <f>Calc!P28</f>
        <v>1.5605946571290499E-15</v>
      </c>
      <c r="AV29" s="85">
        <f>Calc!Q28</f>
        <v>7.5558022688464296E-15</v>
      </c>
      <c r="AW29" s="85">
        <f>Calc!R28</f>
        <v>2.2323735656209599E-16</v>
      </c>
      <c r="AX29" s="85"/>
      <c r="AY29" s="85"/>
      <c r="AZ29" s="85"/>
      <c r="BA29" s="85"/>
      <c r="BB29" s="85"/>
      <c r="BC29" s="85"/>
      <c r="BD29" s="85">
        <v>0</v>
      </c>
      <c r="BE29" s="85">
        <f>Calc!T28</f>
        <v>3.6500047022687727E-4</v>
      </c>
      <c r="BF29" s="85">
        <f>Calc!U28</f>
        <v>6.5895855943602658E-2</v>
      </c>
      <c r="BG29" s="85">
        <f>Calc!V28</f>
        <v>5.1779218369054955E-8</v>
      </c>
      <c r="BH29" s="85">
        <f>Calc!W28</f>
        <v>1.4182426416772996E-8</v>
      </c>
      <c r="BI29" s="85">
        <f>Calc!X28</f>
        <v>1.8549517558699764E-8</v>
      </c>
      <c r="BJ29" s="85">
        <f>Calc!Y28</f>
        <v>-2.8082825956991359E-12</v>
      </c>
      <c r="BK29" s="85">
        <f>Calc!Z28</f>
        <v>-9.2970767128056302E-12</v>
      </c>
      <c r="BL29" s="85">
        <f>Calc!AA28</f>
        <v>-1.1461706627051801E-11</v>
      </c>
      <c r="BM29" s="85">
        <f>Calc!AB28</f>
        <v>-3.1326932144301596E-12</v>
      </c>
      <c r="BN29" s="85">
        <f>Calc!AC28</f>
        <v>-1.5569775603692001E-15</v>
      </c>
      <c r="BO29" s="85">
        <f>Calc!AD28</f>
        <v>-8.9998512702542103E-16</v>
      </c>
      <c r="BP29" s="85">
        <f>Calc!AE28</f>
        <v>-9.3831850618819502E-15</v>
      </c>
      <c r="BQ29" s="85">
        <f>Calc!AF28</f>
        <v>-2.3048805578410999E-17</v>
      </c>
      <c r="BR29" s="85">
        <f>Calc!AG28</f>
        <v>-1.7480296209813501E-14</v>
      </c>
      <c r="BS29" s="85"/>
      <c r="BT29" s="85"/>
      <c r="BU29" s="85"/>
      <c r="BV29" s="85"/>
      <c r="BW29" s="85"/>
      <c r="BX29" s="85"/>
      <c r="BY29" s="85">
        <v>0</v>
      </c>
      <c r="BZ29" s="85">
        <f>Calc!E63</f>
        <v>15.30040642151296</v>
      </c>
      <c r="CA29" s="85">
        <f>Calc!F63</f>
        <v>-2.1898601109154306E-3</v>
      </c>
      <c r="CB29" s="85">
        <f>Calc!G63</f>
        <v>1.1440516127743791E-4</v>
      </c>
      <c r="CC29" s="85">
        <f>Calc!H63</f>
        <v>-7.965298607882374E-5</v>
      </c>
      <c r="CD29" s="85">
        <f>Calc!I63</f>
        <v>4.9482047084662813E-5</v>
      </c>
      <c r="CE29" s="85">
        <f>Calc!J63</f>
        <v>6.0268990766049913E-8</v>
      </c>
      <c r="CF29" s="85">
        <f>Calc!K63</f>
        <v>-1.2063351683033588E-6</v>
      </c>
      <c r="CG29" s="85">
        <f>Calc!L63</f>
        <v>7.8485938170669116E-7</v>
      </c>
      <c r="CH29" s="85">
        <f>Calc!M63</f>
        <v>-3.1627836944501982E-7</v>
      </c>
      <c r="CI29" s="85">
        <f>Calc!N63</f>
        <v>-1.3755880354115801E-9</v>
      </c>
      <c r="CJ29" s="85">
        <f>Calc!O63</f>
        <v>-6.8286810777212099E-9</v>
      </c>
      <c r="CK29" s="85">
        <f>Calc!P63</f>
        <v>-1.04293498685182E-9</v>
      </c>
      <c r="CL29" s="85">
        <f>Calc!Q63</f>
        <v>-5.9928378921435799E-9</v>
      </c>
      <c r="CM29" s="85">
        <f>Calc!R63</f>
        <v>9.9891771502550206E-11</v>
      </c>
      <c r="CN29" s="86"/>
      <c r="CO29" s="86"/>
      <c r="CP29" s="86"/>
      <c r="CQ29" s="86"/>
      <c r="CR29" s="86"/>
      <c r="CS29" s="86"/>
      <c r="CT29" s="85">
        <v>0</v>
      </c>
      <c r="CU29" s="85">
        <f>Calc!T63</f>
        <v>-8.4838693358908257E-2</v>
      </c>
      <c r="CV29" s="85">
        <f>Calc!U63</f>
        <v>15.175454921673252</v>
      </c>
      <c r="CW29" s="85">
        <f>Calc!V63</f>
        <v>-1.8444689773094845E-4</v>
      </c>
      <c r="CX29" s="85">
        <f>Calc!W63</f>
        <v>-4.8415768200882514E-5</v>
      </c>
      <c r="CY29" s="85">
        <f>Calc!X63</f>
        <v>-6.2917956511009715E-5</v>
      </c>
      <c r="CZ29" s="85">
        <f>Calc!Y63</f>
        <v>1.4782851117381555E-7</v>
      </c>
      <c r="DA29" s="85">
        <f>Calc!Z63</f>
        <v>5.1575904194642376E-7</v>
      </c>
      <c r="DB29" s="85">
        <f>Calc!AA63</f>
        <v>5.7604147995070203E-7</v>
      </c>
      <c r="DC29" s="85">
        <f>Calc!AB63</f>
        <v>1.6338319364186983E-7</v>
      </c>
      <c r="DD29" s="85">
        <f>Calc!AC63</f>
        <v>1.27574449362868E-9</v>
      </c>
      <c r="DE29" s="85">
        <f>Calc!AD63</f>
        <v>7.7897327013718401E-10</v>
      </c>
      <c r="DF29" s="85">
        <f>Calc!AE63</f>
        <v>7.3361294369038402E-9</v>
      </c>
      <c r="DG29" s="85">
        <f>Calc!AF63</f>
        <v>-1.81798644252709E-10</v>
      </c>
      <c r="DH29" s="85">
        <f>Calc!AG63</f>
        <v>1.37896323183342E-8</v>
      </c>
    </row>
    <row r="30" spans="1:118" s="34" customFormat="1">
      <c r="A30" s="48" t="s">
        <v>91</v>
      </c>
      <c r="B30" s="48" t="s">
        <v>183</v>
      </c>
      <c r="C30" s="14" t="str">
        <f>DDC!B31</f>
        <v>NIS_AMI</v>
      </c>
      <c r="D30" s="48" t="s">
        <v>177</v>
      </c>
      <c r="E30" s="48" t="s">
        <v>117</v>
      </c>
      <c r="F30" s="49">
        <v>2048</v>
      </c>
      <c r="G30" s="49">
        <v>2048</v>
      </c>
      <c r="H30" s="59">
        <v>1965</v>
      </c>
      <c r="I30" s="59">
        <v>1852</v>
      </c>
      <c r="J30" s="49">
        <v>2048</v>
      </c>
      <c r="K30" s="49">
        <v>2048</v>
      </c>
      <c r="L30" s="66">
        <f t="shared" si="21"/>
        <v>84</v>
      </c>
      <c r="M30" s="66">
        <f t="shared" si="22"/>
        <v>197</v>
      </c>
      <c r="N30" s="70">
        <f t="shared" si="23"/>
        <v>6.5414526965062059E-2</v>
      </c>
      <c r="O30" s="70">
        <f t="shared" si="24"/>
        <v>6.5845362920422423E-2</v>
      </c>
      <c r="P30" s="77">
        <f>Calc!B99</f>
        <v>-228.03916325749532</v>
      </c>
      <c r="Q30" s="77">
        <f>Calc!C99</f>
        <v>-751.61833780688096</v>
      </c>
      <c r="R30" s="78">
        <v>-0.56998599999999999</v>
      </c>
      <c r="S30" s="48">
        <v>-1</v>
      </c>
      <c r="T30" s="41">
        <v>180</v>
      </c>
      <c r="U30" s="48">
        <v>1</v>
      </c>
      <c r="V30" s="78">
        <v>-90.306460999999999</v>
      </c>
      <c r="W30" s="78">
        <v>-0.56998599999999999</v>
      </c>
      <c r="X30" s="51">
        <f>Calc!L99</f>
        <v>-5.4564093820237485</v>
      </c>
      <c r="Y30" s="51">
        <f>Calc!M99</f>
        <v>128.52721295442768</v>
      </c>
      <c r="Z30" s="51">
        <f>Calc!N99</f>
        <v>128.72228032077672</v>
      </c>
      <c r="AA30" s="51">
        <f>Calc!O99</f>
        <v>-5.4254062760746402</v>
      </c>
      <c r="AB30" s="51">
        <f>Calc!P99</f>
        <v>-12.952065134600314</v>
      </c>
      <c r="AC30" s="51">
        <f>Calc!Q99</f>
        <v>-12.419133741141469</v>
      </c>
      <c r="AD30" s="51">
        <f>Calc!R99</f>
        <v>122.6497229313601</v>
      </c>
      <c r="AE30" s="51">
        <f>Calc!S99</f>
        <v>122.03429778303902</v>
      </c>
      <c r="AF30" s="52">
        <v>41640</v>
      </c>
      <c r="AG30" s="55"/>
      <c r="AH30" s="53">
        <v>4</v>
      </c>
      <c r="AI30" s="85">
        <v>0</v>
      </c>
      <c r="AJ30" s="85">
        <f>Calc!E29</f>
        <v>6.5414258926239005E-2</v>
      </c>
      <c r="AK30" s="85">
        <f>Calc!F29</f>
        <v>-2.0715984650067788E-5</v>
      </c>
      <c r="AL30" s="85">
        <f>Calc!G29</f>
        <v>8.0371905439260241E-9</v>
      </c>
      <c r="AM30" s="85">
        <f>Calc!H29</f>
        <v>3.911596784589888E-8</v>
      </c>
      <c r="AN30" s="85">
        <f>Calc!I29</f>
        <v>2.3637705916564166E-8</v>
      </c>
      <c r="AO30" s="85">
        <f>Calc!J29</f>
        <v>-1.5867209406793121E-11</v>
      </c>
      <c r="AP30" s="85">
        <f>Calc!K29</f>
        <v>-2.0154933091476961E-11</v>
      </c>
      <c r="AQ30" s="85">
        <f>Calc!L29</f>
        <v>-3.0165589868414698E-11</v>
      </c>
      <c r="AR30" s="85">
        <f>Calc!M29</f>
        <v>-7.1716270159515102E-12</v>
      </c>
      <c r="AS30" s="85">
        <f>Calc!N29</f>
        <v>1.6907453091921699E-15</v>
      </c>
      <c r="AT30" s="85">
        <f>Calc!O29</f>
        <v>8.3328937943771704E-15</v>
      </c>
      <c r="AU30" s="85">
        <f>Calc!P29</f>
        <v>1.5605946571290499E-15</v>
      </c>
      <c r="AV30" s="85">
        <f>Calc!Q29</f>
        <v>7.5558022688464296E-15</v>
      </c>
      <c r="AW30" s="85">
        <f>Calc!R29</f>
        <v>2.2323735656209599E-16</v>
      </c>
      <c r="AX30" s="85"/>
      <c r="AY30" s="85"/>
      <c r="AZ30" s="85"/>
      <c r="BA30" s="85"/>
      <c r="BB30" s="85"/>
      <c r="BC30" s="85"/>
      <c r="BD30" s="85">
        <v>0</v>
      </c>
      <c r="BE30" s="85">
        <f>Calc!T29</f>
        <v>1.8726236619249513E-4</v>
      </c>
      <c r="BF30" s="85">
        <f>Calc!U29</f>
        <v>6.5845359661635378E-2</v>
      </c>
      <c r="BG30" s="85">
        <f>Calc!V29</f>
        <v>4.0841473354740393E-8</v>
      </c>
      <c r="BH30" s="85">
        <f>Calc!W29</f>
        <v>1.9668043819010644E-8</v>
      </c>
      <c r="BI30" s="85">
        <f>Calc!X29</f>
        <v>-5.7158294452120957E-9</v>
      </c>
      <c r="BJ30" s="85">
        <f>Calc!Y29</f>
        <v>7.7883438075471265E-12</v>
      </c>
      <c r="BK30" s="85">
        <f>Calc!Z29</f>
        <v>3.7498805921854524E-12</v>
      </c>
      <c r="BL30" s="85">
        <f>Calc!AA29</f>
        <v>1.9253115877000382E-11</v>
      </c>
      <c r="BM30" s="85">
        <f>Calc!AB29</f>
        <v>2.9068736608747384E-11</v>
      </c>
      <c r="BN30" s="85">
        <f>Calc!AC29</f>
        <v>-1.5569775603692001E-15</v>
      </c>
      <c r="BO30" s="85">
        <f>Calc!AD29</f>
        <v>-8.9998512702542103E-16</v>
      </c>
      <c r="BP30" s="85">
        <f>Calc!AE29</f>
        <v>-9.3831850618819502E-15</v>
      </c>
      <c r="BQ30" s="85">
        <f>Calc!AF29</f>
        <v>-2.3048805578410999E-17</v>
      </c>
      <c r="BR30" s="85">
        <f>Calc!AG29</f>
        <v>-1.7480296209813501E-14</v>
      </c>
      <c r="BS30" s="85"/>
      <c r="BT30" s="85"/>
      <c r="BU30" s="85"/>
      <c r="BV30" s="85"/>
      <c r="BW30" s="85"/>
      <c r="BX30" s="85"/>
      <c r="BY30" s="85">
        <v>0</v>
      </c>
      <c r="BZ30" s="85">
        <f>Calc!E64</f>
        <v>15.287580053309206</v>
      </c>
      <c r="CA30" s="85">
        <f>Calc!F64</f>
        <v>4.6425737863019807E-3</v>
      </c>
      <c r="CB30" s="85">
        <f>Calc!G64</f>
        <v>-3.0533251270712076E-5</v>
      </c>
      <c r="CC30" s="85">
        <f>Calc!H64</f>
        <v>-1.3486834510579459E-4</v>
      </c>
      <c r="CD30" s="85">
        <f>Calc!I64</f>
        <v>-7.5727906820220275E-5</v>
      </c>
      <c r="CE30" s="85">
        <f>Calc!J64</f>
        <v>8.5856528889404836E-7</v>
      </c>
      <c r="CF30" s="85">
        <f>Calc!K64</f>
        <v>1.0482557808357838E-6</v>
      </c>
      <c r="CG30" s="85">
        <f>Calc!L64</f>
        <v>1.560673474342479E-6</v>
      </c>
      <c r="CH30" s="85">
        <f>Calc!M64</f>
        <v>3.1221648095148647E-7</v>
      </c>
      <c r="CI30" s="85">
        <f>Calc!N64</f>
        <v>-1.3755880354115801E-9</v>
      </c>
      <c r="CJ30" s="85">
        <f>Calc!O64</f>
        <v>-6.8286810777212099E-9</v>
      </c>
      <c r="CK30" s="85">
        <f>Calc!P64</f>
        <v>-1.04293498685182E-9</v>
      </c>
      <c r="CL30" s="85">
        <f>Calc!Q64</f>
        <v>-5.9928378921435799E-9</v>
      </c>
      <c r="CM30" s="85">
        <f>Calc!R64</f>
        <v>9.9891771502550206E-11</v>
      </c>
      <c r="CN30" s="86"/>
      <c r="CO30" s="86"/>
      <c r="CP30" s="86"/>
      <c r="CQ30" s="86"/>
      <c r="CR30" s="86"/>
      <c r="CS30" s="86"/>
      <c r="CT30" s="85">
        <v>0</v>
      </c>
      <c r="CU30" s="85">
        <f>Calc!T64</f>
        <v>-4.3437690488911329E-2</v>
      </c>
      <c r="CV30" s="85">
        <f>Calc!U64</f>
        <v>15.186990265251476</v>
      </c>
      <c r="CW30" s="85">
        <f>Calc!V64</f>
        <v>-1.4559396055437564E-4</v>
      </c>
      <c r="CX30" s="85">
        <f>Calc!W64</f>
        <v>-7.1458338004712563E-5</v>
      </c>
      <c r="CY30" s="85">
        <f>Calc!X64</f>
        <v>2.0716228798637069E-5</v>
      </c>
      <c r="CZ30" s="85">
        <f>Calc!Y64</f>
        <v>-4.2175512263045697E-7</v>
      </c>
      <c r="DA30" s="85">
        <f>Calc!Z64</f>
        <v>-1.8524126240086703E-7</v>
      </c>
      <c r="DB30" s="85">
        <f>Calc!AA64</f>
        <v>-9.7601104287628617E-7</v>
      </c>
      <c r="DC30" s="85">
        <f>Calc!AB64</f>
        <v>-1.5131326130932084E-6</v>
      </c>
      <c r="DD30" s="85">
        <f>Calc!AC64</f>
        <v>1.27574449362868E-9</v>
      </c>
      <c r="DE30" s="85">
        <f>Calc!AD64</f>
        <v>7.7897327013718401E-10</v>
      </c>
      <c r="DF30" s="85">
        <f>Calc!AE64</f>
        <v>7.3361294369038402E-9</v>
      </c>
      <c r="DG30" s="85">
        <f>Calc!AF64</f>
        <v>-1.81798644252709E-10</v>
      </c>
      <c r="DH30" s="85">
        <f>Calc!AG64</f>
        <v>1.37896323183342E-8</v>
      </c>
    </row>
    <row r="31" spans="1:118" s="34" customFormat="1">
      <c r="A31" s="48" t="s">
        <v>91</v>
      </c>
      <c r="B31" s="48" t="s">
        <v>184</v>
      </c>
      <c r="C31" s="14" t="str">
        <f>DDC!B32</f>
        <v>NIS_CNTR</v>
      </c>
      <c r="D31" s="48" t="s">
        <v>177</v>
      </c>
      <c r="E31" s="48" t="s">
        <v>117</v>
      </c>
      <c r="F31" s="49">
        <v>2048</v>
      </c>
      <c r="G31" s="49">
        <v>2048</v>
      </c>
      <c r="H31" s="59">
        <v>1694</v>
      </c>
      <c r="I31" s="59">
        <v>180</v>
      </c>
      <c r="J31" s="49">
        <v>2048</v>
      </c>
      <c r="K31" s="49">
        <v>2048</v>
      </c>
      <c r="L31" s="66">
        <f t="shared" si="21"/>
        <v>355</v>
      </c>
      <c r="M31" s="66">
        <f t="shared" si="22"/>
        <v>1869</v>
      </c>
      <c r="N31" s="70">
        <f t="shared" si="23"/>
        <v>6.541943919336797E-2</v>
      </c>
      <c r="O31" s="70">
        <f t="shared" si="24"/>
        <v>6.5763889874488418E-2</v>
      </c>
      <c r="P31" s="77">
        <f>Calc!B100</f>
        <v>-246.8638593628099</v>
      </c>
      <c r="Q31" s="77">
        <f>Calc!C100</f>
        <v>-641.64757437879325</v>
      </c>
      <c r="R31" s="78">
        <v>-0.56998599999999999</v>
      </c>
      <c r="S31" s="48">
        <v>-1</v>
      </c>
      <c r="T31" s="41">
        <v>180</v>
      </c>
      <c r="U31" s="48">
        <v>1</v>
      </c>
      <c r="V31" s="78">
        <v>-90.306460999999999</v>
      </c>
      <c r="W31" s="78">
        <v>-0.56998599999999999</v>
      </c>
      <c r="X31" s="51">
        <f>Calc!L100</f>
        <v>-23.222581092234773</v>
      </c>
      <c r="Y31" s="51">
        <f>Calc!M100</f>
        <v>110.71225712040446</v>
      </c>
      <c r="Z31" s="51">
        <f>Calc!N100</f>
        <v>110.72201499443575</v>
      </c>
      <c r="AA31" s="51">
        <f>Calc!O100</f>
        <v>-23.193325267109469</v>
      </c>
      <c r="AB31" s="51">
        <f>Calc!P100</f>
        <v>-122.8443584216451</v>
      </c>
      <c r="AC31" s="51">
        <f>Calc!Q100</f>
        <v>-122.45117756458596</v>
      </c>
      <c r="AD31" s="51">
        <f>Calc!R100</f>
        <v>12.383965084408166</v>
      </c>
      <c r="AE31" s="51">
        <f>Calc!S100</f>
        <v>11.702699415280149</v>
      </c>
      <c r="AF31" s="52">
        <v>41640</v>
      </c>
      <c r="AG31" s="55"/>
      <c r="AH31" s="53">
        <v>4</v>
      </c>
      <c r="AI31" s="85">
        <v>0</v>
      </c>
      <c r="AJ31" s="85">
        <f>Calc!E30</f>
        <v>6.5418812096747395E-2</v>
      </c>
      <c r="AK31" s="85">
        <f>Calc!F30</f>
        <v>1.8611411347717234E-6</v>
      </c>
      <c r="AL31" s="85">
        <f>Calc!G30</f>
        <v>-2.2126902702403033E-8</v>
      </c>
      <c r="AM31" s="85">
        <f>Calc!H30</f>
        <v>-4.6486737952252416E-9</v>
      </c>
      <c r="AN31" s="85">
        <f>Calc!I30</f>
        <v>-6.3800916914064026E-9</v>
      </c>
      <c r="AO31" s="85">
        <f>Calc!J30</f>
        <v>-1.0184306743018108E-13</v>
      </c>
      <c r="AP31" s="85">
        <f>Calc!K30</f>
        <v>-8.1616619032087827E-12</v>
      </c>
      <c r="AQ31" s="85">
        <f>Calc!L30</f>
        <v>8.5801566162829447E-12</v>
      </c>
      <c r="AR31" s="85">
        <f>Calc!M30</f>
        <v>-3.6309931604068298E-12</v>
      </c>
      <c r="AS31" s="85">
        <f>Calc!N30</f>
        <v>1.6907453091921699E-15</v>
      </c>
      <c r="AT31" s="85">
        <f>Calc!O30</f>
        <v>8.3328937943771704E-15</v>
      </c>
      <c r="AU31" s="85">
        <f>Calc!P30</f>
        <v>1.5605946571290499E-15</v>
      </c>
      <c r="AV31" s="85">
        <f>Calc!Q30</f>
        <v>7.5558022688464296E-15</v>
      </c>
      <c r="AW31" s="85">
        <f>Calc!R30</f>
        <v>2.2323735656209599E-16</v>
      </c>
      <c r="AX31" s="85"/>
      <c r="AY31" s="85"/>
      <c r="AZ31" s="85"/>
      <c r="BA31" s="85"/>
      <c r="BB31" s="85"/>
      <c r="BC31" s="85"/>
      <c r="BD31" s="85">
        <v>0</v>
      </c>
      <c r="BE31" s="85">
        <f>Calc!T30</f>
        <v>2.8644061378560362E-4</v>
      </c>
      <c r="BF31" s="85">
        <f>Calc!U30</f>
        <v>6.5763889848152943E-2</v>
      </c>
      <c r="BG31" s="85">
        <f>Calc!V30</f>
        <v>2.5302257075677414E-8</v>
      </c>
      <c r="BH31" s="85">
        <f>Calc!W30</f>
        <v>6.8684771554202645E-8</v>
      </c>
      <c r="BI31" s="85">
        <f>Calc!X30</f>
        <v>-1.486157121748691E-7</v>
      </c>
      <c r="BJ31" s="85">
        <f>Calc!Y30</f>
        <v>4.5958049997204088E-12</v>
      </c>
      <c r="BK31" s="85">
        <f>Calc!Z30</f>
        <v>-2.8359178163019456E-11</v>
      </c>
      <c r="BL31" s="85">
        <f>Calc!AA30</f>
        <v>1.4051816764679056E-11</v>
      </c>
      <c r="BM31" s="85">
        <f>Calc!AB30</f>
        <v>-8.7845730668797061E-11</v>
      </c>
      <c r="BN31" s="85">
        <f>Calc!AC30</f>
        <v>-1.5569775603692001E-15</v>
      </c>
      <c r="BO31" s="85">
        <f>Calc!AD30</f>
        <v>-8.9998512702542103E-16</v>
      </c>
      <c r="BP31" s="85">
        <f>Calc!AE30</f>
        <v>-9.3831850618819502E-15</v>
      </c>
      <c r="BQ31" s="85">
        <f>Calc!AF30</f>
        <v>-2.3048805578410999E-17</v>
      </c>
      <c r="BR31" s="85">
        <f>Calc!AG30</f>
        <v>-1.7480296209813501E-14</v>
      </c>
      <c r="BS31" s="85"/>
      <c r="BT31" s="85"/>
      <c r="BU31" s="85"/>
      <c r="BV31" s="85"/>
      <c r="BW31" s="85"/>
      <c r="BX31" s="85"/>
      <c r="BY31" s="85">
        <v>0</v>
      </c>
      <c r="BZ31" s="85">
        <f>Calc!E65</f>
        <v>15.286283495059919</v>
      </c>
      <c r="CA31" s="85">
        <f>Calc!F65</f>
        <v>-8.5381128866461801E-5</v>
      </c>
      <c r="CB31" s="85">
        <f>Calc!G65</f>
        <v>7.5343496772223076E-5</v>
      </c>
      <c r="CC31" s="85">
        <f>Calc!H65</f>
        <v>1.3395807892172089E-5</v>
      </c>
      <c r="CD31" s="85">
        <f>Calc!I65</f>
        <v>2.6949588707229174E-5</v>
      </c>
      <c r="CE31" s="85">
        <f>Calc!J65</f>
        <v>8.8128994719771527E-9</v>
      </c>
      <c r="CF31" s="85">
        <f>Calc!K65</f>
        <v>4.5527878423706326E-7</v>
      </c>
      <c r="CG31" s="85">
        <f>Calc!L65</f>
        <v>-4.5668837254219274E-7</v>
      </c>
      <c r="CH31" s="85">
        <f>Calc!M65</f>
        <v>2.4997813897936749E-7</v>
      </c>
      <c r="CI31" s="85">
        <f>Calc!N65</f>
        <v>-1.3755880354115801E-9</v>
      </c>
      <c r="CJ31" s="85">
        <f>Calc!O65</f>
        <v>-6.8286810777212099E-9</v>
      </c>
      <c r="CK31" s="85">
        <f>Calc!P65</f>
        <v>-1.04293498685182E-9</v>
      </c>
      <c r="CL31" s="85">
        <f>Calc!Q65</f>
        <v>-5.9928378921435799E-9</v>
      </c>
      <c r="CM31" s="85">
        <f>Calc!R65</f>
        <v>9.9891771502550206E-11</v>
      </c>
      <c r="CN31" s="86"/>
      <c r="CO31" s="86"/>
      <c r="CP31" s="86"/>
      <c r="CQ31" s="86"/>
      <c r="CR31" s="86"/>
      <c r="CS31" s="86"/>
      <c r="CT31" s="85">
        <v>0</v>
      </c>
      <c r="CU31" s="85">
        <f>Calc!T65</f>
        <v>-6.6412745792749348E-2</v>
      </c>
      <c r="CV31" s="85">
        <f>Calc!U65</f>
        <v>15.205454522068949</v>
      </c>
      <c r="CW31" s="85">
        <f>Calc!V65</f>
        <v>-9.2447928247501289E-5</v>
      </c>
      <c r="CX31" s="85">
        <f>Calc!W65</f>
        <v>-2.416209240903054E-4</v>
      </c>
      <c r="CY31" s="85">
        <f>Calc!X65</f>
        <v>5.0853298230560287E-4</v>
      </c>
      <c r="CZ31" s="85">
        <f>Calc!Y65</f>
        <v>-2.4547452846083569E-7</v>
      </c>
      <c r="DA31" s="85">
        <f>Calc!Z65</f>
        <v>1.472379115178293E-6</v>
      </c>
      <c r="DB31" s="85">
        <f>Calc!AA65</f>
        <v>-7.7595191056919863E-7</v>
      </c>
      <c r="DC31" s="85">
        <f>Calc!AB65</f>
        <v>4.559498958914981E-6</v>
      </c>
      <c r="DD31" s="85">
        <f>Calc!AC65</f>
        <v>1.27574449362868E-9</v>
      </c>
      <c r="DE31" s="85">
        <f>Calc!AD65</f>
        <v>7.7897327013718401E-10</v>
      </c>
      <c r="DF31" s="85">
        <f>Calc!AE65</f>
        <v>7.3361294369038402E-9</v>
      </c>
      <c r="DG31" s="85">
        <f>Calc!AF65</f>
        <v>-1.81798644252709E-10</v>
      </c>
      <c r="DH31" s="85">
        <f>Calc!AG65</f>
        <v>1.37896323183342E-8</v>
      </c>
    </row>
    <row r="32" spans="1:118" s="34" customFormat="1">
      <c r="A32" s="48" t="s">
        <v>91</v>
      </c>
      <c r="B32" s="48" t="s">
        <v>185</v>
      </c>
      <c r="C32" s="14" t="str">
        <f>DDC!B33</f>
        <v>NIS_CNTR</v>
      </c>
      <c r="D32" s="48" t="s">
        <v>177</v>
      </c>
      <c r="E32" s="48" t="s">
        <v>117</v>
      </c>
      <c r="F32" s="49">
        <v>2048</v>
      </c>
      <c r="G32" s="49">
        <v>2048</v>
      </c>
      <c r="H32" s="59">
        <v>100</v>
      </c>
      <c r="I32" s="59">
        <v>100</v>
      </c>
      <c r="J32" s="49">
        <v>2048</v>
      </c>
      <c r="K32" s="49">
        <v>2048</v>
      </c>
      <c r="L32" s="66">
        <f t="shared" si="21"/>
        <v>1949</v>
      </c>
      <c r="M32" s="66">
        <f t="shared" si="22"/>
        <v>1949</v>
      </c>
      <c r="N32" s="70">
        <f t="shared" si="23"/>
        <v>6.5378677258888226E-2</v>
      </c>
      <c r="O32" s="70">
        <f t="shared" si="24"/>
        <v>6.5771940542451515E-2</v>
      </c>
      <c r="P32" s="77">
        <f>Calc!B101</f>
        <v>-351.14886454845919</v>
      </c>
      <c r="Q32" s="77">
        <f>Calc!C101</f>
        <v>-636.89251826231975</v>
      </c>
      <c r="R32" s="78">
        <v>-0.56998599999999999</v>
      </c>
      <c r="S32" s="48">
        <v>-1</v>
      </c>
      <c r="T32" s="41">
        <v>180</v>
      </c>
      <c r="U32" s="48">
        <v>1</v>
      </c>
      <c r="V32" s="78">
        <v>-90.306460999999999</v>
      </c>
      <c r="W32" s="78">
        <v>-0.56998599999999999</v>
      </c>
      <c r="X32" s="51">
        <f>Calc!L101</f>
        <v>-127.20100567456939</v>
      </c>
      <c r="Y32" s="51">
        <f>Calc!M101</f>
        <v>6.5303989905184627</v>
      </c>
      <c r="Z32" s="51">
        <f>Calc!N101</f>
        <v>6.5065457866045211</v>
      </c>
      <c r="AA32" s="51">
        <f>Calc!O101</f>
        <v>-127.37234496109281</v>
      </c>
      <c r="AB32" s="51">
        <f>Calc!P101</f>
        <v>-128.84607338564859</v>
      </c>
      <c r="AC32" s="51">
        <f>Calc!Q101</f>
        <v>-128.03388238263759</v>
      </c>
      <c r="AD32" s="51">
        <f>Calc!R101</f>
        <v>6.5816782588926399</v>
      </c>
      <c r="AE32" s="51">
        <f>Calc!S101</f>
        <v>5.9000255690806327</v>
      </c>
      <c r="AF32" s="52">
        <v>41640</v>
      </c>
      <c r="AG32" s="55"/>
      <c r="AH32" s="53">
        <v>4</v>
      </c>
      <c r="AI32" s="85">
        <v>0</v>
      </c>
      <c r="AJ32" s="85">
        <f>Calc!E31</f>
        <v>6.5377604514000154E-2</v>
      </c>
      <c r="AK32" s="85">
        <f>Calc!F31</f>
        <v>9.4265909068422704E-6</v>
      </c>
      <c r="AL32" s="85">
        <f>Calc!G31</f>
        <v>5.7064097432312711E-9</v>
      </c>
      <c r="AM32" s="85">
        <f>Calc!H31</f>
        <v>3.5163422253011002E-8</v>
      </c>
      <c r="AN32" s="85">
        <f>Calc!I31</f>
        <v>1.328957471315399E-8</v>
      </c>
      <c r="AO32" s="85">
        <f>Calc!J31</f>
        <v>1.1344980527529268E-11</v>
      </c>
      <c r="AP32" s="85">
        <f>Calc!K31</f>
        <v>3.1935931366643495E-11</v>
      </c>
      <c r="AQ32" s="85">
        <f>Calc!L31</f>
        <v>1.5368724927733497E-11</v>
      </c>
      <c r="AR32" s="85">
        <f>Calc!M31</f>
        <v>8.4843916102342514E-12</v>
      </c>
      <c r="AS32" s="85">
        <f>Calc!N31</f>
        <v>1.6907453091921699E-15</v>
      </c>
      <c r="AT32" s="85">
        <f>Calc!O31</f>
        <v>8.3328937943771704E-15</v>
      </c>
      <c r="AU32" s="85">
        <f>Calc!P31</f>
        <v>1.5605946571290499E-15</v>
      </c>
      <c r="AV32" s="85">
        <f>Calc!Q31</f>
        <v>7.5558022688464296E-15</v>
      </c>
      <c r="AW32" s="85">
        <f>Calc!R31</f>
        <v>2.2323735656209599E-16</v>
      </c>
      <c r="AX32" s="85"/>
      <c r="AY32" s="85"/>
      <c r="AZ32" s="85"/>
      <c r="BA32" s="85"/>
      <c r="BB32" s="85"/>
      <c r="BC32" s="85"/>
      <c r="BD32" s="85">
        <v>0</v>
      </c>
      <c r="BE32" s="85">
        <f>Calc!T31</f>
        <v>3.7452387488088912E-4</v>
      </c>
      <c r="BF32" s="85">
        <f>Calc!U31</f>
        <v>6.5771939866930806E-2</v>
      </c>
      <c r="BG32" s="85">
        <f>Calc!V31</f>
        <v>2.0870163817238547E-8</v>
      </c>
      <c r="BH32" s="85">
        <f>Calc!W31</f>
        <v>-3.1122759151218859E-8</v>
      </c>
      <c r="BI32" s="85">
        <f>Calc!X31</f>
        <v>-1.7182128693789281E-7</v>
      </c>
      <c r="BJ32" s="85">
        <f>Calc!Y31</f>
        <v>-5.403482735355644E-12</v>
      </c>
      <c r="BK32" s="85">
        <f>Calc!Z31</f>
        <v>-3.4164216650356131E-11</v>
      </c>
      <c r="BL32" s="85">
        <f>Calc!AA31</f>
        <v>-1.5867308925939418E-11</v>
      </c>
      <c r="BM32" s="85">
        <f>Calc!AB31</f>
        <v>-9.3476165252029369E-11</v>
      </c>
      <c r="BN32" s="85">
        <f>Calc!AC31</f>
        <v>-1.5569775603692001E-15</v>
      </c>
      <c r="BO32" s="85">
        <f>Calc!AD31</f>
        <v>-8.9998512702542103E-16</v>
      </c>
      <c r="BP32" s="85">
        <f>Calc!AE31</f>
        <v>-9.3831850618819502E-15</v>
      </c>
      <c r="BQ32" s="85">
        <f>Calc!AF31</f>
        <v>-2.3048805578410999E-17</v>
      </c>
      <c r="BR32" s="85">
        <f>Calc!AG31</f>
        <v>-1.7480296209813501E-14</v>
      </c>
      <c r="BS32" s="85"/>
      <c r="BT32" s="85"/>
      <c r="BU32" s="85"/>
      <c r="BV32" s="85"/>
      <c r="BW32" s="85"/>
      <c r="BX32" s="85"/>
      <c r="BY32" s="85">
        <v>0</v>
      </c>
      <c r="BZ32" s="85">
        <f>Calc!E66</f>
        <v>15.295360592797707</v>
      </c>
      <c r="CA32" s="85">
        <f>Calc!F66</f>
        <v>-1.8838803662543583E-3</v>
      </c>
      <c r="CB32" s="85">
        <f>Calc!G66</f>
        <v>-2.1336706519890295E-5</v>
      </c>
      <c r="CC32" s="85">
        <f>Calc!H66</f>
        <v>-1.2267582728795032E-4</v>
      </c>
      <c r="CD32" s="85">
        <f>Calc!I66</f>
        <v>-3.8473530729323271E-5</v>
      </c>
      <c r="CE32" s="85">
        <f>Calc!J66</f>
        <v>-6.0426464215580974E-7</v>
      </c>
      <c r="CF32" s="85">
        <f>Calc!K66</f>
        <v>-1.6921154423842817E-6</v>
      </c>
      <c r="CG32" s="85">
        <f>Calc!L66</f>
        <v>-7.7823985321112832E-7</v>
      </c>
      <c r="CH32" s="85">
        <f>Calc!M66</f>
        <v>-3.723561966390079E-7</v>
      </c>
      <c r="CI32" s="85">
        <f>Calc!N66</f>
        <v>-1.3755880354115801E-9</v>
      </c>
      <c r="CJ32" s="85">
        <f>Calc!O66</f>
        <v>-6.8286810777212099E-9</v>
      </c>
      <c r="CK32" s="85">
        <f>Calc!P66</f>
        <v>-1.04293498685182E-9</v>
      </c>
      <c r="CL32" s="85">
        <f>Calc!Q66</f>
        <v>-5.9928378921435799E-9</v>
      </c>
      <c r="CM32" s="85">
        <f>Calc!R66</f>
        <v>9.9891771502550206E-11</v>
      </c>
      <c r="CN32" s="86"/>
      <c r="CO32" s="86"/>
      <c r="CP32" s="86"/>
      <c r="CQ32" s="86"/>
      <c r="CR32" s="86"/>
      <c r="CS32" s="86"/>
      <c r="CT32" s="85">
        <v>0</v>
      </c>
      <c r="CU32" s="85">
        <f>Calc!T66</f>
        <v>-8.7356337681802204E-2</v>
      </c>
      <c r="CV32" s="85">
        <f>Calc!U66</f>
        <v>15.203493629086697</v>
      </c>
      <c r="CW32" s="85">
        <f>Calc!V66</f>
        <v>-7.5860464299704988E-5</v>
      </c>
      <c r="CX32" s="85">
        <f>Calc!W66</f>
        <v>9.9417161807703616E-5</v>
      </c>
      <c r="CY32" s="85">
        <f>Calc!X66</f>
        <v>5.8903213942612729E-4</v>
      </c>
      <c r="CZ32" s="85">
        <f>Calc!Y66</f>
        <v>2.9093384030731941E-7</v>
      </c>
      <c r="DA32" s="85">
        <f>Calc!Z66</f>
        <v>1.8009475214123631E-6</v>
      </c>
      <c r="DB32" s="85">
        <f>Calc!AA66</f>
        <v>7.502158587768756E-7</v>
      </c>
      <c r="DC32" s="85">
        <f>Calc!AB66</f>
        <v>4.8600413258302642E-6</v>
      </c>
      <c r="DD32" s="85">
        <f>Calc!AC66</f>
        <v>1.27574449362868E-9</v>
      </c>
      <c r="DE32" s="85">
        <f>Calc!AD66</f>
        <v>7.7897327013718401E-10</v>
      </c>
      <c r="DF32" s="85">
        <f>Calc!AE66</f>
        <v>7.3361294369038402E-9</v>
      </c>
      <c r="DG32" s="85">
        <f>Calc!AF66</f>
        <v>-1.81798644252709E-10</v>
      </c>
      <c r="DH32" s="85">
        <f>Calc!AG66</f>
        <v>1.37896323183342E-8</v>
      </c>
    </row>
    <row r="33" spans="1:112" s="34" customFormat="1">
      <c r="A33" s="48" t="s">
        <v>91</v>
      </c>
      <c r="B33" s="57" t="s">
        <v>217</v>
      </c>
      <c r="C33" s="14" t="str">
        <f>DDC!B34</f>
        <v>NIS_AMI</v>
      </c>
      <c r="D33" s="57" t="s">
        <v>177</v>
      </c>
      <c r="E33" s="57" t="s">
        <v>117</v>
      </c>
      <c r="F33" s="57">
        <v>2048</v>
      </c>
      <c r="G33" s="57">
        <v>2048</v>
      </c>
      <c r="H33" s="62">
        <v>959</v>
      </c>
      <c r="I33" s="62">
        <v>2008</v>
      </c>
      <c r="J33" s="57">
        <v>2048</v>
      </c>
      <c r="K33" s="57">
        <v>2048</v>
      </c>
      <c r="L33" s="66">
        <f>2049-H33</f>
        <v>1090</v>
      </c>
      <c r="M33" s="66">
        <f t="shared" si="22"/>
        <v>41</v>
      </c>
      <c r="N33" s="70">
        <f t="shared" ref="N33:N34" si="25">SQRT(AJ33^2+BE33^2)</f>
        <v>6.5385343646901975E-2</v>
      </c>
      <c r="O33" s="70">
        <f t="shared" ref="O33:O34" si="26">SQRT(AK33^2+BF33^2)</f>
        <v>6.5869114096744327E-2</v>
      </c>
      <c r="P33" s="77">
        <f>Calc!B102</f>
        <v>-293.73531671180052</v>
      </c>
      <c r="Q33" s="77">
        <f>Calc!C102</f>
        <v>-762.31178779737411</v>
      </c>
      <c r="R33" s="78">
        <v>-0.56998599999999999</v>
      </c>
      <c r="S33" s="48">
        <v>-1</v>
      </c>
      <c r="T33" s="41">
        <v>180</v>
      </c>
      <c r="U33" s="48">
        <v>1</v>
      </c>
      <c r="V33" s="78">
        <v>-90.306460999999999</v>
      </c>
      <c r="W33" s="78">
        <v>-0.56998599999999999</v>
      </c>
      <c r="X33" s="51">
        <f>Calc!L102</f>
        <v>-71.271557942411263</v>
      </c>
      <c r="Y33" s="51">
        <f>Calc!M102</f>
        <v>62.641783382235303</v>
      </c>
      <c r="Z33" s="51">
        <f>Calc!N102</f>
        <v>62.702020399891367</v>
      </c>
      <c r="AA33" s="51">
        <f>Calc!O102</f>
        <v>-71.349093124473995</v>
      </c>
      <c r="AB33" s="51">
        <f>Calc!P102</f>
        <v>-2.9100929582359543</v>
      </c>
      <c r="AC33" s="51">
        <f>Calc!Q102</f>
        <v>-2.3472929075521436</v>
      </c>
      <c r="AD33" s="51">
        <f>Calc!R102</f>
        <v>132.82003422485536</v>
      </c>
      <c r="AE33" s="51">
        <f>Calc!S102</f>
        <v>132.15505281380564</v>
      </c>
      <c r="AF33" s="52">
        <v>41640</v>
      </c>
      <c r="AG33" s="55"/>
      <c r="AH33" s="53">
        <v>4</v>
      </c>
      <c r="AI33" s="85">
        <v>0</v>
      </c>
      <c r="AJ33" s="85">
        <f>Calc!E32</f>
        <v>6.5384731503156046E-2</v>
      </c>
      <c r="AK33" s="85">
        <f>Calc!F32</f>
        <v>8.3493202844892303E-6</v>
      </c>
      <c r="AL33" s="85">
        <f>Calc!G32</f>
        <v>-3.0324521595070799E-8</v>
      </c>
      <c r="AM33" s="85">
        <f>Calc!H32</f>
        <v>3.2847452096650616E-8</v>
      </c>
      <c r="AN33" s="85">
        <f>Calc!I32</f>
        <v>-5.2979140019087337E-9</v>
      </c>
      <c r="AO33" s="85">
        <f>Calc!J32</f>
        <v>-1.0363581714526668E-11</v>
      </c>
      <c r="AP33" s="85">
        <f>Calc!K32</f>
        <v>4.5068348469290718E-12</v>
      </c>
      <c r="AQ33" s="85">
        <f>Calc!L32</f>
        <v>-3.0561788880091176E-11</v>
      </c>
      <c r="AR33" s="85">
        <f>Calc!M32</f>
        <v>2.9020995601325035E-13</v>
      </c>
      <c r="AS33" s="85">
        <f>Calc!N32</f>
        <v>1.6907453091921699E-15</v>
      </c>
      <c r="AT33" s="85">
        <f>Calc!O32</f>
        <v>8.3328937943771704E-15</v>
      </c>
      <c r="AU33" s="85">
        <f>Calc!P32</f>
        <v>1.5605946571290499E-15</v>
      </c>
      <c r="AV33" s="85">
        <f>Calc!Q32</f>
        <v>7.5558022688464296E-15</v>
      </c>
      <c r="AW33" s="85">
        <f>Calc!R32</f>
        <v>2.2323735656209599E-16</v>
      </c>
      <c r="AX33" s="85"/>
      <c r="AY33" s="85"/>
      <c r="AZ33" s="85"/>
      <c r="BA33" s="85"/>
      <c r="BB33" s="85"/>
      <c r="BC33" s="85"/>
      <c r="BD33" s="85">
        <v>0</v>
      </c>
      <c r="BE33" s="85">
        <f>Calc!T32</f>
        <v>2.8293123485679866E-4</v>
      </c>
      <c r="BF33" s="85">
        <f>Calc!U32</f>
        <v>6.586911356758017E-2</v>
      </c>
      <c r="BG33" s="85">
        <f>Calc!V32</f>
        <v>5.4502780545840496E-8</v>
      </c>
      <c r="BH33" s="85">
        <f>Calc!W32</f>
        <v>2.4361934749109105E-8</v>
      </c>
      <c r="BI33" s="85">
        <f>Calc!X32</f>
        <v>-1.1989036052445594E-8</v>
      </c>
      <c r="BJ33" s="85">
        <f>Calc!Y32</f>
        <v>1.6634637844374311E-12</v>
      </c>
      <c r="BK33" s="85">
        <f>Calc!Z32</f>
        <v>3.9612792181298993E-12</v>
      </c>
      <c r="BL33" s="85">
        <f>Calc!AA32</f>
        <v>3.8493437350459615E-13</v>
      </c>
      <c r="BM33" s="85">
        <f>Calc!AB32</f>
        <v>3.9953254345259132E-11</v>
      </c>
      <c r="BN33" s="85">
        <f>Calc!AC32</f>
        <v>-1.5569775603692001E-15</v>
      </c>
      <c r="BO33" s="85">
        <f>Calc!AD32</f>
        <v>-8.9998512702542103E-16</v>
      </c>
      <c r="BP33" s="85">
        <f>Calc!AE32</f>
        <v>-9.3831850618819502E-15</v>
      </c>
      <c r="BQ33" s="85">
        <f>Calc!AF32</f>
        <v>-2.3048805578410999E-17</v>
      </c>
      <c r="BR33" s="85">
        <f>Calc!AG32</f>
        <v>-1.7480296209813501E-14</v>
      </c>
      <c r="BS33" s="85"/>
      <c r="BT33" s="85"/>
      <c r="BU33" s="85"/>
      <c r="BV33" s="85"/>
      <c r="BW33" s="85"/>
      <c r="BX33" s="85"/>
      <c r="BY33" s="85">
        <v>0</v>
      </c>
      <c r="BZ33" s="85">
        <f>Calc!E67</f>
        <v>15.294155045374634</v>
      </c>
      <c r="CA33" s="85">
        <f>Calc!F67</f>
        <v>-2.1145126358781134E-3</v>
      </c>
      <c r="CB33" s="85">
        <f>Calc!G67</f>
        <v>1.0611545625444179E-4</v>
      </c>
      <c r="CC33" s="85">
        <f>Calc!H67</f>
        <v>-1.1600728040557741E-4</v>
      </c>
      <c r="CD33" s="85">
        <f>Calc!I67</f>
        <v>2.4981196889823418E-5</v>
      </c>
      <c r="CE33" s="85">
        <f>Calc!J67</f>
        <v>5.6507018334005106E-7</v>
      </c>
      <c r="CF33" s="85">
        <f>Calc!K67</f>
        <v>-2.7877029326384802E-7</v>
      </c>
      <c r="CG33" s="85">
        <f>Calc!L67</f>
        <v>1.6039178178331314E-6</v>
      </c>
      <c r="CH33" s="85">
        <f>Calc!M67</f>
        <v>-8.6119346926664291E-8</v>
      </c>
      <c r="CI33" s="85">
        <f>Calc!N67</f>
        <v>-1.3755880354115801E-9</v>
      </c>
      <c r="CJ33" s="85">
        <f>Calc!O67</f>
        <v>-6.8286810777212099E-9</v>
      </c>
      <c r="CK33" s="85">
        <f>Calc!P67</f>
        <v>-1.04293498685182E-9</v>
      </c>
      <c r="CL33" s="85">
        <f>Calc!Q67</f>
        <v>-5.9928378921435799E-9</v>
      </c>
      <c r="CM33" s="85">
        <f>Calc!R67</f>
        <v>9.9891771502550206E-11</v>
      </c>
      <c r="CN33" s="86"/>
      <c r="CO33" s="86"/>
      <c r="CP33" s="86"/>
      <c r="CQ33" s="86"/>
      <c r="CR33" s="86"/>
      <c r="CS33" s="86"/>
      <c r="CT33" s="85">
        <v>0</v>
      </c>
      <c r="CU33" s="85">
        <f>Calc!T67</f>
        <v>-6.576225624944626E-2</v>
      </c>
      <c r="CV33" s="85">
        <f>Calc!U67</f>
        <v>15.181427085297798</v>
      </c>
      <c r="CW33" s="85">
        <f>Calc!V67</f>
        <v>-1.9465177244751584E-4</v>
      </c>
      <c r="CX33" s="85">
        <f>Calc!W67</f>
        <v>-8.5560418327546486E-5</v>
      </c>
      <c r="CY33" s="85">
        <f>Calc!X67</f>
        <v>4.2529585972267045E-5</v>
      </c>
      <c r="CZ33" s="85">
        <f>Calc!Y67</f>
        <v>-9.3803248965631426E-8</v>
      </c>
      <c r="DA33" s="85">
        <f>Calc!Z67</f>
        <v>-1.7877396678842313E-7</v>
      </c>
      <c r="DB33" s="85">
        <f>Calc!AA67</f>
        <v>-5.1115261191300365E-9</v>
      </c>
      <c r="DC33" s="85">
        <f>Calc!AB67</f>
        <v>-2.0788521364815379E-6</v>
      </c>
      <c r="DD33" s="85">
        <f>Calc!AC67</f>
        <v>1.27574449362868E-9</v>
      </c>
      <c r="DE33" s="85">
        <f>Calc!AD67</f>
        <v>7.7897327013718401E-10</v>
      </c>
      <c r="DF33" s="85">
        <f>Calc!AE67</f>
        <v>7.3361294369038402E-9</v>
      </c>
      <c r="DG33" s="85">
        <f>Calc!AF67</f>
        <v>-1.81798644252709E-10</v>
      </c>
      <c r="DH33" s="85">
        <f>Calc!AG67</f>
        <v>1.37896323183342E-8</v>
      </c>
    </row>
    <row r="34" spans="1:112" s="34" customFormat="1">
      <c r="A34" s="48" t="s">
        <v>91</v>
      </c>
      <c r="B34" s="57" t="s">
        <v>218</v>
      </c>
      <c r="C34" s="14" t="str">
        <f>DDC!B35</f>
        <v>NIS_CNTR</v>
      </c>
      <c r="D34" s="57" t="s">
        <v>177</v>
      </c>
      <c r="E34" s="57" t="s">
        <v>117</v>
      </c>
      <c r="F34" s="57">
        <v>2048</v>
      </c>
      <c r="G34" s="57">
        <v>2048</v>
      </c>
      <c r="H34" s="62">
        <v>94</v>
      </c>
      <c r="I34" s="62">
        <v>850</v>
      </c>
      <c r="J34" s="57">
        <v>2048</v>
      </c>
      <c r="K34" s="57">
        <v>2048</v>
      </c>
      <c r="L34" s="66">
        <f t="shared" ref="L34" si="27">2049-H34</f>
        <v>1955</v>
      </c>
      <c r="M34" s="66">
        <f t="shared" si="22"/>
        <v>1199</v>
      </c>
      <c r="N34" s="70">
        <f t="shared" si="25"/>
        <v>6.535764168515136E-2</v>
      </c>
      <c r="O34" s="70">
        <f t="shared" si="26"/>
        <v>6.5901383978181849E-2</v>
      </c>
      <c r="P34" s="77">
        <f>Calc!B103</f>
        <v>-351.04655769734256</v>
      </c>
      <c r="Q34" s="77">
        <f>Calc!C103</f>
        <v>-686.28330929230776</v>
      </c>
      <c r="R34" s="78">
        <v>-0.56998599999999999</v>
      </c>
      <c r="S34" s="48">
        <v>-1</v>
      </c>
      <c r="T34" s="41">
        <v>180</v>
      </c>
      <c r="U34" s="48">
        <v>1</v>
      </c>
      <c r="V34" s="78">
        <v>-90.306460999999999</v>
      </c>
      <c r="W34" s="78">
        <v>-0.56998599999999999</v>
      </c>
      <c r="X34" s="51">
        <f>Calc!L103</f>
        <v>-127.75772518767171</v>
      </c>
      <c r="Y34" s="51">
        <f>Calc!M103</f>
        <v>6.0962964461529952</v>
      </c>
      <c r="Z34" s="51">
        <f>Calc!N103</f>
        <v>6.1120776932629983</v>
      </c>
      <c r="AA34" s="51">
        <f>Calc!O103</f>
        <v>-127.84771083050046</v>
      </c>
      <c r="AB34" s="51">
        <f>Calc!P103</f>
        <v>-79.545586887016569</v>
      </c>
      <c r="AC34" s="51">
        <f>Calc!Q103</f>
        <v>-78.886105113526227</v>
      </c>
      <c r="AD34" s="51">
        <f>Calc!R103</f>
        <v>56.049075776925719</v>
      </c>
      <c r="AE34" s="51">
        <f>Calc!S103</f>
        <v>55.421478519807572</v>
      </c>
      <c r="AF34" s="52">
        <v>41640</v>
      </c>
      <c r="AG34" s="55"/>
      <c r="AH34" s="53">
        <v>4</v>
      </c>
      <c r="AI34" s="85">
        <v>0</v>
      </c>
      <c r="AJ34" s="85">
        <f>Calc!E33</f>
        <v>6.5356481390302951E-2</v>
      </c>
      <c r="AK34" s="85">
        <f>Calc!F33</f>
        <v>3.583158368646356E-6</v>
      </c>
      <c r="AL34" s="85">
        <f>Calc!G33</f>
        <v>-1.7275623502858037E-8</v>
      </c>
      <c r="AM34" s="85">
        <f>Calc!H33</f>
        <v>2.5216791615190305E-8</v>
      </c>
      <c r="AN34" s="85">
        <f>Calc!I33</f>
        <v>-5.0566151311313691E-9</v>
      </c>
      <c r="AO34" s="85">
        <f>Calc!J33</f>
        <v>5.1358880691670026E-12</v>
      </c>
      <c r="AP34" s="85">
        <f>Calc!K33</f>
        <v>2.9745031469248706E-11</v>
      </c>
      <c r="AQ34" s="85">
        <f>Calc!L33</f>
        <v>-1.6131030412854214E-12</v>
      </c>
      <c r="AR34" s="85">
        <f>Calc!M33</f>
        <v>7.860014354161041E-12</v>
      </c>
      <c r="AS34" s="85">
        <f>Calc!N33</f>
        <v>1.6907453091921699E-15</v>
      </c>
      <c r="AT34" s="85">
        <f>Calc!O33</f>
        <v>8.3328937943771704E-15</v>
      </c>
      <c r="AU34" s="85">
        <f>Calc!P33</f>
        <v>1.5605946571290499E-15</v>
      </c>
      <c r="AV34" s="85">
        <f>Calc!Q33</f>
        <v>7.5558022688464296E-15</v>
      </c>
      <c r="AW34" s="85">
        <f>Calc!R33</f>
        <v>2.2323735656209599E-16</v>
      </c>
      <c r="AX34" s="85"/>
      <c r="AY34" s="85"/>
      <c r="AZ34" s="85"/>
      <c r="BA34" s="85"/>
      <c r="BB34" s="85"/>
      <c r="BC34" s="85"/>
      <c r="BD34" s="85">
        <v>0</v>
      </c>
      <c r="BE34" s="85">
        <f>Calc!T33</f>
        <v>3.8944437808223936E-4</v>
      </c>
      <c r="BF34" s="85">
        <f>Calc!U33</f>
        <v>6.5901383880770964E-2</v>
      </c>
      <c r="BG34" s="85">
        <f>Calc!V33</f>
        <v>4.1129835510522456E-8</v>
      </c>
      <c r="BH34" s="85">
        <f>Calc!W33</f>
        <v>-7.601861088807422E-9</v>
      </c>
      <c r="BI34" s="85">
        <f>Calc!X33</f>
        <v>-2.0591145318289831E-8</v>
      </c>
      <c r="BJ34" s="85">
        <f>Calc!Y33</f>
        <v>-4.7658613515354383E-12</v>
      </c>
      <c r="BK34" s="85">
        <f>Calc!Z33</f>
        <v>-2.0105638789819667E-11</v>
      </c>
      <c r="BL34" s="85">
        <f>Calc!AA33</f>
        <v>-1.5928047334130578E-11</v>
      </c>
      <c r="BM34" s="85">
        <f>Calc!AB33</f>
        <v>-4.1035414915422337E-11</v>
      </c>
      <c r="BN34" s="85">
        <f>Calc!AC33</f>
        <v>-1.5569775603692001E-15</v>
      </c>
      <c r="BO34" s="85">
        <f>Calc!AD33</f>
        <v>-8.9998512702542103E-16</v>
      </c>
      <c r="BP34" s="85">
        <f>Calc!AE33</f>
        <v>-9.3831850618819502E-15</v>
      </c>
      <c r="BQ34" s="85">
        <f>Calc!AF33</f>
        <v>-2.3048805578410999E-17</v>
      </c>
      <c r="BR34" s="85">
        <f>Calc!AG33</f>
        <v>-1.7480296209813501E-14</v>
      </c>
      <c r="BS34" s="85"/>
      <c r="BT34" s="85"/>
      <c r="BU34" s="85"/>
      <c r="BV34" s="85"/>
      <c r="BW34" s="85"/>
      <c r="BX34" s="85"/>
      <c r="BY34" s="85">
        <v>0</v>
      </c>
      <c r="BZ34" s="85">
        <f>Calc!E68</f>
        <v>15.300289421965488</v>
      </c>
      <c r="CA34" s="85">
        <f>Calc!F68</f>
        <v>-8.9164886318489757E-4</v>
      </c>
      <c r="CB34" s="85">
        <f>Calc!G68</f>
        <v>5.9378891608204585E-5</v>
      </c>
      <c r="CC34" s="85">
        <f>Calc!H68</f>
        <v>-9.089697199429048E-5</v>
      </c>
      <c r="CD34" s="85">
        <f>Calc!I68</f>
        <v>1.8202301321942142E-5</v>
      </c>
      <c r="CE34" s="85">
        <f>Calc!J68</f>
        <v>-2.6914103561615933E-7</v>
      </c>
      <c r="CF34" s="85">
        <f>Calc!K68</f>
        <v>-1.5970654624409471E-6</v>
      </c>
      <c r="CG34" s="85">
        <f>Calc!L68</f>
        <v>1.08896038445804E-7</v>
      </c>
      <c r="CH34" s="85">
        <f>Calc!M68</f>
        <v>-3.9442199230518733E-7</v>
      </c>
      <c r="CI34" s="85">
        <f>Calc!N68</f>
        <v>-1.3755880354115801E-9</v>
      </c>
      <c r="CJ34" s="85">
        <f>Calc!O68</f>
        <v>-6.8286810777212099E-9</v>
      </c>
      <c r="CK34" s="85">
        <f>Calc!P68</f>
        <v>-1.04293498685182E-9</v>
      </c>
      <c r="CL34" s="85">
        <f>Calc!Q68</f>
        <v>-5.9928378921435799E-9</v>
      </c>
      <c r="CM34" s="85">
        <f>Calc!R68</f>
        <v>9.9891771502550206E-11</v>
      </c>
      <c r="CN34" s="86"/>
      <c r="CO34" s="86"/>
      <c r="CP34" s="86"/>
      <c r="CQ34" s="86"/>
      <c r="CR34" s="86"/>
      <c r="CS34" s="86"/>
      <c r="CT34" s="85">
        <v>0</v>
      </c>
      <c r="CU34" s="85">
        <f>Calc!T68</f>
        <v>-9.052877128238547E-2</v>
      </c>
      <c r="CV34" s="85">
        <f>Calc!U68</f>
        <v>15.174239432415016</v>
      </c>
      <c r="CW34" s="85">
        <f>Calc!V68</f>
        <v>-1.4661722151319557E-4</v>
      </c>
      <c r="CX34" s="85">
        <f>Calc!W68</f>
        <v>2.4819191342139335E-5</v>
      </c>
      <c r="CY34" s="85">
        <f>Calc!X68</f>
        <v>7.1055602996925981E-5</v>
      </c>
      <c r="CZ34" s="85">
        <f>Calc!Y68</f>
        <v>2.5444608863163263E-7</v>
      </c>
      <c r="DA34" s="85">
        <f>Calc!Z68</f>
        <v>1.0772031218312957E-6</v>
      </c>
      <c r="DB34" s="85">
        <f>Calc!AA68</f>
        <v>7.8286065781478244E-7</v>
      </c>
      <c r="DC34" s="85">
        <f>Calc!AB68</f>
        <v>2.135725875055737E-6</v>
      </c>
      <c r="DD34" s="85">
        <f>Calc!AC68</f>
        <v>1.27574449362868E-9</v>
      </c>
      <c r="DE34" s="85">
        <f>Calc!AD68</f>
        <v>7.7897327013718401E-10</v>
      </c>
      <c r="DF34" s="85">
        <f>Calc!AE68</f>
        <v>7.3361294369038402E-9</v>
      </c>
      <c r="DG34" s="85">
        <f>Calc!AF68</f>
        <v>-1.81798644252709E-10</v>
      </c>
      <c r="DH34" s="85">
        <f>Calc!AG68</f>
        <v>1.37896323183342E-8</v>
      </c>
    </row>
    <row r="35" spans="1:112">
      <c r="A35" t="s">
        <v>119</v>
      </c>
    </row>
    <row r="40" spans="1:112">
      <c r="AF40" s="32">
        <v>42459</v>
      </c>
    </row>
  </sheetData>
  <mergeCells count="5">
    <mergeCell ref="A1:E1"/>
    <mergeCell ref="F1:I1"/>
    <mergeCell ref="J1:O1"/>
    <mergeCell ref="R1:W1"/>
    <mergeCell ref="AH1:AM1"/>
  </mergeCells>
  <phoneticPr fontId="7" type="noConversion"/>
  <pageMargins left="0.75" right="0.75" top="1" bottom="1" header="0.5" footer="0.5"/>
  <pageSetup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G139"/>
  <sheetViews>
    <sheetView workbookViewId="0">
      <pane xSplit="1" ySplit="1" topLeftCell="D34" activePane="bottomRight" state="frozen"/>
      <selection pane="topRight" activeCell="B1" sqref="B1"/>
      <selection pane="bottomLeft" activeCell="A2" sqref="A2"/>
      <selection pane="bottomRight" activeCell="T37" sqref="T37:AG38"/>
    </sheetView>
  </sheetViews>
  <sheetFormatPr baseColWidth="10" defaultColWidth="11.1640625" defaultRowHeight="15" x14ac:dyDescent="0"/>
  <cols>
    <col min="1" max="1" width="21.1640625" customWidth="1"/>
    <col min="2" max="3" width="12" customWidth="1"/>
    <col min="4" max="4" width="12.5" customWidth="1"/>
    <col min="5" max="8" width="19.5" style="100" bestFit="1" customWidth="1"/>
    <col min="9" max="9" width="13.1640625" bestFit="1" customWidth="1"/>
    <col min="10" max="10" width="12.5" bestFit="1" customWidth="1"/>
    <col min="11" max="11" width="13.1640625" bestFit="1" customWidth="1"/>
    <col min="12" max="12" width="12.5" bestFit="1" customWidth="1"/>
    <col min="13" max="18" width="13.1640625" bestFit="1" customWidth="1"/>
    <col min="19" max="19" width="12.83203125" bestFit="1" customWidth="1"/>
    <col min="20" max="20" width="13.1640625" bestFit="1" customWidth="1"/>
    <col min="21" max="21" width="13.5" bestFit="1" customWidth="1"/>
    <col min="22" max="29" width="13.1640625" bestFit="1" customWidth="1"/>
    <col min="30" max="30" width="12.5" bestFit="1" customWidth="1"/>
    <col min="31" max="33" width="13.1640625" bestFit="1" customWidth="1"/>
  </cols>
  <sheetData>
    <row r="1" spans="1:33" ht="20" thickBot="1">
      <c r="B1" t="s">
        <v>172</v>
      </c>
      <c r="C1" t="s">
        <v>173</v>
      </c>
      <c r="D1" s="30" t="s">
        <v>167</v>
      </c>
      <c r="E1" s="98" t="s">
        <v>34</v>
      </c>
      <c r="F1" s="98" t="s">
        <v>35</v>
      </c>
      <c r="G1" s="98" t="s">
        <v>36</v>
      </c>
      <c r="H1" s="98" t="s">
        <v>37</v>
      </c>
      <c r="I1" s="10" t="s">
        <v>38</v>
      </c>
      <c r="J1" s="10" t="s">
        <v>55</v>
      </c>
      <c r="K1" s="10" t="s">
        <v>56</v>
      </c>
      <c r="L1" s="10" t="s">
        <v>57</v>
      </c>
      <c r="M1" s="10" t="s">
        <v>58</v>
      </c>
      <c r="N1" s="10" t="s">
        <v>59</v>
      </c>
      <c r="O1" s="10" t="s">
        <v>60</v>
      </c>
      <c r="P1" s="10" t="s">
        <v>61</v>
      </c>
      <c r="Q1" s="10" t="s">
        <v>62</v>
      </c>
      <c r="R1" s="10" t="s">
        <v>63</v>
      </c>
      <c r="S1" s="10" t="s">
        <v>168</v>
      </c>
      <c r="T1" s="9" t="s">
        <v>39</v>
      </c>
      <c r="U1" s="9" t="s">
        <v>40</v>
      </c>
      <c r="V1" s="10" t="s">
        <v>41</v>
      </c>
      <c r="W1" s="10" t="s">
        <v>42</v>
      </c>
      <c r="X1" s="10" t="s">
        <v>43</v>
      </c>
      <c r="Y1" s="10" t="s">
        <v>64</v>
      </c>
      <c r="Z1" s="10" t="s">
        <v>65</v>
      </c>
      <c r="AA1" s="10" t="s">
        <v>66</v>
      </c>
      <c r="AB1" s="10" t="s">
        <v>67</v>
      </c>
      <c r="AC1" s="10" t="s">
        <v>68</v>
      </c>
      <c r="AD1" s="10" t="s">
        <v>69</v>
      </c>
      <c r="AE1" s="10" t="s">
        <v>70</v>
      </c>
      <c r="AF1" s="10" t="s">
        <v>71</v>
      </c>
      <c r="AG1" s="10" t="s">
        <v>72</v>
      </c>
    </row>
    <row r="2" spans="1:33" ht="16" thickTop="1">
      <c r="A2" t="str">
        <f>SIAF!B3</f>
        <v>NIS_CEN_OSS</v>
      </c>
      <c r="B2">
        <v>0</v>
      </c>
      <c r="C2">
        <v>0</v>
      </c>
      <c r="D2" s="35">
        <v>0</v>
      </c>
      <c r="E2" s="101">
        <v>6.5397827634109396E-2</v>
      </c>
      <c r="F2" s="101">
        <v>1.2793585635329E-17</v>
      </c>
      <c r="G2" s="101">
        <v>2.3912959796186099E-8</v>
      </c>
      <c r="H2" s="101">
        <v>6.2273071686709103E-9</v>
      </c>
      <c r="I2" s="101">
        <v>2.5977865587448502E-9</v>
      </c>
      <c r="J2" s="101">
        <v>-2.6111559387650702E-12</v>
      </c>
      <c r="K2" s="101">
        <v>5.9391109069067996E-12</v>
      </c>
      <c r="L2" s="101">
        <v>-8.47283218594369E-12</v>
      </c>
      <c r="M2" s="101">
        <v>6.7352066811908901E-13</v>
      </c>
      <c r="N2" s="101">
        <v>-1.6907453091921699E-15</v>
      </c>
      <c r="O2" s="101">
        <v>-8.3328937943771704E-15</v>
      </c>
      <c r="P2" s="102">
        <v>-1.5605946571290499E-15</v>
      </c>
      <c r="Q2" s="102">
        <v>-7.5558022688464296E-15</v>
      </c>
      <c r="R2" s="102">
        <v>-2.23237356562092E-16</v>
      </c>
      <c r="S2" s="35">
        <v>0</v>
      </c>
      <c r="T2" s="102">
        <v>-3.00792114051833E-4</v>
      </c>
      <c r="U2" s="102">
        <v>-6.5893248419708103E-2</v>
      </c>
      <c r="V2" s="102">
        <v>4.9129583659068501E-8</v>
      </c>
      <c r="W2" s="102">
        <v>2.6939537167739599E-8</v>
      </c>
      <c r="X2" s="102">
        <v>4.3827931691747701E-9</v>
      </c>
      <c r="Y2" s="102">
        <v>-1.1862565328246599E-12</v>
      </c>
      <c r="Z2" s="102">
        <v>1.4318598721131401E-11</v>
      </c>
      <c r="AA2" s="102">
        <v>-1.54612611575204E-12</v>
      </c>
      <c r="AB2" s="102">
        <v>2.88127212473818E-11</v>
      </c>
      <c r="AC2" s="102">
        <v>-1.5569775603692001E-15</v>
      </c>
      <c r="AD2" s="102">
        <v>-8.9998512702542202E-16</v>
      </c>
      <c r="AE2" s="102">
        <v>-9.3831850618819502E-15</v>
      </c>
      <c r="AF2" s="102">
        <v>-2.3048805578412401E-17</v>
      </c>
      <c r="AG2" s="102">
        <v>-1.7480296209813501E-14</v>
      </c>
    </row>
    <row r="3" spans="1:33">
      <c r="A3" t="str">
        <f>SIAF!B4</f>
        <v>NIS_CEN</v>
      </c>
      <c r="B3">
        <v>0</v>
      </c>
      <c r="C3">
        <v>0</v>
      </c>
      <c r="D3" s="35">
        <v>0</v>
      </c>
      <c r="E3" s="101">
        <v>6.5397827634109396E-2</v>
      </c>
      <c r="F3" s="101">
        <v>0</v>
      </c>
      <c r="G3" s="101">
        <v>-2.3912959796186099E-8</v>
      </c>
      <c r="H3" s="101">
        <v>-6.2273071686709202E-9</v>
      </c>
      <c r="I3" s="101">
        <v>-2.5977865587448502E-9</v>
      </c>
      <c r="J3" s="101">
        <v>-2.6111559387650702E-12</v>
      </c>
      <c r="K3" s="101">
        <v>5.9391109069067996E-12</v>
      </c>
      <c r="L3" s="101">
        <v>-8.47283218594369E-12</v>
      </c>
      <c r="M3" s="101">
        <v>6.7352066811909497E-13</v>
      </c>
      <c r="N3" s="101">
        <v>1.6907453091921699E-15</v>
      </c>
      <c r="O3" s="101">
        <v>8.3328937943771704E-15</v>
      </c>
      <c r="P3" s="102">
        <v>1.5605946571290499E-15</v>
      </c>
      <c r="Q3" s="102">
        <v>7.5558022688464296E-15</v>
      </c>
      <c r="R3" s="102">
        <v>2.2323735656209599E-16</v>
      </c>
      <c r="S3" s="35">
        <v>0</v>
      </c>
      <c r="T3" s="102">
        <v>3.0079211405184601E-4</v>
      </c>
      <c r="U3" s="102">
        <v>6.5893248419708103E-2</v>
      </c>
      <c r="V3" s="102">
        <v>4.9129583659068501E-8</v>
      </c>
      <c r="W3" s="102">
        <v>2.6939537167739599E-8</v>
      </c>
      <c r="X3" s="102">
        <v>4.3827931691747701E-9</v>
      </c>
      <c r="Y3" s="102">
        <v>1.1862565328246599E-12</v>
      </c>
      <c r="Z3" s="102">
        <v>-1.4318598721131401E-11</v>
      </c>
      <c r="AA3" s="102">
        <v>1.5461261157520301E-12</v>
      </c>
      <c r="AB3" s="102">
        <v>-2.88127212473818E-11</v>
      </c>
      <c r="AC3" s="102">
        <v>-1.5569775603692001E-15</v>
      </c>
      <c r="AD3" s="102">
        <v>-8.9998512702542103E-16</v>
      </c>
      <c r="AE3" s="102">
        <v>-9.3831850618819502E-15</v>
      </c>
      <c r="AF3" s="102">
        <v>-2.3048805578410999E-17</v>
      </c>
      <c r="AG3" s="102">
        <v>-1.7480296209813501E-14</v>
      </c>
    </row>
    <row r="4" spans="1:33">
      <c r="A4" t="str">
        <f>SIAF!B5</f>
        <v>NIS_AMI1</v>
      </c>
      <c r="B4">
        <f>(SIAF!H5-SIAF!H$4)*COS(RADIANS(SIAF!T5))</f>
        <v>65.5</v>
      </c>
      <c r="C4" s="31">
        <f>(SIAF!I5-SIAF!I$4)*COS(RADIANS(SIAF!T5))</f>
        <v>-983.5</v>
      </c>
      <c r="D4" s="31">
        <f>D$3+E$3*$B4+F$3*$C4+G$3*$B4^2+H$3*$B4*$C4+I$3*$C4^2+J$3*$B4^3+K$3*$B4^2*$C4+L$3*$B4*$C4^2+M$3*$C4^3+N$3*$B4^4+O$3*$B4^3*$C4+P$3*$B4^2*$C4^2+Q$3*$B4*$C4^3+R$3*$C4^4</f>
        <v>4.2798824388682197</v>
      </c>
      <c r="E4" s="99">
        <f>E$3+2*G$3*$B4+H$3*$C4+3*J$3*$B4^2+2*K$3*$B4*$C4+L$3*$C4^2+4*N$3*$B4^3+3*O$3*$B4^2*$C4+2*P$3*$B4*$C4^2+Q$3*$C4^3</f>
        <v>6.5384731503156046E-2</v>
      </c>
      <c r="F4" s="99">
        <f>F$3+H$3*$B4+2*I$3*$C4+K$3*$B4^2+2*L$3*$B4*$C4+3*M$3*$C4^2+O$3*$B4^3+2*P$3*$B4^2*$C4+3*Q$3*$B4*$C4^2+4*R$3*$C4^3</f>
        <v>8.3493202844892303E-6</v>
      </c>
      <c r="G4" s="99">
        <f>G$3+3*J$3*$B4+K$3*$C4+6*N$3*$B4^2+3*O$3*$B4*$C4+P$3*$C4^2</f>
        <v>-3.0324521595070799E-8</v>
      </c>
      <c r="H4" s="99">
        <f>H$3+2*K$3*$B4+2*L$3*$C4+3*O$3*$B4^2+4*P$3*$B4*$C4+3*Q$3*$C4^2</f>
        <v>3.2847452096650616E-8</v>
      </c>
      <c r="I4" s="33">
        <f>I$3+L$3*$B4+3*M$3*$C4+P$3*$B4^2+3*Q$3*$B4*$C4+6*R$3*$C4^2</f>
        <v>-5.2979140019087337E-9</v>
      </c>
      <c r="J4" s="33">
        <f>J$3+4*N$3*$B4+O$3*$C4</f>
        <v>-1.0363581714526668E-11</v>
      </c>
      <c r="K4" s="33">
        <f>K$3+3*O$3*$B4+2*P$3*$C4</f>
        <v>4.5068348469290718E-12</v>
      </c>
      <c r="L4" s="33">
        <f>L$3+2*P$3*$B4+3*Q$3*$C4</f>
        <v>-3.0561788880091176E-11</v>
      </c>
      <c r="M4" s="33">
        <f>M$3+Q$3*$B4+4*R$3*$C4</f>
        <v>2.9020995601325035E-13</v>
      </c>
      <c r="N4" s="33">
        <f>N$3</f>
        <v>1.6907453091921699E-15</v>
      </c>
      <c r="O4" s="33">
        <f>O$3</f>
        <v>8.3328937943771704E-15</v>
      </c>
      <c r="P4" s="33">
        <f>P$3</f>
        <v>1.5605946571290499E-15</v>
      </c>
      <c r="Q4" s="33">
        <f>Q$3</f>
        <v>7.5558022688464296E-15</v>
      </c>
      <c r="R4" s="33">
        <f>R$3</f>
        <v>2.2323735656209599E-16</v>
      </c>
      <c r="S4" s="31">
        <f>S$3+T$3*$B4+U$3*$C4+V$3*$B4^2+W$3*$B4*$C4+X$3*$C4^2+Y$3*$B4^3+Z$3*$B4^2*$C4+AA$3*$B4*$C4^2+AB$3*$C4^3+AC$3*$B4^4+AD$3*$B4^3*$C4+AE$3*$B4^2*$C4^2+AF$3*$B4*$C4^3+AG$3*$C4^4</f>
        <v>-64.772416748153049</v>
      </c>
      <c r="T4" s="33">
        <f>T$3+2*V$3*$B4+W$3*$C4+3*Y$3*$B4^2+2*Z$3*$B4*$C4+AA$3*$C4^2+4*AC$3*$B4^3+3*AD$3*$B4^2*$C4+2*AE$3*$B4*$C4^2+AF$3*$C4^3</f>
        <v>2.8293123485679866E-4</v>
      </c>
      <c r="U4" s="33">
        <f>U$3+W$3*$B4+2*X$3*$C4+Z$3*$B4^2+2*AA$3*$B4*$C4+3*AB$3*$C4^2+AD$3*$B4^3+2*AE$3*$B4^2*$C4+3*AF$3*$B4*$C4^2+4*AG$3*$C4^3</f>
        <v>6.586911356758017E-2</v>
      </c>
      <c r="V4" s="33">
        <f>V$3+3*Y$3*$B4+Z$3*$C4+6*AC$3*$B4^2+3*AD$3*$B4*$C4+AE$3*$C4^2</f>
        <v>5.4502780545840496E-8</v>
      </c>
      <c r="W4" s="33">
        <f>W$3+2*Z$3*$B4+2*AA$3*$C4+3*AD$3*$B4^2+4*AE$3*$B4*$C4+3*AF$3*$C4^2</f>
        <v>2.4361934749109105E-8</v>
      </c>
      <c r="X4" s="33">
        <f>X$3+AA$3*$B4+3*AB$3*$C4+AE$3*$B4^2+3*AF$3*$B4*$C4+6*AG$3*$C4^2</f>
        <v>-1.1989036052445594E-8</v>
      </c>
      <c r="Y4" s="33">
        <f>Y$3+4*AC$3*$B4+AD$3*$C4</f>
        <v>1.6634637844374311E-12</v>
      </c>
      <c r="Z4" s="33">
        <f>Z$3+3*AD$3*$B4+2*AE$3*$C4</f>
        <v>3.9612792181298993E-12</v>
      </c>
      <c r="AA4" s="33">
        <f>AA$3+2*AE$3*$B4+3*AF$3*$C4</f>
        <v>3.8493437350459615E-13</v>
      </c>
      <c r="AB4" s="33">
        <f>AB$3+AF$3*$B4+4*AG$3*$C4</f>
        <v>3.9953254345259132E-11</v>
      </c>
      <c r="AC4" s="33">
        <f>AC$3</f>
        <v>-1.5569775603692001E-15</v>
      </c>
      <c r="AD4" s="33">
        <f>AD$3</f>
        <v>-8.9998512702542103E-16</v>
      </c>
      <c r="AE4" s="33">
        <f>AE$3</f>
        <v>-9.3831850618819502E-15</v>
      </c>
      <c r="AF4" s="33">
        <f>AF$3</f>
        <v>-2.3048805578410999E-17</v>
      </c>
      <c r="AG4" s="33">
        <f>AG$3</f>
        <v>-1.7480296209813501E-14</v>
      </c>
    </row>
    <row r="5" spans="1:33">
      <c r="A5" t="str">
        <f>SIAF!B6</f>
        <v>NIS_AMI2</v>
      </c>
      <c r="B5">
        <f>(SIAF!H6-SIAF!H$4)*COS(RADIANS(SIAF!T6))</f>
        <v>37.5</v>
      </c>
      <c r="C5" s="31">
        <f>(SIAF!I6-SIAF!I$4)*COS(RADIANS(SIAF!T6))</f>
        <v>-966.5</v>
      </c>
      <c r="D5" s="31">
        <f t="shared" ref="D5:D31" si="0">D$3+E$3*$B5+F$3*$C5+G$3*$B5^2+H$3*$B5*$C5+I$3*$C5^2+J$3*$B5^3+K$3*$B5^2*$C5+L$3*$B5*$C5^2+M$3*$C5^3+N$3*$B5^4+O$3*$B5^3*$C5+P$3*$B5^2*$C5^2+Q$3*$B5*$C5^3+R$3*$C5^4</f>
        <v>2.4492114878780056</v>
      </c>
      <c r="E5" s="99">
        <f t="shared" ref="E5:E23" si="1">E$3+2*G$3*$B5+H$3*$C5+3*J$3*$B5^2+2*K$3*$B5*$C5+L$3*$C5^2+4*N$3*$B5^3+3*O$3*$B5^2*$C5+2*P$3*$B5*$C5^2+Q$3*$C5^3</f>
        <v>6.538695078162951E-2</v>
      </c>
      <c r="F5" s="99">
        <f t="shared" ref="F5:F23" si="2">F$3+H$3*$B5+2*I$3*$C5+K$3*$B5^2+2*L$3*$B5*$C5+3*M$3*$C5^2+O$3*$B5^3+2*P$3*$B5^2*$C5+3*Q$3*$B5*$C5^2+4*R$3*$C5^3</f>
        <v>7.2820219812150768E-6</v>
      </c>
      <c r="G5" s="99">
        <f t="shared" ref="G5:G23" si="3">G$3+3*J$3*$B5+K$3*$C5+6*N$3*$B5^2+3*O$3*$B5*$C5+P$3*$C5^2</f>
        <v>-2.9380859633200785E-8</v>
      </c>
      <c r="H5" s="99">
        <f t="shared" ref="H5:H23" si="4">H$3+2*K$3*$B5+2*L$3*$C5+3*O$3*$B5^2+4*P$3*$B5*$C5+3*Q$3*$C5^2</f>
        <v>3.1579146997843783E-8</v>
      </c>
      <c r="I5" s="33">
        <f t="shared" ref="I5:I23" si="5">I$3+L$3*$B5+3*M$3*$C5+P$3*$B5^2+3*Q$3*$B5*$C5+6*R$3*$C5^2</f>
        <v>-4.4365622913619503E-9</v>
      </c>
      <c r="J5" s="33">
        <f t="shared" ref="J5:J23" si="6">J$3+4*N$3*$B5+O$3*$C5</f>
        <v>-1.041128599465178E-11</v>
      </c>
      <c r="K5" s="33">
        <f t="shared" ref="K5:K23" si="7">K$3+3*O$3*$B5+2*P$3*$C5</f>
        <v>3.8599319865437776E-12</v>
      </c>
      <c r="L5" s="33">
        <f t="shared" ref="L5:L23" si="8">L$3+2*P$3*$B5+3*Q$3*$C5</f>
        <v>-3.0263836265179233E-11</v>
      </c>
      <c r="M5" s="33">
        <f t="shared" ref="M5:M23" si="9">M$3+Q$3*$B5+4*R$3*$C5</f>
        <v>9.382763273177296E-14</v>
      </c>
      <c r="N5" s="33">
        <f t="shared" ref="N5:R25" si="10">N$3</f>
        <v>1.6907453091921699E-15</v>
      </c>
      <c r="O5" s="33">
        <f t="shared" si="10"/>
        <v>8.3328937943771704E-15</v>
      </c>
      <c r="P5" s="33">
        <f t="shared" si="10"/>
        <v>1.5605946571290499E-15</v>
      </c>
      <c r="Q5" s="33">
        <f t="shared" si="10"/>
        <v>7.5558022688464296E-15</v>
      </c>
      <c r="R5" s="33">
        <f t="shared" si="10"/>
        <v>2.2323735656209599E-16</v>
      </c>
      <c r="S5" s="31">
        <f t="shared" ref="S5:S31" si="11">S$3+T$3*$B5+U$3*$C5+V$3*$B5^2+W$3*$B5*$C5+X$3*$C5^2+Y$3*$B5^3+Z$3*$B5^2*$C5+AA$3*$B5*$C5^2+AB$3*$C5^3+AC$3*$B5^4+AD$3*$B5^3*$C5+AE$3*$B5^2*$C5^2+AF$3*$B5*$C5^3+AG$3*$C5^4</f>
        <v>-63.660536017761515</v>
      </c>
      <c r="T5" s="33">
        <f t="shared" ref="T5:T23" si="12">T$3+2*V$3*$B5+W$3*$C5+3*Y$3*$B5^2+2*Z$3*$B5*$C5+AA$3*$C5^2+4*AC$3*$B5^3+3*AD$3*$B5^2*$C5+2*AE$3*$B5*$C5^2+AF$3*$C5^3</f>
        <v>2.8029373708631427E-4</v>
      </c>
      <c r="U5" s="33">
        <f t="shared" ref="U5:U23" si="13">U$3+W$3*$B5+2*X$3*$C5+Z$3*$B5^2+2*AA$3*$B5*$C5+3*AB$3*$C5^2+AD$3*$B5^3+2*AE$3*$B5^2*$C5+3*AF$3*$B5*$C5^2+4*AG$3*$C5^3</f>
        <v>6.5868060611513374E-2</v>
      </c>
      <c r="V5" s="33">
        <f t="shared" ref="V5:V23" si="14">V$3+3*Y$3*$B5+Z$3*$C5+6*AC$3*$B5^2+3*AD$3*$B5*$C5+AE$3*$C5^2</f>
        <v>5.4421640750490475E-8</v>
      </c>
      <c r="W5" s="33">
        <f t="shared" ref="W5:W23" si="15">W$3+2*Z$3*$B5+2*AA$3*$C5+3*AD$3*$B5^2+4*AE$3*$B5*$C5+3*AF$3*$C5^2</f>
        <v>2.4168919717617616E-8</v>
      </c>
      <c r="X5" s="33">
        <f t="shared" ref="X5:X23" si="16">X$3+AA$3*$B5+3*AB$3*$C5+AE$3*$B5^2+3*AF$3*$B5*$C5+6*AG$3*$C5^2</f>
        <v>-9.9998325803174753E-9</v>
      </c>
      <c r="Y5" s="33">
        <f t="shared" ref="Y5:Y23" si="17">Y$3+4*AC$3*$B5+AD$3*$C5</f>
        <v>1.8225455240393493E-12</v>
      </c>
      <c r="Z5" s="33">
        <f t="shared" ref="Z5:Z23" si="18">Z$3+3*AD$3*$B5+2*AE$3*$C5</f>
        <v>3.717849676696048E-12</v>
      </c>
      <c r="AA5" s="33">
        <f t="shared" ref="AA5:AA23" si="19">AA$3+2*AE$3*$B5+3*AF$3*$C5</f>
        <v>9.0921724788548651E-13</v>
      </c>
      <c r="AB5" s="33">
        <f t="shared" ref="AB5:AB23" si="20">AB$3+AF$3*$B5+4*AG$3*$C5</f>
        <v>3.8765239569548002E-11</v>
      </c>
      <c r="AC5" s="33">
        <f t="shared" ref="AC5:AG25" si="21">AC$3</f>
        <v>-1.5569775603692001E-15</v>
      </c>
      <c r="AD5" s="33">
        <f t="shared" si="21"/>
        <v>-8.9998512702542103E-16</v>
      </c>
      <c r="AE5" s="33">
        <f t="shared" si="21"/>
        <v>-9.3831850618819502E-15</v>
      </c>
      <c r="AF5" s="33">
        <f t="shared" si="21"/>
        <v>-2.3048805578410999E-17</v>
      </c>
      <c r="AG5" s="33">
        <f t="shared" si="21"/>
        <v>-1.7480296209813501E-14</v>
      </c>
    </row>
    <row r="6" spans="1:33">
      <c r="A6" t="str">
        <f>SIAF!B7</f>
        <v>NIS_AMI3</v>
      </c>
      <c r="B6">
        <f>(SIAF!H7-SIAF!H$4)*COS(RADIANS(SIAF!T7))</f>
        <v>37.5</v>
      </c>
      <c r="C6" s="31">
        <f>(SIAF!I7-SIAF!I$4)*COS(RADIANS(SIAF!T7))</f>
        <v>-999.5</v>
      </c>
      <c r="D6" s="31">
        <f t="shared" si="0"/>
        <v>2.448966346629148</v>
      </c>
      <c r="E6" s="99">
        <f t="shared" si="1"/>
        <v>6.5385875440928026E-2</v>
      </c>
      <c r="F6" s="99">
        <f t="shared" si="2"/>
        <v>7.5751095373975692E-6</v>
      </c>
      <c r="G6" s="99">
        <f t="shared" si="3"/>
        <v>-2.9506537901175117E-8</v>
      </c>
      <c r="H6" s="99">
        <f t="shared" si="4"/>
        <v>3.3601244997357932E-8</v>
      </c>
      <c r="I6" s="33">
        <f t="shared" si="5"/>
        <v>-4.4443925941146192E-9</v>
      </c>
      <c r="J6" s="33">
        <f t="shared" si="6"/>
        <v>-1.0686271489866227E-11</v>
      </c>
      <c r="K6" s="33">
        <f t="shared" si="7"/>
        <v>3.756932739173261E-12</v>
      </c>
      <c r="L6" s="33">
        <f t="shared" si="8"/>
        <v>-3.101186068979503E-11</v>
      </c>
      <c r="M6" s="33">
        <f t="shared" si="9"/>
        <v>6.4360301665576239E-14</v>
      </c>
      <c r="N6" s="33">
        <f t="shared" si="10"/>
        <v>1.6907453091921699E-15</v>
      </c>
      <c r="O6" s="33">
        <f t="shared" si="10"/>
        <v>8.3328937943771704E-15</v>
      </c>
      <c r="P6" s="33">
        <f t="shared" si="10"/>
        <v>1.5605946571290499E-15</v>
      </c>
      <c r="Q6" s="33">
        <f t="shared" si="10"/>
        <v>7.5558022688464296E-15</v>
      </c>
      <c r="R6" s="33">
        <f t="shared" si="10"/>
        <v>2.2323735656209599E-16</v>
      </c>
      <c r="S6" s="31">
        <f t="shared" si="11"/>
        <v>-65.834194321595803</v>
      </c>
      <c r="T6" s="33">
        <f t="shared" si="12"/>
        <v>2.7949715370152072E-4</v>
      </c>
      <c r="U6" s="33">
        <f t="shared" si="13"/>
        <v>6.5868849759258954E-2</v>
      </c>
      <c r="V6" s="33">
        <f t="shared" si="14"/>
        <v>5.428873342262713E-8</v>
      </c>
      <c r="W6" s="33">
        <f t="shared" si="15"/>
        <v>2.410883607880935E-8</v>
      </c>
      <c r="X6" s="33">
        <f t="shared" si="16"/>
        <v>-1.3951807553137667E-8</v>
      </c>
      <c r="Y6" s="33">
        <f t="shared" si="17"/>
        <v>1.8522450332311881E-12</v>
      </c>
      <c r="Z6" s="33">
        <f t="shared" si="18"/>
        <v>4.337139890780256E-12</v>
      </c>
      <c r="AA6" s="33">
        <f t="shared" si="19"/>
        <v>9.1149907963774923E-13</v>
      </c>
      <c r="AB6" s="33">
        <f t="shared" si="20"/>
        <v>4.1072638669243384E-11</v>
      </c>
      <c r="AC6" s="33">
        <f t="shared" si="21"/>
        <v>-1.5569775603692001E-15</v>
      </c>
      <c r="AD6" s="33">
        <f t="shared" si="21"/>
        <v>-8.9998512702542103E-16</v>
      </c>
      <c r="AE6" s="33">
        <f t="shared" si="21"/>
        <v>-9.3831850618819502E-15</v>
      </c>
      <c r="AF6" s="33">
        <f t="shared" si="21"/>
        <v>-2.3048805578410999E-17</v>
      </c>
      <c r="AG6" s="33">
        <f t="shared" si="21"/>
        <v>-1.7480296209813501E-14</v>
      </c>
    </row>
    <row r="7" spans="1:33">
      <c r="A7" t="str">
        <f>SIAF!B8</f>
        <v>NIS_AMI4</v>
      </c>
      <c r="B7">
        <f>(SIAF!H8-SIAF!H$4)*COS(RADIANS(SIAF!T8))</f>
        <v>79.5</v>
      </c>
      <c r="C7" s="31">
        <f>(SIAF!I8-SIAF!I$4)*COS(RADIANS(SIAF!T8))</f>
        <v>-1000.5</v>
      </c>
      <c r="D7" s="31">
        <f t="shared" si="0"/>
        <v>5.1951112798009262</v>
      </c>
      <c r="E7" s="99">
        <f t="shared" si="1"/>
        <v>6.5383306849238002E-2</v>
      </c>
      <c r="F7" s="99">
        <f t="shared" si="2"/>
        <v>9.0050958440012055E-6</v>
      </c>
      <c r="G7" s="99">
        <f t="shared" si="3"/>
        <v>-3.0839918577308379E-8</v>
      </c>
      <c r="H7" s="99">
        <f t="shared" si="4"/>
        <v>3.4022709230292333E-8</v>
      </c>
      <c r="I7" s="33">
        <f t="shared" si="5"/>
        <v>-5.7452816266775673E-9</v>
      </c>
      <c r="J7" s="33">
        <f t="shared" si="6"/>
        <v>-1.0410559171716319E-11</v>
      </c>
      <c r="K7" s="33">
        <f t="shared" si="7"/>
        <v>4.803756167950526E-12</v>
      </c>
      <c r="L7" s="33">
        <f t="shared" si="8"/>
        <v>-3.0903438145402731E-11</v>
      </c>
      <c r="M7" s="33">
        <f t="shared" si="9"/>
        <v>3.8081104753087796E-13</v>
      </c>
      <c r="N7" s="33">
        <f t="shared" si="10"/>
        <v>1.6907453091921699E-15</v>
      </c>
      <c r="O7" s="33">
        <f t="shared" si="10"/>
        <v>8.3328937943771704E-15</v>
      </c>
      <c r="P7" s="33">
        <f t="shared" si="10"/>
        <v>1.5605946571290499E-15</v>
      </c>
      <c r="Q7" s="33">
        <f t="shared" si="10"/>
        <v>7.5558022688464296E-15</v>
      </c>
      <c r="R7" s="33">
        <f t="shared" si="10"/>
        <v>2.2323735656209599E-16</v>
      </c>
      <c r="S7" s="31">
        <f t="shared" si="11"/>
        <v>-65.888229427315864</v>
      </c>
      <c r="T7" s="33">
        <f t="shared" si="12"/>
        <v>2.8404227970654962E-4</v>
      </c>
      <c r="U7" s="33">
        <f t="shared" si="13"/>
        <v>6.5869897897848931E-2</v>
      </c>
      <c r="V7" s="33">
        <f t="shared" si="14"/>
        <v>5.4501404121365471E-8</v>
      </c>
      <c r="W7" s="33">
        <f t="shared" si="15"/>
        <v>2.4468146416127373E-8</v>
      </c>
      <c r="X7" s="33">
        <f t="shared" si="16"/>
        <v>-1.4053396423877515E-8</v>
      </c>
      <c r="Y7" s="33">
        <f t="shared" si="17"/>
        <v>1.591572788216188E-12</v>
      </c>
      <c r="Z7" s="33">
        <f t="shared" si="18"/>
        <v>4.2425081348988179E-12</v>
      </c>
      <c r="AA7" s="33">
        <f t="shared" si="19"/>
        <v>1.2338068085640053E-13</v>
      </c>
      <c r="AB7" s="33">
        <f t="shared" si="20"/>
        <v>4.1141591804248342E-11</v>
      </c>
      <c r="AC7" s="33">
        <f t="shared" si="21"/>
        <v>-1.5569775603692001E-15</v>
      </c>
      <c r="AD7" s="33">
        <f t="shared" si="21"/>
        <v>-8.9998512702542103E-16</v>
      </c>
      <c r="AE7" s="33">
        <f t="shared" si="21"/>
        <v>-9.3831850618819502E-15</v>
      </c>
      <c r="AF7" s="33">
        <f t="shared" si="21"/>
        <v>-2.3048805578410999E-17</v>
      </c>
      <c r="AG7" s="33">
        <f t="shared" si="21"/>
        <v>-1.7480296209813501E-14</v>
      </c>
    </row>
    <row r="8" spans="1:33">
      <c r="A8" t="str">
        <f>SIAF!B9</f>
        <v>NIS_AMITA</v>
      </c>
      <c r="B8">
        <f>(SIAF!H9-SIAF!H$4)*COS(RADIANS(SIAF!T9))</f>
        <v>61.5</v>
      </c>
      <c r="C8" s="31">
        <f>(SIAF!I9-SIAF!I$4)*COS(RADIANS(SIAF!T9))</f>
        <v>-911.5</v>
      </c>
      <c r="D8" s="31">
        <f t="shared" si="0"/>
        <v>4.0189079969859991</v>
      </c>
      <c r="E8" s="99">
        <f t="shared" si="1"/>
        <v>6.5387180374010145E-2</v>
      </c>
      <c r="F8" s="99">
        <f t="shared" si="2"/>
        <v>7.4770862273609665E-6</v>
      </c>
      <c r="G8" s="99">
        <f t="shared" si="3"/>
        <v>-2.9874613691503696E-8</v>
      </c>
      <c r="H8" s="99">
        <f t="shared" si="4"/>
        <v>2.8526609829884275E-8</v>
      </c>
      <c r="I8" s="33">
        <f t="shared" si="5"/>
        <v>-5.1125411647967699E-9</v>
      </c>
      <c r="J8" s="33">
        <f t="shared" si="6"/>
        <v>-9.7906652862785879E-12</v>
      </c>
      <c r="K8" s="33">
        <f t="shared" si="7"/>
        <v>4.6315657520231289E-12</v>
      </c>
      <c r="L8" s="33">
        <f t="shared" si="8"/>
        <v>-2.8942220347277377E-11</v>
      </c>
      <c r="M8" s="33">
        <f t="shared" si="9"/>
        <v>3.2427910562774853E-13</v>
      </c>
      <c r="N8" s="33">
        <f t="shared" si="10"/>
        <v>1.6907453091921699E-15</v>
      </c>
      <c r="O8" s="33">
        <f t="shared" si="10"/>
        <v>8.3328937943771704E-15</v>
      </c>
      <c r="P8" s="33">
        <f t="shared" si="10"/>
        <v>1.5605946571290499E-15</v>
      </c>
      <c r="Q8" s="33">
        <f t="shared" si="10"/>
        <v>7.5558022688464296E-15</v>
      </c>
      <c r="R8" s="33">
        <f t="shared" si="10"/>
        <v>2.2323735656209599E-16</v>
      </c>
      <c r="S8" s="31">
        <f t="shared" si="11"/>
        <v>-60.031026153138185</v>
      </c>
      <c r="T8" s="33">
        <f t="shared" si="12"/>
        <v>2.8424944338836003E-4</v>
      </c>
      <c r="U8" s="33">
        <f t="shared" si="13"/>
        <v>6.586788477524963E-2</v>
      </c>
      <c r="V8" s="33">
        <f t="shared" si="14"/>
        <v>5.4720016770075757E-8</v>
      </c>
      <c r="W8" s="33">
        <f t="shared" si="15"/>
        <v>2.4396082840029568E-8</v>
      </c>
      <c r="X8" s="33">
        <f t="shared" si="16"/>
        <v>-3.9045102014666444E-9</v>
      </c>
      <c r="Y8" s="33">
        <f t="shared" si="17"/>
        <v>1.623576496257508E-12</v>
      </c>
      <c r="Z8" s="33">
        <f t="shared" si="18"/>
        <v>2.6209003907432036E-12</v>
      </c>
      <c r="AA8" s="33">
        <f t="shared" si="19"/>
        <v>4.5502131199471509E-13</v>
      </c>
      <c r="AB8" s="33">
        <f t="shared" si="20"/>
        <v>3.4919021232055159E-11</v>
      </c>
      <c r="AC8" s="33">
        <f t="shared" si="21"/>
        <v>-1.5569775603692001E-15</v>
      </c>
      <c r="AD8" s="33">
        <f t="shared" si="21"/>
        <v>-8.9998512702542103E-16</v>
      </c>
      <c r="AE8" s="33">
        <f t="shared" si="21"/>
        <v>-9.3831850618819502E-15</v>
      </c>
      <c r="AF8" s="33">
        <f t="shared" si="21"/>
        <v>-2.3048805578410999E-17</v>
      </c>
      <c r="AG8" s="33">
        <f t="shared" si="21"/>
        <v>-1.7480296209813501E-14</v>
      </c>
    </row>
    <row r="9" spans="1:33">
      <c r="A9" t="str">
        <f>SIAF!B10</f>
        <v>NIS_SOSSTA</v>
      </c>
      <c r="B9">
        <f>(SIAF!H10-SIAF!H$4)*COS(RADIANS(SIAF!T10))</f>
        <v>930.5</v>
      </c>
      <c r="C9" s="31">
        <f>(SIAF!I10-SIAF!I$4)*COS(RADIANS(SIAF!T10))</f>
        <v>174.5</v>
      </c>
      <c r="D9" s="31">
        <f t="shared" si="0"/>
        <v>60.831958640231136</v>
      </c>
      <c r="E9" s="99">
        <f t="shared" si="1"/>
        <v>6.5356481390302951E-2</v>
      </c>
      <c r="F9" s="99">
        <f t="shared" si="2"/>
        <v>3.583158368646356E-6</v>
      </c>
      <c r="G9" s="99">
        <f t="shared" si="3"/>
        <v>-1.7275623502858037E-8</v>
      </c>
      <c r="H9" s="99">
        <f t="shared" si="4"/>
        <v>2.5216791615190305E-8</v>
      </c>
      <c r="I9" s="33">
        <f t="shared" si="5"/>
        <v>-5.0566151311313691E-9</v>
      </c>
      <c r="J9" s="33">
        <f t="shared" si="6"/>
        <v>5.1358880691670026E-12</v>
      </c>
      <c r="K9" s="33">
        <f t="shared" si="7"/>
        <v>2.9745031469248706E-11</v>
      </c>
      <c r="L9" s="33">
        <f t="shared" si="8"/>
        <v>-1.6131030412854214E-12</v>
      </c>
      <c r="M9" s="33">
        <f t="shared" si="9"/>
        <v>7.860014354161041E-12</v>
      </c>
      <c r="N9" s="33">
        <f t="shared" si="10"/>
        <v>1.6907453091921699E-15</v>
      </c>
      <c r="O9" s="33">
        <f t="shared" si="10"/>
        <v>8.3328937943771704E-15</v>
      </c>
      <c r="P9" s="33">
        <f t="shared" si="10"/>
        <v>1.5605946571290499E-15</v>
      </c>
      <c r="Q9" s="33">
        <f t="shared" si="10"/>
        <v>7.5558022688464296E-15</v>
      </c>
      <c r="R9" s="33">
        <f t="shared" si="10"/>
        <v>2.2323735656209599E-16</v>
      </c>
      <c r="S9" s="31">
        <f t="shared" si="11"/>
        <v>11.822430104709328</v>
      </c>
      <c r="T9" s="33">
        <f t="shared" si="12"/>
        <v>3.8944437808223936E-4</v>
      </c>
      <c r="U9" s="33">
        <f t="shared" si="13"/>
        <v>6.5901383880770964E-2</v>
      </c>
      <c r="V9" s="33">
        <f t="shared" si="14"/>
        <v>4.1129835510522456E-8</v>
      </c>
      <c r="W9" s="33">
        <f t="shared" si="15"/>
        <v>-7.601861088807422E-9</v>
      </c>
      <c r="X9" s="33">
        <f t="shared" si="16"/>
        <v>-2.0591145318289831E-8</v>
      </c>
      <c r="Y9" s="33">
        <f t="shared" si="17"/>
        <v>-4.7658613515354383E-12</v>
      </c>
      <c r="Z9" s="33">
        <f t="shared" si="18"/>
        <v>-2.0105638789819667E-11</v>
      </c>
      <c r="AA9" s="33">
        <f t="shared" si="19"/>
        <v>-1.5928047334130578E-11</v>
      </c>
      <c r="AB9" s="33">
        <f t="shared" si="20"/>
        <v>-4.1035414915422337E-11</v>
      </c>
      <c r="AC9" s="33">
        <f t="shared" si="21"/>
        <v>-1.5569775603692001E-15</v>
      </c>
      <c r="AD9" s="33">
        <f t="shared" si="21"/>
        <v>-8.9998512702542103E-16</v>
      </c>
      <c r="AE9" s="33">
        <f t="shared" si="21"/>
        <v>-9.3831850618819502E-15</v>
      </c>
      <c r="AF9" s="33">
        <f t="shared" si="21"/>
        <v>-2.3048805578410999E-17</v>
      </c>
      <c r="AG9" s="33">
        <f t="shared" si="21"/>
        <v>-1.7480296209813501E-14</v>
      </c>
    </row>
    <row r="10" spans="1:33" s="40" customFormat="1">
      <c r="A10" t="str">
        <f>SIAF!B11</f>
        <v>NIS_WFSS_OFFSET</v>
      </c>
      <c r="B10">
        <f>(SIAF!H11-SIAF!H$4)*COS(RADIANS(SIAF!T11))</f>
        <v>-2</v>
      </c>
      <c r="C10" s="31">
        <f>(SIAF!I11-SIAF!I$4)*COS(RADIANS(SIAF!T11))</f>
        <v>-3.4000000000000909</v>
      </c>
      <c r="D10" s="31">
        <f t="shared" si="0"/>
        <v>-0.13079582318567251</v>
      </c>
      <c r="E10" s="99">
        <f t="shared" ref="E10" si="22">E$3+2*G$3*$B10+H$3*$C10+3*J$3*$B10^2+2*K$3*$B10*$C10+L$3*$C10^2+4*N$3*$B10^3+3*O$3*$B10^2*$C10+2*P$3*$B10*$C10^2+Q$3*$C10^3</f>
        <v>6.5397944409521819E-2</v>
      </c>
      <c r="F10" s="99">
        <f t="shared" ref="F10" si="23">F$3+H$3*$B10+2*I$3*$C10+K$3*$B10^2+2*L$3*$B10*$C10+3*M$3*$C10^2+O$3*$B10^3+2*P$3*$B10^2*$C10+3*Q$3*$B10*$C10^2+4*R$3*$C10^3</f>
        <v>3.0050778281221805E-8</v>
      </c>
      <c r="G10" s="99">
        <f t="shared" ref="G10" si="24">G$3+3*J$3*$B10+K$3*$C10+6*N$3*$B10^2+3*O$3*$B10*$C10+P$3*$C10^2</f>
        <v>-2.3917257228241926E-8</v>
      </c>
      <c r="H10" s="99">
        <f t="shared" ref="H10" si="25">H$3+2*K$3*$B10+2*L$3*$C10+3*O$3*$B10^2+4*P$3*$B10*$C10+3*Q$3*$C10^2</f>
        <v>-6.1930438753112382E-9</v>
      </c>
      <c r="I10" s="33">
        <f t="shared" ref="I10" si="26">I$3+L$3*$B10+3*M$3*$C10+P$3*$B10^2+3*Q$3*$B10*$C10+6*R$3*$C10^2</f>
        <v>-2.5875349406998131E-9</v>
      </c>
      <c r="J10" s="33">
        <f t="shared" ref="J10" si="27">J$3+4*N$3*$B10+O$3*$C10</f>
        <v>-2.6530137401394909E-12</v>
      </c>
      <c r="K10" s="33">
        <f t="shared" ref="K10" si="28">K$3+3*O$3*$B10+2*P$3*$C10</f>
        <v>5.8785015004720585E-12</v>
      </c>
      <c r="L10" s="33">
        <f t="shared" ref="L10" si="29">L$3+2*P$3*$B10+3*Q$3*$C10</f>
        <v>-8.5561437477144427E-12</v>
      </c>
      <c r="M10" s="33">
        <f t="shared" ref="M10" si="30">M$3+Q$3*$B10+4*R$3*$C10</f>
        <v>6.5537303553215752E-13</v>
      </c>
      <c r="N10" s="33">
        <f t="shared" si="10"/>
        <v>1.6907453091921699E-15</v>
      </c>
      <c r="O10" s="33">
        <f t="shared" si="10"/>
        <v>8.3328937943771704E-15</v>
      </c>
      <c r="P10" s="33">
        <f t="shared" si="10"/>
        <v>1.5605946571290499E-15</v>
      </c>
      <c r="Q10" s="33">
        <f t="shared" si="10"/>
        <v>7.5558022688464296E-15</v>
      </c>
      <c r="R10" s="33">
        <f t="shared" si="10"/>
        <v>2.2323735656209599E-16</v>
      </c>
      <c r="S10" s="31">
        <f t="shared" si="11"/>
        <v>-0.2246381972037102</v>
      </c>
      <c r="T10" s="33">
        <f t="shared" ref="T10" si="31">T$3+2*V$3*$B10+W$3*$C10+3*Y$3*$B10^2+2*Z$3*$B10*$C10+AA$3*$C10^2+4*AC$3*$B10^3+3*AD$3*$B10^2*$C10+2*AE$3*$B10*$C10^2+AF$3*$C10^3</f>
        <v>3.0050383918752013E-4</v>
      </c>
      <c r="U10" s="33">
        <f t="shared" ref="U10" si="32">U$3+W$3*$B10+2*X$3*$C10+Z$3*$B10^2+2*AA$3*$B10*$C10+3*AB$3*$C10^2+AD$3*$B10^3+2*AE$3*$B10^2*$C10+3*AF$3*$B10*$C10^2+4*AG$3*$C10^3</f>
        <v>6.5893163705180169E-2</v>
      </c>
      <c r="V10" s="33">
        <f t="shared" ref="V10" si="33">V$3+3*Y$3*$B10+Z$3*$C10+6*AC$3*$B10^2+3*AD$3*$B10*$C10+AE$3*$C10^2</f>
        <v>4.9170985158746047E-8</v>
      </c>
      <c r="W10" s="33">
        <f t="shared" ref="W10" si="34">W$3+2*Z$3*$B10+2*AA$3*$C10+3*AD$3*$B10^2+4*AE$3*$B10*$C10+3*AF$3*$C10^2</f>
        <v>2.6986031083249228E-8</v>
      </c>
      <c r="X10" s="33">
        <f t="shared" ref="X10" si="35">X$3+AA$3*$B10+3*AB$3*$C10+AE$3*$B10^2+3*AF$3*$B10*$C10+6*AG$3*$C10^2</f>
        <v>4.6723402373855739E-9</v>
      </c>
      <c r="Y10" s="33">
        <f t="shared" ref="Y10" si="36">Y$3+4*AC$3*$B10+AD$3*$C10</f>
        <v>1.2017723027395E-12</v>
      </c>
      <c r="Z10" s="33">
        <f t="shared" ref="Z10" si="37">Z$3+3*AD$3*$B10+2*AE$3*$C10</f>
        <v>-1.4249393151948449E-11</v>
      </c>
      <c r="AA10" s="33">
        <f t="shared" ref="AA10" si="38">AA$3+2*AE$3*$B10+3*AF$3*$C10</f>
        <v>1.5838939538164575E-12</v>
      </c>
      <c r="AB10" s="33">
        <f t="shared" ref="AB10" si="39">AB$3+AF$3*$B10+4*AG$3*$C10</f>
        <v>-2.8574943121317173E-11</v>
      </c>
      <c r="AC10" s="33">
        <f t="shared" si="21"/>
        <v>-1.5569775603692001E-15</v>
      </c>
      <c r="AD10" s="33">
        <f t="shared" si="21"/>
        <v>-8.9998512702542103E-16</v>
      </c>
      <c r="AE10" s="33">
        <f t="shared" si="21"/>
        <v>-9.3831850618819502E-15</v>
      </c>
      <c r="AF10" s="33">
        <f t="shared" si="21"/>
        <v>-2.3048805578410999E-17</v>
      </c>
      <c r="AG10" s="33">
        <f t="shared" si="21"/>
        <v>-1.7480296209813501E-14</v>
      </c>
    </row>
    <row r="11" spans="1:33">
      <c r="A11" t="str">
        <f>SIAF!B12</f>
        <v>NIS_WFSS64</v>
      </c>
      <c r="B11">
        <f>(SIAF!H12-SIAF!H$4)*COS(RADIANS(SIAF!T12))</f>
        <v>992</v>
      </c>
      <c r="C11" s="31">
        <f>(SIAF!I12-SIAF!I$4)*COS(RADIANS(SIAF!T12))</f>
        <v>992</v>
      </c>
      <c r="D11" s="31">
        <f t="shared" si="0"/>
        <v>64.856814817488299</v>
      </c>
      <c r="E11" s="99">
        <f t="shared" si="1"/>
        <v>6.5381277573823185E-2</v>
      </c>
      <c r="F11" s="99">
        <f t="shared" si="2"/>
        <v>1.4006509697611265E-5</v>
      </c>
      <c r="G11" s="99">
        <f t="shared" si="3"/>
        <v>1.0326675118652863E-8</v>
      </c>
      <c r="H11" s="99">
        <f t="shared" si="4"/>
        <v>4.1795171304692266E-8</v>
      </c>
      <c r="I11" s="33">
        <f t="shared" si="5"/>
        <v>1.6161544529752292E-8</v>
      </c>
      <c r="J11" s="33">
        <f t="shared" si="6"/>
        <v>1.2363952092131612E-11</v>
      </c>
      <c r="K11" s="33">
        <f t="shared" si="7"/>
        <v>3.3834022638717297E-11</v>
      </c>
      <c r="L11" s="33">
        <f t="shared" si="8"/>
        <v>1.7109455165887319E-11</v>
      </c>
      <c r="M11" s="33">
        <f t="shared" si="9"/>
        <v>9.0546823496531501E-12</v>
      </c>
      <c r="N11" s="33">
        <f t="shared" si="10"/>
        <v>1.6907453091921699E-15</v>
      </c>
      <c r="O11" s="33">
        <f t="shared" si="10"/>
        <v>8.3328937943771704E-15</v>
      </c>
      <c r="P11" s="33">
        <f t="shared" si="10"/>
        <v>1.5605946571290499E-15</v>
      </c>
      <c r="Q11" s="33">
        <f t="shared" si="10"/>
        <v>7.5558022688464296E-15</v>
      </c>
      <c r="R11" s="33">
        <f t="shared" si="10"/>
        <v>2.2323735656209599E-16</v>
      </c>
      <c r="S11" s="31">
        <f t="shared" si="11"/>
        <v>65.675805234126301</v>
      </c>
      <c r="T11" s="33">
        <f t="shared" si="12"/>
        <v>3.7477456068410269E-4</v>
      </c>
      <c r="U11" s="33">
        <f t="shared" si="13"/>
        <v>6.5745037679419221E-2</v>
      </c>
      <c r="V11" s="33">
        <f t="shared" si="14"/>
        <v>1.7372256256730175E-8</v>
      </c>
      <c r="W11" s="33">
        <f t="shared" si="15"/>
        <v>-3.8060640371837846E-8</v>
      </c>
      <c r="X11" s="33">
        <f t="shared" si="16"/>
        <v>-1.9234218853686487E-7</v>
      </c>
      <c r="Y11" s="33">
        <f t="shared" si="17"/>
        <v>-5.8846156727295431E-12</v>
      </c>
      <c r="Z11" s="33">
        <f t="shared" si="18"/>
        <v>-3.5613193621932845E-11</v>
      </c>
      <c r="AA11" s="33">
        <f t="shared" si="19"/>
        <v>-1.7138706292423111E-11</v>
      </c>
      <c r="AB11" s="33">
        <f t="shared" si="20"/>
        <v>-9.8197401023055553E-11</v>
      </c>
      <c r="AC11" s="33">
        <f t="shared" si="21"/>
        <v>-1.5569775603692001E-15</v>
      </c>
      <c r="AD11" s="33">
        <f t="shared" si="21"/>
        <v>-8.9998512702542103E-16</v>
      </c>
      <c r="AE11" s="33">
        <f t="shared" si="21"/>
        <v>-9.3831850618819502E-15</v>
      </c>
      <c r="AF11" s="33">
        <f t="shared" si="21"/>
        <v>-2.3048805578410999E-17</v>
      </c>
      <c r="AG11" s="33">
        <f t="shared" si="21"/>
        <v>-1.7480296209813501E-14</v>
      </c>
    </row>
    <row r="12" spans="1:33">
      <c r="A12" t="str">
        <f>SIAF!B13</f>
        <v>NIS_WFSS64R</v>
      </c>
      <c r="B12">
        <f>(SIAF!H13-SIAF!H$4)*COS(RADIANS(SIAF!T13))</f>
        <v>992</v>
      </c>
      <c r="C12" s="31">
        <f>(SIAF!I13-SIAF!I$4)*COS(RADIANS(SIAF!T13))</f>
        <v>-228.5</v>
      </c>
      <c r="D12" s="31">
        <f t="shared" si="0"/>
        <v>64.847827642459748</v>
      </c>
      <c r="E12" s="99">
        <f t="shared" si="1"/>
        <v>6.5342016093690433E-2</v>
      </c>
      <c r="F12" s="99">
        <f t="shared" si="2"/>
        <v>1.3396839210764999E-5</v>
      </c>
      <c r="G12" s="99">
        <f t="shared" si="3"/>
        <v>-2.8643056108600356E-8</v>
      </c>
      <c r="H12" s="99">
        <f t="shared" si="4"/>
        <v>3.3796819438770075E-8</v>
      </c>
      <c r="I12" s="33">
        <f t="shared" si="5"/>
        <v>-1.4996941572154506E-8</v>
      </c>
      <c r="J12" s="33">
        <f t="shared" si="6"/>
        <v>2.1936552160942765E-12</v>
      </c>
      <c r="K12" s="33">
        <f t="shared" si="7"/>
        <v>3.0024611080665286E-11</v>
      </c>
      <c r="L12" s="33">
        <f t="shared" si="8"/>
        <v>-1.0556114841493884E-11</v>
      </c>
      <c r="M12" s="33">
        <f t="shared" si="9"/>
        <v>7.9648375749169968E-12</v>
      </c>
      <c r="N12" s="33">
        <f t="shared" si="10"/>
        <v>1.6907453091921699E-15</v>
      </c>
      <c r="O12" s="33">
        <f t="shared" si="10"/>
        <v>8.3328937943771704E-15</v>
      </c>
      <c r="P12" s="33">
        <f t="shared" si="10"/>
        <v>1.5605946571290499E-15</v>
      </c>
      <c r="Q12" s="33">
        <f t="shared" si="10"/>
        <v>7.5558022688464296E-15</v>
      </c>
      <c r="R12" s="33">
        <f t="shared" si="10"/>
        <v>2.2323735656209599E-16</v>
      </c>
      <c r="S12" s="31">
        <f t="shared" si="11"/>
        <v>-14.712787419416987</v>
      </c>
      <c r="T12" s="33">
        <f t="shared" si="12"/>
        <v>3.9573931291330262E-4</v>
      </c>
      <c r="U12" s="33">
        <f t="shared" si="13"/>
        <v>6.5902836864125666E-2</v>
      </c>
      <c r="V12" s="33">
        <f t="shared" si="14"/>
        <v>4.6860776594622343E-8</v>
      </c>
      <c r="W12" s="33">
        <f t="shared" si="15"/>
        <v>3.6719397853832272E-9</v>
      </c>
      <c r="X12" s="33">
        <f t="shared" si="16"/>
        <v>1.097357604823441E-8</v>
      </c>
      <c r="Y12" s="33">
        <f t="shared" si="17"/>
        <v>-4.7861838251950162E-12</v>
      </c>
      <c r="Z12" s="33">
        <f t="shared" si="18"/>
        <v>-1.2708838885879003E-11</v>
      </c>
      <c r="AA12" s="33">
        <f t="shared" si="19"/>
        <v>-1.7054313090797758E-11</v>
      </c>
      <c r="AB12" s="33">
        <f t="shared" si="20"/>
        <v>-1.2858594926746043E-11</v>
      </c>
      <c r="AC12" s="33">
        <f t="shared" si="21"/>
        <v>-1.5569775603692001E-15</v>
      </c>
      <c r="AD12" s="33">
        <f t="shared" si="21"/>
        <v>-8.9998512702542103E-16</v>
      </c>
      <c r="AE12" s="33">
        <f t="shared" si="21"/>
        <v>-9.3831850618819502E-15</v>
      </c>
      <c r="AF12" s="33">
        <f t="shared" si="21"/>
        <v>-2.3048805578410999E-17</v>
      </c>
      <c r="AG12" s="33">
        <f t="shared" si="21"/>
        <v>-1.7480296209813501E-14</v>
      </c>
    </row>
    <row r="13" spans="1:33">
      <c r="A13" t="str">
        <f>SIAF!B14</f>
        <v>NIS_WFSS64R3</v>
      </c>
      <c r="B13">
        <f>(SIAF!H14-SIAF!H$4)*COS(RADIANS(SIAF!T14))</f>
        <v>992</v>
      </c>
      <c r="C13" s="31">
        <f>(SIAF!I14-SIAF!I$4)*COS(RADIANS(SIAF!T14))</f>
        <v>724.5</v>
      </c>
      <c r="D13" s="31">
        <f t="shared" si="0"/>
        <v>64.854052360343545</v>
      </c>
      <c r="E13" s="99">
        <f t="shared" si="1"/>
        <v>6.5371177026096031E-2</v>
      </c>
      <c r="F13" s="99">
        <f t="shared" si="2"/>
        <v>7.2867485057787131E-6</v>
      </c>
      <c r="G13" s="99">
        <f t="shared" si="3"/>
        <v>1.3877443642301783E-9</v>
      </c>
      <c r="H13" s="99">
        <f t="shared" si="4"/>
        <v>3.4263607419242973E-8</v>
      </c>
      <c r="I13" s="33">
        <f t="shared" si="5"/>
        <v>8.9910061127286184E-9</v>
      </c>
      <c r="J13" s="33">
        <f t="shared" si="6"/>
        <v>1.013490300213572E-11</v>
      </c>
      <c r="K13" s="33">
        <f t="shared" si="7"/>
        <v>3.2999104497153257E-11</v>
      </c>
      <c r="L13" s="33">
        <f t="shared" si="8"/>
        <v>1.1045923845138059E-11</v>
      </c>
      <c r="M13" s="33">
        <f t="shared" si="9"/>
        <v>8.815818378131708E-12</v>
      </c>
      <c r="N13" s="33">
        <f t="shared" si="10"/>
        <v>1.6907453091921699E-15</v>
      </c>
      <c r="O13" s="33">
        <f t="shared" si="10"/>
        <v>8.3328937943771704E-15</v>
      </c>
      <c r="P13" s="33">
        <f t="shared" si="10"/>
        <v>1.5605946571290499E-15</v>
      </c>
      <c r="Q13" s="33">
        <f t="shared" si="10"/>
        <v>7.5558022688464296E-15</v>
      </c>
      <c r="R13" s="33">
        <f t="shared" si="10"/>
        <v>2.2323735656209599E-16</v>
      </c>
      <c r="S13" s="31">
        <f t="shared" si="11"/>
        <v>48.077034490451773</v>
      </c>
      <c r="T13" s="33">
        <f t="shared" si="12"/>
        <v>3.8372984161546219E-4</v>
      </c>
      <c r="U13" s="33">
        <f t="shared" si="13"/>
        <v>6.5828199219112454E-2</v>
      </c>
      <c r="V13" s="33">
        <f t="shared" si="14"/>
        <v>2.622736001451292E-8</v>
      </c>
      <c r="W13" s="33">
        <f t="shared" si="15"/>
        <v>-2.8896380363673991E-8</v>
      </c>
      <c r="X13" s="33">
        <f t="shared" si="16"/>
        <v>-1.2104372088984361E-7</v>
      </c>
      <c r="Y13" s="33">
        <f t="shared" si="17"/>
        <v>-5.6438696512502428E-12</v>
      </c>
      <c r="Z13" s="33">
        <f t="shared" si="18"/>
        <v>-3.0593189613826001E-11</v>
      </c>
      <c r="AA13" s="33">
        <f t="shared" si="19"/>
        <v>-1.7120209625946436E-11</v>
      </c>
      <c r="AB13" s="33">
        <f t="shared" si="20"/>
        <v>-7.9493484078555116E-11</v>
      </c>
      <c r="AC13" s="33">
        <f t="shared" si="21"/>
        <v>-1.5569775603692001E-15</v>
      </c>
      <c r="AD13" s="33">
        <f t="shared" si="21"/>
        <v>-8.9998512702542103E-16</v>
      </c>
      <c r="AE13" s="33">
        <f t="shared" si="21"/>
        <v>-9.3831850618819502E-15</v>
      </c>
      <c r="AF13" s="33">
        <f t="shared" si="21"/>
        <v>-2.3048805578410999E-17</v>
      </c>
      <c r="AG13" s="33">
        <f t="shared" si="21"/>
        <v>-1.7480296209813501E-14</v>
      </c>
    </row>
    <row r="14" spans="1:33">
      <c r="A14" t="str">
        <f>SIAF!B15</f>
        <v>NIS_WFSS64C</v>
      </c>
      <c r="B14">
        <f>(SIAF!H15-SIAF!H$4)*COS(RADIANS(SIAF!T15))</f>
        <v>-228.5</v>
      </c>
      <c r="C14" s="31">
        <f>(SIAF!I15-SIAF!I$4)*COS(RADIANS(SIAF!T15))</f>
        <v>992</v>
      </c>
      <c r="D14" s="31">
        <f t="shared" si="0"/>
        <v>-14.944378599179172</v>
      </c>
      <c r="E14" s="99">
        <f t="shared" si="1"/>
        <v>6.5399027288904232E-2</v>
      </c>
      <c r="F14" s="99">
        <f t="shared" si="2"/>
        <v>-1.7545317932308818E-6</v>
      </c>
      <c r="G14" s="99">
        <f t="shared" si="3"/>
        <v>-1.983252476569603E-8</v>
      </c>
      <c r="H14" s="99">
        <f t="shared" si="4"/>
        <v>-3.5551359448059449E-9</v>
      </c>
      <c r="I14" s="33">
        <f t="shared" si="5"/>
        <v>-2.3958520969119433E-9</v>
      </c>
      <c r="J14" s="33">
        <f t="shared" si="6"/>
        <v>4.1097334926554396E-12</v>
      </c>
      <c r="K14" s="33">
        <f t="shared" si="7"/>
        <v>3.3231320106052848E-12</v>
      </c>
      <c r="L14" s="33">
        <f t="shared" si="8"/>
        <v>1.3300043607835308E-11</v>
      </c>
      <c r="M14" s="33">
        <f t="shared" si="9"/>
        <v>-1.6717431947391718E-13</v>
      </c>
      <c r="N14" s="33">
        <f t="shared" si="10"/>
        <v>1.6907453091921699E-15</v>
      </c>
      <c r="O14" s="33">
        <f t="shared" si="10"/>
        <v>8.3328937943771704E-15</v>
      </c>
      <c r="P14" s="33">
        <f t="shared" si="10"/>
        <v>1.5605946571290499E-15</v>
      </c>
      <c r="Q14" s="33">
        <f t="shared" si="10"/>
        <v>7.5558022688464296E-15</v>
      </c>
      <c r="R14" s="33">
        <f t="shared" si="10"/>
        <v>2.2323735656209599E-16</v>
      </c>
      <c r="S14" s="31">
        <f t="shared" si="11"/>
        <v>65.251514774352941</v>
      </c>
      <c r="T14" s="33">
        <f t="shared" si="12"/>
        <v>3.1739420364061504E-4</v>
      </c>
      <c r="U14" s="33">
        <f t="shared" si="13"/>
        <v>6.5740076802929981E-2</v>
      </c>
      <c r="V14" s="33">
        <f t="shared" si="14"/>
        <v>2.5002944726100046E-8</v>
      </c>
      <c r="W14" s="33">
        <f t="shared" si="15"/>
        <v>4.4849257049552558E-8</v>
      </c>
      <c r="X14" s="33">
        <f t="shared" si="16"/>
        <v>-1.8540177998463933E-7</v>
      </c>
      <c r="Y14" s="33">
        <f t="shared" si="17"/>
        <v>1.7165487769928912E-12</v>
      </c>
      <c r="Z14" s="33">
        <f t="shared" si="18"/>
        <v>-3.2317898079329263E-11</v>
      </c>
      <c r="AA14" s="33">
        <f t="shared" si="19"/>
        <v>5.7656484436307304E-12</v>
      </c>
      <c r="AB14" s="33">
        <f t="shared" si="20"/>
        <v>-9.8169269955847103E-11</v>
      </c>
      <c r="AC14" s="33">
        <f t="shared" si="21"/>
        <v>-1.5569775603692001E-15</v>
      </c>
      <c r="AD14" s="33">
        <f t="shared" si="21"/>
        <v>-8.9998512702542103E-16</v>
      </c>
      <c r="AE14" s="33">
        <f t="shared" si="21"/>
        <v>-9.3831850618819502E-15</v>
      </c>
      <c r="AF14" s="33">
        <f t="shared" si="21"/>
        <v>-2.3048805578410999E-17</v>
      </c>
      <c r="AG14" s="33">
        <f t="shared" si="21"/>
        <v>-1.7480296209813501E-14</v>
      </c>
    </row>
    <row r="15" spans="1:33">
      <c r="A15" t="str">
        <f>SIAF!B16</f>
        <v>NIS_WFSS64C3</v>
      </c>
      <c r="B15">
        <f>(SIAF!H16-SIAF!H$4)*COS(RADIANS(SIAF!T16))</f>
        <v>724.5</v>
      </c>
      <c r="C15" s="31">
        <f>(SIAF!I16-SIAF!I$4)*COS(RADIANS(SIAF!T16))</f>
        <v>992</v>
      </c>
      <c r="D15" s="31">
        <f t="shared" si="0"/>
        <v>47.367833999677529</v>
      </c>
      <c r="E15" s="99">
        <f t="shared" si="1"/>
        <v>6.5378277504543766E-2</v>
      </c>
      <c r="F15" s="99">
        <f t="shared" si="2"/>
        <v>5.0878347621017798E-6</v>
      </c>
      <c r="G15" s="99">
        <f t="shared" si="3"/>
        <v>1.1305039289025403E-9</v>
      </c>
      <c r="H15" s="99">
        <f t="shared" si="4"/>
        <v>2.5482781087700213E-8</v>
      </c>
      <c r="I15" s="33">
        <f t="shared" si="5"/>
        <v>1.1696435574311622E-8</v>
      </c>
      <c r="J15" s="33">
        <f t="shared" si="6"/>
        <v>1.0554854611295991E-11</v>
      </c>
      <c r="K15" s="33">
        <f t="shared" si="7"/>
        <v>2.7146875368729617E-11</v>
      </c>
      <c r="L15" s="33">
        <f t="shared" si="8"/>
        <v>1.6274537024323279E-11</v>
      </c>
      <c r="M15" s="33">
        <f t="shared" si="9"/>
        <v>7.0335052427367303E-12</v>
      </c>
      <c r="N15" s="33">
        <f t="shared" si="10"/>
        <v>1.6907453091921699E-15</v>
      </c>
      <c r="O15" s="33">
        <f t="shared" si="10"/>
        <v>8.3328937943771704E-15</v>
      </c>
      <c r="P15" s="33">
        <f t="shared" si="10"/>
        <v>1.5605946571290499E-15</v>
      </c>
      <c r="Q15" s="33">
        <f t="shared" si="10"/>
        <v>7.5558022688464296E-15</v>
      </c>
      <c r="R15" s="33">
        <f t="shared" si="10"/>
        <v>2.2323735656209599E-16</v>
      </c>
      <c r="S15" s="31">
        <f t="shared" si="11"/>
        <v>65.576900799643269</v>
      </c>
      <c r="T15" s="33">
        <f t="shared" si="12"/>
        <v>3.6433637077489976E-4</v>
      </c>
      <c r="U15" s="33">
        <f t="shared" si="13"/>
        <v>6.5752687781015076E-2</v>
      </c>
      <c r="V15" s="33">
        <f t="shared" si="14"/>
        <v>2.1426191480770621E-8</v>
      </c>
      <c r="W15" s="33">
        <f t="shared" si="15"/>
        <v>-1.9200780466340908E-8</v>
      </c>
      <c r="X15" s="33">
        <f t="shared" si="16"/>
        <v>-1.8842901013972598E-7</v>
      </c>
      <c r="Y15" s="33">
        <f t="shared" si="17"/>
        <v>-4.2186496831344992E-12</v>
      </c>
      <c r="Z15" s="33">
        <f t="shared" si="18"/>
        <v>-3.4890955557494941E-11</v>
      </c>
      <c r="AA15" s="33">
        <f t="shared" si="19"/>
        <v>-1.2118702284316268E-11</v>
      </c>
      <c r="AB15" s="33">
        <f t="shared" si="20"/>
        <v>-9.8191235467563332E-11</v>
      </c>
      <c r="AC15" s="33">
        <f t="shared" si="21"/>
        <v>-1.5569775603692001E-15</v>
      </c>
      <c r="AD15" s="33">
        <f t="shared" si="21"/>
        <v>-8.9998512702542103E-16</v>
      </c>
      <c r="AE15" s="33">
        <f t="shared" si="21"/>
        <v>-9.3831850618819502E-15</v>
      </c>
      <c r="AF15" s="33">
        <f t="shared" si="21"/>
        <v>-2.3048805578410999E-17</v>
      </c>
      <c r="AG15" s="33">
        <f t="shared" si="21"/>
        <v>-1.7480296209813501E-14</v>
      </c>
    </row>
    <row r="16" spans="1:33">
      <c r="A16" t="str">
        <f>SIAF!B17</f>
        <v>NIS_WFSS128</v>
      </c>
      <c r="B16">
        <f>(SIAF!H17-SIAF!H$4)*COS(RADIANS(SIAF!T17))</f>
        <v>944.5</v>
      </c>
      <c r="C16" s="31">
        <f>(SIAF!I17-SIAF!I$4)*COS(RADIANS(SIAF!T17))</f>
        <v>944.5</v>
      </c>
      <c r="D16" s="31">
        <f t="shared" si="0"/>
        <v>61.750685231310591</v>
      </c>
      <c r="E16" s="99">
        <f t="shared" si="1"/>
        <v>6.5378581688555898E-2</v>
      </c>
      <c r="F16" s="99">
        <f t="shared" si="2"/>
        <v>1.0696973078364509E-5</v>
      </c>
      <c r="G16" s="99">
        <f t="shared" si="3"/>
        <v>7.04050870137407E-9</v>
      </c>
      <c r="H16" s="99">
        <f t="shared" si="4"/>
        <v>3.7077171891513354E-8</v>
      </c>
      <c r="I16" s="33">
        <f t="shared" si="5"/>
        <v>1.4116239678563933E-8</v>
      </c>
      <c r="J16" s="33">
        <f t="shared" si="6"/>
        <v>1.1646898028152185E-11</v>
      </c>
      <c r="K16" s="33">
        <f t="shared" si="7"/>
        <v>3.2498328780591288E-11</v>
      </c>
      <c r="L16" s="33">
        <f t="shared" si="8"/>
        <v>1.5884496850149446E-11</v>
      </c>
      <c r="M16" s="33">
        <f t="shared" si="9"/>
        <v>8.6533666441361461E-12</v>
      </c>
      <c r="N16" s="33">
        <f t="shared" si="10"/>
        <v>1.6907453091921699E-15</v>
      </c>
      <c r="O16" s="33">
        <f t="shared" si="10"/>
        <v>8.3328937943771704E-15</v>
      </c>
      <c r="P16" s="33">
        <f t="shared" si="10"/>
        <v>1.5605946571290499E-15</v>
      </c>
      <c r="Q16" s="33">
        <f t="shared" si="10"/>
        <v>7.5558022688464296E-15</v>
      </c>
      <c r="R16" s="33">
        <f t="shared" si="10"/>
        <v>2.2323735656209599E-16</v>
      </c>
      <c r="S16" s="31">
        <f t="shared" si="11"/>
        <v>62.534650161298899</v>
      </c>
      <c r="T16" s="33">
        <f t="shared" si="12"/>
        <v>3.7469584203610488E-4</v>
      </c>
      <c r="U16" s="33">
        <f t="shared" si="13"/>
        <v>6.5764305312084659E-2</v>
      </c>
      <c r="V16" s="33">
        <f t="shared" si="14"/>
        <v>1.9854100517788017E-8</v>
      </c>
      <c r="W16" s="33">
        <f t="shared" si="15"/>
        <v>-3.3140140911088824E-8</v>
      </c>
      <c r="X16" s="33">
        <f t="shared" si="16"/>
        <v>-1.7779293667502834E-7</v>
      </c>
      <c r="Y16" s="33">
        <f t="shared" si="17"/>
        <v>-5.5460406427256889E-12</v>
      </c>
      <c r="Z16" s="33">
        <f t="shared" si="18"/>
        <v>-3.4593543160452938E-11</v>
      </c>
      <c r="AA16" s="33">
        <f t="shared" si="19"/>
        <v>-1.6244019256749402E-11</v>
      </c>
      <c r="AB16" s="33">
        <f t="shared" si="20"/>
        <v>-9.4875049924926017E-11</v>
      </c>
      <c r="AC16" s="33">
        <f t="shared" si="21"/>
        <v>-1.5569775603692001E-15</v>
      </c>
      <c r="AD16" s="33">
        <f t="shared" si="21"/>
        <v>-8.9998512702542103E-16</v>
      </c>
      <c r="AE16" s="33">
        <f t="shared" si="21"/>
        <v>-9.3831850618819502E-15</v>
      </c>
      <c r="AF16" s="33">
        <f t="shared" si="21"/>
        <v>-2.3048805578410999E-17</v>
      </c>
      <c r="AG16" s="33">
        <f t="shared" si="21"/>
        <v>-1.7480296209813501E-14</v>
      </c>
    </row>
    <row r="17" spans="1:33">
      <c r="A17" t="str">
        <f>SIAF!B18</f>
        <v>NIS_WFSS128R</v>
      </c>
      <c r="B17">
        <f>(SIAF!H18-SIAF!H$4)*COS(RADIANS(SIAF!T18))</f>
        <v>960</v>
      </c>
      <c r="C17" s="31">
        <f>(SIAF!I18-SIAF!I$4)*COS(RADIANS(SIAF!T18))</f>
        <v>-228.5</v>
      </c>
      <c r="D17" s="31">
        <f t="shared" si="0"/>
        <v>62.756853726863405</v>
      </c>
      <c r="E17" s="99">
        <f t="shared" si="1"/>
        <v>6.5343855766580819E-2</v>
      </c>
      <c r="F17" s="99">
        <f t="shared" si="2"/>
        <v>1.2345813138207103E-5</v>
      </c>
      <c r="G17" s="99">
        <f t="shared" si="3"/>
        <v>-2.884325907016573E-8</v>
      </c>
      <c r="H17" s="99">
        <f t="shared" si="4"/>
        <v>3.190084297934382E-8</v>
      </c>
      <c r="I17" s="33">
        <f t="shared" si="5"/>
        <v>-1.4657547848297803E-8</v>
      </c>
      <c r="J17" s="33">
        <f t="shared" si="6"/>
        <v>1.9772398165176793E-12</v>
      </c>
      <c r="K17" s="33">
        <f t="shared" si="7"/>
        <v>2.9224653276405078E-11</v>
      </c>
      <c r="L17" s="33">
        <f t="shared" si="8"/>
        <v>-1.0655992899550142E-11</v>
      </c>
      <c r="M17" s="33">
        <f t="shared" si="9"/>
        <v>7.7230519023139111E-12</v>
      </c>
      <c r="N17" s="33">
        <f t="shared" si="10"/>
        <v>1.6907453091921699E-15</v>
      </c>
      <c r="O17" s="33">
        <f t="shared" si="10"/>
        <v>8.3328937943771704E-15</v>
      </c>
      <c r="P17" s="33">
        <f t="shared" si="10"/>
        <v>1.5605946571290499E-15</v>
      </c>
      <c r="Q17" s="33">
        <f t="shared" si="10"/>
        <v>7.5558022688464296E-15</v>
      </c>
      <c r="R17" s="33">
        <f t="shared" si="10"/>
        <v>2.2323735656209599E-16</v>
      </c>
      <c r="S17" s="31">
        <f t="shared" si="11"/>
        <v>-14.72540293679392</v>
      </c>
      <c r="T17" s="33">
        <f t="shared" si="12"/>
        <v>3.9272572413069862E-4</v>
      </c>
      <c r="U17" s="33">
        <f t="shared" si="13"/>
        <v>6.5902706377692216E-2</v>
      </c>
      <c r="V17" s="33">
        <f t="shared" si="14"/>
        <v>4.731068417171016E-8</v>
      </c>
      <c r="W17" s="33">
        <f t="shared" si="15"/>
        <v>4.4825407197692613E-9</v>
      </c>
      <c r="X17" s="33">
        <f t="shared" si="16"/>
        <v>1.1509705685636567E-8</v>
      </c>
      <c r="Y17" s="33">
        <f t="shared" si="17"/>
        <v>-4.5868906974677599E-12</v>
      </c>
      <c r="Z17" s="33">
        <f t="shared" si="18"/>
        <v>-1.2622440313684562E-11</v>
      </c>
      <c r="AA17" s="33">
        <f t="shared" si="19"/>
        <v>-1.6453789246837314E-11</v>
      </c>
      <c r="AB17" s="33">
        <f t="shared" si="20"/>
        <v>-1.2857857364967536E-11</v>
      </c>
      <c r="AC17" s="33">
        <f t="shared" si="21"/>
        <v>-1.5569775603692001E-15</v>
      </c>
      <c r="AD17" s="33">
        <f t="shared" si="21"/>
        <v>-8.9998512702542103E-16</v>
      </c>
      <c r="AE17" s="33">
        <f t="shared" si="21"/>
        <v>-9.3831850618819502E-15</v>
      </c>
      <c r="AF17" s="33">
        <f t="shared" si="21"/>
        <v>-2.3048805578410999E-17</v>
      </c>
      <c r="AG17" s="33">
        <f t="shared" si="21"/>
        <v>-1.7480296209813501E-14</v>
      </c>
    </row>
    <row r="18" spans="1:33">
      <c r="A18" t="str">
        <f>SIAF!B19</f>
        <v>NIS_WFSS128R3</v>
      </c>
      <c r="B18">
        <f>(SIAF!H19-SIAF!H$4)*COS(RADIANS(SIAF!T19))</f>
        <v>960</v>
      </c>
      <c r="C18" s="31">
        <f>(SIAF!I19-SIAF!I$4)*COS(RADIANS(SIAF!T19))</f>
        <v>724.5</v>
      </c>
      <c r="D18" s="31">
        <f t="shared" si="0"/>
        <v>62.762175786231076</v>
      </c>
      <c r="E18" s="99">
        <f t="shared" si="1"/>
        <v>6.5371119123269358E-2</v>
      </c>
      <c r="F18" s="99">
        <f t="shared" si="2"/>
        <v>6.2238310991041714E-6</v>
      </c>
      <c r="G18" s="99">
        <f t="shared" si="3"/>
        <v>4.251816152048265E-10</v>
      </c>
      <c r="H18" s="99">
        <f t="shared" si="4"/>
        <v>3.217726338116149E-8</v>
      </c>
      <c r="I18" s="33">
        <f t="shared" si="5"/>
        <v>8.6391345986130997E-9</v>
      </c>
      <c r="J18" s="33">
        <f t="shared" si="6"/>
        <v>9.9184876025591214E-12</v>
      </c>
      <c r="K18" s="33">
        <f t="shared" si="7"/>
        <v>3.2199146692893049E-11</v>
      </c>
      <c r="L18" s="33">
        <f t="shared" si="8"/>
        <v>1.0946045787081801E-11</v>
      </c>
      <c r="M18" s="33">
        <f t="shared" si="9"/>
        <v>8.5740327055286223E-12</v>
      </c>
      <c r="N18" s="33">
        <f t="shared" si="10"/>
        <v>1.6907453091921699E-15</v>
      </c>
      <c r="O18" s="33">
        <f t="shared" si="10"/>
        <v>8.3328937943771704E-15</v>
      </c>
      <c r="P18" s="33">
        <f t="shared" si="10"/>
        <v>1.5605946571290499E-15</v>
      </c>
      <c r="Q18" s="33">
        <f t="shared" si="10"/>
        <v>7.5558022688464296E-15</v>
      </c>
      <c r="R18" s="33">
        <f t="shared" si="10"/>
        <v>2.2323735656209599E-16</v>
      </c>
      <c r="S18" s="31">
        <f t="shared" si="11"/>
        <v>48.064782175642435</v>
      </c>
      <c r="T18" s="33">
        <f t="shared" si="12"/>
        <v>3.8203415668312753E-4</v>
      </c>
      <c r="U18" s="33">
        <f t="shared" si="13"/>
        <v>6.5829092605348638E-2</v>
      </c>
      <c r="V18" s="33">
        <f t="shared" si="14"/>
        <v>2.6759605430902038E-8</v>
      </c>
      <c r="W18" s="33">
        <f t="shared" si="15"/>
        <v>-2.694118098269935E-8</v>
      </c>
      <c r="X18" s="33">
        <f t="shared" si="16"/>
        <v>-1.2050548256331668E-7</v>
      </c>
      <c r="Y18" s="33">
        <f t="shared" si="17"/>
        <v>-5.4445765235229864E-12</v>
      </c>
      <c r="Z18" s="33">
        <f t="shared" si="18"/>
        <v>-3.0506791041631556E-11</v>
      </c>
      <c r="AA18" s="33">
        <f t="shared" si="19"/>
        <v>-1.6519685781985991E-11</v>
      </c>
      <c r="AB18" s="33">
        <f t="shared" si="20"/>
        <v>-7.94927465167766E-11</v>
      </c>
      <c r="AC18" s="33">
        <f t="shared" si="21"/>
        <v>-1.5569775603692001E-15</v>
      </c>
      <c r="AD18" s="33">
        <f t="shared" si="21"/>
        <v>-8.9998512702542103E-16</v>
      </c>
      <c r="AE18" s="33">
        <f t="shared" si="21"/>
        <v>-9.3831850618819502E-15</v>
      </c>
      <c r="AF18" s="33">
        <f t="shared" si="21"/>
        <v>-2.3048805578410999E-17</v>
      </c>
      <c r="AG18" s="33">
        <f t="shared" si="21"/>
        <v>-1.7480296209813501E-14</v>
      </c>
    </row>
    <row r="19" spans="1:33">
      <c r="A19" t="str">
        <f>SIAF!B20</f>
        <v>NIS_WFSS128C</v>
      </c>
      <c r="B19">
        <f>(SIAF!H20-SIAF!H$4)*COS(RADIANS(SIAF!T20))</f>
        <v>-228.5</v>
      </c>
      <c r="C19" s="31">
        <f>(SIAF!I20-SIAF!I$4)*COS(RADIANS(SIAF!T20))</f>
        <v>960</v>
      </c>
      <c r="D19" s="31">
        <f t="shared" si="0"/>
        <v>-14.944324901802283</v>
      </c>
      <c r="E19" s="99">
        <f t="shared" si="1"/>
        <v>6.539915442491058E-2</v>
      </c>
      <c r="F19" s="99">
        <f t="shared" si="2"/>
        <v>-1.6017400787047403E-6</v>
      </c>
      <c r="G19" s="99">
        <f t="shared" si="3"/>
        <v>-1.9937266941106498E-8</v>
      </c>
      <c r="H19" s="99">
        <f t="shared" si="4"/>
        <v>-4.3831273111375067E-9</v>
      </c>
      <c r="I19" s="33">
        <f t="shared" si="5"/>
        <v>-2.3784317919237296E-9</v>
      </c>
      <c r="J19" s="33">
        <f t="shared" si="6"/>
        <v>3.8430808912353699E-12</v>
      </c>
      <c r="K19" s="33">
        <f t="shared" si="7"/>
        <v>3.2232539525490256E-12</v>
      </c>
      <c r="L19" s="33">
        <f t="shared" si="8"/>
        <v>1.2574686590026053E-11</v>
      </c>
      <c r="M19" s="33">
        <f t="shared" si="9"/>
        <v>-1.9574870111386544E-13</v>
      </c>
      <c r="N19" s="33">
        <f t="shared" si="10"/>
        <v>1.6907453091921699E-15</v>
      </c>
      <c r="O19" s="33">
        <f t="shared" si="10"/>
        <v>8.3328937943771704E-15</v>
      </c>
      <c r="P19" s="33">
        <f t="shared" si="10"/>
        <v>1.5605946571290499E-15</v>
      </c>
      <c r="Q19" s="33">
        <f t="shared" si="10"/>
        <v>7.5558022688464296E-15</v>
      </c>
      <c r="R19" s="33">
        <f t="shared" si="10"/>
        <v>2.2323735656209599E-16</v>
      </c>
      <c r="S19" s="31">
        <f t="shared" si="11"/>
        <v>63.147645663717668</v>
      </c>
      <c r="T19" s="33">
        <f t="shared" si="12"/>
        <v>3.1596493219429892E-4</v>
      </c>
      <c r="U19" s="33">
        <f t="shared" si="13"/>
        <v>6.5751643232029075E-2</v>
      </c>
      <c r="V19" s="33">
        <f t="shared" si="14"/>
        <v>2.6027509083135217E-8</v>
      </c>
      <c r="W19" s="33">
        <f t="shared" si="15"/>
        <v>4.4480184743229454E-8</v>
      </c>
      <c r="X19" s="33">
        <f t="shared" si="16"/>
        <v>-1.760849290087911E-7</v>
      </c>
      <c r="Y19" s="33">
        <f t="shared" si="17"/>
        <v>1.7453483010577046E-12</v>
      </c>
      <c r="Z19" s="33">
        <f t="shared" si="18"/>
        <v>-3.1717374235368819E-11</v>
      </c>
      <c r="AA19" s="33">
        <f t="shared" si="19"/>
        <v>5.7678611289662578E-12</v>
      </c>
      <c r="AB19" s="33">
        <f t="shared" si="20"/>
        <v>-9.5931792040990973E-11</v>
      </c>
      <c r="AC19" s="33">
        <f t="shared" si="21"/>
        <v>-1.5569775603692001E-15</v>
      </c>
      <c r="AD19" s="33">
        <f t="shared" si="21"/>
        <v>-8.9998512702542103E-16</v>
      </c>
      <c r="AE19" s="33">
        <f t="shared" si="21"/>
        <v>-9.3831850618819502E-15</v>
      </c>
      <c r="AF19" s="33">
        <f t="shared" si="21"/>
        <v>-2.3048805578410999E-17</v>
      </c>
      <c r="AG19" s="33">
        <f t="shared" si="21"/>
        <v>-1.7480296209813501E-14</v>
      </c>
    </row>
    <row r="20" spans="1:33">
      <c r="A20" t="str">
        <f>SIAF!B21</f>
        <v>NIS_WFSS128C3</v>
      </c>
      <c r="B20">
        <f>(SIAF!H21-SIAF!H$4)*COS(RADIANS(SIAF!T21))</f>
        <v>724.5</v>
      </c>
      <c r="C20" s="31">
        <f>(SIAF!I21-SIAF!I$4)*COS(RADIANS(SIAF!T21))</f>
        <v>960</v>
      </c>
      <c r="D20" s="31">
        <f t="shared" si="0"/>
        <v>47.367682935875358</v>
      </c>
      <c r="E20" s="99">
        <f t="shared" si="1"/>
        <v>6.5377478473086337E-2</v>
      </c>
      <c r="F20" s="99">
        <f t="shared" si="2"/>
        <v>4.3608405532847283E-6</v>
      </c>
      <c r="G20" s="99">
        <f t="shared" si="3"/>
        <v>2.6340196603209032E-10</v>
      </c>
      <c r="H20" s="99">
        <f t="shared" si="4"/>
        <v>2.446442214271342E-8</v>
      </c>
      <c r="I20" s="33">
        <f t="shared" si="5"/>
        <v>1.1022590641327617E-8</v>
      </c>
      <c r="J20" s="33">
        <f t="shared" si="6"/>
        <v>1.0288202009875921E-11</v>
      </c>
      <c r="K20" s="33">
        <f t="shared" si="7"/>
        <v>2.7046997310673358E-11</v>
      </c>
      <c r="L20" s="33">
        <f t="shared" si="8"/>
        <v>1.554918000651402E-11</v>
      </c>
      <c r="M20" s="33">
        <f t="shared" si="9"/>
        <v>7.004930861096782E-12</v>
      </c>
      <c r="N20" s="33">
        <f t="shared" si="10"/>
        <v>1.6907453091921699E-15</v>
      </c>
      <c r="O20" s="33">
        <f t="shared" si="10"/>
        <v>8.3328937943771704E-15</v>
      </c>
      <c r="P20" s="33">
        <f t="shared" si="10"/>
        <v>1.5605946571290499E-15</v>
      </c>
      <c r="Q20" s="33">
        <f t="shared" si="10"/>
        <v>7.5558022688464296E-15</v>
      </c>
      <c r="R20" s="33">
        <f t="shared" si="10"/>
        <v>2.2323735656209599E-16</v>
      </c>
      <c r="S20" s="31">
        <f t="shared" si="11"/>
        <v>63.472625038545388</v>
      </c>
      <c r="T20" s="33">
        <f t="shared" si="12"/>
        <v>3.6493838695394678E-4</v>
      </c>
      <c r="U20" s="33">
        <f t="shared" si="13"/>
        <v>6.5764447885366062E-2</v>
      </c>
      <c r="V20" s="33">
        <f t="shared" si="14"/>
        <v>2.2533093677107094E-8</v>
      </c>
      <c r="W20" s="33">
        <f t="shared" si="15"/>
        <v>-1.8425254326075404E-8</v>
      </c>
      <c r="X20" s="33">
        <f t="shared" si="16"/>
        <v>-1.7911005047475301E-7</v>
      </c>
      <c r="Y20" s="33">
        <f t="shared" si="17"/>
        <v>-4.1898501590696861E-12</v>
      </c>
      <c r="Z20" s="33">
        <f t="shared" si="18"/>
        <v>-3.4290431713534503E-11</v>
      </c>
      <c r="AA20" s="33">
        <f t="shared" si="19"/>
        <v>-1.2116489598980741E-11</v>
      </c>
      <c r="AB20" s="33">
        <f t="shared" si="20"/>
        <v>-9.5953757552707202E-11</v>
      </c>
      <c r="AC20" s="33">
        <f t="shared" si="21"/>
        <v>-1.5569775603692001E-15</v>
      </c>
      <c r="AD20" s="33">
        <f t="shared" si="21"/>
        <v>-8.9998512702542103E-16</v>
      </c>
      <c r="AE20" s="33">
        <f t="shared" si="21"/>
        <v>-9.3831850618819502E-15</v>
      </c>
      <c r="AF20" s="33">
        <f t="shared" si="21"/>
        <v>-2.3048805578410999E-17</v>
      </c>
      <c r="AG20" s="33">
        <f t="shared" si="21"/>
        <v>-1.7480296209813501E-14</v>
      </c>
    </row>
    <row r="21" spans="1:33">
      <c r="A21" t="str">
        <f>SIAF!B22</f>
        <v>NIS_SUB64</v>
      </c>
      <c r="B21">
        <f>(SIAF!H22-SIAF!H$4)*COS(RADIANS(SIAF!T22))</f>
        <v>992</v>
      </c>
      <c r="C21" s="31">
        <f>(SIAF!I22-SIAF!I$4)*COS(RADIANS(SIAF!T22))</f>
        <v>992</v>
      </c>
      <c r="D21" s="31">
        <f t="shared" si="0"/>
        <v>64.856814817488299</v>
      </c>
      <c r="E21" s="99">
        <f t="shared" si="1"/>
        <v>6.5381277573823185E-2</v>
      </c>
      <c r="F21" s="99">
        <f t="shared" si="2"/>
        <v>1.4006509697611265E-5</v>
      </c>
      <c r="G21" s="99">
        <f t="shared" si="3"/>
        <v>1.0326675118652863E-8</v>
      </c>
      <c r="H21" s="99">
        <f t="shared" si="4"/>
        <v>4.1795171304692266E-8</v>
      </c>
      <c r="I21" s="33">
        <f t="shared" si="5"/>
        <v>1.6161544529752292E-8</v>
      </c>
      <c r="J21" s="33">
        <f t="shared" si="6"/>
        <v>1.2363952092131612E-11</v>
      </c>
      <c r="K21" s="33">
        <f t="shared" si="7"/>
        <v>3.3834022638717297E-11</v>
      </c>
      <c r="L21" s="33">
        <f t="shared" si="8"/>
        <v>1.7109455165887319E-11</v>
      </c>
      <c r="M21" s="33">
        <f t="shared" si="9"/>
        <v>9.0546823496531501E-12</v>
      </c>
      <c r="N21" s="33">
        <f t="shared" si="10"/>
        <v>1.6907453091921699E-15</v>
      </c>
      <c r="O21" s="33">
        <f t="shared" si="10"/>
        <v>8.3328937943771704E-15</v>
      </c>
      <c r="P21" s="33">
        <f t="shared" si="10"/>
        <v>1.5605946571290499E-15</v>
      </c>
      <c r="Q21" s="33">
        <f t="shared" si="10"/>
        <v>7.5558022688464296E-15</v>
      </c>
      <c r="R21" s="33">
        <f t="shared" si="10"/>
        <v>2.2323735656209599E-16</v>
      </c>
      <c r="S21" s="31">
        <f t="shared" si="11"/>
        <v>65.675805234126301</v>
      </c>
      <c r="T21" s="33">
        <f t="shared" si="12"/>
        <v>3.7477456068410269E-4</v>
      </c>
      <c r="U21" s="33">
        <f t="shared" si="13"/>
        <v>6.5745037679419221E-2</v>
      </c>
      <c r="V21" s="33">
        <f t="shared" si="14"/>
        <v>1.7372256256730175E-8</v>
      </c>
      <c r="W21" s="33">
        <f t="shared" si="15"/>
        <v>-3.8060640371837846E-8</v>
      </c>
      <c r="X21" s="33">
        <f t="shared" si="16"/>
        <v>-1.9234218853686487E-7</v>
      </c>
      <c r="Y21" s="33">
        <f t="shared" si="17"/>
        <v>-5.8846156727295431E-12</v>
      </c>
      <c r="Z21" s="33">
        <f t="shared" si="18"/>
        <v>-3.5613193621932845E-11</v>
      </c>
      <c r="AA21" s="33">
        <f t="shared" si="19"/>
        <v>-1.7138706292423111E-11</v>
      </c>
      <c r="AB21" s="33">
        <f t="shared" si="20"/>
        <v>-9.8197401023055553E-11</v>
      </c>
      <c r="AC21" s="33">
        <f t="shared" si="21"/>
        <v>-1.5569775603692001E-15</v>
      </c>
      <c r="AD21" s="33">
        <f t="shared" si="21"/>
        <v>-8.9998512702542103E-16</v>
      </c>
      <c r="AE21" s="33">
        <f t="shared" si="21"/>
        <v>-9.3831850618819502E-15</v>
      </c>
      <c r="AF21" s="33">
        <f t="shared" si="21"/>
        <v>-2.3048805578410999E-17</v>
      </c>
      <c r="AG21" s="33">
        <f t="shared" si="21"/>
        <v>-1.7480296209813501E-14</v>
      </c>
    </row>
    <row r="22" spans="1:33">
      <c r="A22" t="str">
        <f>SIAF!B23</f>
        <v>NIS_SUB128</v>
      </c>
      <c r="B22">
        <f>(SIAF!H23-SIAF!H$4)*COS(RADIANS(SIAF!T23))</f>
        <v>960</v>
      </c>
      <c r="C22" s="31">
        <f>(SIAF!I23-SIAF!I$4)*COS(RADIANS(SIAF!T23))</f>
        <v>960</v>
      </c>
      <c r="D22" s="31">
        <f t="shared" si="0"/>
        <v>62.76423329815016</v>
      </c>
      <c r="E22" s="99">
        <f t="shared" si="1"/>
        <v>6.5379402624725289E-2</v>
      </c>
      <c r="F22" s="99">
        <f t="shared" si="2"/>
        <v>1.1731080200348548E-5</v>
      </c>
      <c r="G22" s="99">
        <f t="shared" si="3"/>
        <v>8.0946316312141773E-9</v>
      </c>
      <c r="H22" s="99">
        <f t="shared" si="4"/>
        <v>3.8589990995219396E-8</v>
      </c>
      <c r="I22" s="33">
        <f t="shared" si="5"/>
        <v>1.477097350269471E-8</v>
      </c>
      <c r="J22" s="33">
        <f t="shared" si="6"/>
        <v>1.1880884091134946E-11</v>
      </c>
      <c r="K22" s="33">
        <f t="shared" si="7"/>
        <v>3.2934186776400831E-11</v>
      </c>
      <c r="L22" s="33">
        <f t="shared" si="8"/>
        <v>1.6284220090021805E-11</v>
      </c>
      <c r="M22" s="33">
        <f t="shared" si="9"/>
        <v>8.7843222954101153E-12</v>
      </c>
      <c r="N22" s="33">
        <f t="shared" si="10"/>
        <v>1.6907453091921699E-15</v>
      </c>
      <c r="O22" s="33">
        <f t="shared" si="10"/>
        <v>8.3328937943771704E-15</v>
      </c>
      <c r="P22" s="33">
        <f t="shared" si="10"/>
        <v>1.5605946571290499E-15</v>
      </c>
      <c r="Q22" s="33">
        <f t="shared" si="10"/>
        <v>7.5558022688464296E-15</v>
      </c>
      <c r="R22" s="33">
        <f t="shared" si="10"/>
        <v>2.2323735656209599E-16</v>
      </c>
      <c r="S22" s="31">
        <f t="shared" si="11"/>
        <v>63.55975820750151</v>
      </c>
      <c r="T22" s="33">
        <f t="shared" si="12"/>
        <v>3.7477302162042318E-4</v>
      </c>
      <c r="U22" s="33">
        <f t="shared" si="13"/>
        <v>6.5758195227451091E-2</v>
      </c>
      <c r="V22" s="33">
        <f t="shared" si="14"/>
        <v>1.9054862351269556E-8</v>
      </c>
      <c r="W22" s="33">
        <f t="shared" si="15"/>
        <v>-3.4725787863573487E-8</v>
      </c>
      <c r="X22" s="33">
        <f t="shared" si="16"/>
        <v>-1.824838775646412E-7</v>
      </c>
      <c r="Y22" s="33">
        <f t="shared" si="17"/>
        <v>-5.6565230209374728E-12</v>
      </c>
      <c r="Z22" s="33">
        <f t="shared" si="18"/>
        <v>-3.4926271205777955E-11</v>
      </c>
      <c r="AA22" s="33">
        <f t="shared" si="19"/>
        <v>-1.653596976312714E-11</v>
      </c>
      <c r="AB22" s="33">
        <f t="shared" si="20"/>
        <v>-9.5959185546420919E-11</v>
      </c>
      <c r="AC22" s="33">
        <f t="shared" si="21"/>
        <v>-1.5569775603692001E-15</v>
      </c>
      <c r="AD22" s="33">
        <f t="shared" si="21"/>
        <v>-8.9998512702542103E-16</v>
      </c>
      <c r="AE22" s="33">
        <f t="shared" si="21"/>
        <v>-9.3831850618819502E-15</v>
      </c>
      <c r="AF22" s="33">
        <f t="shared" si="21"/>
        <v>-2.3048805578410999E-17</v>
      </c>
      <c r="AG22" s="33">
        <f t="shared" si="21"/>
        <v>-1.7480296209813501E-14</v>
      </c>
    </row>
    <row r="23" spans="1:33">
      <c r="A23" t="str">
        <f>SIAF!B24</f>
        <v>NIS_SUB256</v>
      </c>
      <c r="B23">
        <f>(SIAF!H24-SIAF!H$4)*COS(RADIANS(SIAF!T24))</f>
        <v>896</v>
      </c>
      <c r="C23" s="31">
        <f>(SIAF!I24-SIAF!I$4)*COS(RADIANS(SIAF!T24))</f>
        <v>896</v>
      </c>
      <c r="D23" s="31">
        <f t="shared" si="0"/>
        <v>58.579434468448568</v>
      </c>
      <c r="E23" s="99">
        <f t="shared" si="1"/>
        <v>6.5376368116741496E-2</v>
      </c>
      <c r="F23" s="99">
        <f t="shared" si="2"/>
        <v>7.7376978555024574E-6</v>
      </c>
      <c r="G23" s="99">
        <f t="shared" si="3"/>
        <v>3.8560524834062326E-9</v>
      </c>
      <c r="H23" s="99">
        <f t="shared" si="4"/>
        <v>3.2510843996404586E-8</v>
      </c>
      <c r="I23" s="33">
        <f t="shared" si="5"/>
        <v>1.2146917711484628E-8</v>
      </c>
      <c r="J23" s="33">
        <f t="shared" si="6"/>
        <v>1.0914748089141612E-11</v>
      </c>
      <c r="K23" s="33">
        <f t="shared" si="7"/>
        <v>3.1134515051767886E-11</v>
      </c>
      <c r="L23" s="33">
        <f t="shared" si="8"/>
        <v>1.4633749938290774E-11</v>
      </c>
      <c r="M23" s="33">
        <f t="shared" si="9"/>
        <v>8.2436021869240474E-12</v>
      </c>
      <c r="N23" s="33">
        <f t="shared" si="10"/>
        <v>1.6907453091921699E-15</v>
      </c>
      <c r="O23" s="33">
        <f t="shared" si="10"/>
        <v>8.3328937943771704E-15</v>
      </c>
      <c r="P23" s="33">
        <f t="shared" si="10"/>
        <v>1.5605946571290499E-15</v>
      </c>
      <c r="Q23" s="33">
        <f t="shared" si="10"/>
        <v>7.5558022688464296E-15</v>
      </c>
      <c r="R23" s="33">
        <f t="shared" si="10"/>
        <v>2.2323735656209599E-16</v>
      </c>
      <c r="S23" s="31">
        <f t="shared" si="11"/>
        <v>59.326476233651412</v>
      </c>
      <c r="T23" s="33">
        <f t="shared" si="12"/>
        <v>3.7414036088182211E-4</v>
      </c>
      <c r="U23" s="33">
        <f t="shared" si="13"/>
        <v>6.5782341450021875E-2</v>
      </c>
      <c r="V23" s="33">
        <f t="shared" si="14"/>
        <v>2.2288439304681349E-8</v>
      </c>
      <c r="W23" s="33">
        <f t="shared" si="15"/>
        <v>-2.8303697364571341E-8</v>
      </c>
      <c r="X23" s="33">
        <f t="shared" si="16"/>
        <v>-1.6346972438427706E-7</v>
      </c>
      <c r="Y23" s="33">
        <f t="shared" si="17"/>
        <v>-5.2003377173533299E-12</v>
      </c>
      <c r="Z23" s="33">
        <f t="shared" si="18"/>
        <v>-3.355242637346819E-11</v>
      </c>
      <c r="AA23" s="33">
        <f t="shared" si="19"/>
        <v>-1.5330496704535192E-11</v>
      </c>
      <c r="AB23" s="33">
        <f t="shared" si="20"/>
        <v>-9.148275459315164E-11</v>
      </c>
      <c r="AC23" s="33">
        <f t="shared" si="21"/>
        <v>-1.5569775603692001E-15</v>
      </c>
      <c r="AD23" s="33">
        <f t="shared" si="21"/>
        <v>-8.9998512702542103E-16</v>
      </c>
      <c r="AE23" s="33">
        <f t="shared" si="21"/>
        <v>-9.3831850618819502E-15</v>
      </c>
      <c r="AF23" s="33">
        <f t="shared" si="21"/>
        <v>-2.3048805578410999E-17</v>
      </c>
      <c r="AG23" s="33">
        <f t="shared" si="21"/>
        <v>-1.7480296209813501E-14</v>
      </c>
    </row>
    <row r="24" spans="1:33">
      <c r="A24" t="str">
        <f>SIAF!B25</f>
        <v>NIS_SUBAMPCAL</v>
      </c>
      <c r="B24">
        <f>(SIAF!H25-SIAF!H$4)*COS(RADIANS(SIAF!T25))</f>
        <v>0</v>
      </c>
      <c r="C24" s="31">
        <f>(SIAF!I25-SIAF!I$4)*COS(RADIANS(SIAF!T25))</f>
        <v>0</v>
      </c>
      <c r="D24" s="31">
        <f t="shared" si="0"/>
        <v>0</v>
      </c>
      <c r="E24" s="99">
        <f t="shared" ref="E24" si="40">E$3+2*G$3*$B24+H$3*$C24+3*J$3*$B24^2+2*K$3*$B24*$C24+L$3*$C24^2+4*N$3*$B24^3+3*O$3*$B24^2*$C24+2*P$3*$B24*$C24^2+Q$3*$C24^3</f>
        <v>6.5397827634109396E-2</v>
      </c>
      <c r="F24" s="99">
        <f t="shared" ref="F24" si="41">F$3+H$3*$B24+2*I$3*$C24+K$3*$B24^2+2*L$3*$B24*$C24+3*M$3*$C24^2+O$3*$B24^3+2*P$3*$B24^2*$C24+3*Q$3*$B24*$C24^2+4*R$3*$C24^3</f>
        <v>0</v>
      </c>
      <c r="G24" s="99">
        <f t="shared" ref="G24" si="42">G$3+3*J$3*$B24+K$3*$C24+6*N$3*$B24^2+3*O$3*$B24*$C24+P$3*$C24^2</f>
        <v>-2.3912959796186099E-8</v>
      </c>
      <c r="H24" s="99">
        <f t="shared" ref="H24" si="43">H$3+2*K$3*$B24+2*L$3*$C24+3*O$3*$B24^2+4*P$3*$B24*$C24+3*Q$3*$C24^2</f>
        <v>-6.2273071686709202E-9</v>
      </c>
      <c r="I24" s="33">
        <f t="shared" ref="I24" si="44">I$3+L$3*$B24+3*M$3*$C24+P$3*$B24^2+3*Q$3*$B24*$C24+6*R$3*$C24^2</f>
        <v>-2.5977865587448502E-9</v>
      </c>
      <c r="J24" s="33">
        <f t="shared" ref="J24" si="45">J$3+4*N$3*$B24+O$3*$C24</f>
        <v>-2.6111559387650702E-12</v>
      </c>
      <c r="K24" s="33">
        <f t="shared" ref="K24" si="46">K$3+3*O$3*$B24+2*P$3*$C24</f>
        <v>5.9391109069067996E-12</v>
      </c>
      <c r="L24" s="33">
        <f t="shared" ref="L24" si="47">L$3+2*P$3*$B24+3*Q$3*$C24</f>
        <v>-8.47283218594369E-12</v>
      </c>
      <c r="M24" s="33">
        <f t="shared" ref="M24" si="48">M$3+Q$3*$B24+4*R$3*$C24</f>
        <v>6.7352066811909497E-13</v>
      </c>
      <c r="N24" s="33">
        <f t="shared" si="10"/>
        <v>1.6907453091921699E-15</v>
      </c>
      <c r="O24" s="33">
        <f t="shared" si="10"/>
        <v>8.3328937943771704E-15</v>
      </c>
      <c r="P24" s="33">
        <f t="shared" si="10"/>
        <v>1.5605946571290499E-15</v>
      </c>
      <c r="Q24" s="33">
        <f t="shared" si="10"/>
        <v>7.5558022688464296E-15</v>
      </c>
      <c r="R24" s="33">
        <f t="shared" si="10"/>
        <v>2.2323735656209599E-16</v>
      </c>
      <c r="S24" s="31">
        <f t="shared" si="11"/>
        <v>0</v>
      </c>
      <c r="T24" s="33">
        <f t="shared" ref="T24" si="49">T$3+2*V$3*$B24+W$3*$C24+3*Y$3*$B24^2+2*Z$3*$B24*$C24+AA$3*$C24^2+4*AC$3*$B24^3+3*AD$3*$B24^2*$C24+2*AE$3*$B24*$C24^2+AF$3*$C24^3</f>
        <v>3.0079211405184601E-4</v>
      </c>
      <c r="U24" s="33">
        <f t="shared" ref="U24" si="50">U$3+W$3*$B24+2*X$3*$C24+Z$3*$B24^2+2*AA$3*$B24*$C24+3*AB$3*$C24^2+AD$3*$B24^3+2*AE$3*$B24^2*$C24+3*AF$3*$B24*$C24^2+4*AG$3*$C24^3</f>
        <v>6.5893248419708103E-2</v>
      </c>
      <c r="V24" s="33">
        <f t="shared" ref="V24" si="51">V$3+3*Y$3*$B24+Z$3*$C24+6*AC$3*$B24^2+3*AD$3*$B24*$C24+AE$3*$C24^2</f>
        <v>4.9129583659068501E-8</v>
      </c>
      <c r="W24" s="33">
        <f t="shared" ref="W24" si="52">W$3+2*Z$3*$B24+2*AA$3*$C24+3*AD$3*$B24^2+4*AE$3*$B24*$C24+3*AF$3*$C24^2</f>
        <v>2.6939537167739599E-8</v>
      </c>
      <c r="X24" s="33">
        <f t="shared" ref="X24" si="53">X$3+AA$3*$B24+3*AB$3*$C24+AE$3*$B24^2+3*AF$3*$B24*$C24+6*AG$3*$C24^2</f>
        <v>4.3827931691747701E-9</v>
      </c>
      <c r="Y24" s="33">
        <f t="shared" ref="Y24" si="54">Y$3+4*AC$3*$B24+AD$3*$C24</f>
        <v>1.1862565328246599E-12</v>
      </c>
      <c r="Z24" s="33">
        <f t="shared" ref="Z24" si="55">Z$3+3*AD$3*$B24+2*AE$3*$C24</f>
        <v>-1.4318598721131401E-11</v>
      </c>
      <c r="AA24" s="33">
        <f t="shared" ref="AA24" si="56">AA$3+2*AE$3*$B24+3*AF$3*$C24</f>
        <v>1.5461261157520301E-12</v>
      </c>
      <c r="AB24" s="33">
        <f t="shared" ref="AB24" si="57">AB$3+AF$3*$B24+4*AG$3*$C24</f>
        <v>-2.88127212473818E-11</v>
      </c>
      <c r="AC24" s="33">
        <f t="shared" si="21"/>
        <v>-1.5569775603692001E-15</v>
      </c>
      <c r="AD24" s="33">
        <f t="shared" si="21"/>
        <v>-8.9998512702542103E-16</v>
      </c>
      <c r="AE24" s="33">
        <f t="shared" si="21"/>
        <v>-9.3831850618819502E-15</v>
      </c>
      <c r="AF24" s="33">
        <f t="shared" si="21"/>
        <v>-2.3048805578410999E-17</v>
      </c>
      <c r="AG24" s="33">
        <f t="shared" si="21"/>
        <v>-1.7480296209813501E-14</v>
      </c>
    </row>
    <row r="25" spans="1:33">
      <c r="A25" t="str">
        <f>SIAF!B26</f>
        <v>NIS_SUBSTRIP96</v>
      </c>
      <c r="B25">
        <f>(SIAF!H26-SIAF!H$4)*COS(RADIANS(SIAF!T26))</f>
        <v>930.5</v>
      </c>
      <c r="C25" s="31">
        <f>(SIAF!I26-SIAF!I$4)*COS(RADIANS(SIAF!T26))</f>
        <v>174.5</v>
      </c>
      <c r="D25" s="31">
        <f t="shared" si="0"/>
        <v>60.831958640231136</v>
      </c>
      <c r="E25" s="99">
        <f t="shared" ref="E25:E26" si="58">E$3+2*G$3*$B25+H$3*$C25+3*J$3*$B25^2+2*K$3*$B25*$C25+L$3*$C25^2+4*N$3*$B25^3+3*O$3*$B25^2*$C25+2*P$3*$B25*$C25^2+Q$3*$C25^3</f>
        <v>6.5356481390302951E-2</v>
      </c>
      <c r="F25" s="99">
        <f t="shared" ref="F25:F26" si="59">F$3+H$3*$B25+2*I$3*$C25+K$3*$B25^2+2*L$3*$B25*$C25+3*M$3*$C25^2+O$3*$B25^3+2*P$3*$B25^2*$C25+3*Q$3*$B25*$C25^2+4*R$3*$C25^3</f>
        <v>3.583158368646356E-6</v>
      </c>
      <c r="G25" s="99">
        <f t="shared" ref="G25:G26" si="60">G$3+3*J$3*$B25+K$3*$C25+6*N$3*$B25^2+3*O$3*$B25*$C25+P$3*$C25^2</f>
        <v>-1.7275623502858037E-8</v>
      </c>
      <c r="H25" s="99">
        <f t="shared" ref="H25:H26" si="61">H$3+2*K$3*$B25+2*L$3*$C25+3*O$3*$B25^2+4*P$3*$B25*$C25+3*Q$3*$C25^2</f>
        <v>2.5216791615190305E-8</v>
      </c>
      <c r="I25" s="33">
        <f t="shared" ref="I25:I26" si="62">I$3+L$3*$B25+3*M$3*$C25+P$3*$B25^2+3*Q$3*$B25*$C25+6*R$3*$C25^2</f>
        <v>-5.0566151311313691E-9</v>
      </c>
      <c r="J25" s="33">
        <f t="shared" ref="J25:J26" si="63">J$3+4*N$3*$B25+O$3*$C25</f>
        <v>5.1358880691670026E-12</v>
      </c>
      <c r="K25" s="33">
        <f t="shared" ref="K25:K26" si="64">K$3+3*O$3*$B25+2*P$3*$C25</f>
        <v>2.9745031469248706E-11</v>
      </c>
      <c r="L25" s="33">
        <f t="shared" ref="L25:L26" si="65">L$3+2*P$3*$B25+3*Q$3*$C25</f>
        <v>-1.6131030412854214E-12</v>
      </c>
      <c r="M25" s="33">
        <f t="shared" ref="M25:M26" si="66">M$3+Q$3*$B25+4*R$3*$C25</f>
        <v>7.860014354161041E-12</v>
      </c>
      <c r="N25" s="33">
        <f t="shared" si="10"/>
        <v>1.6907453091921699E-15</v>
      </c>
      <c r="O25" s="33">
        <f t="shared" si="10"/>
        <v>8.3328937943771704E-15</v>
      </c>
      <c r="P25" s="33">
        <f t="shared" si="10"/>
        <v>1.5605946571290499E-15</v>
      </c>
      <c r="Q25" s="33">
        <f t="shared" si="10"/>
        <v>7.5558022688464296E-15</v>
      </c>
      <c r="R25" s="33">
        <f t="shared" si="10"/>
        <v>2.2323735656209599E-16</v>
      </c>
      <c r="S25" s="31">
        <f t="shared" si="11"/>
        <v>11.822430104709328</v>
      </c>
      <c r="T25" s="33">
        <f t="shared" ref="T25:T26" si="67">T$3+2*V$3*$B25+W$3*$C25+3*Y$3*$B25^2+2*Z$3*$B25*$C25+AA$3*$C25^2+4*AC$3*$B25^3+3*AD$3*$B25^2*$C25+2*AE$3*$B25*$C25^2+AF$3*$C25^3</f>
        <v>3.8944437808223936E-4</v>
      </c>
      <c r="U25" s="33">
        <f t="shared" ref="U25:U26" si="68">U$3+W$3*$B25+2*X$3*$C25+Z$3*$B25^2+2*AA$3*$B25*$C25+3*AB$3*$C25^2+AD$3*$B25^3+2*AE$3*$B25^2*$C25+3*AF$3*$B25*$C25^2+4*AG$3*$C25^3</f>
        <v>6.5901383880770964E-2</v>
      </c>
      <c r="V25" s="33">
        <f t="shared" ref="V25:V26" si="69">V$3+3*Y$3*$B25+Z$3*$C25+6*AC$3*$B25^2+3*AD$3*$B25*$C25+AE$3*$C25^2</f>
        <v>4.1129835510522456E-8</v>
      </c>
      <c r="W25" s="33">
        <f t="shared" ref="W25:W26" si="70">W$3+2*Z$3*$B25+2*AA$3*$C25+3*AD$3*$B25^2+4*AE$3*$B25*$C25+3*AF$3*$C25^2</f>
        <v>-7.601861088807422E-9</v>
      </c>
      <c r="X25" s="33">
        <f t="shared" ref="X25:X26" si="71">X$3+AA$3*$B25+3*AB$3*$C25+AE$3*$B25^2+3*AF$3*$B25*$C25+6*AG$3*$C25^2</f>
        <v>-2.0591145318289831E-8</v>
      </c>
      <c r="Y25" s="33">
        <f t="shared" ref="Y25:Y26" si="72">Y$3+4*AC$3*$B25+AD$3*$C25</f>
        <v>-4.7658613515354383E-12</v>
      </c>
      <c r="Z25" s="33">
        <f t="shared" ref="Z25:Z26" si="73">Z$3+3*AD$3*$B25+2*AE$3*$C25</f>
        <v>-2.0105638789819667E-11</v>
      </c>
      <c r="AA25" s="33">
        <f t="shared" ref="AA25:AA26" si="74">AA$3+2*AE$3*$B25+3*AF$3*$C25</f>
        <v>-1.5928047334130578E-11</v>
      </c>
      <c r="AB25" s="33">
        <f t="shared" ref="AB25:AB26" si="75">AB$3+AF$3*$B25+4*AG$3*$C25</f>
        <v>-4.1035414915422337E-11</v>
      </c>
      <c r="AC25" s="33">
        <f t="shared" si="21"/>
        <v>-1.5569775603692001E-15</v>
      </c>
      <c r="AD25" s="33">
        <f t="shared" si="21"/>
        <v>-8.9998512702542103E-16</v>
      </c>
      <c r="AE25" s="33">
        <f t="shared" si="21"/>
        <v>-9.3831850618819502E-15</v>
      </c>
      <c r="AF25" s="33">
        <f t="shared" si="21"/>
        <v>-2.3048805578410999E-17</v>
      </c>
      <c r="AG25" s="33">
        <f t="shared" si="21"/>
        <v>-1.7480296209813501E-14</v>
      </c>
    </row>
    <row r="26" spans="1:33">
      <c r="A26" t="str">
        <f>SIAF!B27</f>
        <v>NIS_SUBSTRIP256</v>
      </c>
      <c r="B26">
        <f>(SIAF!H27-SIAF!H$4)*COS(RADIANS(SIAF!T27))</f>
        <v>930.5</v>
      </c>
      <c r="C26" s="31">
        <f>(SIAF!I27-SIAF!I$4)*COS(RADIANS(SIAF!T27))</f>
        <v>174.5</v>
      </c>
      <c r="D26" s="31">
        <f t="shared" si="0"/>
        <v>60.831958640231136</v>
      </c>
      <c r="E26" s="99">
        <f t="shared" si="58"/>
        <v>6.5356481390302951E-2</v>
      </c>
      <c r="F26" s="99">
        <f t="shared" si="59"/>
        <v>3.583158368646356E-6</v>
      </c>
      <c r="G26" s="99">
        <f t="shared" si="60"/>
        <v>-1.7275623502858037E-8</v>
      </c>
      <c r="H26" s="99">
        <f t="shared" si="61"/>
        <v>2.5216791615190305E-8</v>
      </c>
      <c r="I26" s="33">
        <f t="shared" si="62"/>
        <v>-5.0566151311313691E-9</v>
      </c>
      <c r="J26" s="33">
        <f t="shared" si="63"/>
        <v>5.1358880691670026E-12</v>
      </c>
      <c r="K26" s="33">
        <f t="shared" si="64"/>
        <v>2.9745031469248706E-11</v>
      </c>
      <c r="L26" s="33">
        <f t="shared" si="65"/>
        <v>-1.6131030412854214E-12</v>
      </c>
      <c r="M26" s="33">
        <f t="shared" si="66"/>
        <v>7.860014354161041E-12</v>
      </c>
      <c r="N26" s="33">
        <f t="shared" ref="N26:R33" si="76">N$3</f>
        <v>1.6907453091921699E-15</v>
      </c>
      <c r="O26" s="33">
        <f t="shared" si="76"/>
        <v>8.3328937943771704E-15</v>
      </c>
      <c r="P26" s="33">
        <f t="shared" si="76"/>
        <v>1.5605946571290499E-15</v>
      </c>
      <c r="Q26" s="33">
        <f t="shared" si="76"/>
        <v>7.5558022688464296E-15</v>
      </c>
      <c r="R26" s="33">
        <f t="shared" si="76"/>
        <v>2.2323735656209599E-16</v>
      </c>
      <c r="S26" s="31">
        <f t="shared" si="11"/>
        <v>11.822430104709328</v>
      </c>
      <c r="T26" s="33">
        <f t="shared" si="67"/>
        <v>3.8944437808223936E-4</v>
      </c>
      <c r="U26" s="33">
        <f t="shared" si="68"/>
        <v>6.5901383880770964E-2</v>
      </c>
      <c r="V26" s="33">
        <f t="shared" si="69"/>
        <v>4.1129835510522456E-8</v>
      </c>
      <c r="W26" s="33">
        <f t="shared" si="70"/>
        <v>-7.601861088807422E-9</v>
      </c>
      <c r="X26" s="33">
        <f t="shared" si="71"/>
        <v>-2.0591145318289831E-8</v>
      </c>
      <c r="Y26" s="33">
        <f t="shared" si="72"/>
        <v>-4.7658613515354383E-12</v>
      </c>
      <c r="Z26" s="33">
        <f t="shared" si="73"/>
        <v>-2.0105638789819667E-11</v>
      </c>
      <c r="AA26" s="33">
        <f t="shared" si="74"/>
        <v>-1.5928047334130578E-11</v>
      </c>
      <c r="AB26" s="33">
        <f t="shared" si="75"/>
        <v>-4.1035414915422337E-11</v>
      </c>
      <c r="AC26" s="33">
        <f t="shared" ref="AC26:AG33" si="77">AC$3</f>
        <v>-1.5569775603692001E-15</v>
      </c>
      <c r="AD26" s="33">
        <f t="shared" si="77"/>
        <v>-8.9998512702542103E-16</v>
      </c>
      <c r="AE26" s="33">
        <f t="shared" si="77"/>
        <v>-9.3831850618819502E-15</v>
      </c>
      <c r="AF26" s="33">
        <f t="shared" si="77"/>
        <v>-2.3048805578410999E-17</v>
      </c>
      <c r="AG26" s="33">
        <f t="shared" si="77"/>
        <v>-1.7480296209813501E-14</v>
      </c>
    </row>
    <row r="27" spans="1:33">
      <c r="A27" t="str">
        <f>SIAF!B28</f>
        <v>NIS_FP1MIMF</v>
      </c>
      <c r="B27">
        <f>(SIAF!H28-SIAF!H$4)*COS(RADIANS(SIAF!T28))</f>
        <v>0.5</v>
      </c>
      <c r="C27" s="31">
        <f>(SIAF!I28-SIAF!I$4)*COS(RADIANS(SIAF!T28))</f>
        <v>-11.5</v>
      </c>
      <c r="D27" s="31">
        <f t="shared" si="0"/>
        <v>3.2698598484748903E-2</v>
      </c>
      <c r="E27" s="99">
        <f t="shared" ref="E27:E31" si="78">E$3+2*G$3*$B27+H$3*$C27+3*J$3*$B27^2+2*K$3*$B27*$C27+L$3*$C27^2+4*N$3*$B27^3+3*O$3*$B27^2*$C27+2*P$3*$B27*$C27^2+Q$3*$C27^3</f>
        <v>6.5397874133035785E-2</v>
      </c>
      <c r="F27" s="99">
        <f t="shared" ref="F27:F31" si="79">F$3+H$3*$B27+2*I$3*$C27+K$3*$B27^2+2*L$3*$B27*$C27+3*M$3*$C27^2+O$3*$B27^3+2*P$3*$B27^2*$C27+3*Q$3*$B27*$C27^2+4*R$3*$C27^3</f>
        <v>5.7001711825746302E-8</v>
      </c>
      <c r="G27" s="99">
        <f t="shared" ref="G27:G31" si="80">G$3+3*J$3*$B27+K$3*$C27+6*N$3*$B27^2+3*O$3*$B27*$C27+P$3*$C27^2</f>
        <v>-2.3985111123180258E-8</v>
      </c>
      <c r="H27" s="99">
        <f t="shared" ref="H27:H31" si="81">H$3+2*K$3*$B27+2*L$3*$C27+3*O$3*$B27^2+4*P$3*$B27*$C27+3*Q$3*$C27^2</f>
        <v>-6.0235247969439123E-9</v>
      </c>
      <c r="I27" s="33">
        <f t="shared" ref="I27:I31" si="82">I$3+L$3*$B27+3*M$3*$C27+P$3*$B27^2+3*Q$3*$B27*$C27+6*R$3*$C27^2</f>
        <v>-2.6252122464859727E-9</v>
      </c>
      <c r="J27" s="33">
        <f t="shared" ref="J27:J31" si="83">J$3+4*N$3*$B27+O$3*$C27</f>
        <v>-2.7036027267820232E-12</v>
      </c>
      <c r="K27" s="33">
        <f t="shared" ref="K27:K31" si="84">K$3+3*O$3*$B27+2*P$3*$C27</f>
        <v>5.9157165704843974E-12</v>
      </c>
      <c r="L27" s="33">
        <f t="shared" ref="L27:L31" si="85">L$3+2*P$3*$B27+3*Q$3*$C27</f>
        <v>-8.7319467695617628E-12</v>
      </c>
      <c r="M27" s="33">
        <f t="shared" ref="M27:M31" si="86">M$3+Q$3*$B27+4*R$3*$C27</f>
        <v>6.6702965085166174E-13</v>
      </c>
      <c r="N27" s="33">
        <f t="shared" si="76"/>
        <v>1.6907453091921699E-15</v>
      </c>
      <c r="O27" s="33">
        <f t="shared" si="76"/>
        <v>8.3328937943771704E-15</v>
      </c>
      <c r="P27" s="33">
        <f t="shared" si="76"/>
        <v>1.5605946571290499E-15</v>
      </c>
      <c r="Q27" s="33">
        <f t="shared" si="76"/>
        <v>7.5558022688464296E-15</v>
      </c>
      <c r="R27" s="33">
        <f t="shared" si="76"/>
        <v>2.2323735656209599E-16</v>
      </c>
      <c r="S27" s="31">
        <f t="shared" si="11"/>
        <v>-0.75762148010708719</v>
      </c>
      <c r="T27" s="33">
        <f t="shared" ref="T27:T31" si="87">T$3+2*V$3*$B27+W$3*$C27+3*Y$3*$B27^2+2*Z$3*$B27*$C27+AA$3*$C27^2+4*AC$3*$B27^3+3*AD$3*$B27^2*$C27+2*AE$3*$B27*$C27^2+AF$3*$C27^3</f>
        <v>3.0053180778794459E-4</v>
      </c>
      <c r="U27" s="33">
        <f t="shared" ref="U27:U31" si="88">U$3+W$3*$B27+2*X$3*$C27+Z$3*$B27^2+2*AA$3*$B27*$C27+3*AB$3*$C27^2+AD$3*$B27^3+2*AE$3*$B27^2*$C27+3*AF$3*$B27*$C27^2+4*AG$3*$C27^3</f>
        <v>6.58931497388172E-2</v>
      </c>
      <c r="V27" s="33">
        <f t="shared" ref="V27:V31" si="89">V$3+3*Y$3*$B27+Z$3*$C27+6*AC$3*$B27^2+3*AD$3*$B27*$C27+AE$3*$C27^2</f>
        <v>4.9294799192213419E-8</v>
      </c>
      <c r="W27" s="33">
        <f t="shared" ref="W27:W31" si="90">W$3+2*Z$3*$B27+2*AA$3*$C27+3*AD$3*$B27^2+4*AE$3*$B27*$C27+3*AF$3*$C27^2</f>
        <v>2.6889863662010135E-8</v>
      </c>
      <c r="X27" s="33">
        <f t="shared" ref="X27:X31" si="91">X$3+AA$3*$B27+3*AB$3*$C27+AE$3*$B27^2+3*AF$3*$B27*$C27+6*AG$3*$C27^2</f>
        <v>5.3637325520204623E-9</v>
      </c>
      <c r="Y27" s="33">
        <f t="shared" ref="Y27:Y31" si="92">Y$3+4*AC$3*$B27+AD$3*$C27</f>
        <v>1.1934924066647139E-12</v>
      </c>
      <c r="Z27" s="33">
        <f t="shared" ref="Z27:Z31" si="93">Z$3+3*AD$3*$B27+2*AE$3*$C27</f>
        <v>-1.4104135442398654E-11</v>
      </c>
      <c r="AA27" s="33">
        <f t="shared" ref="AA27:AA31" si="94">AA$3+2*AE$3*$B27+3*AF$3*$C27</f>
        <v>1.5375381144826031E-12</v>
      </c>
      <c r="AB27" s="33">
        <f t="shared" ref="AB27:AB31" si="95">AB$3+AF$3*$B27+4*AG$3*$C27</f>
        <v>-2.8008639146133167E-11</v>
      </c>
      <c r="AC27" s="33">
        <f t="shared" si="77"/>
        <v>-1.5569775603692001E-15</v>
      </c>
      <c r="AD27" s="33">
        <f t="shared" si="77"/>
        <v>-8.9998512702542103E-16</v>
      </c>
      <c r="AE27" s="33">
        <f t="shared" si="77"/>
        <v>-9.3831850618819502E-15</v>
      </c>
      <c r="AF27" s="33">
        <f t="shared" si="77"/>
        <v>-2.3048805578410999E-17</v>
      </c>
      <c r="AG27" s="33">
        <f t="shared" si="77"/>
        <v>-1.7480296209813501E-14</v>
      </c>
    </row>
    <row r="28" spans="1:33">
      <c r="A28" t="str">
        <f>SIAF!B29</f>
        <v>NIS_FP2MIMF</v>
      </c>
      <c r="B28">
        <f>(SIAF!H29-SIAF!H$4)*COS(RADIANS(SIAF!T29))</f>
        <v>694.5</v>
      </c>
      <c r="C28" s="31">
        <f>(SIAF!I29-SIAF!I$4)*COS(RADIANS(SIAF!T29))</f>
        <v>-367.5</v>
      </c>
      <c r="D28" s="31">
        <f t="shared" si="0"/>
        <v>45.404953114499797</v>
      </c>
      <c r="E28" s="99">
        <f t="shared" si="78"/>
        <v>6.5356698792520249E-2</v>
      </c>
      <c r="F28" s="99">
        <f t="shared" si="79"/>
        <v>9.3669248086908378E-6</v>
      </c>
      <c r="G28" s="99">
        <f t="shared" si="80"/>
        <v>-3.2812554945780492E-8</v>
      </c>
      <c r="H28" s="99">
        <f t="shared" si="81"/>
        <v>2.1775410245020172E-8</v>
      </c>
      <c r="I28" s="33">
        <f t="shared" si="82"/>
        <v>-1.4076479340913703E-8</v>
      </c>
      <c r="J28" s="33">
        <f t="shared" si="83"/>
        <v>-9.766039392628321E-13</v>
      </c>
      <c r="K28" s="33">
        <f t="shared" si="84"/>
        <v>2.2153658054501784E-11</v>
      </c>
      <c r="L28" s="33">
        <f t="shared" si="85"/>
        <v>-1.463543820859463E-11</v>
      </c>
      <c r="M28" s="33">
        <f t="shared" si="86"/>
        <v>5.5928664296866589E-12</v>
      </c>
      <c r="N28" s="33">
        <f t="shared" si="76"/>
        <v>1.6907453091921699E-15</v>
      </c>
      <c r="O28" s="33">
        <f t="shared" si="76"/>
        <v>8.3328937943771704E-15</v>
      </c>
      <c r="P28" s="33">
        <f t="shared" si="76"/>
        <v>1.5605946571290499E-15</v>
      </c>
      <c r="Q28" s="33">
        <f t="shared" si="76"/>
        <v>7.5558022688464296E-15</v>
      </c>
      <c r="R28" s="33">
        <f t="shared" si="76"/>
        <v>2.2323735656209599E-16</v>
      </c>
      <c r="S28" s="31">
        <f t="shared" si="11"/>
        <v>-23.986125999379812</v>
      </c>
      <c r="T28" s="33">
        <f t="shared" si="87"/>
        <v>3.6500047022687727E-4</v>
      </c>
      <c r="U28" s="33">
        <f t="shared" si="88"/>
        <v>6.5895855943602658E-2</v>
      </c>
      <c r="V28" s="33">
        <f t="shared" si="89"/>
        <v>5.1779218369054955E-8</v>
      </c>
      <c r="W28" s="33">
        <f t="shared" si="90"/>
        <v>1.4182426416772996E-8</v>
      </c>
      <c r="X28" s="33">
        <f t="shared" si="91"/>
        <v>1.8549517558699764E-8</v>
      </c>
      <c r="Y28" s="33">
        <f t="shared" si="92"/>
        <v>-2.8082825956991359E-12</v>
      </c>
      <c r="Z28" s="33">
        <f t="shared" si="93"/>
        <v>-9.2970767128056302E-12</v>
      </c>
      <c r="AA28" s="33">
        <f t="shared" si="94"/>
        <v>-1.1461706627051801E-11</v>
      </c>
      <c r="AB28" s="33">
        <f t="shared" si="95"/>
        <v>-3.1326932144301596E-12</v>
      </c>
      <c r="AC28" s="33">
        <f t="shared" si="77"/>
        <v>-1.5569775603692001E-15</v>
      </c>
      <c r="AD28" s="33">
        <f t="shared" si="77"/>
        <v>-8.9998512702542103E-16</v>
      </c>
      <c r="AE28" s="33">
        <f t="shared" si="77"/>
        <v>-9.3831850618819502E-15</v>
      </c>
      <c r="AF28" s="33">
        <f t="shared" si="77"/>
        <v>-2.3048805578410999E-17</v>
      </c>
      <c r="AG28" s="33">
        <f t="shared" si="77"/>
        <v>-1.7480296209813501E-14</v>
      </c>
    </row>
    <row r="29" spans="1:33">
      <c r="A29" t="str">
        <f>SIAF!B30</f>
        <v>NIS_FP3MIMF</v>
      </c>
      <c r="B29">
        <f>(SIAF!H30-SIAF!H$4)*COS(RADIANS(SIAF!T30))</f>
        <v>-940.5</v>
      </c>
      <c r="C29" s="31">
        <f>(SIAF!I30-SIAF!I$4)*COS(RADIANS(SIAF!T30))</f>
        <v>-827.5</v>
      </c>
      <c r="D29" s="31">
        <f t="shared" si="0"/>
        <v>-61.519398322798843</v>
      </c>
      <c r="E29" s="99">
        <f t="shared" si="78"/>
        <v>6.5414258926239005E-2</v>
      </c>
      <c r="F29" s="99">
        <f t="shared" si="79"/>
        <v>-2.0715984650067788E-5</v>
      </c>
      <c r="G29" s="99">
        <f t="shared" si="80"/>
        <v>8.0371905439260241E-9</v>
      </c>
      <c r="H29" s="99">
        <f t="shared" si="81"/>
        <v>3.911596784589888E-8</v>
      </c>
      <c r="I29" s="33">
        <f t="shared" si="82"/>
        <v>2.3637705916564166E-8</v>
      </c>
      <c r="J29" s="33">
        <f t="shared" si="83"/>
        <v>-1.5867209406793121E-11</v>
      </c>
      <c r="K29" s="33">
        <f t="shared" si="84"/>
        <v>-2.0154933091476961E-11</v>
      </c>
      <c r="L29" s="33">
        <f t="shared" si="85"/>
        <v>-3.0165589868414698E-11</v>
      </c>
      <c r="M29" s="33">
        <f t="shared" si="86"/>
        <v>-7.1716270159515102E-12</v>
      </c>
      <c r="N29" s="33">
        <f t="shared" si="76"/>
        <v>1.6907453091921699E-15</v>
      </c>
      <c r="O29" s="33">
        <f t="shared" si="76"/>
        <v>8.3328937943771704E-15</v>
      </c>
      <c r="P29" s="33">
        <f t="shared" si="76"/>
        <v>1.5605946571290499E-15</v>
      </c>
      <c r="Q29" s="33">
        <f t="shared" si="76"/>
        <v>7.5558022688464296E-15</v>
      </c>
      <c r="R29" s="33">
        <f t="shared" si="76"/>
        <v>2.2323735656209599E-16</v>
      </c>
      <c r="S29" s="31">
        <f t="shared" si="11"/>
        <v>-54.733039146025121</v>
      </c>
      <c r="T29" s="33">
        <f t="shared" si="87"/>
        <v>1.8726236619249513E-4</v>
      </c>
      <c r="U29" s="33">
        <f t="shared" si="88"/>
        <v>6.5845359661635378E-2</v>
      </c>
      <c r="V29" s="33">
        <f t="shared" si="89"/>
        <v>4.0841473354740393E-8</v>
      </c>
      <c r="W29" s="33">
        <f t="shared" si="90"/>
        <v>1.9668043819010644E-8</v>
      </c>
      <c r="X29" s="33">
        <f t="shared" si="91"/>
        <v>-5.7158294452120957E-9</v>
      </c>
      <c r="Y29" s="33">
        <f t="shared" si="92"/>
        <v>7.7883438075471265E-12</v>
      </c>
      <c r="Z29" s="33">
        <f t="shared" si="93"/>
        <v>3.7498805921854524E-12</v>
      </c>
      <c r="AA29" s="33">
        <f t="shared" si="94"/>
        <v>1.9253115877000382E-11</v>
      </c>
      <c r="AB29" s="33">
        <f t="shared" si="95"/>
        <v>2.9068736608747384E-11</v>
      </c>
      <c r="AC29" s="33">
        <f t="shared" si="77"/>
        <v>-1.5569775603692001E-15</v>
      </c>
      <c r="AD29" s="33">
        <f t="shared" si="77"/>
        <v>-8.9998512702542103E-16</v>
      </c>
      <c r="AE29" s="33">
        <f t="shared" si="77"/>
        <v>-9.3831850618819502E-15</v>
      </c>
      <c r="AF29" s="33">
        <f t="shared" si="77"/>
        <v>-2.3048805578410999E-17</v>
      </c>
      <c r="AG29" s="33">
        <f t="shared" si="77"/>
        <v>-1.7480296209813501E-14</v>
      </c>
    </row>
    <row r="30" spans="1:33">
      <c r="A30" t="str">
        <f>SIAF!B31</f>
        <v>NIS_FP4MIMF</v>
      </c>
      <c r="B30">
        <f>(SIAF!H31-SIAF!H$4)*COS(RADIANS(SIAF!T31))</f>
        <v>-669.5</v>
      </c>
      <c r="C30" s="31">
        <f>(SIAF!I31-SIAF!I$4)*COS(RADIANS(SIAF!T31))</f>
        <v>844.5</v>
      </c>
      <c r="D30" s="31">
        <f t="shared" si="0"/>
        <v>-43.789619374999049</v>
      </c>
      <c r="E30" s="99">
        <f t="shared" si="78"/>
        <v>6.5418812096747395E-2</v>
      </c>
      <c r="F30" s="99">
        <f t="shared" si="79"/>
        <v>1.8611411347717234E-6</v>
      </c>
      <c r="G30" s="99">
        <f t="shared" si="80"/>
        <v>-2.2126902702403033E-8</v>
      </c>
      <c r="H30" s="99">
        <f t="shared" si="81"/>
        <v>-4.6486737952252416E-9</v>
      </c>
      <c r="I30" s="33">
        <f t="shared" si="82"/>
        <v>-6.3800916914064026E-9</v>
      </c>
      <c r="J30" s="33">
        <f t="shared" si="83"/>
        <v>-1.0184306743018108E-13</v>
      </c>
      <c r="K30" s="33">
        <f t="shared" si="84"/>
        <v>-8.1616619032087827E-12</v>
      </c>
      <c r="L30" s="33">
        <f t="shared" si="85"/>
        <v>8.5801566162829447E-12</v>
      </c>
      <c r="M30" s="33">
        <f t="shared" si="86"/>
        <v>-3.6309931604068298E-12</v>
      </c>
      <c r="N30" s="33">
        <f t="shared" si="76"/>
        <v>1.6907453091921699E-15</v>
      </c>
      <c r="O30" s="33">
        <f t="shared" si="76"/>
        <v>8.3328937943771704E-15</v>
      </c>
      <c r="P30" s="33">
        <f t="shared" si="76"/>
        <v>1.5605946571290499E-15</v>
      </c>
      <c r="Q30" s="33">
        <f t="shared" si="76"/>
        <v>7.5558022688464296E-15</v>
      </c>
      <c r="R30" s="33">
        <f t="shared" si="76"/>
        <v>2.2323735656209599E-16</v>
      </c>
      <c r="S30" s="31">
        <f t="shared" si="11"/>
        <v>55.419550160245961</v>
      </c>
      <c r="T30" s="33">
        <f t="shared" si="87"/>
        <v>2.8644061378560362E-4</v>
      </c>
      <c r="U30" s="33">
        <f t="shared" si="88"/>
        <v>6.5763889848152943E-2</v>
      </c>
      <c r="V30" s="33">
        <f t="shared" si="89"/>
        <v>2.5302257075677414E-8</v>
      </c>
      <c r="W30" s="33">
        <f t="shared" si="90"/>
        <v>6.8684771554202645E-8</v>
      </c>
      <c r="X30" s="33">
        <f t="shared" si="91"/>
        <v>-1.486157121748691E-7</v>
      </c>
      <c r="Y30" s="33">
        <f t="shared" si="92"/>
        <v>4.5958049997204088E-12</v>
      </c>
      <c r="Z30" s="33">
        <f t="shared" si="93"/>
        <v>-2.8359178163019456E-11</v>
      </c>
      <c r="AA30" s="33">
        <f t="shared" si="94"/>
        <v>1.4051816764679056E-11</v>
      </c>
      <c r="AB30" s="33">
        <f t="shared" si="95"/>
        <v>-8.7845730668797061E-11</v>
      </c>
      <c r="AC30" s="33">
        <f t="shared" si="77"/>
        <v>-1.5569775603692001E-15</v>
      </c>
      <c r="AD30" s="33">
        <f t="shared" si="77"/>
        <v>-8.9998512702542103E-16</v>
      </c>
      <c r="AE30" s="33">
        <f t="shared" si="77"/>
        <v>-9.3831850618819502E-15</v>
      </c>
      <c r="AF30" s="33">
        <f t="shared" si="77"/>
        <v>-2.3048805578410999E-17</v>
      </c>
      <c r="AG30" s="33">
        <f t="shared" si="77"/>
        <v>-1.7480296209813501E-14</v>
      </c>
    </row>
    <row r="31" spans="1:33">
      <c r="A31" t="str">
        <f>SIAF!B32</f>
        <v>NIS_FP5MIMF</v>
      </c>
      <c r="B31">
        <f>(SIAF!H32-SIAF!H$4)*COS(RADIANS(SIAF!T32))</f>
        <v>924.5</v>
      </c>
      <c r="C31" s="31">
        <f>(SIAF!I32-SIAF!I$4)*COS(RADIANS(SIAF!T32))</f>
        <v>924.5</v>
      </c>
      <c r="D31" s="31">
        <f t="shared" si="0"/>
        <v>60.442922405279418</v>
      </c>
      <c r="E31" s="99">
        <f t="shared" si="78"/>
        <v>6.5377604514000154E-2</v>
      </c>
      <c r="F31" s="99">
        <f t="shared" si="79"/>
        <v>9.4265909068422704E-6</v>
      </c>
      <c r="G31" s="99">
        <f t="shared" si="80"/>
        <v>5.7064097432312711E-9</v>
      </c>
      <c r="H31" s="99">
        <f t="shared" si="81"/>
        <v>3.5163422253011002E-8</v>
      </c>
      <c r="I31" s="33">
        <f t="shared" si="82"/>
        <v>1.328957471315399E-8</v>
      </c>
      <c r="J31" s="33">
        <f t="shared" si="83"/>
        <v>1.1344980527529268E-11</v>
      </c>
      <c r="K31" s="33">
        <f t="shared" si="84"/>
        <v>3.1935931366643495E-11</v>
      </c>
      <c r="L31" s="33">
        <f t="shared" si="85"/>
        <v>1.5368724927733497E-11</v>
      </c>
      <c r="M31" s="33">
        <f t="shared" si="86"/>
        <v>8.4843916102342514E-12</v>
      </c>
      <c r="N31" s="33">
        <f t="shared" si="76"/>
        <v>1.6907453091921699E-15</v>
      </c>
      <c r="O31" s="33">
        <f t="shared" si="76"/>
        <v>8.3328937943771704E-15</v>
      </c>
      <c r="P31" s="33">
        <f t="shared" si="76"/>
        <v>1.5605946571290499E-15</v>
      </c>
      <c r="Q31" s="33">
        <f t="shared" si="76"/>
        <v>7.5558022688464296E-15</v>
      </c>
      <c r="R31" s="33">
        <f t="shared" si="76"/>
        <v>2.2323735656209599E-16</v>
      </c>
      <c r="S31" s="31">
        <f t="shared" si="11"/>
        <v>61.21179491199991</v>
      </c>
      <c r="T31" s="33">
        <f t="shared" si="87"/>
        <v>3.7452387488088912E-4</v>
      </c>
      <c r="U31" s="33">
        <f t="shared" si="88"/>
        <v>6.5771939866930806E-2</v>
      </c>
      <c r="V31" s="33">
        <f t="shared" si="89"/>
        <v>2.0870163817238547E-8</v>
      </c>
      <c r="W31" s="33">
        <f t="shared" si="90"/>
        <v>-3.1122759151218859E-8</v>
      </c>
      <c r="X31" s="33">
        <f t="shared" si="91"/>
        <v>-1.7182128693789281E-7</v>
      </c>
      <c r="Y31" s="33">
        <f t="shared" si="92"/>
        <v>-5.403482735355644E-12</v>
      </c>
      <c r="Z31" s="33">
        <f t="shared" si="93"/>
        <v>-3.4164216650356131E-11</v>
      </c>
      <c r="AA31" s="33">
        <f t="shared" si="94"/>
        <v>-1.5867308925939418E-11</v>
      </c>
      <c r="AB31" s="33">
        <f t="shared" si="95"/>
        <v>-9.3476165252029369E-11</v>
      </c>
      <c r="AC31" s="33">
        <f t="shared" si="77"/>
        <v>-1.5569775603692001E-15</v>
      </c>
      <c r="AD31" s="33">
        <f t="shared" si="77"/>
        <v>-8.9998512702542103E-16</v>
      </c>
      <c r="AE31" s="33">
        <f t="shared" si="77"/>
        <v>-9.3831850618819502E-15</v>
      </c>
      <c r="AF31" s="33">
        <f t="shared" si="77"/>
        <v>-2.3048805578410999E-17</v>
      </c>
      <c r="AG31" s="33">
        <f t="shared" si="77"/>
        <v>-1.7480296209813501E-14</v>
      </c>
    </row>
    <row r="32" spans="1:33">
      <c r="A32" t="str">
        <f>SIAF!B33</f>
        <v>NIS_AMIFULL</v>
      </c>
      <c r="B32">
        <f>(SIAF!H33-SIAF!H$4)*COS(RADIANS(SIAF!T33))</f>
        <v>65.5</v>
      </c>
      <c r="C32" s="31">
        <f>(SIAF!I33-SIAF!I$4)*COS(RADIANS(SIAF!T33))</f>
        <v>-983.5</v>
      </c>
      <c r="D32" s="31">
        <f t="shared" ref="D32:D33" si="96">D$3+E$3*$B32+F$3*$C32+G$3*$B32^2+H$3*$B32*$C32+I$3*$C32^2+J$3*$B32^3+K$3*$B32^2*$C32+L$3*$B32*$C32^2+M$3*$C32^3+N$3*$B32^4+O$3*$B32^3*$C32+P$3*$B32^2*$C32^2+Q$3*$B32*$C32^3+R$3*$C32^4</f>
        <v>4.2798824388682197</v>
      </c>
      <c r="E32" s="99">
        <f t="shared" ref="E32:E33" si="97">E$3+2*G$3*$B32+H$3*$C32+3*J$3*$B32^2+2*K$3*$B32*$C32+L$3*$C32^2+4*N$3*$B32^3+3*O$3*$B32^2*$C32+2*P$3*$B32*$C32^2+Q$3*$C32^3</f>
        <v>6.5384731503156046E-2</v>
      </c>
      <c r="F32" s="99">
        <f t="shared" ref="F32:F33" si="98">F$3+H$3*$B32+2*I$3*$C32+K$3*$B32^2+2*L$3*$B32*$C32+3*M$3*$C32^2+O$3*$B32^3+2*P$3*$B32^2*$C32+3*Q$3*$B32*$C32^2+4*R$3*$C32^3</f>
        <v>8.3493202844892303E-6</v>
      </c>
      <c r="G32" s="99">
        <f t="shared" ref="G32:G33" si="99">G$3+3*J$3*$B32+K$3*$C32+6*N$3*$B32^2+3*O$3*$B32*$C32+P$3*$C32^2</f>
        <v>-3.0324521595070799E-8</v>
      </c>
      <c r="H32" s="99">
        <f t="shared" ref="H32:H33" si="100">H$3+2*K$3*$B32+2*L$3*$C32+3*O$3*$B32^2+4*P$3*$B32*$C32+3*Q$3*$C32^2</f>
        <v>3.2847452096650616E-8</v>
      </c>
      <c r="I32" s="33">
        <f t="shared" ref="I32:I33" si="101">I$3+L$3*$B32+3*M$3*$C32+P$3*$B32^2+3*Q$3*$B32*$C32+6*R$3*$C32^2</f>
        <v>-5.2979140019087337E-9</v>
      </c>
      <c r="J32" s="33">
        <f t="shared" ref="J32:J33" si="102">J$3+4*N$3*$B32+O$3*$C32</f>
        <v>-1.0363581714526668E-11</v>
      </c>
      <c r="K32" s="33">
        <f t="shared" ref="K32:K33" si="103">K$3+3*O$3*$B32+2*P$3*$C32</f>
        <v>4.5068348469290718E-12</v>
      </c>
      <c r="L32" s="33">
        <f t="shared" ref="L32:L33" si="104">L$3+2*P$3*$B32+3*Q$3*$C32</f>
        <v>-3.0561788880091176E-11</v>
      </c>
      <c r="M32" s="33">
        <f t="shared" ref="M32:M33" si="105">M$3+Q$3*$B32+4*R$3*$C32</f>
        <v>2.9020995601325035E-13</v>
      </c>
      <c r="N32" s="33">
        <f t="shared" si="76"/>
        <v>1.6907453091921699E-15</v>
      </c>
      <c r="O32" s="33">
        <f t="shared" si="76"/>
        <v>8.3328937943771704E-15</v>
      </c>
      <c r="P32" s="33">
        <f t="shared" si="76"/>
        <v>1.5605946571290499E-15</v>
      </c>
      <c r="Q32" s="33">
        <f t="shared" si="76"/>
        <v>7.5558022688464296E-15</v>
      </c>
      <c r="R32" s="33">
        <f t="shared" si="76"/>
        <v>2.2323735656209599E-16</v>
      </c>
      <c r="S32" s="31">
        <f t="shared" ref="S32:S33" si="106">S$3+T$3*$B32+U$3*$C32+V$3*$B32^2+W$3*$B32*$C32+X$3*$C32^2+Y$3*$B32^3+Z$3*$B32^2*$C32+AA$3*$B32*$C32^2+AB$3*$C32^3+AC$3*$B32^4+AD$3*$B32^3*$C32+AE$3*$B32^2*$C32^2+AF$3*$B32*$C32^3+AG$3*$C32^4</f>
        <v>-64.772416748153049</v>
      </c>
      <c r="T32" s="33">
        <f t="shared" ref="T32:T33" si="107">T$3+2*V$3*$B32+W$3*$C32+3*Y$3*$B32^2+2*Z$3*$B32*$C32+AA$3*$C32^2+4*AC$3*$B32^3+3*AD$3*$B32^2*$C32+2*AE$3*$B32*$C32^2+AF$3*$C32^3</f>
        <v>2.8293123485679866E-4</v>
      </c>
      <c r="U32" s="33">
        <f t="shared" ref="U32:U33" si="108">U$3+W$3*$B32+2*X$3*$C32+Z$3*$B32^2+2*AA$3*$B32*$C32+3*AB$3*$C32^2+AD$3*$B32^3+2*AE$3*$B32^2*$C32+3*AF$3*$B32*$C32^2+4*AG$3*$C32^3</f>
        <v>6.586911356758017E-2</v>
      </c>
      <c r="V32" s="33">
        <f t="shared" ref="V32:V33" si="109">V$3+3*Y$3*$B32+Z$3*$C32+6*AC$3*$B32^2+3*AD$3*$B32*$C32+AE$3*$C32^2</f>
        <v>5.4502780545840496E-8</v>
      </c>
      <c r="W32" s="33">
        <f t="shared" ref="W32:W33" si="110">W$3+2*Z$3*$B32+2*AA$3*$C32+3*AD$3*$B32^2+4*AE$3*$B32*$C32+3*AF$3*$C32^2</f>
        <v>2.4361934749109105E-8</v>
      </c>
      <c r="X32" s="33">
        <f t="shared" ref="X32:X33" si="111">X$3+AA$3*$B32+3*AB$3*$C32+AE$3*$B32^2+3*AF$3*$B32*$C32+6*AG$3*$C32^2</f>
        <v>-1.1989036052445594E-8</v>
      </c>
      <c r="Y32" s="33">
        <f t="shared" ref="Y32:Y33" si="112">Y$3+4*AC$3*$B32+AD$3*$C32</f>
        <v>1.6634637844374311E-12</v>
      </c>
      <c r="Z32" s="33">
        <f t="shared" ref="Z32:Z33" si="113">Z$3+3*AD$3*$B32+2*AE$3*$C32</f>
        <v>3.9612792181298993E-12</v>
      </c>
      <c r="AA32" s="33">
        <f t="shared" ref="AA32:AA33" si="114">AA$3+2*AE$3*$B32+3*AF$3*$C32</f>
        <v>3.8493437350459615E-13</v>
      </c>
      <c r="AB32" s="33">
        <f t="shared" ref="AB32:AB33" si="115">AB$3+AF$3*$B32+4*AG$3*$C32</f>
        <v>3.9953254345259132E-11</v>
      </c>
      <c r="AC32" s="33">
        <f t="shared" si="77"/>
        <v>-1.5569775603692001E-15</v>
      </c>
      <c r="AD32" s="33">
        <f t="shared" si="77"/>
        <v>-8.9998512702542103E-16</v>
      </c>
      <c r="AE32" s="33">
        <f t="shared" si="77"/>
        <v>-9.3831850618819502E-15</v>
      </c>
      <c r="AF32" s="33">
        <f t="shared" si="77"/>
        <v>-2.3048805578410999E-17</v>
      </c>
      <c r="AG32" s="33">
        <f t="shared" si="77"/>
        <v>-1.7480296209813501E-14</v>
      </c>
    </row>
    <row r="33" spans="1:33">
      <c r="A33" t="str">
        <f>SIAF!B34</f>
        <v>NIS_SOSSFULL</v>
      </c>
      <c r="B33">
        <f>(SIAF!H34-SIAF!H$4)*COS(RADIANS(SIAF!T34))</f>
        <v>930.5</v>
      </c>
      <c r="C33" s="31">
        <f>(SIAF!I34-SIAF!I$4)*COS(RADIANS(SIAF!T34))</f>
        <v>174.5</v>
      </c>
      <c r="D33" s="31">
        <f t="shared" si="96"/>
        <v>60.831958640231136</v>
      </c>
      <c r="E33" s="99">
        <f t="shared" si="97"/>
        <v>6.5356481390302951E-2</v>
      </c>
      <c r="F33" s="99">
        <f t="shared" si="98"/>
        <v>3.583158368646356E-6</v>
      </c>
      <c r="G33" s="99">
        <f t="shared" si="99"/>
        <v>-1.7275623502858037E-8</v>
      </c>
      <c r="H33" s="99">
        <f t="shared" si="100"/>
        <v>2.5216791615190305E-8</v>
      </c>
      <c r="I33" s="33">
        <f t="shared" si="101"/>
        <v>-5.0566151311313691E-9</v>
      </c>
      <c r="J33" s="33">
        <f t="shared" si="102"/>
        <v>5.1358880691670026E-12</v>
      </c>
      <c r="K33" s="33">
        <f t="shared" si="103"/>
        <v>2.9745031469248706E-11</v>
      </c>
      <c r="L33" s="33">
        <f t="shared" si="104"/>
        <v>-1.6131030412854214E-12</v>
      </c>
      <c r="M33" s="33">
        <f t="shared" si="105"/>
        <v>7.860014354161041E-12</v>
      </c>
      <c r="N33" s="33">
        <f t="shared" si="76"/>
        <v>1.6907453091921699E-15</v>
      </c>
      <c r="O33" s="33">
        <f t="shared" si="76"/>
        <v>8.3328937943771704E-15</v>
      </c>
      <c r="P33" s="33">
        <f t="shared" si="76"/>
        <v>1.5605946571290499E-15</v>
      </c>
      <c r="Q33" s="33">
        <f t="shared" si="76"/>
        <v>7.5558022688464296E-15</v>
      </c>
      <c r="R33" s="33">
        <f t="shared" si="76"/>
        <v>2.2323735656209599E-16</v>
      </c>
      <c r="S33" s="31">
        <f t="shared" si="106"/>
        <v>11.822430104709328</v>
      </c>
      <c r="T33" s="33">
        <f t="shared" si="107"/>
        <v>3.8944437808223936E-4</v>
      </c>
      <c r="U33" s="33">
        <f t="shared" si="108"/>
        <v>6.5901383880770964E-2</v>
      </c>
      <c r="V33" s="33">
        <f t="shared" si="109"/>
        <v>4.1129835510522456E-8</v>
      </c>
      <c r="W33" s="33">
        <f t="shared" si="110"/>
        <v>-7.601861088807422E-9</v>
      </c>
      <c r="X33" s="33">
        <f t="shared" si="111"/>
        <v>-2.0591145318289831E-8</v>
      </c>
      <c r="Y33" s="33">
        <f t="shared" si="112"/>
        <v>-4.7658613515354383E-12</v>
      </c>
      <c r="Z33" s="33">
        <f t="shared" si="113"/>
        <v>-2.0105638789819667E-11</v>
      </c>
      <c r="AA33" s="33">
        <f t="shared" si="114"/>
        <v>-1.5928047334130578E-11</v>
      </c>
      <c r="AB33" s="33">
        <f t="shared" si="115"/>
        <v>-4.1035414915422337E-11</v>
      </c>
      <c r="AC33" s="33">
        <f t="shared" si="77"/>
        <v>-1.5569775603692001E-15</v>
      </c>
      <c r="AD33" s="33">
        <f t="shared" si="77"/>
        <v>-8.9998512702542103E-16</v>
      </c>
      <c r="AE33" s="33">
        <f t="shared" si="77"/>
        <v>-9.3831850618819502E-15</v>
      </c>
      <c r="AF33" s="33">
        <f t="shared" si="77"/>
        <v>-2.3048805578410999E-17</v>
      </c>
      <c r="AG33" s="33">
        <f t="shared" si="77"/>
        <v>-1.7480296209813501E-14</v>
      </c>
    </row>
    <row r="35" spans="1:33">
      <c r="D35" s="18"/>
    </row>
    <row r="36" spans="1:33" ht="20" thickBot="1">
      <c r="A36" t="s">
        <v>174</v>
      </c>
      <c r="B36" t="s">
        <v>175</v>
      </c>
      <c r="C36" t="s">
        <v>176</v>
      </c>
      <c r="D36" s="10" t="s">
        <v>169</v>
      </c>
      <c r="E36" s="98" t="s">
        <v>44</v>
      </c>
      <c r="F36" s="98" t="s">
        <v>45</v>
      </c>
      <c r="G36" s="98" t="s">
        <v>46</v>
      </c>
      <c r="H36" s="98" t="s">
        <v>47</v>
      </c>
      <c r="I36" s="10" t="s">
        <v>48</v>
      </c>
      <c r="J36" s="10" t="s">
        <v>73</v>
      </c>
      <c r="K36" s="10" t="s">
        <v>74</v>
      </c>
      <c r="L36" s="10" t="s">
        <v>75</v>
      </c>
      <c r="M36" s="10" t="s">
        <v>76</v>
      </c>
      <c r="N36" s="10" t="s">
        <v>77</v>
      </c>
      <c r="O36" s="10" t="s">
        <v>78</v>
      </c>
      <c r="P36" s="10" t="s">
        <v>79</v>
      </c>
      <c r="Q36" s="10" t="s">
        <v>80</v>
      </c>
      <c r="R36" s="10" t="s">
        <v>81</v>
      </c>
      <c r="S36" s="10" t="s">
        <v>170</v>
      </c>
      <c r="T36" s="9" t="s">
        <v>49</v>
      </c>
      <c r="U36" s="9" t="s">
        <v>50</v>
      </c>
      <c r="V36" s="10" t="s">
        <v>51</v>
      </c>
      <c r="W36" s="10" t="s">
        <v>52</v>
      </c>
      <c r="X36" s="10" t="s">
        <v>53</v>
      </c>
      <c r="Y36" s="10" t="s">
        <v>82</v>
      </c>
      <c r="Z36" s="10" t="s">
        <v>83</v>
      </c>
      <c r="AA36" s="10" t="s">
        <v>84</v>
      </c>
      <c r="AB36" s="10" t="s">
        <v>85</v>
      </c>
      <c r="AC36" s="10" t="s">
        <v>86</v>
      </c>
      <c r="AD36" s="10" t="s">
        <v>87</v>
      </c>
      <c r="AE36" s="10" t="s">
        <v>88</v>
      </c>
      <c r="AF36" s="10" t="s">
        <v>89</v>
      </c>
      <c r="AG36" s="10" t="s">
        <v>90</v>
      </c>
    </row>
    <row r="37" spans="1:33" ht="16" thickTop="1">
      <c r="A37" t="str">
        <f>SIAF!B3</f>
        <v>NIS_CEN_OSS</v>
      </c>
      <c r="B37" s="31">
        <f t="shared" ref="B37:B66" si="116">D2</f>
        <v>0</v>
      </c>
      <c r="C37" s="31">
        <f t="shared" ref="C37:C66" si="117">S2</f>
        <v>0</v>
      </c>
      <c r="D37" s="35">
        <v>0</v>
      </c>
      <c r="E37" s="102">
        <v>15.2910324680727</v>
      </c>
      <c r="F37" s="102">
        <v>-6.9327421168635702E-5</v>
      </c>
      <c r="G37" s="102">
        <v>-8.1955854077787399E-5</v>
      </c>
      <c r="H37" s="102">
        <v>1.9511183924887398E-5</v>
      </c>
      <c r="I37" s="102">
        <v>-8.8615673371015707E-6</v>
      </c>
      <c r="J37" s="102">
        <v>1.4630942703716601E-7</v>
      </c>
      <c r="K37" s="102">
        <v>3.2619927580752703E-7</v>
      </c>
      <c r="L37" s="102">
        <v>4.4833331574120698E-7</v>
      </c>
      <c r="M37" s="102">
        <v>3.45897794591972E-8</v>
      </c>
      <c r="N37" s="102">
        <v>1.3755880354115801E-9</v>
      </c>
      <c r="O37" s="102">
        <v>-6.8286810777212099E-9</v>
      </c>
      <c r="P37" s="102">
        <v>1.04293498685182E-9</v>
      </c>
      <c r="Q37" s="102">
        <v>-5.99283789214357E-9</v>
      </c>
      <c r="R37" s="102">
        <v>-9.9891771502551305E-11</v>
      </c>
      <c r="S37" s="36">
        <v>0</v>
      </c>
      <c r="T37" s="102">
        <v>-6.9876006823276895E-2</v>
      </c>
      <c r="U37" s="102">
        <v>-15.176153557578299</v>
      </c>
      <c r="V37" s="102">
        <v>1.7475613939983001E-4</v>
      </c>
      <c r="W37" s="102">
        <v>-9.50725489764591E-5</v>
      </c>
      <c r="X37" s="102">
        <v>1.3996196704771699E-5</v>
      </c>
      <c r="Y37" s="102">
        <v>-6.5187413495690896E-8</v>
      </c>
      <c r="Z37" s="102">
        <v>-7.6158195756501102E-7</v>
      </c>
      <c r="AA37" s="102">
        <v>-1.03233681861025E-7</v>
      </c>
      <c r="AB37" s="102">
        <v>-1.4946771856511801E-6</v>
      </c>
      <c r="AC37" s="102">
        <v>-1.27574449362868E-9</v>
      </c>
      <c r="AD37" s="102">
        <v>7.7897327013718598E-10</v>
      </c>
      <c r="AE37" s="102">
        <v>-7.3361294369038402E-9</v>
      </c>
      <c r="AF37" s="102">
        <v>-1.8179864425270099E-10</v>
      </c>
      <c r="AG37" s="102">
        <v>-1.37896323183342E-8</v>
      </c>
    </row>
    <row r="38" spans="1:33">
      <c r="A38" t="str">
        <f>SIAF!B4</f>
        <v>NIS_CEN</v>
      </c>
      <c r="B38" s="31">
        <f t="shared" si="116"/>
        <v>0</v>
      </c>
      <c r="C38" s="31">
        <f t="shared" si="117"/>
        <v>0</v>
      </c>
      <c r="D38" s="35">
        <v>0</v>
      </c>
      <c r="E38" s="102">
        <v>15.2910324680727</v>
      </c>
      <c r="F38" s="102">
        <v>6.9327421171605494E-5</v>
      </c>
      <c r="G38" s="102">
        <v>8.1955854077787399E-5</v>
      </c>
      <c r="H38" s="102">
        <v>1.9511183924887398E-5</v>
      </c>
      <c r="I38" s="102">
        <v>8.8615673371015808E-6</v>
      </c>
      <c r="J38" s="102">
        <v>1.4630942703716699E-7</v>
      </c>
      <c r="K38" s="102">
        <v>-3.2619927580752703E-7</v>
      </c>
      <c r="L38" s="102">
        <v>4.4833331574120698E-7</v>
      </c>
      <c r="M38" s="102">
        <v>-3.4589779459197101E-8</v>
      </c>
      <c r="N38" s="102">
        <v>-1.3755880354115801E-9</v>
      </c>
      <c r="O38" s="102">
        <v>-6.8286810777212099E-9</v>
      </c>
      <c r="P38" s="102">
        <v>-1.04293498685182E-9</v>
      </c>
      <c r="Q38" s="102">
        <v>-5.9928378921435799E-9</v>
      </c>
      <c r="R38" s="102">
        <v>9.9891771502550206E-11</v>
      </c>
      <c r="S38" s="36">
        <v>0</v>
      </c>
      <c r="T38" s="102">
        <v>-6.9876006823279893E-2</v>
      </c>
      <c r="U38" s="102">
        <v>15.176153557578299</v>
      </c>
      <c r="V38" s="102">
        <v>-1.7475613939983001E-4</v>
      </c>
      <c r="W38" s="102">
        <v>-9.5072548976459195E-5</v>
      </c>
      <c r="X38" s="102">
        <v>-1.3996196704771699E-5</v>
      </c>
      <c r="Y38" s="102">
        <v>-6.5187413495691002E-8</v>
      </c>
      <c r="Z38" s="102">
        <v>7.6158195756501102E-7</v>
      </c>
      <c r="AA38" s="102">
        <v>-1.03233681861025E-7</v>
      </c>
      <c r="AB38" s="102">
        <v>1.4946771856511801E-6</v>
      </c>
      <c r="AC38" s="102">
        <v>1.27574449362868E-9</v>
      </c>
      <c r="AD38" s="102">
        <v>7.7897327013718401E-10</v>
      </c>
      <c r="AE38" s="102">
        <v>7.3361294369038402E-9</v>
      </c>
      <c r="AF38" s="102">
        <v>-1.81798644252709E-10</v>
      </c>
      <c r="AG38" s="102">
        <v>1.37896323183342E-8</v>
      </c>
    </row>
    <row r="39" spans="1:33">
      <c r="A39" t="str">
        <f>SIAF!B5</f>
        <v>NIS_AMI1</v>
      </c>
      <c r="B39" s="31">
        <f t="shared" si="116"/>
        <v>4.2798824388682197</v>
      </c>
      <c r="C39" s="31">
        <f t="shared" si="117"/>
        <v>-64.772416748153049</v>
      </c>
      <c r="D39" s="31">
        <f>D$38+E$38*$B39+F$38*$C39+G$38*$B39^2+H$38*$B39*$C39+I$38*$C39^2+J$38*$B39^3+K38*$B39^2*$C39+L$38*$B39*$C39^2+M$38*$C39^3+N$38*$B39^4+O$38*$B39^3*$C39+P$38*$B39^2*$C39^2+Q$38*$B39*$C39^3+R$38*$C39^4</f>
        <v>65.499132575269513</v>
      </c>
      <c r="E39" s="99">
        <f>E$38+2*G$38*$B39+H$38*$C39+3*J$38*$B39^2+2*K$38*$B39*$C39+L$38*$C39^2+4*N$38*$B39^3+3*O$38*$B39^2*$C39+2*P$38*$B39*$C39^2+Q$38*$C39^3</f>
        <v>15.294155045374634</v>
      </c>
      <c r="F39" s="99">
        <f>F$38+H$38*$B39+2*I$38*$C39+K$38*$B39^2+2*L$38*$B39*$C39+3*M$38*$C39^2+O$38*$B39^3+2*P$38*$B39^2*$C39+3*Q$38*$B39*$C39^2+4*R$38*$C39^3</f>
        <v>-2.1145126358781134E-3</v>
      </c>
      <c r="G39" s="99">
        <f>G$38+3*J$38*$B39+K$38*$C39+6*N$38*$B39^2+3*O$38*$B39*$C39+P$38*$C39^2</f>
        <v>1.0611545625444179E-4</v>
      </c>
      <c r="H39" s="99">
        <f>H$38+2*K$38*$B39+2*L$38*$C39+3*O$38*$B39^2+4*P$38*$B39*$C39+3*Q$38*$C39^2</f>
        <v>-1.1600728040557741E-4</v>
      </c>
      <c r="I39" s="33">
        <f>I$38+L$38*$B39+3*M$38*$C39+P$38*$B39^2+3*Q$38*$B39*$C39+6*R$38*$C39^2</f>
        <v>2.4981196889823418E-5</v>
      </c>
      <c r="J39" s="33">
        <f>J$38+4*N$38*$B39+O$38*$C39</f>
        <v>5.6507018334005106E-7</v>
      </c>
      <c r="K39" s="33">
        <f>K$38+3*O$38*$B39+2*P$38*$C39</f>
        <v>-2.7877029326384802E-7</v>
      </c>
      <c r="L39" s="33">
        <f>L$38+2*P$38*$B39+3*Q$38*$C39</f>
        <v>1.6039178178331314E-6</v>
      </c>
      <c r="M39" s="33">
        <f>M$38+Q$38*$B39+4*R$38*$C39</f>
        <v>-8.6119346926664291E-8</v>
      </c>
      <c r="N39" s="33">
        <f>N$38</f>
        <v>-1.3755880354115801E-9</v>
      </c>
      <c r="O39" s="33">
        <f>O$38</f>
        <v>-6.8286810777212099E-9</v>
      </c>
      <c r="P39" s="33">
        <f>P$38</f>
        <v>-1.04293498685182E-9</v>
      </c>
      <c r="Q39" s="33">
        <f>Q$38</f>
        <v>-5.9928378921435799E-9</v>
      </c>
      <c r="R39" s="33">
        <f>R$38</f>
        <v>9.9891771502550206E-11</v>
      </c>
      <c r="S39" s="31">
        <f>S$38+T$38*$B39+U$38*$C39+V$38*$B39^2+W$38*$B39*$C39+X$38*$C39^2+Y$38*$B39^3+Z38*$B39^2*$C39+AA$38*$B39*$C39^2+AB$38*$C39^3+AC$38*$B39^4+AD$38*$B39^3*$C39+AE$38*$B39^2*$C39^2+AF$38*$B39*$C39^3+AG$38*$C39^4</f>
        <v>-983.49621544720287</v>
      </c>
      <c r="T39" s="33">
        <f>T$38+2*V$38*$B39+W$38*$C39+3*Y$38*$B39^2+2*Z$38*$B39*$C39+AA$38*$C39^2+4*AC$38*$B39^3+3*AD$38*$B39^2*$C39+2*AE$38*$B39*$C39^2+AF$38*$C39^3</f>
        <v>-6.576225624944626E-2</v>
      </c>
      <c r="U39" s="33">
        <f>U$38+W$38*$B39+2*X$38*$C39+Z$38*$B39^2+2*AA$38*$B39*$C39+3*AB$38*$C39^2+AD$38*$B39^3+2*AE$38*$B39^2*$C39+3*AF$38*$B39*$C39^2+4*AG$38*$C39^3</f>
        <v>15.181427085297798</v>
      </c>
      <c r="V39" s="33">
        <f>V$38+3*Y$38*$B39+Z$38*$C39+6*AC$38*$B39^2+3*AD$38*$B39*$C39+AE$38*$C39^2</f>
        <v>-1.9465177244751584E-4</v>
      </c>
      <c r="W39" s="33">
        <f>W$38+2*Z$38*$B39+2*AA$38*$C39+3*AD$38*$B39^2+4*AE$38*$B39*$C39+3*AF$38*$C39^2</f>
        <v>-8.5560418327546486E-5</v>
      </c>
      <c r="X39" s="33">
        <f>X$38+AA$38*$B39+3*AB$38*$C39+AE$38*$B39^2+3*AF$38*$B39*$C39+6*AG$38*$C39^2</f>
        <v>4.2529585972267045E-5</v>
      </c>
      <c r="Y39" s="33">
        <f>Y$38+4*AC$38*$B39+AD$38*$C39</f>
        <v>-9.3803248965631426E-8</v>
      </c>
      <c r="Z39" s="33">
        <f>Z$38+3*AD$38*$B39+2*AE$38*$C39</f>
        <v>-1.7877396678842313E-7</v>
      </c>
      <c r="AA39" s="33">
        <f>AA$38+2*AE$38*$B39+3*AF$38*$C39</f>
        <v>-5.1115261191300365E-9</v>
      </c>
      <c r="AB39" s="33">
        <f>AB$38+AF$38*$B39+4*AG$38*$C39</f>
        <v>-2.0788521364815379E-6</v>
      </c>
      <c r="AC39" s="33">
        <f>AC$38</f>
        <v>1.27574449362868E-9</v>
      </c>
      <c r="AD39" s="33">
        <f>AD$38</f>
        <v>7.7897327013718401E-10</v>
      </c>
      <c r="AE39" s="33">
        <f>AE$38</f>
        <v>7.3361294369038402E-9</v>
      </c>
      <c r="AF39" s="33">
        <f>AF$38</f>
        <v>-1.81798644252709E-10</v>
      </c>
      <c r="AG39" s="33">
        <f>AG$38</f>
        <v>1.37896323183342E-8</v>
      </c>
    </row>
    <row r="40" spans="1:33">
      <c r="A40" t="str">
        <f>SIAF!B6</f>
        <v>NIS_AMI2</v>
      </c>
      <c r="B40" s="31">
        <f t="shared" si="116"/>
        <v>2.4492114878780056</v>
      </c>
      <c r="C40" s="31">
        <f t="shared" si="117"/>
        <v>-63.660536017761515</v>
      </c>
      <c r="D40" s="31">
        <f t="shared" ref="D40:D58" si="118">D$38+E$38*$B40+F$38*$C40+G$38*$B40^2+H$38*$B40*$C40+I$38*$C40^2+J$38*$B40^3+K39*$B40^2*$C40+L$38*$B40*$C40^2+M$38*$C40^3+N$38*$B40^4+O$38*$B40^3*$C40+P$38*$B40^2*$C40^2+Q$38*$B40*$C40^3+R$38*$C40^4</f>
        <v>37.498812449730991</v>
      </c>
      <c r="E40" s="99">
        <f t="shared" ref="E40:E58" si="119">E$38+2*G$38*$B40+H$38*$C40+3*J$38*$B40^2+2*K$38*$B40*$C40+L$38*$C40^2+4*N$38*$B40^3+3*O$38*$B40^2*$C40+2*P$38*$B40*$C40^2+Q$38*$C40^3</f>
        <v>15.293646287063313</v>
      </c>
      <c r="F40" s="99">
        <f t="shared" ref="F40:F58" si="120">F$38+H$38*$B40+2*I$38*$C40+K$38*$B40^2+2*L$38*$B40*$C40+3*M$38*$C40^2+O$38*$B40^3+2*P$38*$B40^2*$C40+3*Q$38*$B40*$C40^2+4*R$38*$C40^3</f>
        <v>-1.8542970643873021E-3</v>
      </c>
      <c r="G40" s="99">
        <f t="shared" ref="G40:G58" si="121">G$38+3*J$38*$B40+K$38*$C40+6*N$38*$B40^2+3*O$38*$B40*$C40+P$38*$C40^2</f>
        <v>1.0271487344680656E-4</v>
      </c>
      <c r="H40" s="99">
        <f t="shared" ref="H40:H58" si="122">H$38+2*K$38*$B40+2*L$38*$C40+3*O$38*$B40^2+4*P$38*$B40*$C40+3*Q$38*$C40^2</f>
        <v>-1.1150226737584124E-4</v>
      </c>
      <c r="I40" s="33">
        <f t="shared" ref="I40:I58" si="123">I$38+L$38*$B40+3*M$38*$C40+P$38*$B40^2+3*Q$38*$B40*$C40+6*R$38*$C40^2</f>
        <v>2.179152856817029E-5</v>
      </c>
      <c r="J40" s="33">
        <f t="shared" ref="J40:J58" si="124">J$38+4*N$38*$B40+O$38*$C40</f>
        <v>5.6755050066357428E-7</v>
      </c>
      <c r="K40" s="33">
        <f t="shared" ref="K40:K58" si="125">K$38+3*O$38*$B40+2*P$38*$C40</f>
        <v>-2.43586327646029E-7</v>
      </c>
      <c r="L40" s="33">
        <f t="shared" ref="L40:L58" si="126">L$38+2*P$38*$B40+3*Q$38*$C40</f>
        <v>1.5877463964836294E-6</v>
      </c>
      <c r="M40" s="33">
        <f t="shared" ref="M40:M58" si="127">M$38+Q$38*$B40+4*R$38*$C40</f>
        <v>-7.4704161740090174E-8</v>
      </c>
      <c r="N40" s="33">
        <f t="shared" ref="N40:R60" si="128">N$38</f>
        <v>-1.3755880354115801E-9</v>
      </c>
      <c r="O40" s="33">
        <f t="shared" si="128"/>
        <v>-6.8286810777212099E-9</v>
      </c>
      <c r="P40" s="33">
        <f t="shared" si="128"/>
        <v>-1.04293498685182E-9</v>
      </c>
      <c r="Q40" s="33">
        <f t="shared" si="128"/>
        <v>-5.9928378921435799E-9</v>
      </c>
      <c r="R40" s="33">
        <f t="shared" si="128"/>
        <v>9.9891771502550206E-11</v>
      </c>
      <c r="S40" s="31">
        <f t="shared" ref="S40:S58" si="129">S$38+T$38*$B40+U$38*$C40+V$38*$B40^2+W$38*$B40*$C40+X$38*$C40^2+Y$38*$B40^3+Z39*$B40^2*$C40+AA$38*$B40*$C40^2+AB$38*$C40^3+AC$38*$B40^4+AD$38*$B40^3*$C40+AE$38*$B40^2*$C40^2+AF$38*$B40*$C40^3+AG$38*$C40^4</f>
        <v>-966.4959595467875</v>
      </c>
      <c r="T40" s="33">
        <f t="shared" ref="T40:T58" si="130">T$38+2*V$38*$B40+W$38*$C40+3*Y$38*$B40^2+2*Z$38*$B40*$C40+AA$38*$C40^2+4*AC$38*$B40^3+3*AD$38*$B40^2*$C40+2*AE$38*$B40*$C40^2+AF$38*$C40^3</f>
        <v>-6.5144980234528346E-2</v>
      </c>
      <c r="U40" s="33">
        <f t="shared" ref="U40:U58" si="131">U$38+W$38*$B40+2*X$38*$C40+Z$38*$B40^2+2*AA$38*$B40*$C40+3*AB$38*$C40^2+AD$38*$B40^3+2*AE$38*$B40^2*$C40+3*AF$38*$B40*$C40^2+4*AG$38*$C40^3</f>
        <v>15.18167013242501</v>
      </c>
      <c r="V40" s="33">
        <f t="shared" ref="V40:V58" si="132">V$38+3*Y$38*$B40+Z$38*$C40+6*AC$38*$B40^2+3*AD$38*$B40*$C40+AE$38*$C40^2</f>
        <v>-1.9430541355319663E-4</v>
      </c>
      <c r="W40" s="33">
        <f t="shared" ref="W40:W58" si="133">W$38+2*Z$38*$B40+2*AA$38*$C40+3*AD$38*$B40^2+4*AE$38*$B40*$C40+3*AF$38*$C40^2</f>
        <v>-8.4969805344148227E-5</v>
      </c>
      <c r="X40" s="33">
        <f t="shared" ref="X40:X58" si="134">X$38+AA$38*$B40+3*AB$38*$C40+AE$38*$B40^2+3*AF$38*$B40*$C40+6*AG$38*$C40^2</f>
        <v>3.573261970523994E-5</v>
      </c>
      <c r="Y40" s="33">
        <f t="shared" ref="Y40:Y58" si="135">Y$38+4*AC$38*$B40+AD$38*$C40</f>
        <v>-1.0227899713856279E-7</v>
      </c>
      <c r="Z40" s="33">
        <f t="shared" ref="Z40:Z58" si="136">Z$38+3*AD$38*$B40+2*AE$38*$C40</f>
        <v>-1.6673829608703415E-7</v>
      </c>
      <c r="AA40" s="33">
        <f t="shared" ref="AA40:AA58" si="137">AA$38+2*AE$38*$B40+3*AF$38*$C40</f>
        <v>-3.2578019452885837E-8</v>
      </c>
      <c r="AB40" s="33">
        <f t="shared" ref="AB40:AB58" si="138">AB$38+AF$38*$B40+4*AG$38*$C40</f>
        <v>-2.0171896171688144E-6</v>
      </c>
      <c r="AC40" s="33">
        <f t="shared" ref="AC40:AG60" si="139">AC$38</f>
        <v>1.27574449362868E-9</v>
      </c>
      <c r="AD40" s="33">
        <f t="shared" si="139"/>
        <v>7.7897327013718401E-10</v>
      </c>
      <c r="AE40" s="33">
        <f t="shared" si="139"/>
        <v>7.3361294369038402E-9</v>
      </c>
      <c r="AF40" s="33">
        <f t="shared" si="139"/>
        <v>-1.81798644252709E-10</v>
      </c>
      <c r="AG40" s="33">
        <f t="shared" si="139"/>
        <v>1.37896323183342E-8</v>
      </c>
    </row>
    <row r="41" spans="1:33">
      <c r="A41" t="str">
        <f>SIAF!B7</f>
        <v>NIS_AMI3</v>
      </c>
      <c r="B41" s="31">
        <f t="shared" si="116"/>
        <v>2.448966346629148</v>
      </c>
      <c r="C41" s="31">
        <f t="shared" si="117"/>
        <v>-65.834194321595803</v>
      </c>
      <c r="D41" s="31">
        <f t="shared" si="118"/>
        <v>37.499183116397099</v>
      </c>
      <c r="E41" s="99">
        <f t="shared" si="119"/>
        <v>15.293896167592203</v>
      </c>
      <c r="F41" s="99">
        <f t="shared" si="120"/>
        <v>-1.9500656798616754E-3</v>
      </c>
      <c r="G41" s="99">
        <f t="shared" si="121"/>
        <v>1.0323899093469086E-4</v>
      </c>
      <c r="H41" s="99">
        <f t="shared" si="122"/>
        <v>-1.1848953116130096E-4</v>
      </c>
      <c r="I41" s="33">
        <f t="shared" si="123"/>
        <v>2.2281105536665838E-5</v>
      </c>
      <c r="J41" s="33">
        <f t="shared" si="124"/>
        <v>5.8239506884587466E-7</v>
      </c>
      <c r="K41" s="33">
        <f t="shared" si="125"/>
        <v>-2.3904733708274717E-7</v>
      </c>
      <c r="L41" s="33">
        <f t="shared" si="126"/>
        <v>1.6268260533597717E-6</v>
      </c>
      <c r="M41" s="33">
        <f t="shared" si="127"/>
        <v>-7.5571214962770038E-8</v>
      </c>
      <c r="N41" s="33">
        <f t="shared" si="128"/>
        <v>-1.3755880354115801E-9</v>
      </c>
      <c r="O41" s="33">
        <f t="shared" si="128"/>
        <v>-6.8286810777212099E-9</v>
      </c>
      <c r="P41" s="33">
        <f t="shared" si="128"/>
        <v>-1.04293498685182E-9</v>
      </c>
      <c r="Q41" s="33">
        <f t="shared" si="128"/>
        <v>-5.9928378921435799E-9</v>
      </c>
      <c r="R41" s="33">
        <f t="shared" si="128"/>
        <v>9.9891771502550206E-11</v>
      </c>
      <c r="S41" s="31">
        <f t="shared" si="129"/>
        <v>-999.4955096832299</v>
      </c>
      <c r="T41" s="33">
        <f t="shared" si="130"/>
        <v>-6.4960341898957913E-2</v>
      </c>
      <c r="U41" s="33">
        <f t="shared" si="131"/>
        <v>15.181485653332384</v>
      </c>
      <c r="V41" s="33">
        <f t="shared" si="132"/>
        <v>-1.9390824333314437E-4</v>
      </c>
      <c r="W41" s="33">
        <f t="shared" si="133"/>
        <v>-8.48306578752828E-5</v>
      </c>
      <c r="X41" s="33">
        <f t="shared" si="134"/>
        <v>4.9277589022772258E-5</v>
      </c>
      <c r="Y41" s="33">
        <f t="shared" si="135"/>
        <v>-1.0397346980605498E-7</v>
      </c>
      <c r="Z41" s="33">
        <f t="shared" si="136"/>
        <v>-1.9863134629953339E-7</v>
      </c>
      <c r="AA41" s="33">
        <f t="shared" si="137"/>
        <v>-3.1396111830632574E-8</v>
      </c>
      <c r="AB41" s="33">
        <f t="shared" si="138"/>
        <v>-2.1370853677847432E-6</v>
      </c>
      <c r="AC41" s="33">
        <f t="shared" si="139"/>
        <v>1.27574449362868E-9</v>
      </c>
      <c r="AD41" s="33">
        <f t="shared" si="139"/>
        <v>7.7897327013718401E-10</v>
      </c>
      <c r="AE41" s="33">
        <f t="shared" si="139"/>
        <v>7.3361294369038402E-9</v>
      </c>
      <c r="AF41" s="33">
        <f t="shared" si="139"/>
        <v>-1.81798644252709E-10</v>
      </c>
      <c r="AG41" s="33">
        <f t="shared" si="139"/>
        <v>1.37896323183342E-8</v>
      </c>
    </row>
    <row r="42" spans="1:33">
      <c r="A42" t="str">
        <f>SIAF!B8</f>
        <v>NIS_AMI4</v>
      </c>
      <c r="B42" s="31">
        <f t="shared" si="116"/>
        <v>5.1951112798009262</v>
      </c>
      <c r="C42" s="31">
        <f t="shared" si="117"/>
        <v>-65.888229427315864</v>
      </c>
      <c r="D42" s="31">
        <f t="shared" si="118"/>
        <v>79.499229902402234</v>
      </c>
      <c r="E42" s="99">
        <f t="shared" si="119"/>
        <v>15.294482734793679</v>
      </c>
      <c r="F42" s="99">
        <f t="shared" si="120"/>
        <v>-2.2802899385205009E-3</v>
      </c>
      <c r="G42" s="99">
        <f t="shared" si="121"/>
        <v>1.0799072609634459E-4</v>
      </c>
      <c r="H42" s="99">
        <f t="shared" si="122"/>
        <v>-1.2013218496386121E-4</v>
      </c>
      <c r="I42" s="33">
        <f t="shared" si="123"/>
        <v>2.6755660607730204E-5</v>
      </c>
      <c r="J42" s="33">
        <f t="shared" si="124"/>
        <v>5.6765380089552897E-7</v>
      </c>
      <c r="K42" s="33">
        <f t="shared" si="125"/>
        <v>-2.951922707036901E-7</v>
      </c>
      <c r="L42" s="33">
        <f t="shared" si="126"/>
        <v>1.6220694229874256E-6</v>
      </c>
      <c r="M42" s="33">
        <f t="shared" si="127"/>
        <v>-9.2050007025334788E-8</v>
      </c>
      <c r="N42" s="33">
        <f t="shared" si="128"/>
        <v>-1.3755880354115801E-9</v>
      </c>
      <c r="O42" s="33">
        <f t="shared" si="128"/>
        <v>-6.8286810777212099E-9</v>
      </c>
      <c r="P42" s="33">
        <f t="shared" si="128"/>
        <v>-1.04293498685182E-9</v>
      </c>
      <c r="Q42" s="33">
        <f t="shared" si="128"/>
        <v>-5.9928378921435799E-9</v>
      </c>
      <c r="R42" s="33">
        <f t="shared" si="128"/>
        <v>9.9891771502550206E-11</v>
      </c>
      <c r="S42" s="31">
        <f t="shared" si="129"/>
        <v>-1000.4943439871453</v>
      </c>
      <c r="T42" s="33">
        <f t="shared" si="130"/>
        <v>-6.6022946931243234E-2</v>
      </c>
      <c r="U42" s="33">
        <f t="shared" si="131"/>
        <v>15.181245873408967</v>
      </c>
      <c r="V42" s="33">
        <f t="shared" si="132"/>
        <v>-1.9469668954713958E-4</v>
      </c>
      <c r="W42" s="33">
        <f t="shared" si="133"/>
        <v>-8.5904938353406962E-5</v>
      </c>
      <c r="X42" s="33">
        <f t="shared" si="134"/>
        <v>4.9593450199143004E-5</v>
      </c>
      <c r="Y42" s="33">
        <f t="shared" si="135"/>
        <v>-9.0002044600259177E-8</v>
      </c>
      <c r="Z42" s="33">
        <f t="shared" si="136"/>
        <v>-1.9300664286234132E-7</v>
      </c>
      <c r="AA42" s="33">
        <f t="shared" si="137"/>
        <v>8.9255080607449202E-9</v>
      </c>
      <c r="AB42" s="33">
        <f t="shared" si="138"/>
        <v>-2.1405651101711631E-6</v>
      </c>
      <c r="AC42" s="33">
        <f t="shared" si="139"/>
        <v>1.27574449362868E-9</v>
      </c>
      <c r="AD42" s="33">
        <f t="shared" si="139"/>
        <v>7.7897327013718401E-10</v>
      </c>
      <c r="AE42" s="33">
        <f t="shared" si="139"/>
        <v>7.3361294369038402E-9</v>
      </c>
      <c r="AF42" s="33">
        <f t="shared" si="139"/>
        <v>-1.81798644252709E-10</v>
      </c>
      <c r="AG42" s="33">
        <f t="shared" si="139"/>
        <v>1.37896323183342E-8</v>
      </c>
    </row>
    <row r="43" spans="1:33">
      <c r="A43" t="str">
        <f>SIAF!B9</f>
        <v>NIS_AMITA</v>
      </c>
      <c r="B43" s="31">
        <f t="shared" si="116"/>
        <v>4.0189079969859991</v>
      </c>
      <c r="C43" s="31">
        <f t="shared" si="117"/>
        <v>-60.031026153138185</v>
      </c>
      <c r="D43" s="31">
        <f t="shared" si="118"/>
        <v>61.498387099630712</v>
      </c>
      <c r="E43" s="99">
        <f t="shared" si="119"/>
        <v>15.293585852323336</v>
      </c>
      <c r="F43" s="99">
        <f t="shared" si="120"/>
        <v>-1.8569953558184324E-3</v>
      </c>
      <c r="G43" s="99">
        <f t="shared" si="121"/>
        <v>1.0435263171148478E-4</v>
      </c>
      <c r="H43" s="99">
        <f t="shared" si="122"/>
        <v>-1.0105257916692229E-4</v>
      </c>
      <c r="I43" s="33">
        <f t="shared" si="123"/>
        <v>2.337328807339539E-5</v>
      </c>
      <c r="J43" s="33">
        <f t="shared" si="124"/>
        <v>5.3412871238099337E-7</v>
      </c>
      <c r="K43" s="33">
        <f t="shared" si="125"/>
        <v>-2.8331388384044035E-7</v>
      </c>
      <c r="L43" s="33">
        <f t="shared" si="126"/>
        <v>1.5192190209275826E-6</v>
      </c>
      <c r="M43" s="33">
        <f t="shared" si="127"/>
        <v>-8.2660865778785241E-8</v>
      </c>
      <c r="N43" s="33">
        <f t="shared" si="128"/>
        <v>-1.3755880354115801E-9</v>
      </c>
      <c r="O43" s="33">
        <f t="shared" si="128"/>
        <v>-6.8286810777212099E-9</v>
      </c>
      <c r="P43" s="33">
        <f t="shared" si="128"/>
        <v>-1.04293498685182E-9</v>
      </c>
      <c r="Q43" s="33">
        <f t="shared" si="128"/>
        <v>-5.9928378921435799E-9</v>
      </c>
      <c r="R43" s="33">
        <f t="shared" si="128"/>
        <v>9.9891771502550206E-11</v>
      </c>
      <c r="S43" s="31">
        <f t="shared" si="129"/>
        <v>-911.49621792424978</v>
      </c>
      <c r="T43" s="33">
        <f t="shared" si="130"/>
        <v>-6.6066129785672015E-2</v>
      </c>
      <c r="U43" s="33">
        <f t="shared" si="131"/>
        <v>15.181718398211292</v>
      </c>
      <c r="V43" s="33">
        <f t="shared" si="132"/>
        <v>-1.9526341728782435E-4</v>
      </c>
      <c r="W43" s="33">
        <f t="shared" si="133"/>
        <v>-8.5563991076455367E-5</v>
      </c>
      <c r="X43" s="33">
        <f t="shared" si="134"/>
        <v>1.4822155092116072E-5</v>
      </c>
      <c r="Y43" s="33">
        <f t="shared" si="135"/>
        <v>-9.1441579257671248E-8</v>
      </c>
      <c r="Z43" s="33">
        <f t="shared" si="136"/>
        <v>-1.0981693289977367E-7</v>
      </c>
      <c r="AA43" s="33">
        <f t="shared" si="137"/>
        <v>-1.15265458360122E-8</v>
      </c>
      <c r="AB43" s="33">
        <f t="shared" si="138"/>
        <v>-1.8172765597503682E-6</v>
      </c>
      <c r="AC43" s="33">
        <f t="shared" si="139"/>
        <v>1.27574449362868E-9</v>
      </c>
      <c r="AD43" s="33">
        <f t="shared" si="139"/>
        <v>7.7897327013718401E-10</v>
      </c>
      <c r="AE43" s="33">
        <f t="shared" si="139"/>
        <v>7.3361294369038402E-9</v>
      </c>
      <c r="AF43" s="33">
        <f t="shared" si="139"/>
        <v>-1.81798644252709E-10</v>
      </c>
      <c r="AG43" s="33">
        <f t="shared" si="139"/>
        <v>1.37896323183342E-8</v>
      </c>
    </row>
    <row r="44" spans="1:33">
      <c r="A44" t="str">
        <f>SIAF!B10</f>
        <v>NIS_SOSSTA</v>
      </c>
      <c r="B44" s="31">
        <f t="shared" si="116"/>
        <v>60.831958640231136</v>
      </c>
      <c r="C44" s="31">
        <f t="shared" si="117"/>
        <v>11.822430104709328</v>
      </c>
      <c r="D44" s="31">
        <f t="shared" si="118"/>
        <v>930.48897003654304</v>
      </c>
      <c r="E44" s="99">
        <f t="shared" si="119"/>
        <v>15.300289421965488</v>
      </c>
      <c r="F44" s="99">
        <f t="shared" si="120"/>
        <v>-8.9164886318489757E-4</v>
      </c>
      <c r="G44" s="99">
        <f t="shared" si="121"/>
        <v>5.9378891608204585E-5</v>
      </c>
      <c r="H44" s="99">
        <f t="shared" si="122"/>
        <v>-9.089697199429048E-5</v>
      </c>
      <c r="I44" s="33">
        <f t="shared" si="123"/>
        <v>1.8202301321942142E-5</v>
      </c>
      <c r="J44" s="33">
        <f t="shared" si="124"/>
        <v>-2.6914103561615933E-7</v>
      </c>
      <c r="K44" s="33">
        <f t="shared" si="125"/>
        <v>-1.5970654624409471E-6</v>
      </c>
      <c r="L44" s="33">
        <f t="shared" si="126"/>
        <v>1.08896038445804E-7</v>
      </c>
      <c r="M44" s="33">
        <f t="shared" si="127"/>
        <v>-3.9442199230518733E-7</v>
      </c>
      <c r="N44" s="33">
        <f t="shared" si="128"/>
        <v>-1.3755880354115801E-9</v>
      </c>
      <c r="O44" s="33">
        <f t="shared" si="128"/>
        <v>-6.8286810777212099E-9</v>
      </c>
      <c r="P44" s="33">
        <f t="shared" si="128"/>
        <v>-1.04293498685182E-9</v>
      </c>
      <c r="Q44" s="33">
        <f t="shared" si="128"/>
        <v>-5.9928378921435799E-9</v>
      </c>
      <c r="R44" s="33">
        <f t="shared" si="128"/>
        <v>9.9891771502550206E-11</v>
      </c>
      <c r="S44" s="31">
        <f t="shared" si="129"/>
        <v>174.45700170837893</v>
      </c>
      <c r="T44" s="33">
        <f t="shared" si="130"/>
        <v>-9.052877128238547E-2</v>
      </c>
      <c r="U44" s="33">
        <f t="shared" si="131"/>
        <v>15.174239432415016</v>
      </c>
      <c r="V44" s="33">
        <f t="shared" si="132"/>
        <v>-1.4661722151319557E-4</v>
      </c>
      <c r="W44" s="33">
        <f t="shared" si="133"/>
        <v>2.4819191342139335E-5</v>
      </c>
      <c r="X44" s="33">
        <f t="shared" si="134"/>
        <v>7.1055602996925981E-5</v>
      </c>
      <c r="Y44" s="33">
        <f t="shared" si="135"/>
        <v>2.5444608863163263E-7</v>
      </c>
      <c r="Z44" s="33">
        <f t="shared" si="136"/>
        <v>1.0772031218312957E-6</v>
      </c>
      <c r="AA44" s="33">
        <f t="shared" si="137"/>
        <v>7.8286065781478244E-7</v>
      </c>
      <c r="AB44" s="33">
        <f t="shared" si="138"/>
        <v>2.135725875055737E-6</v>
      </c>
      <c r="AC44" s="33">
        <f t="shared" si="139"/>
        <v>1.27574449362868E-9</v>
      </c>
      <c r="AD44" s="33">
        <f t="shared" si="139"/>
        <v>7.7897327013718401E-10</v>
      </c>
      <c r="AE44" s="33">
        <f t="shared" si="139"/>
        <v>7.3361294369038402E-9</v>
      </c>
      <c r="AF44" s="33">
        <f t="shared" si="139"/>
        <v>-1.81798644252709E-10</v>
      </c>
      <c r="AG44" s="33">
        <f t="shared" si="139"/>
        <v>1.37896323183342E-8</v>
      </c>
    </row>
    <row r="45" spans="1:33">
      <c r="A45" t="str">
        <f>SIAF!B11</f>
        <v>NIS_WFSS_OFFSET</v>
      </c>
      <c r="B45" s="31">
        <f t="shared" si="116"/>
        <v>-0.13079582318567251</v>
      </c>
      <c r="C45" s="31">
        <f t="shared" si="117"/>
        <v>-0.2246381972037102</v>
      </c>
      <c r="D45" s="31">
        <f t="shared" ref="D45" si="140">D$38+E$38*$B45+F$38*$C45+G$38*$B45^2+H$38*$B45*$C45+I$38*$C45^2+J$38*$B45^3+K44*$B45^2*$C45+L$38*$B45*$C45^2+M$38*$C45^3+N$38*$B45^4+O$38*$B45^3*$C45+P$38*$B45^2*$C45^2+Q$38*$B45*$C45^3+R$38*$C45^4</f>
        <v>-2.0000163268661586</v>
      </c>
      <c r="E45" s="99">
        <f t="shared" ref="E45" si="141">E$38+2*G$38*$B45+H$38*$C45+3*J$38*$B45^2+2*K$38*$B45*$C45+L$38*$C45^2+4*N$38*$B45^3+3*O$38*$B45^2*$C45+2*P$38*$B45*$C45^2+Q$38*$C45^3</f>
        <v>15.291006657285783</v>
      </c>
      <c r="F45" s="99">
        <f t="shared" ref="F45" si="142">F$38+H$38*$B45+2*I$38*$C45+K$38*$B45^2+2*L$38*$B45*$C45+3*M$38*$C45^2+O$38*$B45^3+2*P$38*$B45^2*$C45+3*Q$38*$B45*$C45^2+4*R$38*$C45^3</f>
        <v>6.2809812929019769E-5</v>
      </c>
      <c r="G45" s="99">
        <f t="shared" ref="G45" si="143">G$38+3*J$38*$B45+K$38*$C45+6*N$38*$B45^2+3*O$38*$B45*$C45+P$38*$C45^2</f>
        <v>8.1970925167089683E-5</v>
      </c>
      <c r="H45" s="99">
        <f t="shared" ref="H45" si="144">H$38+2*K$38*$B45+2*L$38*$C45+3*O$38*$B45^2+4*P$38*$B45*$C45+3*Q$38*$C45^2</f>
        <v>1.9393709078473549E-5</v>
      </c>
      <c r="I45" s="33">
        <f t="shared" ref="I45" si="145">I$38+L$38*$B45+3*M$38*$C45+P$38*$B45^2+3*Q$38*$B45*$C45+6*R$38*$C45^2</f>
        <v>8.825721931692076E-6</v>
      </c>
      <c r="J45" s="33">
        <f t="shared" ref="J45" si="146">J$38+4*N$38*$B45+O$38*$C45</f>
        <v>1.4856309432156944E-7</v>
      </c>
      <c r="K45" s="33">
        <f t="shared" ref="K45" si="147">K$38+3*O$38*$B45+2*P$38*$C45</f>
        <v>-3.2305122084853395E-7</v>
      </c>
      <c r="L45" s="33">
        <f t="shared" ref="L45" si="148">L$38+2*P$38*$B45+3*Q$38*$C45</f>
        <v>4.5264479972215144E-7</v>
      </c>
      <c r="M45" s="33">
        <f t="shared" ref="M45" si="149">M$38+Q$38*$B45+4*R$38*$C45</f>
        <v>-3.3895699323739163E-8</v>
      </c>
      <c r="N45" s="33">
        <f t="shared" si="128"/>
        <v>-1.3755880354115801E-9</v>
      </c>
      <c r="O45" s="33">
        <f t="shared" si="128"/>
        <v>-6.8286810777212099E-9</v>
      </c>
      <c r="P45" s="33">
        <f t="shared" si="128"/>
        <v>-1.04293498685182E-9</v>
      </c>
      <c r="Q45" s="33">
        <f t="shared" si="128"/>
        <v>-5.9928378921435799E-9</v>
      </c>
      <c r="R45" s="33">
        <f t="shared" si="128"/>
        <v>9.9891771502550206E-11</v>
      </c>
      <c r="S45" s="31">
        <f t="shared" ref="S45" si="150">S$38+T$38*$B45+U$38*$C45+V$38*$B45^2+W$38*$B45*$C45+X$38*$C45^2+Y$38*$B45^3+Z44*$B45^2*$C45+AA$38*$B45*$C45^2+AB$38*$C45^3+AC$38*$B45^4+AD$38*$B45^3*$C45+AE$38*$B45^2*$C45^2+AF$38*$B45*$C45^3+AG$38*$C45^4</f>
        <v>-3.4000107953677188</v>
      </c>
      <c r="T45" s="33">
        <f t="shared" ref="T45" si="151">T$38+2*V$38*$B45+W$38*$C45+3*Y$38*$B45^2+2*Z$38*$B45*$C45+AA$38*$C45^2+4*AC$38*$B45^3+3*AD$38*$B45^2*$C45+2*AE$38*$B45*$C45^2+AF$38*$C45^3</f>
        <v>-6.9808899068032657E-2</v>
      </c>
      <c r="U45" s="33">
        <f t="shared" ref="U45" si="152">U$38+W$38*$B45+2*X$38*$C45+Z$38*$B45^2+2*AA$38*$B45*$C45+3*AB$38*$C45^2+AD$38*$B45^3+2*AE$38*$B45^2*$C45+3*AF$38*$B45*$C45^2+4*AG$38*$C45^3</f>
        <v>15.176172513388666</v>
      </c>
      <c r="V45" s="33">
        <f t="shared" ref="V45" si="153">V$38+3*Y$38*$B45+Z$38*$C45+6*AC$38*$B45^2+3*AD$38*$B45*$C45+AE$38*$C45^2</f>
        <v>-1.7490107126354166E-4</v>
      </c>
      <c r="W45" s="33">
        <f t="shared" ref="W45" si="154">W$38+2*Z$38*$B45+2*AA$38*$C45+3*AD$38*$B45^2+4*AE$38*$B45*$C45+3*AF$38*$C45^2</f>
        <v>-9.5224517348265039E-5</v>
      </c>
      <c r="X45" s="33">
        <f t="shared" ref="X45" si="155">X$38+AA$38*$B45+3*AB$38*$C45+AE$38*$B45^2+3*AF$38*$B45*$C45+6*AG$38*$C45^2</f>
        <v>-1.4985694316026508E-5</v>
      </c>
      <c r="Y45" s="33">
        <f t="shared" ref="Y45" si="156">Y$38+4*AC$38*$B45+AD$38*$C45</f>
        <v>-6.6029848851639504E-8</v>
      </c>
      <c r="Z45" s="33">
        <f t="shared" ref="Z45" si="157">Z$38+3*AD$38*$B45+2*AE$38*$C45</f>
        <v>7.5798034843237099E-7</v>
      </c>
      <c r="AA45" s="33">
        <f t="shared" ref="AA45" si="158">AA$38+2*AE$38*$B45+3*AF$38*$C45</f>
        <v>-1.0503023527932095E-7</v>
      </c>
      <c r="AB45" s="33">
        <f t="shared" ref="AB45" si="159">AB$38+AF$38*$B45+4*AG$38*$C45</f>
        <v>1.4823102515781387E-6</v>
      </c>
      <c r="AC45" s="33">
        <f t="shared" si="139"/>
        <v>1.27574449362868E-9</v>
      </c>
      <c r="AD45" s="33">
        <f t="shared" si="139"/>
        <v>7.7897327013718401E-10</v>
      </c>
      <c r="AE45" s="33">
        <f t="shared" si="139"/>
        <v>7.3361294369038402E-9</v>
      </c>
      <c r="AF45" s="33">
        <f t="shared" si="139"/>
        <v>-1.81798644252709E-10</v>
      </c>
      <c r="AG45" s="33">
        <f t="shared" si="139"/>
        <v>1.37896323183342E-8</v>
      </c>
    </row>
    <row r="46" spans="1:33">
      <c r="A46" t="str">
        <f>SIAF!B12</f>
        <v>NIS_WFSS64</v>
      </c>
      <c r="B46" s="31">
        <f t="shared" si="116"/>
        <v>64.856814817488299</v>
      </c>
      <c r="C46" s="31">
        <f t="shared" si="117"/>
        <v>65.675805234126301</v>
      </c>
      <c r="D46" s="31">
        <f>D$38+E$38*$B46+F$38*$C46+G$38*$B46^2+H$38*$B46*$C46+I$38*$C46^2+J$38*$B46^3+K44*$B46^2*$C46+L$38*$B46*$C46^2+M$38*$C46^3+N$38*$B46^4+O$38*$B46^3*$C46+P$38*$B46^2*$C46^2+Q$38*$B46*$C46^3+R$38*$C46^4</f>
        <v>991.63875861434951</v>
      </c>
      <c r="E46" s="99">
        <f t="shared" si="119"/>
        <v>15.294504131696609</v>
      </c>
      <c r="F46" s="99">
        <f t="shared" si="120"/>
        <v>-2.8570603304199716E-3</v>
      </c>
      <c r="G46" s="99">
        <f t="shared" si="121"/>
        <v>-3.7477036624754567E-5</v>
      </c>
      <c r="H46" s="99">
        <f t="shared" si="122"/>
        <v>-1.4540118139413544E-4</v>
      </c>
      <c r="I46" s="33">
        <f t="shared" si="123"/>
        <v>-4.7257821404333818E-5</v>
      </c>
      <c r="J46" s="33">
        <f t="shared" si="124"/>
        <v>-6.5903473534058037E-7</v>
      </c>
      <c r="K46" s="33">
        <f t="shared" si="125"/>
        <v>-1.7918499782605522E-6</v>
      </c>
      <c r="L46" s="33">
        <f t="shared" si="126"/>
        <v>-8.6770292948899054E-7</v>
      </c>
      <c r="M46" s="33">
        <f t="shared" si="127"/>
        <v>-3.9702426674240686E-7</v>
      </c>
      <c r="N46" s="33">
        <f t="shared" si="128"/>
        <v>-1.3755880354115801E-9</v>
      </c>
      <c r="O46" s="33">
        <f t="shared" si="128"/>
        <v>-6.8286810777212099E-9</v>
      </c>
      <c r="P46" s="33">
        <f t="shared" si="128"/>
        <v>-1.04293498685182E-9</v>
      </c>
      <c r="Q46" s="33">
        <f t="shared" si="128"/>
        <v>-5.9928378921435799E-9</v>
      </c>
      <c r="R46" s="33">
        <f t="shared" si="128"/>
        <v>9.9891771502550206E-11</v>
      </c>
      <c r="S46" s="31">
        <f>S$38+T$38*$B46+U$38*$C46+V$38*$B46^2+W$38*$B46*$C46+X$38*$C46^2+Y$38*$B46^3+Z44*$B46^2*$C46+AA$38*$B46*$C46^2+AB$38*$C46^3+AC$38*$B46^4+AD$38*$B46^3*$C46+AE$38*$B46^2*$C46^2+AF$38*$B46*$C46^3+AG$38*$C46^4</f>
        <v>992.0709216949225</v>
      </c>
      <c r="T46" s="33">
        <f t="shared" si="130"/>
        <v>-8.7477377204617013E-2</v>
      </c>
      <c r="U46" s="33">
        <f t="shared" si="131"/>
        <v>15.209552733240036</v>
      </c>
      <c r="V46" s="33">
        <f t="shared" si="132"/>
        <v>-6.362720044771899E-5</v>
      </c>
      <c r="W46" s="33">
        <f t="shared" si="133"/>
        <v>1.2262633671808142E-4</v>
      </c>
      <c r="X46" s="33">
        <f t="shared" si="134"/>
        <v>6.5921026303106083E-4</v>
      </c>
      <c r="Y46" s="33">
        <f t="shared" si="135"/>
        <v>3.1693518078725187E-7</v>
      </c>
      <c r="Z46" s="33">
        <f t="shared" si="136"/>
        <v>1.8767595490930674E-6</v>
      </c>
      <c r="AA46" s="33">
        <f t="shared" si="137"/>
        <v>8.1254297781646183E-7</v>
      </c>
      <c r="AB46" s="33">
        <f t="shared" si="138"/>
        <v>5.1054671302033333E-6</v>
      </c>
      <c r="AC46" s="33">
        <f t="shared" si="139"/>
        <v>1.27574449362868E-9</v>
      </c>
      <c r="AD46" s="33">
        <f t="shared" si="139"/>
        <v>7.7897327013718401E-10</v>
      </c>
      <c r="AE46" s="33">
        <f t="shared" si="139"/>
        <v>7.3361294369038402E-9</v>
      </c>
      <c r="AF46" s="33">
        <f t="shared" si="139"/>
        <v>-1.81798644252709E-10</v>
      </c>
      <c r="AG46" s="33">
        <f t="shared" si="139"/>
        <v>1.37896323183342E-8</v>
      </c>
    </row>
    <row r="47" spans="1:33">
      <c r="A47" t="str">
        <f>SIAF!B13</f>
        <v>NIS_WFSS64R</v>
      </c>
      <c r="B47" s="31">
        <f t="shared" si="116"/>
        <v>64.847827642459748</v>
      </c>
      <c r="C47" s="31">
        <f t="shared" si="117"/>
        <v>-14.712787419416987</v>
      </c>
      <c r="D47" s="31">
        <f t="shared" si="118"/>
        <v>992.07769528248639</v>
      </c>
      <c r="E47" s="99">
        <f t="shared" si="119"/>
        <v>15.303696817601747</v>
      </c>
      <c r="F47" s="99">
        <f t="shared" si="120"/>
        <v>-3.1626583565923972E-3</v>
      </c>
      <c r="G47" s="99">
        <f t="shared" si="121"/>
        <v>9.9830443108569664E-5</v>
      </c>
      <c r="H47" s="99">
        <f t="shared" si="122"/>
        <v>-1.2204816826075373E-4</v>
      </c>
      <c r="I47" s="33">
        <f t="shared" si="123"/>
        <v>5.235885304691505E-5</v>
      </c>
      <c r="J47" s="33">
        <f t="shared" si="124"/>
        <v>-1.1003722322092543E-7</v>
      </c>
      <c r="K47" s="33">
        <f t="shared" si="125"/>
        <v>-1.6239857149600543E-6</v>
      </c>
      <c r="L47" s="33">
        <f t="shared" si="126"/>
        <v>5.7758322904029773E-7</v>
      </c>
      <c r="M47" s="33">
        <f t="shared" si="127"/>
        <v>-4.2909104377438972E-7</v>
      </c>
      <c r="N47" s="33">
        <f t="shared" si="128"/>
        <v>-1.3755880354115801E-9</v>
      </c>
      <c r="O47" s="33">
        <f t="shared" si="128"/>
        <v>-6.8286810777212099E-9</v>
      </c>
      <c r="P47" s="33">
        <f t="shared" si="128"/>
        <v>-1.04293498685182E-9</v>
      </c>
      <c r="Q47" s="33">
        <f t="shared" si="128"/>
        <v>-5.9928378921435799E-9</v>
      </c>
      <c r="R47" s="33">
        <f t="shared" si="128"/>
        <v>9.9891771502550206E-11</v>
      </c>
      <c r="S47" s="31">
        <f t="shared" si="129"/>
        <v>-228.57534777975252</v>
      </c>
      <c r="T47" s="33">
        <f t="shared" si="130"/>
        <v>-9.1986771087913144E-2</v>
      </c>
      <c r="U47" s="33">
        <f t="shared" si="131"/>
        <v>15.173891736821169</v>
      </c>
      <c r="V47" s="33">
        <f t="shared" si="132"/>
        <v>-1.6709565669640827E-4</v>
      </c>
      <c r="W47" s="33">
        <f t="shared" si="133"/>
        <v>-1.1549095337137277E-5</v>
      </c>
      <c r="X47" s="33">
        <f t="shared" si="134"/>
        <v>-3.7382802576495811E-5</v>
      </c>
      <c r="Y47" s="33">
        <f t="shared" si="135"/>
        <v>2.5426875452997146E-7</v>
      </c>
      <c r="Z47" s="33">
        <f t="shared" si="136"/>
        <v>6.9725630487184209E-7</v>
      </c>
      <c r="AA47" s="33">
        <f t="shared" si="137"/>
        <v>8.5625472713129101E-7</v>
      </c>
      <c r="AB47" s="33">
        <f t="shared" si="138"/>
        <v>6.7135222293675422E-7</v>
      </c>
      <c r="AC47" s="33">
        <f t="shared" si="139"/>
        <v>1.27574449362868E-9</v>
      </c>
      <c r="AD47" s="33">
        <f t="shared" si="139"/>
        <v>7.7897327013718401E-10</v>
      </c>
      <c r="AE47" s="33">
        <f t="shared" si="139"/>
        <v>7.3361294369038402E-9</v>
      </c>
      <c r="AF47" s="33">
        <f t="shared" si="139"/>
        <v>-1.81798644252709E-10</v>
      </c>
      <c r="AG47" s="33">
        <f t="shared" si="139"/>
        <v>1.37896323183342E-8</v>
      </c>
    </row>
    <row r="48" spans="1:33">
      <c r="A48" t="str">
        <f>SIAF!B14</f>
        <v>NIS_WFSS64R3</v>
      </c>
      <c r="B48" s="31">
        <f t="shared" si="116"/>
        <v>64.854052360343545</v>
      </c>
      <c r="C48" s="31">
        <f t="shared" si="117"/>
        <v>48.077034490451773</v>
      </c>
      <c r="D48" s="31">
        <f t="shared" si="118"/>
        <v>991.7229769971218</v>
      </c>
      <c r="E48" s="99">
        <f t="shared" si="119"/>
        <v>15.29682697100802</v>
      </c>
      <c r="F48" s="99">
        <f t="shared" si="120"/>
        <v>-1.564441604725336E-3</v>
      </c>
      <c r="G48" s="99">
        <f t="shared" si="121"/>
        <v>-6.2612284095288877E-6</v>
      </c>
      <c r="H48" s="99">
        <f t="shared" si="122"/>
        <v>-1.2041872118269834E-4</v>
      </c>
      <c r="I48" s="33">
        <f t="shared" si="123"/>
        <v>-2.6109252392679968E-5</v>
      </c>
      <c r="J48" s="33">
        <f t="shared" si="124"/>
        <v>-5.388431425601099E-7</v>
      </c>
      <c r="K48" s="33">
        <f t="shared" si="125"/>
        <v>-1.7550846389757304E-6</v>
      </c>
      <c r="L48" s="33">
        <f t="shared" si="126"/>
        <v>-5.512974268590569E-7</v>
      </c>
      <c r="M48" s="33">
        <f t="shared" si="127"/>
        <v>-4.0403960132796596E-7</v>
      </c>
      <c r="N48" s="33">
        <f t="shared" si="128"/>
        <v>-1.3755880354115801E-9</v>
      </c>
      <c r="O48" s="33">
        <f t="shared" si="128"/>
        <v>-6.8286810777212099E-9</v>
      </c>
      <c r="P48" s="33">
        <f t="shared" si="128"/>
        <v>-1.04293498685182E-9</v>
      </c>
      <c r="Q48" s="33">
        <f t="shared" si="128"/>
        <v>-5.9928378921435799E-9</v>
      </c>
      <c r="R48" s="33">
        <f t="shared" si="128"/>
        <v>9.9891771502550206E-11</v>
      </c>
      <c r="S48" s="31">
        <f t="shared" si="129"/>
        <v>724.47919932771924</v>
      </c>
      <c r="T48" s="33">
        <f t="shared" si="130"/>
        <v>-8.9382279449369578E-2</v>
      </c>
      <c r="U48" s="33">
        <f t="shared" si="131"/>
        <v>15.190792990230344</v>
      </c>
      <c r="V48" s="33">
        <f t="shared" si="132"/>
        <v>-9.4386252350577162E-5</v>
      </c>
      <c r="W48" s="33">
        <f t="shared" si="133"/>
        <v>9.3848960991217538E-5</v>
      </c>
      <c r="X48" s="33">
        <f t="shared" si="134"/>
        <v>4.1528343438247608E-4</v>
      </c>
      <c r="Y48" s="33">
        <f t="shared" si="135"/>
        <v>3.0321211203269188E-7</v>
      </c>
      <c r="Z48" s="33">
        <f t="shared" si="136"/>
        <v>1.6185393732402548E-6</v>
      </c>
      <c r="AA48" s="33">
        <f t="shared" si="137"/>
        <v>8.2210074431524892E-7</v>
      </c>
      <c r="AB48" s="33">
        <f t="shared" si="138"/>
        <v>4.1347453211745828E-6</v>
      </c>
      <c r="AC48" s="33">
        <f t="shared" si="139"/>
        <v>1.27574449362868E-9</v>
      </c>
      <c r="AD48" s="33">
        <f t="shared" si="139"/>
        <v>7.7897327013718401E-10</v>
      </c>
      <c r="AE48" s="33">
        <f t="shared" si="139"/>
        <v>7.3361294369038402E-9</v>
      </c>
      <c r="AF48" s="33">
        <f t="shared" si="139"/>
        <v>-1.81798644252709E-10</v>
      </c>
      <c r="AG48" s="33">
        <f t="shared" si="139"/>
        <v>1.37896323183342E-8</v>
      </c>
    </row>
    <row r="49" spans="1:33">
      <c r="A49" t="str">
        <f>SIAF!B15</f>
        <v>NIS_WFSS64C</v>
      </c>
      <c r="B49" s="31">
        <f t="shared" si="116"/>
        <v>-14.944378599179172</v>
      </c>
      <c r="C49" s="31">
        <f t="shared" si="117"/>
        <v>65.251514774352941</v>
      </c>
      <c r="D49" s="31">
        <f t="shared" si="118"/>
        <v>-228.51052951326892</v>
      </c>
      <c r="E49" s="99">
        <f t="shared" si="119"/>
        <v>15.290686733772745</v>
      </c>
      <c r="F49" s="99">
        <f t="shared" si="120"/>
        <v>7.9252059118188633E-4</v>
      </c>
      <c r="G49" s="99">
        <f t="shared" si="121"/>
        <v>6.7804311187866359E-5</v>
      </c>
      <c r="H49" s="99">
        <f t="shared" si="122"/>
        <v>1.0714336392902716E-5</v>
      </c>
      <c r="I49" s="33">
        <f t="shared" si="123"/>
        <v>1.52409938324848E-5</v>
      </c>
      <c r="J49" s="33">
        <f t="shared" si="124"/>
        <v>-2.1704312360433595E-7</v>
      </c>
      <c r="K49" s="33">
        <f t="shared" si="125"/>
        <v>-1.5615426513847945E-7</v>
      </c>
      <c r="L49" s="33">
        <f t="shared" si="126"/>
        <v>-6.9361990444163272E-7</v>
      </c>
      <c r="M49" s="33">
        <f t="shared" si="127"/>
        <v>8.1041816500643204E-8</v>
      </c>
      <c r="N49" s="33">
        <f t="shared" si="128"/>
        <v>-1.3755880354115801E-9</v>
      </c>
      <c r="O49" s="33">
        <f t="shared" si="128"/>
        <v>-6.8286810777212099E-9</v>
      </c>
      <c r="P49" s="33">
        <f t="shared" si="128"/>
        <v>-1.04293498685182E-9</v>
      </c>
      <c r="Q49" s="33">
        <f t="shared" si="128"/>
        <v>-5.9928378921435799E-9</v>
      </c>
      <c r="R49" s="33">
        <f t="shared" si="128"/>
        <v>9.9891771502550206E-11</v>
      </c>
      <c r="S49" s="31">
        <f t="shared" si="129"/>
        <v>992.00859209127361</v>
      </c>
      <c r="T49" s="33">
        <f t="shared" si="130"/>
        <v>-7.3791987914033241E-2</v>
      </c>
      <c r="U49" s="33">
        <f t="shared" si="131"/>
        <v>15.210781521406251</v>
      </c>
      <c r="V49" s="33">
        <f t="shared" si="132"/>
        <v>-9.1473052697421239E-5</v>
      </c>
      <c r="W49" s="33">
        <f t="shared" si="133"/>
        <v>-1.6172295688276776E-4</v>
      </c>
      <c r="X49" s="33">
        <f t="shared" si="134"/>
        <v>6.3458435188571197E-4</v>
      </c>
      <c r="Y49" s="33">
        <f t="shared" si="135"/>
        <v>-9.0619062484928969E-8</v>
      </c>
      <c r="Z49" s="33">
        <f t="shared" si="136"/>
        <v>1.6840452598396918E-6</v>
      </c>
      <c r="AA49" s="33">
        <f t="shared" si="137"/>
        <v>-3.5808938414061212E-7</v>
      </c>
      <c r="AB49" s="33">
        <f t="shared" si="138"/>
        <v>5.0965716412304256E-6</v>
      </c>
      <c r="AC49" s="33">
        <f t="shared" si="139"/>
        <v>1.27574449362868E-9</v>
      </c>
      <c r="AD49" s="33">
        <f t="shared" si="139"/>
        <v>7.7897327013718401E-10</v>
      </c>
      <c r="AE49" s="33">
        <f t="shared" si="139"/>
        <v>7.3361294369038402E-9</v>
      </c>
      <c r="AF49" s="33">
        <f t="shared" si="139"/>
        <v>-1.81798644252709E-10</v>
      </c>
      <c r="AG49" s="33">
        <f t="shared" si="139"/>
        <v>1.37896323183342E-8</v>
      </c>
    </row>
    <row r="50" spans="1:33">
      <c r="A50" t="str">
        <f>SIAF!B16</f>
        <v>NIS_WFSS64C3</v>
      </c>
      <c r="B50" s="31">
        <f t="shared" si="116"/>
        <v>47.367833999677529</v>
      </c>
      <c r="C50" s="31">
        <f t="shared" si="117"/>
        <v>65.576900799643269</v>
      </c>
      <c r="D50" s="31">
        <f t="shared" si="118"/>
        <v>724.52159241740287</v>
      </c>
      <c r="E50" s="99">
        <f t="shared" si="119"/>
        <v>15.295248503219353</v>
      </c>
      <c r="F50" s="99">
        <f t="shared" si="120"/>
        <v>-8.1927594910458968E-4</v>
      </c>
      <c r="G50" s="99">
        <f t="shared" si="121"/>
        <v>-5.2821837342556503E-6</v>
      </c>
      <c r="H50" s="99">
        <f t="shared" si="122"/>
        <v>-8.8827626493282092E-5</v>
      </c>
      <c r="I50" s="33">
        <f t="shared" si="123"/>
        <v>-3.2314868120424175E-5</v>
      </c>
      <c r="J50" s="33">
        <f t="shared" si="124"/>
        <v>-5.6212881744223094E-7</v>
      </c>
      <c r="K50" s="33">
        <f t="shared" si="125"/>
        <v>-1.4333636593327572E-6</v>
      </c>
      <c r="L50" s="33">
        <f t="shared" si="126"/>
        <v>-8.2944503480242728E-7</v>
      </c>
      <c r="M50" s="33">
        <f t="shared" si="127"/>
        <v>-2.9225515875913815E-7</v>
      </c>
      <c r="N50" s="33">
        <f t="shared" si="128"/>
        <v>-1.3755880354115801E-9</v>
      </c>
      <c r="O50" s="33">
        <f t="shared" si="128"/>
        <v>-6.8286810777212099E-9</v>
      </c>
      <c r="P50" s="33">
        <f t="shared" si="128"/>
        <v>-1.04293498685182E-9</v>
      </c>
      <c r="Q50" s="33">
        <f t="shared" si="128"/>
        <v>-5.9928378921435799E-9</v>
      </c>
      <c r="R50" s="33">
        <f t="shared" si="128"/>
        <v>9.9891771502550206E-11</v>
      </c>
      <c r="S50" s="31">
        <f t="shared" si="129"/>
        <v>992.12417843198284</v>
      </c>
      <c r="T50" s="33">
        <f t="shared" si="130"/>
        <v>-8.4994007898588589E-2</v>
      </c>
      <c r="U50" s="33">
        <f t="shared" si="131"/>
        <v>15.207850110034824</v>
      </c>
      <c r="V50" s="33">
        <f t="shared" si="132"/>
        <v>-7.8096096832669967E-5</v>
      </c>
      <c r="W50" s="33">
        <f t="shared" si="133"/>
        <v>5.7585918681014303E-5</v>
      </c>
      <c r="X50" s="33">
        <f t="shared" si="134"/>
        <v>6.4572858161258549E-4</v>
      </c>
      <c r="Y50" s="33">
        <f t="shared" si="135"/>
        <v>2.2761225296649276E-7</v>
      </c>
      <c r="Z50" s="33">
        <f t="shared" si="136"/>
        <v>1.8344380518895153E-6</v>
      </c>
      <c r="AA50" s="33">
        <f t="shared" si="137"/>
        <v>5.5599406589478413E-7</v>
      </c>
      <c r="AB50" s="33">
        <f t="shared" si="138"/>
        <v>5.1031911800606775E-6</v>
      </c>
      <c r="AC50" s="33">
        <f t="shared" si="139"/>
        <v>1.27574449362868E-9</v>
      </c>
      <c r="AD50" s="33">
        <f t="shared" si="139"/>
        <v>7.7897327013718401E-10</v>
      </c>
      <c r="AE50" s="33">
        <f t="shared" si="139"/>
        <v>7.3361294369038402E-9</v>
      </c>
      <c r="AF50" s="33">
        <f t="shared" si="139"/>
        <v>-1.81798644252709E-10</v>
      </c>
      <c r="AG50" s="33">
        <f t="shared" si="139"/>
        <v>1.37896323183342E-8</v>
      </c>
    </row>
    <row r="51" spans="1:33">
      <c r="A51" t="str">
        <f>SIAF!B17</f>
        <v>NIS_WFSS128</v>
      </c>
      <c r="B51" s="31">
        <f t="shared" si="116"/>
        <v>61.750685231310591</v>
      </c>
      <c r="C51" s="31">
        <f t="shared" si="117"/>
        <v>62.534650161298899</v>
      </c>
      <c r="D51" s="31">
        <f t="shared" si="118"/>
        <v>944.22596709567222</v>
      </c>
      <c r="E51" s="99">
        <f t="shared" si="119"/>
        <v>15.295132109579813</v>
      </c>
      <c r="F51" s="99">
        <f t="shared" si="120"/>
        <v>-2.153702707720881E-3</v>
      </c>
      <c r="G51" s="99">
        <f t="shared" si="121"/>
        <v>-2.5997215911259644E-5</v>
      </c>
      <c r="H51" s="99">
        <f t="shared" si="122"/>
        <v>-1.2923431056713518E-4</v>
      </c>
      <c r="I51" s="33">
        <f t="shared" si="123"/>
        <v>-4.1000841254358079E-5</v>
      </c>
      <c r="J51" s="33">
        <f t="shared" si="124"/>
        <v>-6.2049377035184E-7</v>
      </c>
      <c r="K51" s="33">
        <f t="shared" si="125"/>
        <v>-1.7216656322211495E-6</v>
      </c>
      <c r="L51" s="33">
        <f t="shared" si="126"/>
        <v>-8.0475064761413247E-7</v>
      </c>
      <c r="M51" s="33">
        <f t="shared" si="127"/>
        <v>-3.7966483783960862E-7</v>
      </c>
      <c r="N51" s="33">
        <f t="shared" si="128"/>
        <v>-1.3755880354115801E-9</v>
      </c>
      <c r="O51" s="33">
        <f t="shared" si="128"/>
        <v>-6.8286810777212099E-9</v>
      </c>
      <c r="P51" s="33">
        <f t="shared" si="128"/>
        <v>-1.04293498685182E-9</v>
      </c>
      <c r="Q51" s="33">
        <f t="shared" si="128"/>
        <v>-5.9928378921435799E-9</v>
      </c>
      <c r="R51" s="33">
        <f t="shared" si="128"/>
        <v>9.9891771502550206E-11</v>
      </c>
      <c r="S51" s="31">
        <f t="shared" si="129"/>
        <v>944.74254705029693</v>
      </c>
      <c r="T51" s="33">
        <f t="shared" si="130"/>
        <v>-8.7414151550450209E-2</v>
      </c>
      <c r="U51" s="33">
        <f t="shared" si="131"/>
        <v>15.205213403254046</v>
      </c>
      <c r="V51" s="33">
        <f t="shared" si="132"/>
        <v>-7.2306682373401445E-5</v>
      </c>
      <c r="W51" s="33">
        <f t="shared" si="133"/>
        <v>1.0616624796627864E-4</v>
      </c>
      <c r="X51" s="33">
        <f t="shared" si="134"/>
        <v>6.0945702709309523E-4</v>
      </c>
      <c r="Y51" s="33">
        <f t="shared" si="135"/>
        <v>2.9863779408391013E-7</v>
      </c>
      <c r="Z51" s="33">
        <f t="shared" si="136"/>
        <v>1.8234129329381255E-6</v>
      </c>
      <c r="AA51" s="33">
        <f t="shared" si="137"/>
        <v>7.6868221363335195E-7</v>
      </c>
      <c r="AB51" s="33">
        <f t="shared" si="138"/>
        <v>4.9327703263143337E-6</v>
      </c>
      <c r="AC51" s="33">
        <f t="shared" si="139"/>
        <v>1.27574449362868E-9</v>
      </c>
      <c r="AD51" s="33">
        <f t="shared" si="139"/>
        <v>7.7897327013718401E-10</v>
      </c>
      <c r="AE51" s="33">
        <f t="shared" si="139"/>
        <v>7.3361294369038402E-9</v>
      </c>
      <c r="AF51" s="33">
        <f t="shared" si="139"/>
        <v>-1.81798644252709E-10</v>
      </c>
      <c r="AG51" s="33">
        <f t="shared" si="139"/>
        <v>1.37896323183342E-8</v>
      </c>
    </row>
    <row r="52" spans="1:33">
      <c r="A52" t="str">
        <f>SIAF!B18</f>
        <v>NIS_WFSS128R</v>
      </c>
      <c r="B52" s="31">
        <f t="shared" si="116"/>
        <v>62.756853726863405</v>
      </c>
      <c r="C52" s="31">
        <f t="shared" si="117"/>
        <v>-14.72540293679392</v>
      </c>
      <c r="D52" s="31">
        <f t="shared" si="118"/>
        <v>960.06878753284434</v>
      </c>
      <c r="E52" s="99">
        <f t="shared" si="119"/>
        <v>15.303279394140819</v>
      </c>
      <c r="F52" s="99">
        <f t="shared" si="120"/>
        <v>-2.9157874166487827E-3</v>
      </c>
      <c r="G52" s="99">
        <f t="shared" si="121"/>
        <v>1.0050455901328239E-4</v>
      </c>
      <c r="H52" s="99">
        <f t="shared" si="122"/>
        <v>-1.1536099915405584E-4</v>
      </c>
      <c r="I52" s="33">
        <f t="shared" si="123"/>
        <v>5.1162347151652804E-5</v>
      </c>
      <c r="J52" s="33">
        <f t="shared" si="124"/>
        <v>-9.8445801073519733E-8</v>
      </c>
      <c r="K52" s="33">
        <f t="shared" si="125"/>
        <v>-1.581123618596831E-6</v>
      </c>
      <c r="L52" s="33">
        <f t="shared" si="126"/>
        <v>5.8217153699833409E-7</v>
      </c>
      <c r="M52" s="33">
        <f t="shared" si="127"/>
        <v>-4.1656521680703694E-7</v>
      </c>
      <c r="N52" s="33">
        <f t="shared" si="128"/>
        <v>-1.3755880354115801E-9</v>
      </c>
      <c r="O52" s="33">
        <f t="shared" si="128"/>
        <v>-6.8286810777212099E-9</v>
      </c>
      <c r="P52" s="33">
        <f t="shared" si="128"/>
        <v>-1.04293498685182E-9</v>
      </c>
      <c r="Q52" s="33">
        <f t="shared" si="128"/>
        <v>-5.9928378921435799E-9</v>
      </c>
      <c r="R52" s="33">
        <f t="shared" si="128"/>
        <v>9.9891771502550206E-11</v>
      </c>
      <c r="S52" s="31">
        <f t="shared" si="129"/>
        <v>-228.56774935147354</v>
      </c>
      <c r="T52" s="33">
        <f t="shared" si="130"/>
        <v>-9.1284514814827689E-2</v>
      </c>
      <c r="U52" s="33">
        <f t="shared" si="131"/>
        <v>15.17391991497318</v>
      </c>
      <c r="V52" s="33">
        <f t="shared" si="132"/>
        <v>-1.6866593148727615E-4</v>
      </c>
      <c r="W52" s="33">
        <f t="shared" si="133"/>
        <v>-1.4475597622744368E-5</v>
      </c>
      <c r="X52" s="33">
        <f t="shared" si="134"/>
        <v>-3.9166543642862604E-5</v>
      </c>
      <c r="Y52" s="33">
        <f t="shared" si="135"/>
        <v>2.4358873354257297E-7</v>
      </c>
      <c r="Z52" s="33">
        <f t="shared" si="136"/>
        <v>6.9218476836864995E-7</v>
      </c>
      <c r="AA52" s="33">
        <f t="shared" si="137"/>
        <v>8.2558229699514907E-7</v>
      </c>
      <c r="AB52" s="33">
        <f t="shared" si="138"/>
        <v>6.7103650577524371E-7</v>
      </c>
      <c r="AC52" s="33">
        <f t="shared" si="139"/>
        <v>1.27574449362868E-9</v>
      </c>
      <c r="AD52" s="33">
        <f t="shared" si="139"/>
        <v>7.7897327013718401E-10</v>
      </c>
      <c r="AE52" s="33">
        <f t="shared" si="139"/>
        <v>7.3361294369038402E-9</v>
      </c>
      <c r="AF52" s="33">
        <f t="shared" si="139"/>
        <v>-1.81798644252709E-10</v>
      </c>
      <c r="AG52" s="33">
        <f t="shared" si="139"/>
        <v>1.37896323183342E-8</v>
      </c>
    </row>
    <row r="53" spans="1:33">
      <c r="A53" t="str">
        <f>SIAF!B19</f>
        <v>NIS_WFSS128R3</v>
      </c>
      <c r="B53" s="31">
        <f t="shared" si="116"/>
        <v>62.762175786231076</v>
      </c>
      <c r="C53" s="31">
        <f t="shared" si="117"/>
        <v>48.064782175642435</v>
      </c>
      <c r="D53" s="31">
        <f t="shared" si="118"/>
        <v>959.74873092453413</v>
      </c>
      <c r="E53" s="99">
        <f t="shared" si="119"/>
        <v>15.296847529419795</v>
      </c>
      <c r="F53" s="99">
        <f t="shared" si="120"/>
        <v>-1.3195466786554313E-3</v>
      </c>
      <c r="G53" s="99">
        <f t="shared" si="121"/>
        <v>-2.8947867464907423E-6</v>
      </c>
      <c r="H53" s="99">
        <f t="shared" si="122"/>
        <v>-1.1315212643346751E-4</v>
      </c>
      <c r="I53" s="33">
        <f t="shared" si="123"/>
        <v>-2.4946179493016643E-5</v>
      </c>
      <c r="J53" s="33">
        <f t="shared" si="124"/>
        <v>-5.2724923386218561E-7</v>
      </c>
      <c r="K53" s="33">
        <f t="shared" si="125"/>
        <v>-1.7122048083044507E-6</v>
      </c>
      <c r="L53" s="33">
        <f t="shared" si="126"/>
        <v>-5.4671376591505398E-7</v>
      </c>
      <c r="M53" s="33">
        <f t="shared" si="127"/>
        <v>-3.9150821975066245E-7</v>
      </c>
      <c r="N53" s="33">
        <f t="shared" si="128"/>
        <v>-1.3755880354115801E-9</v>
      </c>
      <c r="O53" s="33">
        <f t="shared" si="128"/>
        <v>-6.8286810777212099E-9</v>
      </c>
      <c r="P53" s="33">
        <f t="shared" si="128"/>
        <v>-1.04293498685182E-9</v>
      </c>
      <c r="Q53" s="33">
        <f t="shared" si="128"/>
        <v>-5.9928378921435799E-9</v>
      </c>
      <c r="R53" s="33">
        <f t="shared" si="128"/>
        <v>9.9891771502550206E-11</v>
      </c>
      <c r="S53" s="31">
        <f t="shared" si="129"/>
        <v>724.4795087382638</v>
      </c>
      <c r="T53" s="33">
        <f t="shared" si="130"/>
        <v>-8.8984523766477711E-2</v>
      </c>
      <c r="U53" s="33">
        <f t="shared" si="131"/>
        <v>15.190593612150359</v>
      </c>
      <c r="V53" s="33">
        <f t="shared" si="132"/>
        <v>-9.6275373603293019E-5</v>
      </c>
      <c r="W53" s="33">
        <f t="shared" si="133"/>
        <v>8.706822478509657E-5</v>
      </c>
      <c r="X53" s="33">
        <f t="shared" si="134"/>
        <v>4.1344382144975565E-4</v>
      </c>
      <c r="Y53" s="33">
        <f t="shared" si="135"/>
        <v>2.9252776772385888E-7</v>
      </c>
      <c r="Z53" s="33">
        <f t="shared" si="136"/>
        <v>1.6134710562985896E-6</v>
      </c>
      <c r="AA53" s="33">
        <f t="shared" si="137"/>
        <v>7.9141487205048074E-7</v>
      </c>
      <c r="AB53" s="33">
        <f t="shared" si="138"/>
        <v>4.1344498018346234E-6</v>
      </c>
      <c r="AC53" s="33">
        <f t="shared" si="139"/>
        <v>1.27574449362868E-9</v>
      </c>
      <c r="AD53" s="33">
        <f t="shared" si="139"/>
        <v>7.7897327013718401E-10</v>
      </c>
      <c r="AE53" s="33">
        <f t="shared" si="139"/>
        <v>7.3361294369038402E-9</v>
      </c>
      <c r="AF53" s="33">
        <f t="shared" si="139"/>
        <v>-1.81798644252709E-10</v>
      </c>
      <c r="AG53" s="33">
        <f t="shared" si="139"/>
        <v>1.37896323183342E-8</v>
      </c>
    </row>
    <row r="54" spans="1:33">
      <c r="A54" t="str">
        <f>SIAF!B20</f>
        <v>NIS_WFSS128C</v>
      </c>
      <c r="B54" s="31">
        <f t="shared" si="116"/>
        <v>-14.944324901802283</v>
      </c>
      <c r="C54" s="31">
        <f t="shared" si="117"/>
        <v>63.147645663717668</v>
      </c>
      <c r="D54" s="31">
        <f t="shared" si="118"/>
        <v>-228.51003283456726</v>
      </c>
      <c r="E54" s="99">
        <f t="shared" si="119"/>
        <v>15.290661185189313</v>
      </c>
      <c r="F54" s="99">
        <f t="shared" si="120"/>
        <v>7.2946362352374118E-4</v>
      </c>
      <c r="G54" s="99">
        <f t="shared" si="121"/>
        <v>6.8128190366302226E-5</v>
      </c>
      <c r="H54" s="99">
        <f t="shared" si="122"/>
        <v>1.3553313406881458E-5</v>
      </c>
      <c r="I54" s="33">
        <f t="shared" si="123"/>
        <v>1.4732107379621725E-5</v>
      </c>
      <c r="J54" s="33">
        <f t="shared" si="124"/>
        <v>-2.0267676788041545E-7</v>
      </c>
      <c r="K54" s="33">
        <f t="shared" si="125"/>
        <v>-1.5176696777878721E-7</v>
      </c>
      <c r="L54" s="33">
        <f t="shared" si="126"/>
        <v>-6.5579557686840251E-7</v>
      </c>
      <c r="M54" s="33">
        <f t="shared" si="127"/>
        <v>8.0200857851084864E-8</v>
      </c>
      <c r="N54" s="33">
        <f t="shared" si="128"/>
        <v>-1.3755880354115801E-9</v>
      </c>
      <c r="O54" s="33">
        <f t="shared" si="128"/>
        <v>-6.8286810777212099E-9</v>
      </c>
      <c r="P54" s="33">
        <f t="shared" si="128"/>
        <v>-1.04293498685182E-9</v>
      </c>
      <c r="Q54" s="33">
        <f t="shared" si="128"/>
        <v>-5.9928378921435799E-9</v>
      </c>
      <c r="R54" s="33">
        <f t="shared" si="128"/>
        <v>9.9891771502550206E-11</v>
      </c>
      <c r="S54" s="31">
        <f t="shared" si="129"/>
        <v>960.00938218303588</v>
      </c>
      <c r="T54" s="33">
        <f t="shared" si="130"/>
        <v>-7.3453337486938858E-2</v>
      </c>
      <c r="U54" s="33">
        <f t="shared" si="131"/>
        <v>15.208178510652681</v>
      </c>
      <c r="V54" s="33">
        <f t="shared" si="132"/>
        <v>-9.4983606707828896E-5</v>
      </c>
      <c r="W54" s="33">
        <f t="shared" si="133"/>
        <v>-1.6021844701902786E-4</v>
      </c>
      <c r="X54" s="33">
        <f t="shared" si="134"/>
        <v>6.0278299320129232E-4</v>
      </c>
      <c r="Y54" s="33">
        <f t="shared" si="135"/>
        <v>-9.2257646269449589E-8</v>
      </c>
      <c r="Z54" s="33">
        <f t="shared" si="136"/>
        <v>1.6531768730983072E-6</v>
      </c>
      <c r="AA54" s="33">
        <f t="shared" si="137"/>
        <v>-3.5694115462280164E-7</v>
      </c>
      <c r="AB54" s="33">
        <f t="shared" si="138"/>
        <v>4.9805253055420704E-6</v>
      </c>
      <c r="AC54" s="33">
        <f t="shared" si="139"/>
        <v>1.27574449362868E-9</v>
      </c>
      <c r="AD54" s="33">
        <f t="shared" si="139"/>
        <v>7.7897327013718401E-10</v>
      </c>
      <c r="AE54" s="33">
        <f t="shared" si="139"/>
        <v>7.3361294369038402E-9</v>
      </c>
      <c r="AF54" s="33">
        <f t="shared" si="139"/>
        <v>-1.81798644252709E-10</v>
      </c>
      <c r="AG54" s="33">
        <f t="shared" si="139"/>
        <v>1.37896323183342E-8</v>
      </c>
    </row>
    <row r="55" spans="1:33">
      <c r="A55" t="str">
        <f>SIAF!B21</f>
        <v>NIS_WFSS128C3</v>
      </c>
      <c r="B55" s="31">
        <f t="shared" si="116"/>
        <v>47.367682935875358</v>
      </c>
      <c r="C55" s="31">
        <f t="shared" si="117"/>
        <v>63.472625038545388</v>
      </c>
      <c r="D55" s="31">
        <f t="shared" si="118"/>
        <v>724.52068725627544</v>
      </c>
      <c r="E55" s="99">
        <f t="shared" si="119"/>
        <v>15.295431804802938</v>
      </c>
      <c r="F55" s="99">
        <f t="shared" si="120"/>
        <v>-6.8715027832829496E-4</v>
      </c>
      <c r="G55" s="99">
        <f t="shared" si="121"/>
        <v>-2.2703611810140396E-6</v>
      </c>
      <c r="H55" s="99">
        <f t="shared" si="122"/>
        <v>-8.5416041033019847E-5</v>
      </c>
      <c r="I55" s="33">
        <f t="shared" si="123"/>
        <v>-3.0467138285949614E-5</v>
      </c>
      <c r="J55" s="33">
        <f t="shared" si="124"/>
        <v>-5.4775855816387894E-7</v>
      </c>
      <c r="K55" s="33">
        <f t="shared" si="125"/>
        <v>-1.4289713190067085E-6</v>
      </c>
      <c r="L55" s="33">
        <f t="shared" si="126"/>
        <v>-7.9161296915309814E-7</v>
      </c>
      <c r="M55" s="33">
        <f t="shared" si="127"/>
        <v>-2.9309505279228412E-7</v>
      </c>
      <c r="N55" s="33">
        <f t="shared" si="128"/>
        <v>-1.3755880354115801E-9</v>
      </c>
      <c r="O55" s="33">
        <f t="shared" si="128"/>
        <v>-6.8286810777212099E-9</v>
      </c>
      <c r="P55" s="33">
        <f t="shared" si="128"/>
        <v>-1.04293498685182E-9</v>
      </c>
      <c r="Q55" s="33">
        <f t="shared" si="128"/>
        <v>-5.9928378921435799E-9</v>
      </c>
      <c r="R55" s="33">
        <f t="shared" si="128"/>
        <v>9.9891771502550206E-11</v>
      </c>
      <c r="S55" s="31">
        <f t="shared" si="129"/>
        <v>960.11674069990806</v>
      </c>
      <c r="T55" s="33">
        <f t="shared" si="130"/>
        <v>-8.5112696177411559E-2</v>
      </c>
      <c r="U55" s="33">
        <f t="shared" si="131"/>
        <v>15.205199796166303</v>
      </c>
      <c r="V55" s="33">
        <f t="shared" si="132"/>
        <v>-8.1923878560787605E-5</v>
      </c>
      <c r="W55" s="33">
        <f t="shared" si="133"/>
        <v>5.5243029102010833E-5</v>
      </c>
      <c r="X55" s="33">
        <f t="shared" si="134"/>
        <v>6.138792939407911E-4</v>
      </c>
      <c r="Y55" s="33">
        <f t="shared" si="135"/>
        <v>2.2597230752034471E-7</v>
      </c>
      <c r="Z55" s="33">
        <f t="shared" si="136"/>
        <v>1.8035632201568165E-6</v>
      </c>
      <c r="AA55" s="33">
        <f t="shared" si="137"/>
        <v>5.5713951288907659E-7</v>
      </c>
      <c r="AB55" s="33">
        <f t="shared" si="138"/>
        <v>4.9871224513561819E-6</v>
      </c>
      <c r="AC55" s="33">
        <f t="shared" si="139"/>
        <v>1.27574449362868E-9</v>
      </c>
      <c r="AD55" s="33">
        <f t="shared" si="139"/>
        <v>7.7897327013718401E-10</v>
      </c>
      <c r="AE55" s="33">
        <f t="shared" si="139"/>
        <v>7.3361294369038402E-9</v>
      </c>
      <c r="AF55" s="33">
        <f t="shared" si="139"/>
        <v>-1.81798644252709E-10</v>
      </c>
      <c r="AG55" s="33">
        <f t="shared" si="139"/>
        <v>1.37896323183342E-8</v>
      </c>
    </row>
    <row r="56" spans="1:33">
      <c r="A56" t="str">
        <f>SIAF!B22</f>
        <v>NIS_SUB64</v>
      </c>
      <c r="B56" s="31">
        <f t="shared" si="116"/>
        <v>64.856814817488299</v>
      </c>
      <c r="C56" s="31">
        <f t="shared" si="117"/>
        <v>65.675805234126301</v>
      </c>
      <c r="D56" s="31">
        <f t="shared" si="118"/>
        <v>991.68519615605817</v>
      </c>
      <c r="E56" s="99">
        <f t="shared" si="119"/>
        <v>15.294504131696609</v>
      </c>
      <c r="F56" s="99">
        <f t="shared" si="120"/>
        <v>-2.8570603304199716E-3</v>
      </c>
      <c r="G56" s="99">
        <f t="shared" si="121"/>
        <v>-3.7477036624754567E-5</v>
      </c>
      <c r="H56" s="99">
        <f t="shared" si="122"/>
        <v>-1.4540118139413544E-4</v>
      </c>
      <c r="I56" s="33">
        <f t="shared" si="123"/>
        <v>-4.7257821404333818E-5</v>
      </c>
      <c r="J56" s="33">
        <f t="shared" si="124"/>
        <v>-6.5903473534058037E-7</v>
      </c>
      <c r="K56" s="33">
        <f t="shared" si="125"/>
        <v>-1.7918499782605522E-6</v>
      </c>
      <c r="L56" s="33">
        <f t="shared" si="126"/>
        <v>-8.6770292948899054E-7</v>
      </c>
      <c r="M56" s="33">
        <f t="shared" si="127"/>
        <v>-3.9702426674240686E-7</v>
      </c>
      <c r="N56" s="33">
        <f t="shared" si="128"/>
        <v>-1.3755880354115801E-9</v>
      </c>
      <c r="O56" s="33">
        <f t="shared" si="128"/>
        <v>-6.8286810777212099E-9</v>
      </c>
      <c r="P56" s="33">
        <f t="shared" si="128"/>
        <v>-1.04293498685182E-9</v>
      </c>
      <c r="Q56" s="33">
        <f t="shared" si="128"/>
        <v>-5.9928378921435799E-9</v>
      </c>
      <c r="R56" s="33">
        <f t="shared" si="128"/>
        <v>9.9891771502550206E-11</v>
      </c>
      <c r="S56" s="31">
        <f t="shared" si="129"/>
        <v>992.27158530325767</v>
      </c>
      <c r="T56" s="33">
        <f t="shared" si="130"/>
        <v>-8.7477377204617013E-2</v>
      </c>
      <c r="U56" s="33">
        <f t="shared" si="131"/>
        <v>15.209552733240036</v>
      </c>
      <c r="V56" s="33">
        <f t="shared" si="132"/>
        <v>-6.362720044771899E-5</v>
      </c>
      <c r="W56" s="33">
        <f t="shared" si="133"/>
        <v>1.2262633671808142E-4</v>
      </c>
      <c r="X56" s="33">
        <f t="shared" si="134"/>
        <v>6.5921026303106083E-4</v>
      </c>
      <c r="Y56" s="33">
        <f t="shared" si="135"/>
        <v>3.1693518078725187E-7</v>
      </c>
      <c r="Z56" s="33">
        <f t="shared" si="136"/>
        <v>1.8767595490930674E-6</v>
      </c>
      <c r="AA56" s="33">
        <f t="shared" si="137"/>
        <v>8.1254297781646183E-7</v>
      </c>
      <c r="AB56" s="33">
        <f t="shared" si="138"/>
        <v>5.1054671302033333E-6</v>
      </c>
      <c r="AC56" s="33">
        <f t="shared" si="139"/>
        <v>1.27574449362868E-9</v>
      </c>
      <c r="AD56" s="33">
        <f t="shared" si="139"/>
        <v>7.7897327013718401E-10</v>
      </c>
      <c r="AE56" s="33">
        <f t="shared" si="139"/>
        <v>7.3361294369038402E-9</v>
      </c>
      <c r="AF56" s="33">
        <f t="shared" si="139"/>
        <v>-1.81798644252709E-10</v>
      </c>
      <c r="AG56" s="33">
        <f t="shared" si="139"/>
        <v>1.37896323183342E-8</v>
      </c>
    </row>
    <row r="57" spans="1:33">
      <c r="A57" t="str">
        <f>SIAF!B23</f>
        <v>NIS_SUB128</v>
      </c>
      <c r="B57" s="31">
        <f t="shared" si="116"/>
        <v>62.76423329815016</v>
      </c>
      <c r="C57" s="31">
        <f t="shared" si="117"/>
        <v>63.55975820750151</v>
      </c>
      <c r="D57" s="31">
        <f t="shared" si="118"/>
        <v>959.62293508403923</v>
      </c>
      <c r="E57" s="99">
        <f t="shared" si="119"/>
        <v>15.294940560073012</v>
      </c>
      <c r="F57" s="99">
        <f t="shared" si="120"/>
        <v>-2.3734143090633768E-3</v>
      </c>
      <c r="G57" s="99">
        <f t="shared" si="121"/>
        <v>-2.967966955711906E-5</v>
      </c>
      <c r="H57" s="99">
        <f t="shared" si="122"/>
        <v>-1.3441847701839302E-4</v>
      </c>
      <c r="I57" s="33">
        <f t="shared" si="123"/>
        <v>-4.3003208327136278E-5</v>
      </c>
      <c r="J57" s="33">
        <f t="shared" si="124"/>
        <v>-6.3307080464579983E-7</v>
      </c>
      <c r="K57" s="33">
        <f t="shared" si="125"/>
        <v>-1.7445674638306903E-6</v>
      </c>
      <c r="L57" s="33">
        <f t="shared" si="126"/>
        <v>-8.2529469612213145E-7</v>
      </c>
      <c r="M57" s="33">
        <f t="shared" si="127"/>
        <v>-3.8532926766520685E-7</v>
      </c>
      <c r="N57" s="33">
        <f t="shared" si="128"/>
        <v>-1.3755880354115801E-9</v>
      </c>
      <c r="O57" s="33">
        <f t="shared" si="128"/>
        <v>-6.8286810777212099E-9</v>
      </c>
      <c r="P57" s="33">
        <f t="shared" si="128"/>
        <v>-1.04293498685182E-9</v>
      </c>
      <c r="Q57" s="33">
        <f t="shared" si="128"/>
        <v>-5.9928378921435799E-9</v>
      </c>
      <c r="R57" s="33">
        <f t="shared" si="128"/>
        <v>9.9891771502550206E-11</v>
      </c>
      <c r="S57" s="31">
        <f t="shared" si="129"/>
        <v>960.26501613858693</v>
      </c>
      <c r="T57" s="33">
        <f t="shared" si="130"/>
        <v>-8.7446351907070952E-2</v>
      </c>
      <c r="U57" s="33">
        <f t="shared" si="131"/>
        <v>15.206589622778003</v>
      </c>
      <c r="V57" s="33">
        <f t="shared" si="132"/>
        <v>-6.9511435352284176E-5</v>
      </c>
      <c r="W57" s="33">
        <f t="shared" si="133"/>
        <v>1.1147076230464321E-4</v>
      </c>
      <c r="X57" s="33">
        <f t="shared" si="134"/>
        <v>6.2549990543352076E-4</v>
      </c>
      <c r="Y57" s="33">
        <f t="shared" si="135"/>
        <v>3.0460843931209879E-7</v>
      </c>
      <c r="Z57" s="33">
        <f t="shared" si="136"/>
        <v>1.8408221641218353E-6</v>
      </c>
      <c r="AA57" s="33">
        <f t="shared" si="137"/>
        <v>7.8299416349203282E-7</v>
      </c>
      <c r="AB57" s="33">
        <f t="shared" si="138"/>
        <v>4.9891295168246968E-6</v>
      </c>
      <c r="AC57" s="33">
        <f t="shared" si="139"/>
        <v>1.27574449362868E-9</v>
      </c>
      <c r="AD57" s="33">
        <f t="shared" si="139"/>
        <v>7.7897327013718401E-10</v>
      </c>
      <c r="AE57" s="33">
        <f t="shared" si="139"/>
        <v>7.3361294369038402E-9</v>
      </c>
      <c r="AF57" s="33">
        <f t="shared" si="139"/>
        <v>-1.81798644252709E-10</v>
      </c>
      <c r="AG57" s="33">
        <f t="shared" si="139"/>
        <v>1.37896323183342E-8</v>
      </c>
    </row>
    <row r="58" spans="1:33">
      <c r="A58" t="str">
        <f>SIAF!B24</f>
        <v>NIS_SUB256</v>
      </c>
      <c r="B58" s="31">
        <f t="shared" si="116"/>
        <v>58.579434468448568</v>
      </c>
      <c r="C58" s="31">
        <f t="shared" si="117"/>
        <v>59.326476233651412</v>
      </c>
      <c r="D58" s="31">
        <f t="shared" si="118"/>
        <v>895.70154515058482</v>
      </c>
      <c r="E58" s="99">
        <f t="shared" si="119"/>
        <v>15.295650669925593</v>
      </c>
      <c r="F58" s="99">
        <f t="shared" si="120"/>
        <v>-1.5253463471029921E-3</v>
      </c>
      <c r="G58" s="99">
        <f t="shared" si="121"/>
        <v>-1.4872751162177861E-5</v>
      </c>
      <c r="H58" s="99">
        <f t="shared" si="122"/>
        <v>-1.1358459291792015E-4</v>
      </c>
      <c r="I58" s="33">
        <f t="shared" si="123"/>
        <v>-3.498191455617589E-5</v>
      </c>
      <c r="J58" s="33">
        <f t="shared" si="124"/>
        <v>-5.8113683533134376E-7</v>
      </c>
      <c r="K58" s="33">
        <f t="shared" si="125"/>
        <v>-1.6500074183238562E-6</v>
      </c>
      <c r="L58" s="33">
        <f t="shared" si="126"/>
        <v>-7.4045763203421504E-7</v>
      </c>
      <c r="M58" s="33">
        <f t="shared" si="127"/>
        <v>-3.6194192681012383E-7</v>
      </c>
      <c r="N58" s="33">
        <f t="shared" si="128"/>
        <v>-1.3755880354115801E-9</v>
      </c>
      <c r="O58" s="33">
        <f t="shared" si="128"/>
        <v>-6.8286810777212099E-9</v>
      </c>
      <c r="P58" s="33">
        <f t="shared" si="128"/>
        <v>-1.04293498685182E-9</v>
      </c>
      <c r="Q58" s="33">
        <f t="shared" si="128"/>
        <v>-5.9928378921435799E-9</v>
      </c>
      <c r="R58" s="33">
        <f t="shared" si="128"/>
        <v>9.9891771502550206E-11</v>
      </c>
      <c r="S58" s="31">
        <f t="shared" si="129"/>
        <v>896.20904884574452</v>
      </c>
      <c r="T58" s="33">
        <f t="shared" si="130"/>
        <v>-8.7242832989297969E-2</v>
      </c>
      <c r="U58" s="33">
        <f t="shared" si="131"/>
        <v>15.201150222045742</v>
      </c>
      <c r="V58" s="33">
        <f t="shared" si="132"/>
        <v>-8.0821412641305569E-5</v>
      </c>
      <c r="W58" s="33">
        <f t="shared" si="133"/>
        <v>8.9985553664445738E-5</v>
      </c>
      <c r="X58" s="33">
        <f t="shared" si="134"/>
        <v>5.6046358579210154E-4</v>
      </c>
      <c r="Y58" s="33">
        <f t="shared" si="135"/>
        <v>2.7995588955377383E-7</v>
      </c>
      <c r="Z58" s="33">
        <f t="shared" si="136"/>
        <v>1.7689308158279662E-6</v>
      </c>
      <c r="AA58" s="33">
        <f t="shared" si="137"/>
        <v>7.2390252649859993E-7</v>
      </c>
      <c r="AB58" s="33">
        <f t="shared" si="138"/>
        <v>4.756388699901507E-6</v>
      </c>
      <c r="AC58" s="33">
        <f t="shared" si="139"/>
        <v>1.27574449362868E-9</v>
      </c>
      <c r="AD58" s="33">
        <f t="shared" si="139"/>
        <v>7.7897327013718401E-10</v>
      </c>
      <c r="AE58" s="33">
        <f t="shared" si="139"/>
        <v>7.3361294369038402E-9</v>
      </c>
      <c r="AF58" s="33">
        <f t="shared" si="139"/>
        <v>-1.81798644252709E-10</v>
      </c>
      <c r="AG58" s="33">
        <f t="shared" si="139"/>
        <v>1.37896323183342E-8</v>
      </c>
    </row>
    <row r="59" spans="1:33">
      <c r="A59" t="str">
        <f>SIAF!B25</f>
        <v>NIS_SUBAMPCAL</v>
      </c>
      <c r="B59" s="31">
        <f t="shared" si="116"/>
        <v>0</v>
      </c>
      <c r="C59" s="31">
        <f t="shared" si="117"/>
        <v>0</v>
      </c>
      <c r="D59" s="31">
        <f t="shared" ref="D59" si="160">D$38+E$38*$B59+F$38*$C59+G$38*$B59^2+H$38*$B59*$C59+I$38*$C59^2+J$38*$B59^3+K58*$B59^2*$C59+L$38*$B59*$C59^2+M$38*$C59^3+N$38*$B59^4+O$38*$B59^3*$C59+P$38*$B59^2*$C59^2+Q$38*$B59*$C59^3+R$38*$C59^4</f>
        <v>0</v>
      </c>
      <c r="E59" s="99">
        <f t="shared" ref="E59" si="161">E$38+2*G$38*$B59+H$38*$C59+3*J$38*$B59^2+2*K$38*$B59*$C59+L$38*$C59^2+4*N$38*$B59^3+3*O$38*$B59^2*$C59+2*P$38*$B59*$C59^2+Q$38*$C59^3</f>
        <v>15.2910324680727</v>
      </c>
      <c r="F59" s="99">
        <f t="shared" ref="F59" si="162">F$38+H$38*$B59+2*I$38*$C59+K$38*$B59^2+2*L$38*$B59*$C59+3*M$38*$C59^2+O$38*$B59^3+2*P$38*$B59^2*$C59+3*Q$38*$B59*$C59^2+4*R$38*$C59^3</f>
        <v>6.9327421171605494E-5</v>
      </c>
      <c r="G59" s="99">
        <f t="shared" ref="G59" si="163">G$38+3*J$38*$B59+K$38*$C59+6*N$38*$B59^2+3*O$38*$B59*$C59+P$38*$C59^2</f>
        <v>8.1955854077787399E-5</v>
      </c>
      <c r="H59" s="99">
        <f t="shared" ref="H59" si="164">H$38+2*K$38*$B59+2*L$38*$C59+3*O$38*$B59^2+4*P$38*$B59*$C59+3*Q$38*$C59^2</f>
        <v>1.9511183924887398E-5</v>
      </c>
      <c r="I59" s="33">
        <f t="shared" ref="I59" si="165">I$38+L$38*$B59+3*M$38*$C59+P$38*$B59^2+3*Q$38*$B59*$C59+6*R$38*$C59^2</f>
        <v>8.8615673371015808E-6</v>
      </c>
      <c r="J59" s="33">
        <f t="shared" ref="J59" si="166">J$38+4*N$38*$B59+O$38*$C59</f>
        <v>1.4630942703716699E-7</v>
      </c>
      <c r="K59" s="33">
        <f t="shared" ref="K59" si="167">K$38+3*O$38*$B59+2*P$38*$C59</f>
        <v>-3.2619927580752703E-7</v>
      </c>
      <c r="L59" s="33">
        <f t="shared" ref="L59" si="168">L$38+2*P$38*$B59+3*Q$38*$C59</f>
        <v>4.4833331574120698E-7</v>
      </c>
      <c r="M59" s="33">
        <f t="shared" ref="M59" si="169">M$38+Q$38*$B59+4*R$38*$C59</f>
        <v>-3.4589779459197101E-8</v>
      </c>
      <c r="N59" s="33">
        <f t="shared" si="128"/>
        <v>-1.3755880354115801E-9</v>
      </c>
      <c r="O59" s="33">
        <f t="shared" si="128"/>
        <v>-6.8286810777212099E-9</v>
      </c>
      <c r="P59" s="33">
        <f t="shared" si="128"/>
        <v>-1.04293498685182E-9</v>
      </c>
      <c r="Q59" s="33">
        <f t="shared" si="128"/>
        <v>-5.9928378921435799E-9</v>
      </c>
      <c r="R59" s="33">
        <f t="shared" si="128"/>
        <v>9.9891771502550206E-11</v>
      </c>
      <c r="S59" s="31">
        <f t="shared" ref="S59" si="170">S$38+T$38*$B59+U$38*$C59+V$38*$B59^2+W$38*$B59*$C59+X$38*$C59^2+Y$38*$B59^3+Z58*$B59^2*$C59+AA$38*$B59*$C59^2+AB$38*$C59^3+AC$38*$B59^4+AD$38*$B59^3*$C59+AE$38*$B59^2*$C59^2+AF$38*$B59*$C59^3+AG$38*$C59^4</f>
        <v>0</v>
      </c>
      <c r="T59" s="33">
        <f t="shared" ref="T59" si="171">T$38+2*V$38*$B59+W$38*$C59+3*Y$38*$B59^2+2*Z$38*$B59*$C59+AA$38*$C59^2+4*AC$38*$B59^3+3*AD$38*$B59^2*$C59+2*AE$38*$B59*$C59^2+AF$38*$C59^3</f>
        <v>-6.9876006823279893E-2</v>
      </c>
      <c r="U59" s="33">
        <f t="shared" ref="U59" si="172">U$38+W$38*$B59+2*X$38*$C59+Z$38*$B59^2+2*AA$38*$B59*$C59+3*AB$38*$C59^2+AD$38*$B59^3+2*AE$38*$B59^2*$C59+3*AF$38*$B59*$C59^2+4*AG$38*$C59^3</f>
        <v>15.176153557578299</v>
      </c>
      <c r="V59" s="33">
        <f t="shared" ref="V59" si="173">V$38+3*Y$38*$B59+Z$38*$C59+6*AC$38*$B59^2+3*AD$38*$B59*$C59+AE$38*$C59^2</f>
        <v>-1.7475613939983001E-4</v>
      </c>
      <c r="W59" s="33">
        <f t="shared" ref="W59" si="174">W$38+2*Z$38*$B59+2*AA$38*$C59+3*AD$38*$B59^2+4*AE$38*$B59*$C59+3*AF$38*$C59^2</f>
        <v>-9.5072548976459195E-5</v>
      </c>
      <c r="X59" s="33">
        <f t="shared" ref="X59" si="175">X$38+AA$38*$B59+3*AB$38*$C59+AE$38*$B59^2+3*AF$38*$B59*$C59+6*AG$38*$C59^2</f>
        <v>-1.3996196704771699E-5</v>
      </c>
      <c r="Y59" s="33">
        <f t="shared" ref="Y59" si="176">Y$38+4*AC$38*$B59+AD$38*$C59</f>
        <v>-6.5187413495691002E-8</v>
      </c>
      <c r="Z59" s="33">
        <f t="shared" ref="Z59" si="177">Z$38+3*AD$38*$B59+2*AE$38*$C59</f>
        <v>7.6158195756501102E-7</v>
      </c>
      <c r="AA59" s="33">
        <f t="shared" ref="AA59" si="178">AA$38+2*AE$38*$B59+3*AF$38*$C59</f>
        <v>-1.03233681861025E-7</v>
      </c>
      <c r="AB59" s="33">
        <f t="shared" ref="AB59" si="179">AB$38+AF$38*$B59+4*AG$38*$C59</f>
        <v>1.4946771856511801E-6</v>
      </c>
      <c r="AC59" s="33">
        <f t="shared" si="139"/>
        <v>1.27574449362868E-9</v>
      </c>
      <c r="AD59" s="33">
        <f t="shared" si="139"/>
        <v>7.7897327013718401E-10</v>
      </c>
      <c r="AE59" s="33">
        <f t="shared" si="139"/>
        <v>7.3361294369038402E-9</v>
      </c>
      <c r="AF59" s="33">
        <f t="shared" si="139"/>
        <v>-1.81798644252709E-10</v>
      </c>
      <c r="AG59" s="33">
        <f t="shared" si="139"/>
        <v>1.37896323183342E-8</v>
      </c>
    </row>
    <row r="60" spans="1:33">
      <c r="A60" t="str">
        <f>SIAF!B26</f>
        <v>NIS_SUBSTRIP96</v>
      </c>
      <c r="B60" s="31">
        <f t="shared" si="116"/>
        <v>60.831958640231136</v>
      </c>
      <c r="C60" s="31">
        <f t="shared" si="117"/>
        <v>11.822430104709328</v>
      </c>
      <c r="D60" s="31">
        <f>D$38+E$38*$B60+F$38*$C60+G$38*$B60^2+H$38*$B60*$C60+I$38*$C60^2+J$38*$B60^3+K58*$B60^2*$C60+L$38*$B60*$C60^2+M$38*$C60^3+N$38*$B60^4+O$38*$B60^3*$C60+P$38*$B60^2*$C60^2+Q$38*$B60*$C60^3+R$38*$C60^4</f>
        <v>930.42917825485688</v>
      </c>
      <c r="E60" s="99">
        <f t="shared" ref="E60:E61" si="180">E$38+2*G$38*$B60+H$38*$C60+3*J$38*$B60^2+2*K$38*$B60*$C60+L$38*$C60^2+4*N$38*$B60^3+3*O$38*$B60^2*$C60+2*P$38*$B60*$C60^2+Q$38*$C60^3</f>
        <v>15.300289421965488</v>
      </c>
      <c r="F60" s="99">
        <f t="shared" ref="F60:F61" si="181">F$38+H$38*$B60+2*I$38*$C60+K$38*$B60^2+2*L$38*$B60*$C60+3*M$38*$C60^2+O$38*$B60^3+2*P$38*$B60^2*$C60+3*Q$38*$B60*$C60^2+4*R$38*$C60^3</f>
        <v>-8.9164886318489757E-4</v>
      </c>
      <c r="G60" s="99">
        <f t="shared" ref="G60:G61" si="182">G$38+3*J$38*$B60+K$38*$C60+6*N$38*$B60^2+3*O$38*$B60*$C60+P$38*$C60^2</f>
        <v>5.9378891608204585E-5</v>
      </c>
      <c r="H60" s="99">
        <f t="shared" ref="H60:H61" si="183">H$38+2*K$38*$B60+2*L$38*$C60+3*O$38*$B60^2+4*P$38*$B60*$C60+3*Q$38*$C60^2</f>
        <v>-9.089697199429048E-5</v>
      </c>
      <c r="I60" s="33">
        <f t="shared" ref="I60:I61" si="184">I$38+L$38*$B60+3*M$38*$C60+P$38*$B60^2+3*Q$38*$B60*$C60+6*R$38*$C60^2</f>
        <v>1.8202301321942142E-5</v>
      </c>
      <c r="J60" s="33">
        <f t="shared" ref="J60:J61" si="185">J$38+4*N$38*$B60+O$38*$C60</f>
        <v>-2.6914103561615933E-7</v>
      </c>
      <c r="K60" s="33">
        <f t="shared" ref="K60:K61" si="186">K$38+3*O$38*$B60+2*P$38*$C60</f>
        <v>-1.5970654624409471E-6</v>
      </c>
      <c r="L60" s="33">
        <f t="shared" ref="L60:L61" si="187">L$38+2*P$38*$B60+3*Q$38*$C60</f>
        <v>1.08896038445804E-7</v>
      </c>
      <c r="M60" s="33">
        <f t="shared" ref="M60:M61" si="188">M$38+Q$38*$B60+4*R$38*$C60</f>
        <v>-3.9442199230518733E-7</v>
      </c>
      <c r="N60" s="33">
        <f t="shared" si="128"/>
        <v>-1.3755880354115801E-9</v>
      </c>
      <c r="O60" s="33">
        <f t="shared" si="128"/>
        <v>-6.8286810777212099E-9</v>
      </c>
      <c r="P60" s="33">
        <f t="shared" si="128"/>
        <v>-1.04293498685182E-9</v>
      </c>
      <c r="Q60" s="33">
        <f t="shared" si="128"/>
        <v>-5.9928378921435799E-9</v>
      </c>
      <c r="R60" s="33">
        <f t="shared" si="128"/>
        <v>9.9891771502550206E-11</v>
      </c>
      <c r="S60" s="31">
        <f>S$38+T$38*$B60+U$38*$C60+V$38*$B60^2+W$38*$B60*$C60+X$38*$C60^2+Y$38*$B60^3+Z58*$B60^2*$C60+AA$38*$B60*$C60^2+AB$38*$C60^3+AC$38*$B60^4+AD$38*$B60^3*$C60+AE$38*$B60^2*$C60^2+AF$38*$B60*$C60^3+AG$38*$C60^4</f>
        <v>174.53919546462419</v>
      </c>
      <c r="T60" s="33">
        <f t="shared" ref="T60:T61" si="189">T$38+2*V$38*$B60+W$38*$C60+3*Y$38*$B60^2+2*Z$38*$B60*$C60+AA$38*$C60^2+4*AC$38*$B60^3+3*AD$38*$B60^2*$C60+2*AE$38*$B60*$C60^2+AF$38*$C60^3</f>
        <v>-9.052877128238547E-2</v>
      </c>
      <c r="U60" s="33">
        <f t="shared" ref="U60:U61" si="190">U$38+W$38*$B60+2*X$38*$C60+Z$38*$B60^2+2*AA$38*$B60*$C60+3*AB$38*$C60^2+AD$38*$B60^3+2*AE$38*$B60^2*$C60+3*AF$38*$B60*$C60^2+4*AG$38*$C60^3</f>
        <v>15.174239432415016</v>
      </c>
      <c r="V60" s="33">
        <f t="shared" ref="V60:V61" si="191">V$38+3*Y$38*$B60+Z$38*$C60+6*AC$38*$B60^2+3*AD$38*$B60*$C60+AE$38*$C60^2</f>
        <v>-1.4661722151319557E-4</v>
      </c>
      <c r="W60" s="33">
        <f t="shared" ref="W60:W61" si="192">W$38+2*Z$38*$B60+2*AA$38*$C60+3*AD$38*$B60^2+4*AE$38*$B60*$C60+3*AF$38*$C60^2</f>
        <v>2.4819191342139335E-5</v>
      </c>
      <c r="X60" s="33">
        <f t="shared" ref="X60:X61" si="193">X$38+AA$38*$B60+3*AB$38*$C60+AE$38*$B60^2+3*AF$38*$B60*$C60+6*AG$38*$C60^2</f>
        <v>7.1055602996925981E-5</v>
      </c>
      <c r="Y60" s="33">
        <f t="shared" ref="Y60:Y61" si="194">Y$38+4*AC$38*$B60+AD$38*$C60</f>
        <v>2.5444608863163263E-7</v>
      </c>
      <c r="Z60" s="33">
        <f t="shared" ref="Z60:Z61" si="195">Z$38+3*AD$38*$B60+2*AE$38*$C60</f>
        <v>1.0772031218312957E-6</v>
      </c>
      <c r="AA60" s="33">
        <f t="shared" ref="AA60:AA61" si="196">AA$38+2*AE$38*$B60+3*AF$38*$C60</f>
        <v>7.8286065781478244E-7</v>
      </c>
      <c r="AB60" s="33">
        <f t="shared" ref="AB60:AB61" si="197">AB$38+AF$38*$B60+4*AG$38*$C60</f>
        <v>2.135725875055737E-6</v>
      </c>
      <c r="AC60" s="33">
        <f t="shared" si="139"/>
        <v>1.27574449362868E-9</v>
      </c>
      <c r="AD60" s="33">
        <f t="shared" si="139"/>
        <v>7.7897327013718401E-10</v>
      </c>
      <c r="AE60" s="33">
        <f t="shared" si="139"/>
        <v>7.3361294369038402E-9</v>
      </c>
      <c r="AF60" s="33">
        <f t="shared" si="139"/>
        <v>-1.81798644252709E-10</v>
      </c>
      <c r="AG60" s="33">
        <f t="shared" si="139"/>
        <v>1.37896323183342E-8</v>
      </c>
    </row>
    <row r="61" spans="1:33">
      <c r="A61" t="str">
        <f>SIAF!B27</f>
        <v>NIS_SUBSTRIP256</v>
      </c>
      <c r="B61" s="31">
        <f t="shared" si="116"/>
        <v>60.831958640231136</v>
      </c>
      <c r="C61" s="31">
        <f t="shared" si="117"/>
        <v>11.822430104709328</v>
      </c>
      <c r="D61" s="31">
        <f t="shared" ref="D61" si="198">D$38+E$38*$B61+F$38*$C61+G$38*$B61^2+H$38*$B61*$C61+I$38*$C61^2+J$38*$B61^3+K60*$B61^2*$C61+L$38*$B61*$C61^2+M$38*$C61^3+N$38*$B61^4+O$38*$B61^3*$C61+P$38*$B61^2*$C61^2+Q$38*$B61*$C61^3+R$38*$C61^4</f>
        <v>930.43149442434787</v>
      </c>
      <c r="E61" s="99">
        <f t="shared" si="180"/>
        <v>15.300289421965488</v>
      </c>
      <c r="F61" s="99">
        <f t="shared" si="181"/>
        <v>-8.9164886318489757E-4</v>
      </c>
      <c r="G61" s="99">
        <f t="shared" si="182"/>
        <v>5.9378891608204585E-5</v>
      </c>
      <c r="H61" s="99">
        <f t="shared" si="183"/>
        <v>-9.089697199429048E-5</v>
      </c>
      <c r="I61" s="33">
        <f t="shared" si="184"/>
        <v>1.8202301321942142E-5</v>
      </c>
      <c r="J61" s="33">
        <f t="shared" si="185"/>
        <v>-2.6914103561615933E-7</v>
      </c>
      <c r="K61" s="33">
        <f t="shared" si="186"/>
        <v>-1.5970654624409471E-6</v>
      </c>
      <c r="L61" s="33">
        <f t="shared" si="187"/>
        <v>1.08896038445804E-7</v>
      </c>
      <c r="M61" s="33">
        <f t="shared" si="188"/>
        <v>-3.9442199230518733E-7</v>
      </c>
      <c r="N61" s="33">
        <f t="shared" ref="N61:R68" si="199">N$38</f>
        <v>-1.3755880354115801E-9</v>
      </c>
      <c r="O61" s="33">
        <f t="shared" si="199"/>
        <v>-6.8286810777212099E-9</v>
      </c>
      <c r="P61" s="33">
        <f t="shared" si="199"/>
        <v>-1.04293498685182E-9</v>
      </c>
      <c r="Q61" s="33">
        <f t="shared" si="199"/>
        <v>-5.9928378921435799E-9</v>
      </c>
      <c r="R61" s="33">
        <f t="shared" si="199"/>
        <v>9.9891771502550206E-11</v>
      </c>
      <c r="S61" s="31">
        <f t="shared" ref="S61" si="200">S$38+T$38*$B61+U$38*$C61+V$38*$B61^2+W$38*$B61*$C61+X$38*$C61^2+Y$38*$B61^3+Z60*$B61^2*$C61+AA$38*$B61*$C61^2+AB$38*$C61^3+AC$38*$B61^4+AD$38*$B61^3*$C61+AE$38*$B61^2*$C61^2+AF$38*$B61*$C61^3+AG$38*$C61^4</f>
        <v>174.50893291473852</v>
      </c>
      <c r="T61" s="33">
        <f t="shared" si="189"/>
        <v>-9.052877128238547E-2</v>
      </c>
      <c r="U61" s="33">
        <f t="shared" si="190"/>
        <v>15.174239432415016</v>
      </c>
      <c r="V61" s="33">
        <f t="shared" si="191"/>
        <v>-1.4661722151319557E-4</v>
      </c>
      <c r="W61" s="33">
        <f t="shared" si="192"/>
        <v>2.4819191342139335E-5</v>
      </c>
      <c r="X61" s="33">
        <f t="shared" si="193"/>
        <v>7.1055602996925981E-5</v>
      </c>
      <c r="Y61" s="33">
        <f t="shared" si="194"/>
        <v>2.5444608863163263E-7</v>
      </c>
      <c r="Z61" s="33">
        <f t="shared" si="195"/>
        <v>1.0772031218312957E-6</v>
      </c>
      <c r="AA61" s="33">
        <f t="shared" si="196"/>
        <v>7.8286065781478244E-7</v>
      </c>
      <c r="AB61" s="33">
        <f t="shared" si="197"/>
        <v>2.135725875055737E-6</v>
      </c>
      <c r="AC61" s="33">
        <f t="shared" ref="AC61:AG68" si="201">AC$38</f>
        <v>1.27574449362868E-9</v>
      </c>
      <c r="AD61" s="33">
        <f t="shared" si="201"/>
        <v>7.7897327013718401E-10</v>
      </c>
      <c r="AE61" s="33">
        <f t="shared" si="201"/>
        <v>7.3361294369038402E-9</v>
      </c>
      <c r="AF61" s="33">
        <f t="shared" si="201"/>
        <v>-1.81798644252709E-10</v>
      </c>
      <c r="AG61" s="33">
        <f t="shared" si="201"/>
        <v>1.37896323183342E-8</v>
      </c>
    </row>
    <row r="62" spans="1:33">
      <c r="A62" t="str">
        <f>SIAF!B28</f>
        <v>NIS_FP1MIMF</v>
      </c>
      <c r="B62" s="31">
        <f t="shared" si="116"/>
        <v>3.2698598484748903E-2</v>
      </c>
      <c r="C62" s="31">
        <f t="shared" si="117"/>
        <v>-0.75762148010708719</v>
      </c>
      <c r="D62" s="31">
        <f t="shared" ref="D62:D66" si="202">D$38+E$38*$B62+F$38*$C62+G$38*$B62^2+H$38*$B62*$C62+I$38*$C62^2+J$38*$B62^3+K61*$B62^2*$C62+L$38*$B62*$C62^2+M$38*$C62^3+N$38*$B62^4+O$38*$B62^3*$C62+P$38*$B62^2*$C62^2+Q$38*$B62*$C62^3+R$38*$C62^4</f>
        <v>0.49994752274752724</v>
      </c>
      <c r="E62" s="99">
        <f t="shared" ref="E62:E66" si="203">E$38+2*G$38*$B62+H$38*$C62+3*J$38*$B62^2+2*K$38*$B62*$C62+L$38*$C62^2+4*N$38*$B62^3+3*O$38*$B62^2*$C62+2*P$38*$B62*$C62^2+Q$38*$C62^3</f>
        <v>15.291023322217383</v>
      </c>
      <c r="F62" s="99">
        <f t="shared" ref="F62:F66" si="204">F$38+H$38*$B62+2*I$38*$C62+K$38*$B62^2+2*L$38*$B62*$C62+3*M$38*$C62^2+O$38*$B62^3+2*P$38*$B62^2*$C62+3*Q$38*$B62*$C62^2+4*R$38*$C62^3</f>
        <v>5.6455347643416259E-5</v>
      </c>
      <c r="G62" s="99">
        <f t="shared" ref="G62:G66" si="205">G$38+3*J$38*$B62+K$38*$C62+6*N$38*$B62^2+3*O$38*$B62*$C62+P$38*$C62^2</f>
        <v>8.2217242040368843E-5</v>
      </c>
      <c r="H62" s="99">
        <f t="shared" ref="H62:H66" si="206">H$38+2*K$38*$B62+2*L$38*$C62+3*O$38*$B62^2+4*P$38*$B62*$C62+3*Q$38*$C62^2</f>
        <v>1.880027945704322E-5</v>
      </c>
      <c r="I62" s="33">
        <f t="shared" ref="I62:I66" si="207">I$38+L$38*$B62+3*M$38*$C62+P$38*$B62^2+3*Q$38*$B62*$C62+6*R$38*$C62^2</f>
        <v>8.9556333788652857E-6</v>
      </c>
      <c r="J62" s="33">
        <f t="shared" ref="J62:J66" si="208">J$38+4*N$38*$B62+O$38*$C62</f>
        <v>1.5130306329904798E-7</v>
      </c>
      <c r="K62" s="33">
        <f t="shared" ref="K62:K66" si="209">K$38+3*O$38*$B62+2*P$38*$C62</f>
        <v>-3.252888408129612E-7</v>
      </c>
      <c r="L62" s="33">
        <f t="shared" ref="L62:L66" si="210">L$38+2*P$38*$B62+3*Q$38*$C62</f>
        <v>4.618860188581084E-7</v>
      </c>
      <c r="M62" s="33">
        <f t="shared" ref="M62:M66" si="211">M$38+Q$38*$B62+4*R$38*$C62</f>
        <v>-3.5088457466321614E-8</v>
      </c>
      <c r="N62" s="33">
        <f t="shared" si="199"/>
        <v>-1.3755880354115801E-9</v>
      </c>
      <c r="O62" s="33">
        <f t="shared" si="199"/>
        <v>-6.8286810777212099E-9</v>
      </c>
      <c r="P62" s="33">
        <f t="shared" si="199"/>
        <v>-1.04293498685182E-9</v>
      </c>
      <c r="Q62" s="33">
        <f t="shared" si="199"/>
        <v>-5.9928378921435799E-9</v>
      </c>
      <c r="R62" s="33">
        <f t="shared" si="199"/>
        <v>9.9891771502550206E-11</v>
      </c>
      <c r="S62" s="31">
        <f t="shared" ref="S62:S66" si="212">S$38+T$38*$B62+U$38*$C62+V$38*$B62^2+W$38*$B62*$C62+X$38*$C62^2+Y$38*$B62^3+Z61*$B62^2*$C62+AA$38*$B62*$C62^2+AB$38*$C62^3+AC$38*$B62^4+AD$38*$B62^3*$C62+AE$38*$B62^2*$C62^2+AF$38*$B62*$C62^3+AG$38*$C62^4</f>
        <v>-11.500071281646955</v>
      </c>
      <c r="T62" s="33">
        <f t="shared" ref="T62:T66" si="213">T$38+2*V$38*$B62+W$38*$C62+3*Y$38*$B62^2+2*Z$38*$B62*$C62+AA$38*$C62^2+4*AC$38*$B62^3+3*AD$38*$B62^2*$C62+2*AE$38*$B62*$C62^2+AF$38*$C62^3</f>
        <v>-6.9815503224765971E-2</v>
      </c>
      <c r="U62" s="33">
        <f t="shared" ref="U62:U66" si="214">U$38+W$38*$B62+2*X$38*$C62+Z$38*$B62^2+2*AA$38*$B62*$C62+3*AB$38*$C62^2+AD$38*$B62^3+2*AE$38*$B62^2*$C62+3*AF$38*$B62*$C62^2+4*AG$38*$C62^3</f>
        <v>15.17617421218876</v>
      </c>
      <c r="V62" s="33">
        <f t="shared" ref="V62:V66" si="215">V$38+3*Y$38*$B62+Z$38*$C62+6*AC$38*$B62^2+3*AD$38*$B62*$C62+AE$38*$C62^2</f>
        <v>-1.7533536370248153E-4</v>
      </c>
      <c r="W62" s="33">
        <f t="shared" ref="W62:W66" si="216">W$38+2*Z$38*$B62+2*AA$38*$C62+3*AD$38*$B62^2+4*AE$38*$B62*$C62+3*AF$38*$C62^2</f>
        <v>-9.4867357051273501E-5</v>
      </c>
      <c r="X62" s="33">
        <f t="shared" ref="X62:X66" si="217">X$38+AA$38*$B62+3*AB$38*$C62+AE$38*$B62^2+3*AF$38*$B62*$C62+6*AG$38*$C62^2</f>
        <v>-1.7349258879815736E-5</v>
      </c>
      <c r="Y62" s="33">
        <f t="shared" ref="Y62:Y66" si="218">Y$38+4*AC$38*$B62+AD$38*$C62</f>
        <v>-6.5610720149711016E-8</v>
      </c>
      <c r="Z62" s="33">
        <f t="shared" ref="Z62:Z66" si="219">Z$38+3*AD$38*$B62+2*AE$38*$C62</f>
        <v>7.5054235308309421E-7</v>
      </c>
      <c r="AA62" s="33">
        <f t="shared" ref="AA62:AA66" si="220">AA$38+2*AE$38*$B62+3*AF$38*$C62</f>
        <v>-1.0234071588542547E-7</v>
      </c>
      <c r="AB62" s="33">
        <f t="shared" ref="AB62:AB66" si="221">AB$38+AF$38*$B62+4*AG$38*$C62</f>
        <v>1.4528819545017112E-6</v>
      </c>
      <c r="AC62" s="33">
        <f t="shared" si="201"/>
        <v>1.27574449362868E-9</v>
      </c>
      <c r="AD62" s="33">
        <f t="shared" si="201"/>
        <v>7.7897327013718401E-10</v>
      </c>
      <c r="AE62" s="33">
        <f t="shared" si="201"/>
        <v>7.3361294369038402E-9</v>
      </c>
      <c r="AF62" s="33">
        <f t="shared" si="201"/>
        <v>-1.81798644252709E-10</v>
      </c>
      <c r="AG62" s="33">
        <f t="shared" si="201"/>
        <v>1.37896323183342E-8</v>
      </c>
    </row>
    <row r="63" spans="1:33">
      <c r="A63" t="str">
        <f>SIAF!B29</f>
        <v>NIS_FP2MIMF</v>
      </c>
      <c r="B63" s="31">
        <f t="shared" si="116"/>
        <v>45.404953114499797</v>
      </c>
      <c r="C63" s="31">
        <f t="shared" si="117"/>
        <v>-23.986125999379812</v>
      </c>
      <c r="D63" s="31">
        <f t="shared" si="202"/>
        <v>694.4937664443006</v>
      </c>
      <c r="E63" s="99">
        <f t="shared" si="203"/>
        <v>15.30040642151296</v>
      </c>
      <c r="F63" s="99">
        <f t="shared" si="204"/>
        <v>-2.1898601109154306E-3</v>
      </c>
      <c r="G63" s="99">
        <f t="shared" si="205"/>
        <v>1.1440516127743791E-4</v>
      </c>
      <c r="H63" s="99">
        <f t="shared" si="206"/>
        <v>-7.965298607882374E-5</v>
      </c>
      <c r="I63" s="33">
        <f t="shared" si="207"/>
        <v>4.9482047084662813E-5</v>
      </c>
      <c r="J63" s="33">
        <f t="shared" si="208"/>
        <v>6.0268990766049913E-8</v>
      </c>
      <c r="K63" s="33">
        <f t="shared" si="209"/>
        <v>-1.2063351683033588E-6</v>
      </c>
      <c r="L63" s="33">
        <f t="shared" si="210"/>
        <v>7.8485938170669116E-7</v>
      </c>
      <c r="M63" s="33">
        <f t="shared" si="211"/>
        <v>-3.1627836944501982E-7</v>
      </c>
      <c r="N63" s="33">
        <f t="shared" si="199"/>
        <v>-1.3755880354115801E-9</v>
      </c>
      <c r="O63" s="33">
        <f t="shared" si="199"/>
        <v>-6.8286810777212099E-9</v>
      </c>
      <c r="P63" s="33">
        <f t="shared" si="199"/>
        <v>-1.04293498685182E-9</v>
      </c>
      <c r="Q63" s="33">
        <f t="shared" si="199"/>
        <v>-5.9928378921435799E-9</v>
      </c>
      <c r="R63" s="33">
        <f t="shared" si="199"/>
        <v>9.9891771502550206E-11</v>
      </c>
      <c r="S63" s="31">
        <f t="shared" si="212"/>
        <v>-367.50412386060464</v>
      </c>
      <c r="T63" s="33">
        <f t="shared" si="213"/>
        <v>-8.4838693358908257E-2</v>
      </c>
      <c r="U63" s="33">
        <f t="shared" si="214"/>
        <v>15.175454921673252</v>
      </c>
      <c r="V63" s="33">
        <f t="shared" si="215"/>
        <v>-1.8444689773094845E-4</v>
      </c>
      <c r="W63" s="33">
        <f t="shared" si="216"/>
        <v>-4.8415768200882514E-5</v>
      </c>
      <c r="X63" s="33">
        <f t="shared" si="217"/>
        <v>-6.2917956511009715E-5</v>
      </c>
      <c r="Y63" s="33">
        <f t="shared" si="218"/>
        <v>1.4782851117381555E-7</v>
      </c>
      <c r="Z63" s="33">
        <f t="shared" si="219"/>
        <v>5.1575904194642376E-7</v>
      </c>
      <c r="AA63" s="33">
        <f t="shared" si="220"/>
        <v>5.7604147995070203E-7</v>
      </c>
      <c r="AB63" s="33">
        <f t="shared" si="221"/>
        <v>1.6338319364186983E-7</v>
      </c>
      <c r="AC63" s="33">
        <f t="shared" si="201"/>
        <v>1.27574449362868E-9</v>
      </c>
      <c r="AD63" s="33">
        <f t="shared" si="201"/>
        <v>7.7897327013718401E-10</v>
      </c>
      <c r="AE63" s="33">
        <f t="shared" si="201"/>
        <v>7.3361294369038402E-9</v>
      </c>
      <c r="AF63" s="33">
        <f t="shared" si="201"/>
        <v>-1.81798644252709E-10</v>
      </c>
      <c r="AG63" s="33">
        <f t="shared" si="201"/>
        <v>1.37896323183342E-8</v>
      </c>
    </row>
    <row r="64" spans="1:33">
      <c r="A64" t="str">
        <f>SIAF!B30</f>
        <v>NIS_FP3MIMF</v>
      </c>
      <c r="B64" s="31">
        <f t="shared" si="116"/>
        <v>-61.519398322798843</v>
      </c>
      <c r="C64" s="31">
        <f t="shared" si="117"/>
        <v>-54.733039146025121</v>
      </c>
      <c r="D64" s="31">
        <f t="shared" si="202"/>
        <v>-940.33572923084068</v>
      </c>
      <c r="E64" s="99">
        <f t="shared" si="203"/>
        <v>15.287580053309206</v>
      </c>
      <c r="F64" s="99">
        <f t="shared" si="204"/>
        <v>4.6425737863019807E-3</v>
      </c>
      <c r="G64" s="99">
        <f t="shared" si="205"/>
        <v>-3.0533251270712076E-5</v>
      </c>
      <c r="H64" s="99">
        <f t="shared" si="206"/>
        <v>-1.3486834510579459E-4</v>
      </c>
      <c r="I64" s="33">
        <f t="shared" si="207"/>
        <v>-7.5727906820220275E-5</v>
      </c>
      <c r="J64" s="33">
        <f t="shared" si="208"/>
        <v>8.5856528889404836E-7</v>
      </c>
      <c r="K64" s="33">
        <f t="shared" si="209"/>
        <v>1.0482557808357838E-6</v>
      </c>
      <c r="L64" s="33">
        <f t="shared" si="210"/>
        <v>1.560673474342479E-6</v>
      </c>
      <c r="M64" s="33">
        <f t="shared" si="211"/>
        <v>3.1221648095148647E-7</v>
      </c>
      <c r="N64" s="33">
        <f t="shared" si="199"/>
        <v>-1.3755880354115801E-9</v>
      </c>
      <c r="O64" s="33">
        <f t="shared" si="199"/>
        <v>-6.8286810777212099E-9</v>
      </c>
      <c r="P64" s="33">
        <f t="shared" si="199"/>
        <v>-1.04293498685182E-9</v>
      </c>
      <c r="Q64" s="33">
        <f t="shared" si="199"/>
        <v>-5.9928378921435799E-9</v>
      </c>
      <c r="R64" s="33">
        <f t="shared" si="199"/>
        <v>9.9891771502550206E-11</v>
      </c>
      <c r="S64" s="31">
        <f t="shared" si="212"/>
        <v>-827.44613173175878</v>
      </c>
      <c r="T64" s="33">
        <f t="shared" si="213"/>
        <v>-4.3437690488911329E-2</v>
      </c>
      <c r="U64" s="33">
        <f t="shared" si="214"/>
        <v>15.186990265251476</v>
      </c>
      <c r="V64" s="33">
        <f t="shared" si="215"/>
        <v>-1.4559396055437564E-4</v>
      </c>
      <c r="W64" s="33">
        <f t="shared" si="216"/>
        <v>-7.1458338004712563E-5</v>
      </c>
      <c r="X64" s="33">
        <f t="shared" si="217"/>
        <v>2.0716228798637069E-5</v>
      </c>
      <c r="Y64" s="33">
        <f t="shared" si="218"/>
        <v>-4.2175512263045697E-7</v>
      </c>
      <c r="Z64" s="33">
        <f t="shared" si="219"/>
        <v>-1.8524126240086703E-7</v>
      </c>
      <c r="AA64" s="33">
        <f t="shared" si="220"/>
        <v>-9.7601104287628617E-7</v>
      </c>
      <c r="AB64" s="33">
        <f t="shared" si="221"/>
        <v>-1.5131326130932084E-6</v>
      </c>
      <c r="AC64" s="33">
        <f t="shared" si="201"/>
        <v>1.27574449362868E-9</v>
      </c>
      <c r="AD64" s="33">
        <f t="shared" si="201"/>
        <v>7.7897327013718401E-10</v>
      </c>
      <c r="AE64" s="33">
        <f t="shared" si="201"/>
        <v>7.3361294369038402E-9</v>
      </c>
      <c r="AF64" s="33">
        <f t="shared" si="201"/>
        <v>-1.81798644252709E-10</v>
      </c>
      <c r="AG64" s="33">
        <f t="shared" si="201"/>
        <v>1.37896323183342E-8</v>
      </c>
    </row>
    <row r="65" spans="1:33">
      <c r="A65" t="str">
        <f>SIAF!B31</f>
        <v>NIS_FP4MIMF</v>
      </c>
      <c r="B65" s="31">
        <f t="shared" si="116"/>
        <v>-43.789619374999049</v>
      </c>
      <c r="C65" s="31">
        <f t="shared" si="117"/>
        <v>55.419550160245961</v>
      </c>
      <c r="D65" s="31">
        <f t="shared" si="202"/>
        <v>-669.34851634068048</v>
      </c>
      <c r="E65" s="99">
        <f t="shared" si="203"/>
        <v>15.286283495059919</v>
      </c>
      <c r="F65" s="99">
        <f t="shared" si="204"/>
        <v>-8.5381128866461801E-5</v>
      </c>
      <c r="G65" s="99">
        <f t="shared" si="205"/>
        <v>7.5343496772223076E-5</v>
      </c>
      <c r="H65" s="99">
        <f t="shared" si="206"/>
        <v>1.3395807892172089E-5</v>
      </c>
      <c r="I65" s="33">
        <f t="shared" si="207"/>
        <v>2.6949588707229174E-5</v>
      </c>
      <c r="J65" s="33">
        <f t="shared" si="208"/>
        <v>8.8128994719771527E-9</v>
      </c>
      <c r="K65" s="33">
        <f t="shared" si="209"/>
        <v>4.5527878423706326E-7</v>
      </c>
      <c r="L65" s="33">
        <f t="shared" si="210"/>
        <v>-4.5668837254219274E-7</v>
      </c>
      <c r="M65" s="33">
        <f t="shared" si="211"/>
        <v>2.4997813897936749E-7</v>
      </c>
      <c r="N65" s="33">
        <f t="shared" si="199"/>
        <v>-1.3755880354115801E-9</v>
      </c>
      <c r="O65" s="33">
        <f t="shared" si="199"/>
        <v>-6.8286810777212099E-9</v>
      </c>
      <c r="P65" s="33">
        <f t="shared" si="199"/>
        <v>-1.04293498685182E-9</v>
      </c>
      <c r="Q65" s="33">
        <f t="shared" si="199"/>
        <v>-5.9928378921435799E-9</v>
      </c>
      <c r="R65" s="33">
        <f t="shared" si="199"/>
        <v>9.9891771502550206E-11</v>
      </c>
      <c r="S65" s="31">
        <f t="shared" si="212"/>
        <v>844.39787009386873</v>
      </c>
      <c r="T65" s="33">
        <f t="shared" si="213"/>
        <v>-6.6412745792749348E-2</v>
      </c>
      <c r="U65" s="33">
        <f t="shared" si="214"/>
        <v>15.205454522068949</v>
      </c>
      <c r="V65" s="33">
        <f t="shared" si="215"/>
        <v>-9.2447928247501289E-5</v>
      </c>
      <c r="W65" s="33">
        <f t="shared" si="216"/>
        <v>-2.416209240903054E-4</v>
      </c>
      <c r="X65" s="33">
        <f t="shared" si="217"/>
        <v>5.0853298230560287E-4</v>
      </c>
      <c r="Y65" s="33">
        <f t="shared" si="218"/>
        <v>-2.4547452846083569E-7</v>
      </c>
      <c r="Z65" s="33">
        <f t="shared" si="219"/>
        <v>1.472379115178293E-6</v>
      </c>
      <c r="AA65" s="33">
        <f t="shared" si="220"/>
        <v>-7.7595191056919863E-7</v>
      </c>
      <c r="AB65" s="33">
        <f t="shared" si="221"/>
        <v>4.559498958914981E-6</v>
      </c>
      <c r="AC65" s="33">
        <f t="shared" si="201"/>
        <v>1.27574449362868E-9</v>
      </c>
      <c r="AD65" s="33">
        <f t="shared" si="201"/>
        <v>7.7897327013718401E-10</v>
      </c>
      <c r="AE65" s="33">
        <f t="shared" si="201"/>
        <v>7.3361294369038402E-9</v>
      </c>
      <c r="AF65" s="33">
        <f t="shared" si="201"/>
        <v>-1.81798644252709E-10</v>
      </c>
      <c r="AG65" s="33">
        <f t="shared" si="201"/>
        <v>1.37896323183342E-8</v>
      </c>
    </row>
    <row r="66" spans="1:33">
      <c r="A66" t="str">
        <f>SIAF!B32</f>
        <v>NIS_FP5MIMF</v>
      </c>
      <c r="B66" s="31">
        <f t="shared" si="116"/>
        <v>60.442922405279418</v>
      </c>
      <c r="C66" s="31">
        <f t="shared" si="117"/>
        <v>61.21179491199991</v>
      </c>
      <c r="D66" s="31">
        <f t="shared" si="202"/>
        <v>924.66484700591911</v>
      </c>
      <c r="E66" s="99">
        <f t="shared" si="203"/>
        <v>15.295360592797707</v>
      </c>
      <c r="F66" s="99">
        <f t="shared" si="204"/>
        <v>-1.8838803662543583E-3</v>
      </c>
      <c r="G66" s="99">
        <f t="shared" si="205"/>
        <v>-2.1336706519890295E-5</v>
      </c>
      <c r="H66" s="99">
        <f t="shared" si="206"/>
        <v>-1.2267582728795032E-4</v>
      </c>
      <c r="I66" s="33">
        <f t="shared" si="207"/>
        <v>-3.8473530729323271E-5</v>
      </c>
      <c r="J66" s="33">
        <f t="shared" si="208"/>
        <v>-6.0426464215580974E-7</v>
      </c>
      <c r="K66" s="33">
        <f t="shared" si="209"/>
        <v>-1.6921154423842817E-6</v>
      </c>
      <c r="L66" s="33">
        <f t="shared" si="210"/>
        <v>-7.7823985321112832E-7</v>
      </c>
      <c r="M66" s="33">
        <f t="shared" si="211"/>
        <v>-3.723561966390079E-7</v>
      </c>
      <c r="N66" s="33">
        <f t="shared" si="199"/>
        <v>-1.3755880354115801E-9</v>
      </c>
      <c r="O66" s="33">
        <f t="shared" si="199"/>
        <v>-6.8286810777212099E-9</v>
      </c>
      <c r="P66" s="33">
        <f t="shared" si="199"/>
        <v>-1.04293498685182E-9</v>
      </c>
      <c r="Q66" s="33">
        <f t="shared" si="199"/>
        <v>-5.9928378921435799E-9</v>
      </c>
      <c r="R66" s="33">
        <f t="shared" si="199"/>
        <v>9.9891771502550206E-11</v>
      </c>
      <c r="S66" s="31">
        <f t="shared" si="212"/>
        <v>924.6468037333982</v>
      </c>
      <c r="T66" s="33">
        <f t="shared" si="213"/>
        <v>-8.7356337681802204E-2</v>
      </c>
      <c r="U66" s="33">
        <f t="shared" si="214"/>
        <v>15.203493629086697</v>
      </c>
      <c r="V66" s="33">
        <f t="shared" si="215"/>
        <v>-7.5860464299704988E-5</v>
      </c>
      <c r="W66" s="33">
        <f t="shared" si="216"/>
        <v>9.9417161807703616E-5</v>
      </c>
      <c r="X66" s="33">
        <f t="shared" si="217"/>
        <v>5.8903213942612729E-4</v>
      </c>
      <c r="Y66" s="33">
        <f t="shared" si="218"/>
        <v>2.9093384030731941E-7</v>
      </c>
      <c r="Z66" s="33">
        <f t="shared" si="219"/>
        <v>1.8009475214123631E-6</v>
      </c>
      <c r="AA66" s="33">
        <f t="shared" si="220"/>
        <v>7.502158587768756E-7</v>
      </c>
      <c r="AB66" s="33">
        <f t="shared" si="221"/>
        <v>4.8600413258302642E-6</v>
      </c>
      <c r="AC66" s="33">
        <f t="shared" si="201"/>
        <v>1.27574449362868E-9</v>
      </c>
      <c r="AD66" s="33">
        <f t="shared" si="201"/>
        <v>7.7897327013718401E-10</v>
      </c>
      <c r="AE66" s="33">
        <f t="shared" si="201"/>
        <v>7.3361294369038402E-9</v>
      </c>
      <c r="AF66" s="33">
        <f t="shared" si="201"/>
        <v>-1.81798644252709E-10</v>
      </c>
      <c r="AG66" s="33">
        <f t="shared" si="201"/>
        <v>1.37896323183342E-8</v>
      </c>
    </row>
    <row r="67" spans="1:33">
      <c r="A67" t="str">
        <f>SIAF!B33</f>
        <v>NIS_AMIFULL</v>
      </c>
      <c r="B67" s="31">
        <f t="shared" ref="B67:B68" si="222">D32</f>
        <v>4.2798824388682197</v>
      </c>
      <c r="C67" s="31">
        <f t="shared" ref="C67:C68" si="223">S32</f>
        <v>-64.772416748153049</v>
      </c>
      <c r="D67" s="31">
        <f t="shared" ref="D67:D68" si="224">D$38+E$38*$B67+F$38*$C67+G$38*$B67^2+H$38*$B67*$C67+I$38*$C67^2+J$38*$B67^3+K66*$B67^2*$C67+L$38*$B67*$C67^2+M$38*$C67^3+N$38*$B67^4+O$38*$B67^3*$C67+P$38*$B67^2*$C67^2+Q$38*$B67*$C67^3+R$38*$C67^4</f>
        <v>65.500753182702198</v>
      </c>
      <c r="E67" s="99">
        <f t="shared" ref="E67:E68" si="225">E$38+2*G$38*$B67+H$38*$C67+3*J$38*$B67^2+2*K$38*$B67*$C67+L$38*$C67^2+4*N$38*$B67^3+3*O$38*$B67^2*$C67+2*P$38*$B67*$C67^2+Q$38*$C67^3</f>
        <v>15.294155045374634</v>
      </c>
      <c r="F67" s="99">
        <f t="shared" ref="F67:F68" si="226">F$38+H$38*$B67+2*I$38*$C67+K$38*$B67^2+2*L$38*$B67*$C67+3*M$38*$C67^2+O$38*$B67^3+2*P$38*$B67^2*$C67+3*Q$38*$B67*$C67^2+4*R$38*$C67^3</f>
        <v>-2.1145126358781134E-3</v>
      </c>
      <c r="G67" s="99">
        <f t="shared" ref="G67:G68" si="227">G$38+3*J$38*$B67+K$38*$C67+6*N$38*$B67^2+3*O$38*$B67*$C67+P$38*$C67^2</f>
        <v>1.0611545625444179E-4</v>
      </c>
      <c r="H67" s="99">
        <f t="shared" ref="H67:H68" si="228">H$38+2*K$38*$B67+2*L$38*$C67+3*O$38*$B67^2+4*P$38*$B67*$C67+3*Q$38*$C67^2</f>
        <v>-1.1600728040557741E-4</v>
      </c>
      <c r="I67" s="33">
        <f t="shared" ref="I67:I68" si="229">I$38+L$38*$B67+3*M$38*$C67+P$38*$B67^2+3*Q$38*$B67*$C67+6*R$38*$C67^2</f>
        <v>2.4981196889823418E-5</v>
      </c>
      <c r="J67" s="33">
        <f t="shared" ref="J67:J68" si="230">J$38+4*N$38*$B67+O$38*$C67</f>
        <v>5.6507018334005106E-7</v>
      </c>
      <c r="K67" s="33">
        <f t="shared" ref="K67:K68" si="231">K$38+3*O$38*$B67+2*P$38*$C67</f>
        <v>-2.7877029326384802E-7</v>
      </c>
      <c r="L67" s="33">
        <f t="shared" ref="L67:L68" si="232">L$38+2*P$38*$B67+3*Q$38*$C67</f>
        <v>1.6039178178331314E-6</v>
      </c>
      <c r="M67" s="33">
        <f t="shared" ref="M67:M68" si="233">M$38+Q$38*$B67+4*R$38*$C67</f>
        <v>-8.6119346926664291E-8</v>
      </c>
      <c r="N67" s="33">
        <f t="shared" si="199"/>
        <v>-1.3755880354115801E-9</v>
      </c>
      <c r="O67" s="33">
        <f t="shared" si="199"/>
        <v>-6.8286810777212099E-9</v>
      </c>
      <c r="P67" s="33">
        <f t="shared" si="199"/>
        <v>-1.04293498685182E-9</v>
      </c>
      <c r="Q67" s="33">
        <f t="shared" si="199"/>
        <v>-5.9928378921435799E-9</v>
      </c>
      <c r="R67" s="33">
        <f t="shared" si="199"/>
        <v>9.9891771502550206E-11</v>
      </c>
      <c r="S67" s="31">
        <f t="shared" ref="S67:S68" si="234">S$38+T$38*$B67+U$38*$C67+V$38*$B67^2+W$38*$B67*$C67+X$38*$C67^2+Y$38*$B67^3+Z66*$B67^2*$C67+AA$38*$B67*$C67^2+AB$38*$C67^3+AC$38*$B67^4+AD$38*$B67^3*$C67+AE$38*$B67^2*$C67^2+AF$38*$B67*$C67^3+AG$38*$C67^4</f>
        <v>-983.49744861480076</v>
      </c>
      <c r="T67" s="33">
        <f t="shared" ref="T67:T68" si="235">T$38+2*V$38*$B67+W$38*$C67+3*Y$38*$B67^2+2*Z$38*$B67*$C67+AA$38*$C67^2+4*AC$38*$B67^3+3*AD$38*$B67^2*$C67+2*AE$38*$B67*$C67^2+AF$38*$C67^3</f>
        <v>-6.576225624944626E-2</v>
      </c>
      <c r="U67" s="33">
        <f t="shared" ref="U67:U68" si="236">U$38+W$38*$B67+2*X$38*$C67+Z$38*$B67^2+2*AA$38*$B67*$C67+3*AB$38*$C67^2+AD$38*$B67^3+2*AE$38*$B67^2*$C67+3*AF$38*$B67*$C67^2+4*AG$38*$C67^3</f>
        <v>15.181427085297798</v>
      </c>
      <c r="V67" s="33">
        <f t="shared" ref="V67:V68" si="237">V$38+3*Y$38*$B67+Z$38*$C67+6*AC$38*$B67^2+3*AD$38*$B67*$C67+AE$38*$C67^2</f>
        <v>-1.9465177244751584E-4</v>
      </c>
      <c r="W67" s="33">
        <f t="shared" ref="W67:W68" si="238">W$38+2*Z$38*$B67+2*AA$38*$C67+3*AD$38*$B67^2+4*AE$38*$B67*$C67+3*AF$38*$C67^2</f>
        <v>-8.5560418327546486E-5</v>
      </c>
      <c r="X67" s="33">
        <f t="shared" ref="X67:X68" si="239">X$38+AA$38*$B67+3*AB$38*$C67+AE$38*$B67^2+3*AF$38*$B67*$C67+6*AG$38*$C67^2</f>
        <v>4.2529585972267045E-5</v>
      </c>
      <c r="Y67" s="33">
        <f t="shared" ref="Y67:Y68" si="240">Y$38+4*AC$38*$B67+AD$38*$C67</f>
        <v>-9.3803248965631426E-8</v>
      </c>
      <c r="Z67" s="33">
        <f t="shared" ref="Z67:Z68" si="241">Z$38+3*AD$38*$B67+2*AE$38*$C67</f>
        <v>-1.7877396678842313E-7</v>
      </c>
      <c r="AA67" s="33">
        <f t="shared" ref="AA67:AA68" si="242">AA$38+2*AE$38*$B67+3*AF$38*$C67</f>
        <v>-5.1115261191300365E-9</v>
      </c>
      <c r="AB67" s="33">
        <f t="shared" ref="AB67:AB68" si="243">AB$38+AF$38*$B67+4*AG$38*$C67</f>
        <v>-2.0788521364815379E-6</v>
      </c>
      <c r="AC67" s="33">
        <f t="shared" si="201"/>
        <v>1.27574449362868E-9</v>
      </c>
      <c r="AD67" s="33">
        <f t="shared" si="201"/>
        <v>7.7897327013718401E-10</v>
      </c>
      <c r="AE67" s="33">
        <f t="shared" si="201"/>
        <v>7.3361294369038402E-9</v>
      </c>
      <c r="AF67" s="33">
        <f t="shared" si="201"/>
        <v>-1.81798644252709E-10</v>
      </c>
      <c r="AG67" s="33">
        <f t="shared" si="201"/>
        <v>1.37896323183342E-8</v>
      </c>
    </row>
    <row r="68" spans="1:33">
      <c r="A68" t="str">
        <f>SIAF!B34</f>
        <v>NIS_SOSSFULL</v>
      </c>
      <c r="B68" s="31">
        <f t="shared" si="222"/>
        <v>60.831958640231136</v>
      </c>
      <c r="C68" s="31">
        <f t="shared" si="223"/>
        <v>11.822430104709328</v>
      </c>
      <c r="D68" s="31">
        <f t="shared" si="224"/>
        <v>930.48916881510524</v>
      </c>
      <c r="E68" s="99">
        <f t="shared" si="225"/>
        <v>15.300289421965488</v>
      </c>
      <c r="F68" s="99">
        <f t="shared" si="226"/>
        <v>-8.9164886318489757E-4</v>
      </c>
      <c r="G68" s="99">
        <f t="shared" si="227"/>
        <v>5.9378891608204585E-5</v>
      </c>
      <c r="H68" s="99">
        <f t="shared" si="228"/>
        <v>-9.089697199429048E-5</v>
      </c>
      <c r="I68" s="33">
        <f t="shared" si="229"/>
        <v>1.8202301321942142E-5</v>
      </c>
      <c r="J68" s="33">
        <f t="shared" si="230"/>
        <v>-2.6914103561615933E-7</v>
      </c>
      <c r="K68" s="33">
        <f t="shared" si="231"/>
        <v>-1.5970654624409471E-6</v>
      </c>
      <c r="L68" s="33">
        <f t="shared" si="232"/>
        <v>1.08896038445804E-7</v>
      </c>
      <c r="M68" s="33">
        <f t="shared" si="233"/>
        <v>-3.9442199230518733E-7</v>
      </c>
      <c r="N68" s="33">
        <f t="shared" si="199"/>
        <v>-1.3755880354115801E-9</v>
      </c>
      <c r="O68" s="33">
        <f t="shared" si="199"/>
        <v>-6.8286810777212099E-9</v>
      </c>
      <c r="P68" s="33">
        <f t="shared" si="199"/>
        <v>-1.04293498685182E-9</v>
      </c>
      <c r="Q68" s="33">
        <f t="shared" si="199"/>
        <v>-5.9928378921435799E-9</v>
      </c>
      <c r="R68" s="33">
        <f t="shared" si="199"/>
        <v>9.9891771502550206E-11</v>
      </c>
      <c r="S68" s="31">
        <f t="shared" si="234"/>
        <v>174.45398489165157</v>
      </c>
      <c r="T68" s="33">
        <f t="shared" si="235"/>
        <v>-9.052877128238547E-2</v>
      </c>
      <c r="U68" s="33">
        <f t="shared" si="236"/>
        <v>15.174239432415016</v>
      </c>
      <c r="V68" s="33">
        <f t="shared" si="237"/>
        <v>-1.4661722151319557E-4</v>
      </c>
      <c r="W68" s="33">
        <f t="shared" si="238"/>
        <v>2.4819191342139335E-5</v>
      </c>
      <c r="X68" s="33">
        <f t="shared" si="239"/>
        <v>7.1055602996925981E-5</v>
      </c>
      <c r="Y68" s="33">
        <f t="shared" si="240"/>
        <v>2.5444608863163263E-7</v>
      </c>
      <c r="Z68" s="33">
        <f t="shared" si="241"/>
        <v>1.0772031218312957E-6</v>
      </c>
      <c r="AA68" s="33">
        <f t="shared" si="242"/>
        <v>7.8286065781478244E-7</v>
      </c>
      <c r="AB68" s="33">
        <f t="shared" si="243"/>
        <v>2.135725875055737E-6</v>
      </c>
      <c r="AC68" s="33">
        <f t="shared" si="201"/>
        <v>1.27574449362868E-9</v>
      </c>
      <c r="AD68" s="33">
        <f t="shared" si="201"/>
        <v>7.7897327013718401E-10</v>
      </c>
      <c r="AE68" s="33">
        <f t="shared" si="201"/>
        <v>7.3361294369038402E-9</v>
      </c>
      <c r="AF68" s="33">
        <f t="shared" si="201"/>
        <v>-1.81798644252709E-10</v>
      </c>
      <c r="AG68" s="33">
        <f t="shared" si="201"/>
        <v>1.37896323183342E-8</v>
      </c>
    </row>
    <row r="71" spans="1:33">
      <c r="B71" t="s">
        <v>171</v>
      </c>
      <c r="C71" t="s">
        <v>21</v>
      </c>
      <c r="D71" t="s">
        <v>92</v>
      </c>
      <c r="E71" s="100" t="s">
        <v>93</v>
      </c>
      <c r="F71" s="100" t="s">
        <v>94</v>
      </c>
      <c r="G71" s="100" t="s">
        <v>95</v>
      </c>
      <c r="H71" s="100" t="s">
        <v>96</v>
      </c>
      <c r="I71" t="s">
        <v>97</v>
      </c>
      <c r="J71" t="s">
        <v>98</v>
      </c>
      <c r="K71" t="s">
        <v>99</v>
      </c>
      <c r="L71" t="s">
        <v>100</v>
      </c>
      <c r="M71" t="s">
        <v>101</v>
      </c>
      <c r="N71" t="s">
        <v>102</v>
      </c>
      <c r="O71" t="s">
        <v>103</v>
      </c>
      <c r="P71" t="s">
        <v>104</v>
      </c>
      <c r="Q71" t="s">
        <v>105</v>
      </c>
      <c r="R71" t="s">
        <v>106</v>
      </c>
      <c r="S71" t="s">
        <v>107</v>
      </c>
      <c r="T71" t="s">
        <v>116</v>
      </c>
      <c r="U71" t="s">
        <v>108</v>
      </c>
      <c r="V71" t="s">
        <v>109</v>
      </c>
      <c r="W71" t="s">
        <v>110</v>
      </c>
      <c r="X71" t="s">
        <v>111</v>
      </c>
      <c r="Y71" t="s">
        <v>108</v>
      </c>
      <c r="Z71" t="s">
        <v>112</v>
      </c>
      <c r="AA71" t="s">
        <v>113</v>
      </c>
      <c r="AB71" t="s">
        <v>114</v>
      </c>
      <c r="AC71" t="s">
        <v>115</v>
      </c>
      <c r="AD71" t="s">
        <v>112</v>
      </c>
    </row>
    <row r="72" spans="1:33">
      <c r="A72" t="str">
        <f>SIAF!B3</f>
        <v>NIS_CEN_OSS</v>
      </c>
      <c r="B72" s="16">
        <f>SIAF!P3</f>
        <v>-290.10000000000002</v>
      </c>
      <c r="C72" s="16">
        <f>SIAF!Q3</f>
        <v>-697.5</v>
      </c>
      <c r="D72">
        <f>-SIAF!L3+0.5</f>
        <v>-1024</v>
      </c>
      <c r="E72" s="100">
        <f>-SIAF!L3+SIAF!J3+0.5</f>
        <v>1024</v>
      </c>
      <c r="F72" s="100">
        <f>E72</f>
        <v>1024</v>
      </c>
      <c r="G72" s="100">
        <f>D72</f>
        <v>-1024</v>
      </c>
      <c r="H72" s="100">
        <f>-SIAF!M3+0.5</f>
        <v>-1024</v>
      </c>
      <c r="I72">
        <f>H72</f>
        <v>-1024</v>
      </c>
      <c r="J72">
        <f>-SIAF!M3+SIAF!K3+0.5</f>
        <v>1024</v>
      </c>
      <c r="K72">
        <f>J72</f>
        <v>1024</v>
      </c>
      <c r="L72" s="19">
        <f>SIAF!$AJ3*D72+SIAF!$AK3*H72+SIAF!$AL3*D72^2+SIAF!$AM3*D72*H72+SIAF!$AN3*H72^2</f>
        <v>-66.933047160116473</v>
      </c>
      <c r="M72" s="19">
        <f>SIAF!$AJ3*E72+SIAF!$AK3*I72+SIAF!$AL3*E72^2+SIAF!$AM3*E72*I72+SIAF!$AN3*I72^2</f>
        <v>66.988644224856188</v>
      </c>
      <c r="N72" s="19">
        <f>SIAF!$AJ3*F72+SIAF!$AK3*J72+SIAF!$AL3*F72^2+SIAF!$AM3*F72*J72+SIAF!$AN3*J72^2</f>
        <v>67.001703834539597</v>
      </c>
      <c r="O72" s="19">
        <f>SIAF!$AJ3*G72+SIAF!$AK3*K72+SIAF!$AL3*G72^2+SIAF!$AM3*G72*K72+SIAF!$AN3*K72^2</f>
        <v>-66.946106769799826</v>
      </c>
      <c r="P72" s="19">
        <f>SIAF!$BE3*D72+SIAF!$BF3*H72+SIAF!$BG3*D72^2+SIAF!$BH3*D72*H72+SIAF!$BG3*H72^2</f>
        <v>67.913977863325158</v>
      </c>
      <c r="Q72" s="19">
        <f>SIAF!$BE3*E72+SIAF!$BF3*I72+SIAF!$BG3*E72^2+SIAF!$BH3*E72*I72+SIAF!$BG3*I72^2</f>
        <v>67.241459309496605</v>
      </c>
      <c r="R72" s="19">
        <f>SIAF!$BE3*F72+SIAF!$BF3*J72+SIAF!$BG3*F72^2+SIAF!$BH3*F72*J72+SIAF!$BG3*J72^2</f>
        <v>-67.651417149815188</v>
      </c>
      <c r="S72" s="19">
        <f>SIAF!$BE3*G72+SIAF!$BF3*K72+SIAF!$BG3*G72^2+SIAF!$BH3*G72*K72+SIAF!$BG3*K72^2</f>
        <v>-67.091891204487439</v>
      </c>
      <c r="T72" s="20">
        <f>RADIANS(SIAF!R3)</f>
        <v>-9.9481323902723996E-3</v>
      </c>
      <c r="U72" s="19">
        <f>SIAF!$P3+SIAF!$S3*L72*COS($T72)+P72*SIN($T72)</f>
        <v>-357.70534126081947</v>
      </c>
      <c r="V72" s="19">
        <f>SIAF!$P3+SIAF!$S3*M72*COS($T72)+Q72*SIN($T72)</f>
        <v>-223.78358643066781</v>
      </c>
      <c r="W72" s="19">
        <f>SIAF!$P3+SIAF!$S3*N72*COS($T72)+R72*SIN($T72)</f>
        <v>-222.42861740770087</v>
      </c>
      <c r="X72" s="19">
        <f>SIAF!$P3+SIAF!$S3*O72*COS($T72)+S72*SIN($T72)</f>
        <v>-356.37536611789329</v>
      </c>
      <c r="Y72" s="19">
        <f>U72</f>
        <v>-357.70534126081947</v>
      </c>
      <c r="Z72" s="19">
        <f>SIAF!$Q3-SIAF!$S3*L72*SIN($T72)+P72*COS($T72)</f>
        <v>-630.25523050551271</v>
      </c>
      <c r="AA72" s="19">
        <f>SIAF!$Q3-SIAF!$S3*M72*SIN($T72)+Q72*COS($T72)</f>
        <v>-629.59546704043737</v>
      </c>
      <c r="AB72" s="19">
        <f>SIAF!$Q3-SIAF!$S3*N72*SIN($T72)+R72*COS($T72)</f>
        <v>-764.48153877865411</v>
      </c>
      <c r="AC72" s="19">
        <f>SIAF!$Q3-SIAF!$S3*O72*SIN($T72)+S72*COS($T72)</f>
        <v>-765.25454909426685</v>
      </c>
      <c r="AD72" s="19">
        <f>Z72</f>
        <v>-630.25523050551271</v>
      </c>
    </row>
    <row r="73" spans="1:33">
      <c r="A73" t="str">
        <f>SIAF!B4</f>
        <v>NIS_CEN</v>
      </c>
      <c r="B73" s="16">
        <f>SIAF!P4</f>
        <v>-290.10000000000002</v>
      </c>
      <c r="C73" s="16">
        <f>SIAF!Q4</f>
        <v>-697.5</v>
      </c>
      <c r="D73">
        <f>-SIAF!L4+0.5</f>
        <v>-1024</v>
      </c>
      <c r="E73" s="100">
        <f>-SIAF!L4+SIAF!J4+0.5</f>
        <v>1024</v>
      </c>
      <c r="F73" s="100">
        <f t="shared" ref="F73:F93" si="244">E73</f>
        <v>1024</v>
      </c>
      <c r="G73" s="100">
        <f t="shared" ref="G73:G93" si="245">D73</f>
        <v>-1024</v>
      </c>
      <c r="H73" s="100">
        <f>-SIAF!M4+0.5</f>
        <v>-1024</v>
      </c>
      <c r="I73">
        <f t="shared" ref="I73:I93" si="246">H73</f>
        <v>-1024</v>
      </c>
      <c r="J73">
        <f>-SIAF!M4+SIAF!K4+0.5</f>
        <v>1024</v>
      </c>
      <c r="K73">
        <f t="shared" ref="K73:K93" si="247">J73</f>
        <v>1024</v>
      </c>
      <c r="L73" s="19">
        <f>SIAF!$AJ4*D73+SIAF!$AK4*H73+SIAF!$AL4*D73^2+SIAF!$AM4*D73*H73+SIAF!$AN4*H73^2</f>
        <v>-67.001703834539583</v>
      </c>
      <c r="M73" s="19">
        <f>SIAF!$AJ4*E73+SIAF!$AK4*I73+SIAF!$AL4*E73^2+SIAF!$AM4*E73*I73+SIAF!$AN4*I73^2</f>
        <v>66.94610676979984</v>
      </c>
      <c r="N73" s="19">
        <f>SIAF!$AJ4*F73+SIAF!$AK4*J73+SIAF!$AL4*F73^2+SIAF!$AM4*F73*J73+SIAF!$AN4*J73^2</f>
        <v>66.933047160116459</v>
      </c>
      <c r="O73" s="19">
        <f>SIAF!$AJ4*G73+SIAF!$AK4*K73+SIAF!$AL4*G73^2+SIAF!$AM4*G73*K73+SIAF!$AN4*K73^2</f>
        <v>-66.988644224856202</v>
      </c>
      <c r="P73" s="19">
        <f>SIAF!$BE4*D73+SIAF!$BF4*H73+SIAF!$BG4*D73^2+SIAF!$BH4*D73*H73+SIAF!$BG4*H73^2</f>
        <v>-67.651417149815202</v>
      </c>
      <c r="Q73" s="19">
        <f>SIAF!$BE4*E73+SIAF!$BF4*I73+SIAF!$BG4*E73^2+SIAF!$BH4*E73*I73+SIAF!$BG4*I73^2</f>
        <v>-67.091891204487425</v>
      </c>
      <c r="R73" s="19">
        <f>SIAF!$BE4*F73+SIAF!$BF4*J73+SIAF!$BG4*F73^2+SIAF!$BH4*F73*J73+SIAF!$BG4*J73^2</f>
        <v>67.913977863325172</v>
      </c>
      <c r="S73" s="19">
        <f>SIAF!$BE4*G73+SIAF!$BF4*K73+SIAF!$BG4*G73^2+SIAF!$BH4*G73*K73+SIAF!$BG4*K73^2</f>
        <v>67.241459309496591</v>
      </c>
      <c r="T73" s="20">
        <f>RADIANS(SIAF!R4)</f>
        <v>-9.9481323902723996E-3</v>
      </c>
      <c r="U73" s="19">
        <f>SIAF!$P4+SIAF!$S4*L73*COS($T73)+P73*SIN($T73)</f>
        <v>-222.4286174077009</v>
      </c>
      <c r="V73" s="19">
        <f>SIAF!$P4+SIAF!$S4*M73*COS($T73)+Q73*SIN($T73)</f>
        <v>-356.37536611789335</v>
      </c>
      <c r="W73" s="19">
        <f>SIAF!$P4+SIAF!$S4*N73*COS($T73)+R73*SIN($T73)</f>
        <v>-357.70534126081947</v>
      </c>
      <c r="X73" s="19">
        <f>SIAF!$P4+SIAF!$S4*O73*COS($T73)+S73*SIN($T73)</f>
        <v>-223.78358643066778</v>
      </c>
      <c r="Y73" s="19">
        <f t="shared" ref="Y73:Y93" si="248">U73</f>
        <v>-222.4286174077009</v>
      </c>
      <c r="Z73" s="19">
        <f>SIAF!$Q4-SIAF!$S4*L73*SIN($T73)+P73*COS($T73)</f>
        <v>-764.48153877865411</v>
      </c>
      <c r="AA73" s="19">
        <f>SIAF!$Q4-SIAF!$S4*M73*SIN($T73)+Q73*COS($T73)</f>
        <v>-765.25454909426685</v>
      </c>
      <c r="AB73" s="19">
        <f>SIAF!$Q4-SIAF!$S4*N73*SIN($T73)+R73*COS($T73)</f>
        <v>-630.25523050551271</v>
      </c>
      <c r="AC73" s="19">
        <f>SIAF!$Q4-SIAF!$S4*O73*SIN($T73)+S73*COS($T73)</f>
        <v>-629.59546704043737</v>
      </c>
      <c r="AD73" s="19">
        <f t="shared" ref="AD73:AD93" si="249">Z73</f>
        <v>-764.48153877865411</v>
      </c>
    </row>
    <row r="74" spans="1:33">
      <c r="A74" t="str">
        <f>SIAF!B5</f>
        <v>NIS_AMI1</v>
      </c>
      <c r="B74" s="19">
        <f>B$73+SIAF!S5*D4*COS(RADIANS(SIAF!R5))+S4*SIN(RADIANS(SIAF!R5))</f>
        <v>-293.73531671180052</v>
      </c>
      <c r="C74" s="19">
        <f>C$73-SIAF!S5*D4*SIN(RADIANS(SIAF!R5))+S4*COS(RADIANS(SIAF!R5))</f>
        <v>-762.31178779737411</v>
      </c>
      <c r="D74">
        <f>-SIAF!L5+0.5</f>
        <v>-45.5</v>
      </c>
      <c r="E74" s="100">
        <f>-SIAF!L5+SIAF!J5+0.5</f>
        <v>34.5</v>
      </c>
      <c r="F74" s="100">
        <f t="shared" si="244"/>
        <v>34.5</v>
      </c>
      <c r="G74" s="100">
        <f t="shared" si="245"/>
        <v>-45.5</v>
      </c>
      <c r="H74" s="100">
        <f>-SIAF!M5+0.5</f>
        <v>-40.5</v>
      </c>
      <c r="I74">
        <f t="shared" si="246"/>
        <v>-40.5</v>
      </c>
      <c r="J74">
        <f>-SIAF!M5+SIAF!K5+0.5</f>
        <v>39.5</v>
      </c>
      <c r="K74">
        <f t="shared" si="247"/>
        <v>39.5</v>
      </c>
      <c r="L74" s="19">
        <f>SIAF!$AJ5*D74+SIAF!$AK5*H74+SIAF!$AL5*D74^2+SIAF!$AM5*D74*H74+SIAF!$AN5*H74^2</f>
        <v>-2.9753543704670444</v>
      </c>
      <c r="M74" s="19">
        <f>SIAF!$AJ5*E74+SIAF!$AK5*I74+SIAF!$AL5*E74^2+SIAF!$AM5*E74*I74+SIAF!$AN5*I74^2</f>
        <v>2.2553444096196493</v>
      </c>
      <c r="N74" s="19">
        <f>SIAF!$AJ5*F74+SIAF!$AK5*J74+SIAF!$AL5*F74^2+SIAF!$AM5*F74*J74+SIAF!$AN5*J74^2</f>
        <v>2.2561034380433154</v>
      </c>
      <c r="O74" s="19">
        <f>SIAF!$AJ5*G74+SIAF!$AK5*K74+SIAF!$AL5*G74^2+SIAF!$AM5*G74*K74+SIAF!$AN5*K74^2</f>
        <v>-2.9748055657367969</v>
      </c>
      <c r="P74" s="19">
        <f>SIAF!$BE5*D74+SIAF!$BF5*H74+SIAF!$BG5*D74^2+SIAF!$BH5*D74*H74+SIAF!$BG5*H74^2</f>
        <v>-2.6803253451505071</v>
      </c>
      <c r="Q74" s="19">
        <f>SIAF!$BE5*E74+SIAF!$BF5*I74+SIAF!$BG5*E74^2+SIAF!$BH5*E74*I74+SIAF!$BG5*I74^2</f>
        <v>-2.6578177414774302</v>
      </c>
      <c r="R74" s="19">
        <f>SIAF!$BE5*F74+SIAF!$BF5*J74+SIAF!$BG5*F74^2+SIAF!$BH5*F74*J74+SIAF!$BG5*J74^2</f>
        <v>2.6117742226464471</v>
      </c>
      <c r="S74" s="19">
        <f>SIAF!$BE5*G74+SIAF!$BF5*K74+SIAF!$BG5*G74^2+SIAF!$BH5*G74*K74+SIAF!$BG5*K74^2</f>
        <v>2.5891107025909759</v>
      </c>
      <c r="T74" s="20">
        <f>RADIANS(SIAF!R5)</f>
        <v>-9.9481323902723996E-3</v>
      </c>
      <c r="U74" s="19">
        <f>SIAF!$P5+SIAF!$S5*L74*COS($T74)+P74*SIN($T74)</f>
        <v>-290.73344577701585</v>
      </c>
      <c r="V74" s="19">
        <f>SIAF!$P5+SIAF!$S5*M74*COS($T74)+Q74*SIN($T74)</f>
        <v>-295.96410963522857</v>
      </c>
      <c r="W74" s="19">
        <f>SIAF!$P5+SIAF!$S5*N74*COS($T74)+R74*SIN($T74)</f>
        <v>-296.01729035992986</v>
      </c>
      <c r="X74" s="19">
        <f>SIAF!$P5+SIAF!$S5*O74*COS($T74)+S74*SIN($T74)</f>
        <v>-290.78641473737486</v>
      </c>
      <c r="Y74" s="19">
        <f t="shared" si="248"/>
        <v>-290.73344577701585</v>
      </c>
      <c r="Z74" s="19">
        <f>SIAF!$Q5-SIAF!$S5*L74*SIN($T74)+P74*COS($T74)</f>
        <v>-764.96238178299484</v>
      </c>
      <c r="AA74" s="19">
        <f>SIAF!$Q5-SIAF!$S5*M74*SIN($T74)+Q74*COS($T74)</f>
        <v>-764.9919101187229</v>
      </c>
      <c r="AB74" s="19">
        <f>SIAF!$Q5-SIAF!$S5*N74*SIN($T74)+R74*COS($T74)</f>
        <v>-759.72258645671423</v>
      </c>
      <c r="AC74" s="19">
        <f>SIAF!$Q5-SIAF!$S5*O74*SIN($T74)+S74*COS($T74)</f>
        <v>-759.69321193835492</v>
      </c>
      <c r="AD74" s="19">
        <f t="shared" si="249"/>
        <v>-764.96238178299484</v>
      </c>
    </row>
    <row r="75" spans="1:33">
      <c r="A75" t="str">
        <f>SIAF!B6</f>
        <v>NIS_AMI2</v>
      </c>
      <c r="B75" s="19">
        <f>B$73+SIAF!S6*D5*COS(RADIANS(SIAF!R6))+S5*SIN(RADIANS(SIAF!R6))</f>
        <v>-291.91579730081219</v>
      </c>
      <c r="C75" s="19">
        <f>C$73-SIAF!S6*D5*SIN(RADIANS(SIAF!R6))+S5*COS(RADIANS(SIAF!R6))</f>
        <v>-761.18175062875889</v>
      </c>
      <c r="D75">
        <f>-SIAF!L6+0.5</f>
        <v>-17.5</v>
      </c>
      <c r="E75" s="100">
        <f>-SIAF!L6+SIAF!J6+0.5</f>
        <v>62.5</v>
      </c>
      <c r="F75" s="100">
        <f t="shared" si="244"/>
        <v>62.5</v>
      </c>
      <c r="G75" s="100">
        <f t="shared" si="245"/>
        <v>-17.5</v>
      </c>
      <c r="H75" s="100">
        <f>-SIAF!M6+0.5</f>
        <v>-57.5</v>
      </c>
      <c r="I75">
        <f t="shared" si="246"/>
        <v>-57.5</v>
      </c>
      <c r="J75">
        <f>-SIAF!M6+SIAF!K6+0.5</f>
        <v>22.5</v>
      </c>
      <c r="K75">
        <f t="shared" si="247"/>
        <v>22.5</v>
      </c>
      <c r="L75" s="19">
        <f>SIAF!$AJ6*D75+SIAF!$AK6*H75+SIAF!$AL6*D75^2+SIAF!$AM6*D75*H75+SIAF!$AN6*H75^2</f>
        <v>-1.144682244698108</v>
      </c>
      <c r="M75" s="19">
        <f>SIAF!$AJ6*E75+SIAF!$AK6*I75+SIAF!$AL6*E75^2+SIAF!$AM6*E75*I75+SIAF!$AN6*I75^2</f>
        <v>4.0860227826613835</v>
      </c>
      <c r="N75" s="19">
        <f>SIAF!$AJ6*F75+SIAF!$AK6*J75+SIAF!$AL6*F75^2+SIAF!$AM6*F75*J75+SIAF!$AN6*J75^2</f>
        <v>4.086775662529285</v>
      </c>
      <c r="O75" s="19">
        <f>SIAF!$AJ6*G75+SIAF!$AK6*K75+SIAF!$AL6*G75^2+SIAF!$AM6*G75*K75+SIAF!$AN6*K75^2</f>
        <v>-1.144131471370992</v>
      </c>
      <c r="P75" s="19">
        <f>SIAF!$BE6*D75+SIAF!$BF6*H75+SIAF!$BG6*D75^2+SIAF!$BH6*D75*H75+SIAF!$BG6*H75^2</f>
        <v>-3.7920977074083524</v>
      </c>
      <c r="Q75" s="19">
        <f>SIAF!$BE6*E75+SIAF!$BF6*I75+SIAF!$BG6*E75^2+SIAF!$BH6*E75*I75+SIAF!$BG6*I75^2</f>
        <v>-3.7695894675654467</v>
      </c>
      <c r="R75" s="19">
        <f>SIAF!$BE6*F75+SIAF!$BF6*J75+SIAF!$BG6*F75^2+SIAF!$BH6*F75*J75+SIAF!$BG6*J75^2</f>
        <v>1.49982384536011</v>
      </c>
      <c r="S75" s="19">
        <f>SIAF!$BE6*G75+SIAF!$BF6*K75+SIAF!$BG6*G75^2+SIAF!$BH6*G75*K75+SIAF!$BG6*K75^2</f>
        <v>1.4771609244310115</v>
      </c>
      <c r="T75" s="20">
        <f>RADIANS(SIAF!R6)</f>
        <v>-9.9481323902723996E-3</v>
      </c>
      <c r="U75" s="19">
        <f>SIAF!$P6+SIAF!$S6*L75*COS($T75)+P75*SIN($T75)</f>
        <v>-290.73344802977925</v>
      </c>
      <c r="V75" s="19">
        <f>SIAF!$P6+SIAF!$S6*M75*COS($T75)+Q75*SIN($T75)</f>
        <v>-295.96411814128425</v>
      </c>
      <c r="W75" s="19">
        <f>SIAF!$P6+SIAF!$S6*N75*COS($T75)+R75*SIN($T75)</f>
        <v>-296.01729094051751</v>
      </c>
      <c r="X75" s="19">
        <f>SIAF!$P6+SIAF!$S6*O75*COS($T75)+S75*SIN($T75)</f>
        <v>-290.78641719370995</v>
      </c>
      <c r="Y75" s="19">
        <f t="shared" si="248"/>
        <v>-290.73344802977925</v>
      </c>
      <c r="Z75" s="19">
        <f>SIAF!$Q6-SIAF!$S6*L75*SIN($T75)+P75*COS($T75)</f>
        <v>-764.96227343191015</v>
      </c>
      <c r="AA75" s="19">
        <f>SIAF!$Q6-SIAF!$S6*M75*SIN($T75)+Q75*COS($T75)</f>
        <v>-764.99180119364746</v>
      </c>
      <c r="AB75" s="19">
        <f>SIAF!$Q6-SIAF!$S6*N75*SIN($T75)+R75*COS($T75)</f>
        <v>-759.7226561128316</v>
      </c>
      <c r="AC75" s="19">
        <f>SIAF!$Q6-SIAF!$S6*O75*SIN($T75)+S75*COS($T75)</f>
        <v>-759.69328101397696</v>
      </c>
      <c r="AD75" s="19">
        <f t="shared" si="249"/>
        <v>-764.96227343191015</v>
      </c>
    </row>
    <row r="76" spans="1:33">
      <c r="A76" t="str">
        <f>SIAF!B7</f>
        <v>NIS_AMI3</v>
      </c>
      <c r="B76" s="19">
        <f>B$73+SIAF!S7*D6*COS(RADIANS(SIAF!R7))+S6*SIN(RADIANS(SIAF!R7))</f>
        <v>-291.89392868778236</v>
      </c>
      <c r="C76" s="19">
        <f>C$73-SIAF!S7*D6*SIN(RADIANS(SIAF!R7))+S6*COS(RADIANS(SIAF!R7))</f>
        <v>-763.35529893640842</v>
      </c>
      <c r="D76">
        <f>-SIAF!L7+0.5</f>
        <v>-17.5</v>
      </c>
      <c r="E76" s="100">
        <f>-SIAF!L7+SIAF!J7+0.5</f>
        <v>62.5</v>
      </c>
      <c r="F76" s="100">
        <f t="shared" si="244"/>
        <v>62.5</v>
      </c>
      <c r="G76" s="100">
        <f t="shared" si="245"/>
        <v>-17.5</v>
      </c>
      <c r="H76" s="100">
        <f>-SIAF!M7+0.5</f>
        <v>-24.5</v>
      </c>
      <c r="I76">
        <f t="shared" si="246"/>
        <v>-24.5</v>
      </c>
      <c r="J76">
        <f>-SIAF!M7+SIAF!K7+0.5</f>
        <v>55.5</v>
      </c>
      <c r="K76">
        <f t="shared" si="247"/>
        <v>55.5</v>
      </c>
      <c r="L76" s="19">
        <f>SIAF!$AJ7*D76+SIAF!$AK7*H76+SIAF!$AL7*D76^2+SIAF!$AM7*D76*H76+SIAF!$AN7*H76^2</f>
        <v>-1.1444357079900012</v>
      </c>
      <c r="M76" s="19">
        <f>SIAF!$AJ7*E76+SIAF!$AK7*I76+SIAF!$AL7*E76^2+SIAF!$AM7*E76*I76+SIAF!$AN7*I76^2</f>
        <v>4.0862622453076023</v>
      </c>
      <c r="N76" s="19">
        <f>SIAF!$AJ7*F76+SIAF!$AK7*J76+SIAF!$AL7*F76^2+SIAF!$AM7*F76*J76+SIAF!$AN7*J76^2</f>
        <v>4.0870252382019476</v>
      </c>
      <c r="O76" s="19">
        <f>SIAF!$AJ7*G76+SIAF!$AK7*K76+SIAF!$AL7*G76^2+SIAF!$AM7*G76*K76+SIAF!$AN7*K76^2</f>
        <v>-1.143887763063639</v>
      </c>
      <c r="P76" s="19">
        <f>SIAF!$BE7*D76+SIAF!$BF7*H76+SIAF!$BG7*D76^2+SIAF!$BH7*D76*H76+SIAF!$BG7*H76^2</f>
        <v>-1.6186184698913046</v>
      </c>
      <c r="Q76" s="19">
        <f>SIAF!$BE7*E76+SIAF!$BF7*I76+SIAF!$BG7*E76^2+SIAF!$BH7*E76*I76+SIAF!$BG7*I76^2</f>
        <v>-1.5961105114735759</v>
      </c>
      <c r="R76" s="19">
        <f>SIAF!$BE7*F76+SIAF!$BF7*J76+SIAF!$BG7*F76^2+SIAF!$BH7*F76*J76+SIAF!$BG7*J76^2</f>
        <v>3.6736526495064221</v>
      </c>
      <c r="S76" s="19">
        <f>SIAF!$BE7*G76+SIAF!$BF7*K76+SIAF!$BG7*G76^2+SIAF!$BH7*G76*K76+SIAF!$BG7*K76^2</f>
        <v>3.6509903945377897</v>
      </c>
      <c r="T76" s="20">
        <f>RADIANS(SIAF!R7)</f>
        <v>-9.9481323902723996E-3</v>
      </c>
      <c r="U76" s="19">
        <f>SIAF!$P7+SIAF!$S7*L76*COS($T76)+P76*SIN($T76)</f>
        <v>-290.73344764382335</v>
      </c>
      <c r="V76" s="19">
        <f>SIAF!$P7+SIAF!$S7*M76*COS($T76)+Q76*SIN($T76)</f>
        <v>-295.96411067881684</v>
      </c>
      <c r="W76" s="19">
        <f>SIAF!$P7+SIAF!$S7*N76*COS($T76)+R76*SIN($T76)</f>
        <v>-296.0172970708536</v>
      </c>
      <c r="X76" s="19">
        <f>SIAF!$P7+SIAF!$S7*O76*COS($T76)+S76*SIN($T76)</f>
        <v>-290.78641746359591</v>
      </c>
      <c r="Y76" s="19">
        <f t="shared" si="248"/>
        <v>-290.73344764382335</v>
      </c>
      <c r="Z76" s="19">
        <f>SIAF!$Q7-SIAF!$S7*L76*SIN($T76)+P76*COS($T76)</f>
        <v>-764.96245250324876</v>
      </c>
      <c r="AA76" s="19">
        <f>SIAF!$Q7-SIAF!$S7*M76*SIN($T76)+Q76*COS($T76)</f>
        <v>-764.99198047602476</v>
      </c>
      <c r="AB76" s="19">
        <f>SIAF!$Q7-SIAF!$S7*N76*SIN($T76)+R76*COS($T76)</f>
        <v>-759.72248566506983</v>
      </c>
      <c r="AC76" s="19">
        <f>SIAF!$Q7-SIAF!$S7*O76*SIN($T76)+S76*COS($T76)</f>
        <v>-759.69310984191929</v>
      </c>
      <c r="AD76" s="19">
        <f t="shared" si="249"/>
        <v>-764.96245250324876</v>
      </c>
    </row>
    <row r="77" spans="1:33">
      <c r="A77" t="str">
        <f>SIAF!B8</f>
        <v>NIS_AMI4</v>
      </c>
      <c r="B77" s="19">
        <f>B$73+SIAF!S8*D7*COS(RADIANS(SIAF!R8))+S7*SIN(RADIANS(SIAF!R8))</f>
        <v>-294.63940019597499</v>
      </c>
      <c r="C77" s="19">
        <f>C$73-SIAF!S8*D7*SIN(RADIANS(SIAF!R8))+S7*COS(RADIANS(SIAF!R8))</f>
        <v>-763.4366499311036</v>
      </c>
      <c r="D77">
        <f>-SIAF!L8+0.5</f>
        <v>-59.5</v>
      </c>
      <c r="E77" s="100">
        <f>-SIAF!L8+SIAF!J8+0.5</f>
        <v>20.5</v>
      </c>
      <c r="F77" s="100">
        <f t="shared" si="244"/>
        <v>20.5</v>
      </c>
      <c r="G77" s="100">
        <f t="shared" si="245"/>
        <v>-59.5</v>
      </c>
      <c r="H77" s="100">
        <f>-SIAF!M8+0.5</f>
        <v>-23.5</v>
      </c>
      <c r="I77">
        <f t="shared" si="246"/>
        <v>-23.5</v>
      </c>
      <c r="J77">
        <f>-SIAF!M8+SIAF!K8+0.5</f>
        <v>56.5</v>
      </c>
      <c r="K77">
        <f t="shared" si="247"/>
        <v>56.5</v>
      </c>
      <c r="L77" s="19">
        <f>SIAF!$AJ8*D77+SIAF!$AK8*H77+SIAF!$AL8*D77^2+SIAF!$AM8*D77*H77+SIAF!$AN8*H77^2</f>
        <v>-3.8905831588823356</v>
      </c>
      <c r="M77" s="19">
        <f>SIAF!$AJ8*E77+SIAF!$AK8*I77+SIAF!$AL8*E77^2+SIAF!$AM8*E77*I77+SIAF!$AN8*I77^2</f>
        <v>1.3401136469093127</v>
      </c>
      <c r="N77" s="19">
        <f>SIAF!$AJ8*F77+SIAF!$AK8*J77+SIAF!$AL8*F77^2+SIAF!$AM8*F77*J77+SIAF!$AN8*J77^2</f>
        <v>1.3408746842764763</v>
      </c>
      <c r="O77" s="19">
        <f>SIAF!$AJ8*G77+SIAF!$AK8*K77+SIAF!$AL8*G77^2+SIAF!$AM8*G77*K77+SIAF!$AN8*K77^2</f>
        <v>-3.8900398668542464</v>
      </c>
      <c r="P77" s="19">
        <f>SIAF!$BE8*D77+SIAF!$BF8*H77+SIAF!$BG8*D77^2+SIAF!$BH8*D77*H77+SIAF!$BG8*H77^2</f>
        <v>-1.5645858566598965</v>
      </c>
      <c r="Q77" s="19">
        <f>SIAF!$BE8*E77+SIAF!$BF8*I77+SIAF!$BG8*E77^2+SIAF!$BH8*E77*I77+SIAF!$BG8*I77^2</f>
        <v>-1.5420785187794934</v>
      </c>
      <c r="R77" s="19">
        <f>SIAF!$BE8*F77+SIAF!$BF8*J77+SIAF!$BG8*F77^2+SIAF!$BH8*F77*J77+SIAF!$BG8*J77^2</f>
        <v>3.7276973245154235</v>
      </c>
      <c r="S77" s="19">
        <f>SIAF!$BE8*G77+SIAF!$BF8*K77+SIAF!$BG8*G77^2+SIAF!$BH8*G77*K77+SIAF!$BG8*K77^2</f>
        <v>3.7050333904979573</v>
      </c>
      <c r="T77" s="20">
        <f>RADIANS(SIAF!R8)</f>
        <v>-9.9481323902723996E-3</v>
      </c>
      <c r="U77" s="19">
        <f>SIAF!$P8+SIAF!$S8*L77*COS($T77)+P77*SIN($T77)</f>
        <v>-290.73344510143221</v>
      </c>
      <c r="V77" s="19">
        <f>SIAF!$P8+SIAF!$S8*M77*COS($T77)+Q77*SIN($T77)</f>
        <v>-295.96410698280351</v>
      </c>
      <c r="W77" s="19">
        <f>SIAF!$P8+SIAF!$S8*N77*COS($T77)+R77*SIN($T77)</f>
        <v>-296.01729154557302</v>
      </c>
      <c r="X77" s="19">
        <f>SIAF!$P8+SIAF!$S8*O77*COS($T77)+S77*SIN($T77)</f>
        <v>-290.78641037182382</v>
      </c>
      <c r="Y77" s="19">
        <f t="shared" si="248"/>
        <v>-290.73344510143221</v>
      </c>
      <c r="Z77" s="19">
        <f>SIAF!$Q8-SIAF!$S8*L77*SIN($T77)+P77*COS($T77)</f>
        <v>-764.96245497056782</v>
      </c>
      <c r="AA77" s="19">
        <f>SIAF!$Q8-SIAF!$S8*M77*SIN($T77)+Q77*COS($T77)</f>
        <v>-764.99198355243516</v>
      </c>
      <c r="AB77" s="19">
        <f>SIAF!$Q8-SIAF!$S8*N77*SIN($T77)+R77*COS($T77)</f>
        <v>-759.72247604033919</v>
      </c>
      <c r="AC77" s="19">
        <f>SIAF!$Q8-SIAF!$S8*O77*SIN($T77)+S77*COS($T77)</f>
        <v>-759.69310188073644</v>
      </c>
      <c r="AD77" s="19">
        <f t="shared" si="249"/>
        <v>-764.96245497056782</v>
      </c>
    </row>
    <row r="78" spans="1:33">
      <c r="A78" t="str">
        <f>SIAF!B9</f>
        <v>NIS_AMITA</v>
      </c>
      <c r="B78" s="19">
        <f>B$73+SIAF!S9*D8*COS(RADIANS(SIAF!R9))+S8*SIN(RADIANS(SIAF!R9))</f>
        <v>-293.5215223868816</v>
      </c>
      <c r="C78" s="19">
        <f>C$73-SIAF!S9*D8*SIN(RADIANS(SIAF!R9))+S8*COS(RADIANS(SIAF!R9))</f>
        <v>-757.56803565160988</v>
      </c>
      <c r="D78">
        <f>-SIAF!L9+0.5</f>
        <v>-31.5</v>
      </c>
      <c r="E78" s="100">
        <f>-SIAF!L9+SIAF!J9+0.5</f>
        <v>32.5</v>
      </c>
      <c r="F78" s="100">
        <f t="shared" si="244"/>
        <v>32.5</v>
      </c>
      <c r="G78" s="100">
        <f t="shared" si="245"/>
        <v>-31.5</v>
      </c>
      <c r="H78" s="100">
        <f>-SIAF!M9+0.5</f>
        <v>-32.5</v>
      </c>
      <c r="I78">
        <f t="shared" si="246"/>
        <v>-32.5</v>
      </c>
      <c r="J78">
        <f>-SIAF!M9+SIAF!K9+0.5</f>
        <v>31.5</v>
      </c>
      <c r="K78">
        <f t="shared" si="247"/>
        <v>31.5</v>
      </c>
      <c r="L78" s="19">
        <f>SIAF!$AJ9*D78+SIAF!$AK9*H78+SIAF!$AL9*D78^2+SIAF!$AM9*D78*H78+SIAF!$AN9*H78^2</f>
        <v>-2.0599450261739363</v>
      </c>
      <c r="M78" s="19">
        <f>SIAF!$AJ9*E78+SIAF!$AK9*I78+SIAF!$AL9*E78^2+SIAF!$AM9*E78*I78+SIAF!$AN9*I78^2</f>
        <v>2.1247732704389906</v>
      </c>
      <c r="N78" s="19">
        <f>SIAF!$AJ9*F78+SIAF!$AK9*J78+SIAF!$AL9*F78^2+SIAF!$AM9*F78*J78+SIAF!$AN9*J78^2</f>
        <v>2.1253114665086228</v>
      </c>
      <c r="O78" s="19">
        <f>SIAF!$AJ9*G78+SIAF!$AK9*K78+SIAF!$AL9*G78^2+SIAF!$AM9*G78*K78+SIAF!$AN9*K78^2</f>
        <v>-2.0595236750981671</v>
      </c>
      <c r="P78" s="19">
        <f>SIAF!$BE9*D78+SIAF!$BF9*H78+SIAF!$BG9*D78^2+SIAF!$BH9*D78*H78+SIAF!$BG9*H78^2</f>
        <v>-2.1495230432181853</v>
      </c>
      <c r="Q78" s="19">
        <f>SIAF!$BE9*E78+SIAF!$BF9*I78+SIAF!$BG9*E78^2+SIAF!$BH9*E78*I78+SIAF!$BG9*I78^2</f>
        <v>-2.1313783206125647</v>
      </c>
      <c r="R78" s="19">
        <f>SIAF!$BE9*F78+SIAF!$BF9*J78+SIAF!$BG9*F78^2+SIAF!$BH9*F78*J78+SIAF!$BG9*J78^2</f>
        <v>2.0842135467746457</v>
      </c>
      <c r="S78" s="19">
        <f>SIAF!$BE9*G78+SIAF!$BF9*K78+SIAF!$BG9*G78^2+SIAF!$BH9*G78*K78+SIAF!$BG9*K78^2</f>
        <v>2.0659688978137125</v>
      </c>
      <c r="T78" s="20">
        <f>RADIANS(SIAF!R9)</f>
        <v>-9.9481323902723996E-3</v>
      </c>
      <c r="U78" s="19">
        <f>SIAF!$P9+SIAF!$S9*L78*COS($T78)+P78*SIN($T78)</f>
        <v>-291.4402959043415</v>
      </c>
      <c r="V78" s="19">
        <f>SIAF!$P9+SIAF!$S9*M78*COS($T78)+Q78*SIN($T78)</f>
        <v>-295.62498763475713</v>
      </c>
      <c r="W78" s="19">
        <f>SIAF!$P9+SIAF!$S9*N78*COS($T78)+R78*SIN($T78)</f>
        <v>-295.6674623784765</v>
      </c>
      <c r="X78" s="19">
        <f>SIAF!$P9+SIAF!$S9*O78*COS($T78)+S78*SIN($T78)</f>
        <v>-291.48265281478456</v>
      </c>
      <c r="Y78" s="19">
        <f t="shared" si="248"/>
        <v>-291.4402959043415</v>
      </c>
      <c r="Z78" s="19">
        <f>SIAF!$Q9-SIAF!$S9*L78*SIN($T78)+P78*COS($T78)</f>
        <v>-759.69696006373886</v>
      </c>
      <c r="AA78" s="19">
        <f>SIAF!$Q9-SIAF!$S9*M78*SIN($T78)+Q78*COS($T78)</f>
        <v>-759.72044568395245</v>
      </c>
      <c r="AB78" s="19">
        <f>SIAF!$Q9-SIAF!$S9*N78*SIN($T78)+R78*COS($T78)</f>
        <v>-755.50506776753957</v>
      </c>
      <c r="AC78" s="19">
        <f>SIAF!$Q9-SIAF!$S9*O78*SIN($T78)+S78*COS($T78)</f>
        <v>-755.48168090636625</v>
      </c>
      <c r="AD78" s="19">
        <f t="shared" si="249"/>
        <v>-759.69696006373886</v>
      </c>
    </row>
    <row r="79" spans="1:33">
      <c r="A79" t="str">
        <f>SIAF!B10</f>
        <v>NIS_SOSSTA</v>
      </c>
      <c r="B79" s="19">
        <f>B$73+SIAF!S10*D9*COS(RADIANS(SIAF!R10))+S9*SIN(RADIANS(SIAF!R10))</f>
        <v>-351.04655769734256</v>
      </c>
      <c r="C79" s="19">
        <f>C$73-SIAF!S10*D9*SIN(RADIANS(SIAF!R10))+S9*COS(RADIANS(SIAF!R10))</f>
        <v>-686.28330929230776</v>
      </c>
      <c r="D79">
        <f>-SIAF!L10+0.5</f>
        <v>-32.5</v>
      </c>
      <c r="E79" s="100">
        <f>-SIAF!L10+SIAF!J10+0.5</f>
        <v>31.5</v>
      </c>
      <c r="F79" s="100">
        <f t="shared" si="244"/>
        <v>31.5</v>
      </c>
      <c r="G79" s="100">
        <f t="shared" si="245"/>
        <v>-32.5</v>
      </c>
      <c r="H79" s="100">
        <f>-SIAF!M10+0.5</f>
        <v>-32.5</v>
      </c>
      <c r="I79">
        <f t="shared" si="246"/>
        <v>-32.5</v>
      </c>
      <c r="J79">
        <f>-SIAF!M10+SIAF!K10+0.5</f>
        <v>31.5</v>
      </c>
      <c r="K79">
        <f t="shared" si="247"/>
        <v>31.5</v>
      </c>
      <c r="L79" s="19">
        <f>SIAF!$AJ10*D79+SIAF!$AK10*H79+SIAF!$AL10*D79^2+SIAF!$AM10*D79*H79+SIAF!$AN10*H79^2</f>
        <v>-2.1241990510227406</v>
      </c>
      <c r="M79" s="19">
        <f>SIAF!$AJ10*E79+SIAF!$AK10*I79+SIAF!$AL10*E79^2+SIAF!$AM10*E79*I79+SIAF!$AN10*I79^2</f>
        <v>2.0585644126699929</v>
      </c>
      <c r="N79" s="19">
        <f>SIAF!$AJ10*F79+SIAF!$AK10*J79+SIAF!$AL10*F79^2+SIAF!$AM10*F79*J79+SIAF!$AN10*J79^2</f>
        <v>2.0588448954808509</v>
      </c>
      <c r="O79" s="19">
        <f>SIAF!$AJ10*G79+SIAF!$AK10*K79+SIAF!$AL10*G79^2+SIAF!$AM10*G79*K79+SIAF!$AN10*K79^2</f>
        <v>-2.1240218561903381</v>
      </c>
      <c r="P79" s="19">
        <f>SIAF!$BE10*D79+SIAF!$BF10*H79+SIAF!$BG10*D79^2+SIAF!$BH10*D79*H79+SIAF!$BG10*H79^2</f>
        <v>-2.1543730611009879</v>
      </c>
      <c r="Q79" s="19">
        <f>SIAF!$BE10*E79+SIAF!$BF10*I79+SIAF!$BG10*E79^2+SIAF!$BH10*E79*I79+SIAF!$BG10*I79^2</f>
        <v>-2.129435441342133</v>
      </c>
      <c r="R79" s="19">
        <f>SIAF!$BE10*F79+SIAF!$BF10*J79+SIAF!$BG10*F79^2+SIAF!$BH10*F79*J79+SIAF!$BG10*J79^2</f>
        <v>2.088235169365781</v>
      </c>
      <c r="S79" s="19">
        <f>SIAF!$BE10*G79+SIAF!$BF10*K79+SIAF!$BG10*G79^2+SIAF!$BH10*G79*K79+SIAF!$BG10*K79^2</f>
        <v>2.0633286868299456</v>
      </c>
      <c r="T79" s="20">
        <f>RADIANS(SIAF!R10)</f>
        <v>-9.9481323902723996E-3</v>
      </c>
      <c r="U79" s="19">
        <f>SIAF!$P10+SIAF!$S10*L79*COS($T79)+P79*SIN($T79)</f>
        <v>-348.9010321215639</v>
      </c>
      <c r="V79" s="19">
        <f>SIAF!$P10+SIAF!$S10*M79*COS($T79)+Q79*SIN($T79)</f>
        <v>-353.08383669131445</v>
      </c>
      <c r="W79" s="19">
        <f>SIAF!$P10+SIAF!$S10*N79*COS($T79)+R79*SIN($T79)</f>
        <v>-353.12607441379998</v>
      </c>
      <c r="X79" s="19">
        <f>SIAF!$P10+SIAF!$S10*O79*COS($T79)+S79*SIN($T79)</f>
        <v>-348.94316687093408</v>
      </c>
      <c r="Y79" s="19">
        <f t="shared" si="248"/>
        <v>-348.9010321215639</v>
      </c>
      <c r="Z79" s="19">
        <f>SIAF!$Q10-SIAF!$S10*L79*SIN($T79)+P79*COS($T79)</f>
        <v>-688.41644428532697</v>
      </c>
      <c r="AA79" s="19">
        <f>SIAF!$Q10-SIAF!$S10*M79*SIN($T79)+Q79*COS($T79)</f>
        <v>-688.43311789789948</v>
      </c>
      <c r="AB79" s="19">
        <f>SIAF!$Q10-SIAF!$S10*N79*SIN($T79)+R79*COS($T79)</f>
        <v>-684.21565877730336</v>
      </c>
      <c r="AC79" s="19">
        <f>SIAF!$Q10-SIAF!$S10*O79*SIN($T79)+S79*COS($T79)</f>
        <v>-684.19895300154315</v>
      </c>
      <c r="AD79" s="19">
        <f t="shared" si="249"/>
        <v>-688.41644428532697</v>
      </c>
    </row>
    <row r="80" spans="1:33">
      <c r="A80" t="str">
        <f>SIAF!B11</f>
        <v>NIS_WFSS_OFFSET</v>
      </c>
      <c r="B80" s="19">
        <f>B$73+SIAF!S11*D10*COS(RADIANS(SIAF!R11))+S10*SIN(RADIANS(SIAF!R11))</f>
        <v>-289.96697595522164</v>
      </c>
      <c r="C80" s="19">
        <f>C$73-SIAF!S11*D10*SIN(RADIANS(SIAF!R11))+S10*COS(RADIANS(SIAF!R11))</f>
        <v>-697.7233259288945</v>
      </c>
      <c r="D80">
        <f>-SIAF!L11+0.5</f>
        <v>-1022</v>
      </c>
      <c r="E80" s="100">
        <f>-SIAF!L11+SIAF!J11+0.5</f>
        <v>1026</v>
      </c>
      <c r="F80" s="100">
        <f t="shared" ref="F80" si="250">E80</f>
        <v>1026</v>
      </c>
      <c r="G80" s="100">
        <f t="shared" ref="G80" si="251">D80</f>
        <v>-1022</v>
      </c>
      <c r="H80" s="100">
        <f>-SIAF!M11+0.5</f>
        <v>-1020.5999999999999</v>
      </c>
      <c r="I80">
        <f t="shared" ref="I80" si="252">H80</f>
        <v>-1020.5999999999999</v>
      </c>
      <c r="J80">
        <f>-SIAF!M11+SIAF!K11+0.5</f>
        <v>1027.4000000000001</v>
      </c>
      <c r="K80">
        <f t="shared" ref="K80" si="253">J80</f>
        <v>1027.4000000000001</v>
      </c>
      <c r="L80" s="19">
        <f>SIAF!$AJ11*D80+SIAF!$AK11*H80+SIAF!$AL11*D80^2+SIAF!$AM11*D80*H80+SIAF!$AN11*H80^2</f>
        <v>-66.870865962512866</v>
      </c>
      <c r="M80" s="19">
        <f>SIAF!$AJ11*E80+SIAF!$AK11*I80+SIAF!$AL11*E80^2+SIAF!$AM11*E80*I80+SIAF!$AN11*I80^2</f>
        <v>67.076872888962683</v>
      </c>
      <c r="N80" s="19">
        <f>SIAF!$AJ11*F80+SIAF!$AK11*J80+SIAF!$AL11*F80^2+SIAF!$AM11*F80*J80+SIAF!$AN11*J80^2</f>
        <v>67.0638852768531</v>
      </c>
      <c r="O80" s="19">
        <f>SIAF!$AJ11*G80+SIAF!$AK11*K80+SIAF!$AL11*G80^2+SIAF!$AM11*G80*K80+SIAF!$AN11*K80^2</f>
        <v>-66.857878065924055</v>
      </c>
      <c r="P80" s="19">
        <f>SIAF!$BE11*D80+SIAF!$BF11*H80+SIAF!$BG11*D80^2+SIAF!$BH11*D80*H80+SIAF!$BG11*H80^2</f>
        <v>-67.426953931870756</v>
      </c>
      <c r="Q80" s="19">
        <f>SIAF!$BE11*E80+SIAF!$BF11*I80+SIAF!$BG11*E80^2+SIAF!$BH11*E80*I80+SIAF!$BG11*I80^2</f>
        <v>-66.867525160430958</v>
      </c>
      <c r="R80" s="19">
        <f>SIAF!$BE11*F80+SIAF!$BF11*J80+SIAF!$BG11*F80^2+SIAF!$BH11*F80*J80+SIAF!$BG11*J80^2</f>
        <v>68.139063226427353</v>
      </c>
      <c r="S80" s="19">
        <f>SIAF!$BE11*G80+SIAF!$BF11*K80+SIAF!$BG11*G80^2+SIAF!$BH11*G80*K80+SIAF!$BG11*K80^2</f>
        <v>67.466446836870958</v>
      </c>
      <c r="T80" s="20">
        <f>RADIANS(SIAF!R11)</f>
        <v>-9.9481323902723996E-3</v>
      </c>
      <c r="U80" s="19">
        <f>SIAF!$P11+SIAF!$S11*L80*COS($T80)+P80*SIN($T80)</f>
        <v>-222.42865771377311</v>
      </c>
      <c r="V80" s="19">
        <f>SIAF!$P11+SIAF!$S11*M80*COS($T80)+Q80*SIN($T80)</f>
        <v>-356.37533370796933</v>
      </c>
      <c r="W80" s="19">
        <f>SIAF!$P11+SIAF!$S11*N80*COS($T80)+R80*SIN($T80)</f>
        <v>-357.70538800066981</v>
      </c>
      <c r="X80" s="19">
        <f>SIAF!$P11+SIAF!$S11*O80*COS($T80)+S80*SIN($T80)</f>
        <v>-223.7835602430076</v>
      </c>
      <c r="Y80" s="19">
        <f t="shared" ref="Y80" si="254">U80</f>
        <v>-222.42865771377311</v>
      </c>
      <c r="Z80" s="19">
        <f>SIAF!$Q11-SIAF!$S11*L80*SIN($T80)+P80*COS($T80)</f>
        <v>-764.48171416755565</v>
      </c>
      <c r="AA80" s="19">
        <f>SIAF!$Q11-SIAF!$S11*M80*SIN($T80)+Q80*COS($T80)</f>
        <v>-765.25482093845267</v>
      </c>
      <c r="AB80" s="19">
        <f>SIAF!$Q11-SIAF!$S11*N80*SIN($T80)+R80*COS($T80)</f>
        <v>-630.2547837824759</v>
      </c>
      <c r="AC80" s="19">
        <f>SIAF!$Q11-SIAF!$S11*O80*SIN($T80)+S80*COS($T80)</f>
        <v>-629.59511743245332</v>
      </c>
      <c r="AD80" s="19">
        <f t="shared" ref="AD80" si="255">Z80</f>
        <v>-764.48171416755565</v>
      </c>
    </row>
    <row r="81" spans="1:30">
      <c r="A81" t="str">
        <f>SIAF!B12</f>
        <v>NIS_WFSS64</v>
      </c>
      <c r="B81" s="19">
        <f>B$73+SIAF!S12*D11*COS(RADIANS(SIAF!R12))+S11*SIN(RADIANS(SIAF!R12))</f>
        <v>-355.60694638448689</v>
      </c>
      <c r="C81" s="19">
        <f>C$73-SIAF!S12*D11*SIN(RADIANS(SIAF!R12))+S11*COS(RADIANS(SIAF!R12))</f>
        <v>-632.47263809133256</v>
      </c>
      <c r="D81">
        <f>-SIAF!L12+0.5</f>
        <v>-2016</v>
      </c>
      <c r="E81" s="100">
        <f>-SIAF!L12+SIAF!J12+0.5</f>
        <v>32</v>
      </c>
      <c r="F81" s="100">
        <f t="shared" si="244"/>
        <v>32</v>
      </c>
      <c r="G81" s="100">
        <f t="shared" si="245"/>
        <v>-2016</v>
      </c>
      <c r="H81" s="100">
        <f>-SIAF!M12+0.5</f>
        <v>-2016</v>
      </c>
      <c r="I81">
        <f t="shared" si="246"/>
        <v>-2016</v>
      </c>
      <c r="J81">
        <f>-SIAF!M12+SIAF!K12+0.5</f>
        <v>32</v>
      </c>
      <c r="K81">
        <f t="shared" si="247"/>
        <v>32</v>
      </c>
      <c r="L81" s="19">
        <f>SIAF!$AJ12*D81+SIAF!$AK12*H81+SIAF!$AL12*D81^2+SIAF!$AM12*D81*H81+SIAF!$AN12*H81^2</f>
        <v>-131.55937153099646</v>
      </c>
      <c r="M81" s="19">
        <f>SIAF!$AJ12*E81+SIAF!$AK12*I81+SIAF!$AL12*E81^2+SIAF!$AM12*E81*I81+SIAF!$AN12*I81^2</f>
        <v>2.1269626975603839</v>
      </c>
      <c r="N81" s="19">
        <f>SIAF!$AJ12*F81+SIAF!$AK12*J81+SIAF!$AL12*F81^2+SIAF!$AM12*F81*J81+SIAF!$AN12*J81^2</f>
        <v>2.0927190128650017</v>
      </c>
      <c r="O81" s="19">
        <f>SIAF!$AJ12*G81+SIAF!$AK12*K81+SIAF!$AL12*G81^2+SIAF!$AM12*G81*K81+SIAF!$AN12*K81^2</f>
        <v>-131.76891686987582</v>
      </c>
      <c r="P81" s="19">
        <f>SIAF!$BE12*D81+SIAF!$BF12*H81+SIAF!$BG12*D81^2+SIAF!$BH12*D81*H81+SIAF!$BG12*H81^2</f>
        <v>-133.31101906859348</v>
      </c>
      <c r="Q81" s="19">
        <f>SIAF!$BE12*E81+SIAF!$BF12*I81+SIAF!$BG12*E81^2+SIAF!$BH12*E81*I81+SIAF!$BG12*I81^2</f>
        <v>-132.45692472182026</v>
      </c>
      <c r="R81" s="19">
        <f>SIAF!$BE12*F81+SIAF!$BF12*J81+SIAF!$BG12*F81^2+SIAF!$BH12*F81*J81+SIAF!$BG12*J81^2</f>
        <v>2.1158305959683794</v>
      </c>
      <c r="S81" s="19">
        <f>SIAF!$BE12*G81+SIAF!$BF12*K81+SIAF!$BG12*G81^2+SIAF!$BH12*G81*K81+SIAF!$BG12*K81^2</f>
        <v>1.4213741453492921</v>
      </c>
      <c r="T81" s="20">
        <f>RADIANS(SIAF!R12)</f>
        <v>-9.9481323902723996E-3</v>
      </c>
      <c r="U81" s="19">
        <f>SIAF!$P12+SIAF!$S12*L81*COS($T81)+P81*SIN($T81)</f>
        <v>-222.72791091632391</v>
      </c>
      <c r="V81" s="19">
        <f>SIAF!$P12+SIAF!$S12*M81*COS($T81)+Q81*SIN($T81)</f>
        <v>-356.41612654629699</v>
      </c>
      <c r="W81" s="19">
        <f>SIAF!$P12+SIAF!$S12*N81*COS($T81)+R81*SIN($T81)</f>
        <v>-357.72061006058976</v>
      </c>
      <c r="X81" s="19">
        <f>SIAF!$P12+SIAF!$S12*O81*COS($T81)+S81*SIN($T81)</f>
        <v>-223.85868952348594</v>
      </c>
      <c r="Y81" s="19">
        <f t="shared" si="248"/>
        <v>-222.72791091632391</v>
      </c>
      <c r="Z81" s="19">
        <f>SIAF!$Q12-SIAF!$S12*L81*SIN($T81)+P81*COS($T81)</f>
        <v>-764.46831217116119</v>
      </c>
      <c r="AA81" s="19">
        <f>SIAF!$Q12-SIAF!$S12*M81*SIN($T81)+Q81*COS($T81)</f>
        <v>-764.94416750254038</v>
      </c>
      <c r="AB81" s="19">
        <f>SIAF!$Q12-SIAF!$S12*N81*SIN($T81)+R81*COS($T81)</f>
        <v>-630.37773049385578</v>
      </c>
      <c r="AC81" s="19">
        <f>SIAF!$Q12-SIAF!$S12*O81*SIN($T81)+S81*COS($T81)</f>
        <v>-629.7405012702668</v>
      </c>
      <c r="AD81" s="19">
        <f t="shared" si="249"/>
        <v>-764.46831217116119</v>
      </c>
    </row>
    <row r="82" spans="1:30">
      <c r="A82" t="str">
        <f>SIAF!B13</f>
        <v>NIS_WFSS64R</v>
      </c>
      <c r="B82" s="19">
        <f>B$73+SIAF!S13*D12*COS(RADIANS(SIAF!R13))+S12*SIN(RADIANS(SIAF!R13))</f>
        <v>-354.79825648241371</v>
      </c>
      <c r="C82" s="19">
        <f>C$73-SIAF!S13*D12*SIN(RADIANS(SIAF!R13))+S12*COS(RADIANS(SIAF!R13))</f>
        <v>-712.85716353142516</v>
      </c>
      <c r="D82">
        <f>-SIAF!L13+0.5</f>
        <v>-32</v>
      </c>
      <c r="E82" s="100">
        <f>-SIAF!L13+SIAF!J13+0.5</f>
        <v>32</v>
      </c>
      <c r="F82" s="100">
        <f t="shared" si="244"/>
        <v>32</v>
      </c>
      <c r="G82" s="100">
        <f t="shared" si="245"/>
        <v>-32</v>
      </c>
      <c r="H82" s="100">
        <f>-SIAF!M13+0.5</f>
        <v>-795.5</v>
      </c>
      <c r="I82">
        <f t="shared" si="246"/>
        <v>-795.5</v>
      </c>
      <c r="J82">
        <f>-SIAF!M13+SIAF!K13+0.5</f>
        <v>1252.5</v>
      </c>
      <c r="K82">
        <f t="shared" si="247"/>
        <v>1252.5</v>
      </c>
      <c r="L82" s="19">
        <f>SIAF!$AJ13*D82+SIAF!$AK13*H82+SIAF!$AL13*D82^2+SIAF!$AM13*D82*H82+SIAF!$AN13*H82^2</f>
        <v>-2.1102610675590054</v>
      </c>
      <c r="M82" s="19">
        <f>SIAF!$AJ13*E82+SIAF!$AK13*I82+SIAF!$AL13*E82^2+SIAF!$AM13*E82*I82+SIAF!$AN13*I82^2</f>
        <v>2.0699072987659153</v>
      </c>
      <c r="N82" s="19">
        <f>SIAF!$AJ13*F82+SIAF!$AK13*J82+SIAF!$AL13*F82^2+SIAF!$AM13*F82*J82+SIAF!$AN13*J82^2</f>
        <v>2.0855227563210255</v>
      </c>
      <c r="O82" s="19">
        <f>SIAF!$AJ13*G82+SIAF!$AK13*K82+SIAF!$AL13*G82^2+SIAF!$AM13*G82*K82+SIAF!$AN13*K82^2</f>
        <v>-2.0990754267213738</v>
      </c>
      <c r="P82" s="19">
        <f>SIAF!$BE13*D82+SIAF!$BF13*H82+SIAF!$BG13*D82^2+SIAF!$BH13*D82*H82+SIAF!$BG13*H82^2</f>
        <v>-52.40857447673099</v>
      </c>
      <c r="Q82" s="19">
        <f>SIAF!$BE13*E82+SIAF!$BF13*I82+SIAF!$BG13*E82^2+SIAF!$BH13*E82*I82+SIAF!$BG13*I82^2</f>
        <v>-52.383434106502889</v>
      </c>
      <c r="R82" s="19">
        <f>SIAF!$BE13*F82+SIAF!$BF13*J82+SIAF!$BG13*F82^2+SIAF!$BH13*F82*J82+SIAF!$BG13*J82^2</f>
        <v>82.629675123275121</v>
      </c>
      <c r="S82" s="19">
        <f>SIAF!$BE13*G82+SIAF!$BF13*K82+SIAF!$BG13*G82^2+SIAF!$BH13*G82*K82+SIAF!$BG13*K82^2</f>
        <v>82.604053464555477</v>
      </c>
      <c r="T82" s="20">
        <f>RADIANS(SIAF!R13)</f>
        <v>-9.9481323902723996E-3</v>
      </c>
      <c r="U82" s="19">
        <f>SIAF!$P13+SIAF!$S13*L82*COS($T82)+P82*SIN($T82)</f>
        <v>-352.16674099757176</v>
      </c>
      <c r="V82" s="19">
        <f>SIAF!$P13+SIAF!$S13*M82*COS($T82)+Q82*SIN($T82)</f>
        <v>-356.34695261532102</v>
      </c>
      <c r="W82" s="19">
        <f>SIAF!$P13+SIAF!$S13*N82*COS($T82)+R82*SIN($T82)</f>
        <v>-357.70567343148025</v>
      </c>
      <c r="X82" s="19">
        <f>SIAF!$P13+SIAF!$S13*O82*COS($T82)+S82*SIN($T82)</f>
        <v>-353.5210274283682</v>
      </c>
      <c r="Y82" s="19">
        <f t="shared" si="248"/>
        <v>-352.16674099757176</v>
      </c>
      <c r="Z82" s="19">
        <f>SIAF!$Q13-SIAF!$S13*L82*SIN($T82)+P82*COS($T82)</f>
        <v>-765.24215190318444</v>
      </c>
      <c r="AA82" s="19">
        <f>SIAF!$Q13-SIAF!$S13*M82*SIN($T82)+Q82*COS($T82)</f>
        <v>-765.25859695937379</v>
      </c>
      <c r="AB82" s="19">
        <f>SIAF!$Q13-SIAF!$S13*N82*SIN($T82)+R82*COS($T82)</f>
        <v>-630.25232382557374</v>
      </c>
      <c r="AC82" s="19">
        <f>SIAF!$Q13-SIAF!$S13*O82*SIN($T82)+S82*COS($T82)</f>
        <v>-630.23631596638438</v>
      </c>
      <c r="AD82" s="19">
        <f t="shared" si="249"/>
        <v>-765.24215190318444</v>
      </c>
    </row>
    <row r="83" spans="1:30">
      <c r="A83" t="str">
        <f>SIAF!B14</f>
        <v>NIS_WFSS64R3</v>
      </c>
      <c r="B83" s="19">
        <f>B$73+SIAF!S14*D13*COS(RADIANS(SIAF!R14))+S13*SIN(RADIANS(SIAF!R14))</f>
        <v>-355.4291120504808</v>
      </c>
      <c r="C83" s="19">
        <f>C$73-SIAF!S14*D13*SIN(RADIANS(SIAF!R14))+S13*COS(RADIANS(SIAF!R14))</f>
        <v>-650.07051052720476</v>
      </c>
      <c r="D83">
        <f>-SIAF!L14+0.5</f>
        <v>-32</v>
      </c>
      <c r="E83" s="100">
        <f>-SIAF!L14+SIAF!J14+0.5</f>
        <v>32</v>
      </c>
      <c r="F83" s="100">
        <f t="shared" si="244"/>
        <v>32</v>
      </c>
      <c r="G83" s="100">
        <f t="shared" si="245"/>
        <v>-32</v>
      </c>
      <c r="H83" s="100">
        <f>-SIAF!M14+0.5</f>
        <v>-1748.5</v>
      </c>
      <c r="I83">
        <f t="shared" si="246"/>
        <v>-1748.5</v>
      </c>
      <c r="J83">
        <f>-SIAF!M14+SIAF!K14+0.5</f>
        <v>299.5</v>
      </c>
      <c r="K83">
        <f t="shared" si="247"/>
        <v>299.5</v>
      </c>
      <c r="L83" s="19">
        <f>SIAF!$AJ14*D83+SIAF!$AK14*H83+SIAF!$AL14*D83^2+SIAF!$AM14*D83*H83+SIAF!$AN14*H83^2</f>
        <v>-2.0752122325169733</v>
      </c>
      <c r="M83" s="19">
        <f>SIAF!$AJ14*E83+SIAF!$AK14*I83+SIAF!$AL14*E83^2+SIAF!$AM14*E83*I83+SIAF!$AN14*I83^2</f>
        <v>2.1047088624285299</v>
      </c>
      <c r="N83" s="19">
        <f>SIAF!$AJ14*F83+SIAF!$AK14*J83+SIAF!$AL14*F83^2+SIAF!$AM14*F83*J83+SIAF!$AN14*J83^2</f>
        <v>2.0951963449723516</v>
      </c>
      <c r="O83" s="19">
        <f>SIAF!$AJ14*G83+SIAF!$AK14*K83+SIAF!$AL14*G83^2+SIAF!$AM14*G83*K83+SIAF!$AN14*K83^2</f>
        <v>-2.089215749524806</v>
      </c>
      <c r="P83" s="19">
        <f>SIAF!$BE14*D83+SIAF!$BF14*H83+SIAF!$BG14*D83^2+SIAF!$BH14*D83*H83+SIAF!$BG14*H83^2</f>
        <v>-115.03429198759133</v>
      </c>
      <c r="Q83" s="19">
        <f>SIAF!$BE14*E83+SIAF!$BF14*I83+SIAF!$BG14*E83^2+SIAF!$BH14*E83*I83+SIAF!$BG14*I83^2</f>
        <v>-115.00649965717972</v>
      </c>
      <c r="R83" s="19">
        <f>SIAF!$BE14*F83+SIAF!$BF14*J83+SIAF!$BG14*F83^2+SIAF!$BH14*F83*J83+SIAF!$BG14*J83^2</f>
        <v>19.729927535713266</v>
      </c>
      <c r="S83" s="19">
        <f>SIAF!$BE14*G83+SIAF!$BF14*K83+SIAF!$BG14*G83^2+SIAF!$BH14*G83*K83+SIAF!$BG14*K83^2</f>
        <v>19.705922711668684</v>
      </c>
      <c r="T83" s="20">
        <f>RADIANS(SIAF!R14)</f>
        <v>-9.9481323902723996E-3</v>
      </c>
      <c r="U83" s="19">
        <f>SIAF!$P14+SIAF!$S14*L83*COS($T83)+P83*SIN($T83)</f>
        <v>-352.20964501354877</v>
      </c>
      <c r="V83" s="19">
        <f>SIAF!$P14+SIAF!$S14*M83*COS($T83)+Q83*SIN($T83)</f>
        <v>-356.38963575376999</v>
      </c>
      <c r="W83" s="19">
        <f>SIAF!$P14+SIAF!$S14*N83*COS($T83)+R83*SIN($T83)</f>
        <v>-357.72047741417367</v>
      </c>
      <c r="X83" s="19">
        <f>SIAF!$P14+SIAF!$S14*O83*COS($T83)+S83*SIN($T83)</f>
        <v>-353.5360335746189</v>
      </c>
      <c r="Y83" s="19">
        <f t="shared" si="248"/>
        <v>-352.20964501354877</v>
      </c>
      <c r="Z83" s="19">
        <f>SIAF!$Q14-SIAF!$S14*L83*SIN($T83)+P83*COS($T83)</f>
        <v>-765.07846621242913</v>
      </c>
      <c r="AA83" s="19">
        <f>SIAF!$Q14-SIAF!$S14*M83*SIN($T83)+Q83*COS($T83)</f>
        <v>-765.09225697981208</v>
      </c>
      <c r="AB83" s="19">
        <f>SIAF!$Q14-SIAF!$S14*N83*SIN($T83)+R83*COS($T83)</f>
        <v>-630.36240221974526</v>
      </c>
      <c r="AC83" s="19">
        <f>SIAF!$Q14-SIAF!$S14*O83*SIN($T83)+S83*COS($T83)</f>
        <v>-630.34477945708852</v>
      </c>
      <c r="AD83" s="19">
        <f t="shared" si="249"/>
        <v>-765.07846621242913</v>
      </c>
    </row>
    <row r="84" spans="1:30">
      <c r="A84" t="str">
        <f>SIAF!B15</f>
        <v>NIS_WFSS64C</v>
      </c>
      <c r="B84" s="19">
        <f>B$73+SIAF!S15*D14*COS(RADIANS(SIAF!R15))+S14*SIN(RADIANS(SIAF!R15))</f>
        <v>-275.80548088324963</v>
      </c>
      <c r="C84" s="19">
        <f>C$73-SIAF!S15*D14*SIN(RADIANS(SIAF!R15))+S14*COS(RADIANS(SIAF!R15))</f>
        <v>-632.10304781349464</v>
      </c>
      <c r="D84">
        <f>-SIAF!L15+0.5</f>
        <v>-795.5</v>
      </c>
      <c r="E84" s="100">
        <f>-SIAF!L15+SIAF!J15+0.5</f>
        <v>1252.5</v>
      </c>
      <c r="F84" s="100">
        <f t="shared" si="244"/>
        <v>1252.5</v>
      </c>
      <c r="G84" s="100">
        <f t="shared" si="245"/>
        <v>-795.5</v>
      </c>
      <c r="H84" s="100">
        <f>-SIAF!M15+0.5</f>
        <v>-32</v>
      </c>
      <c r="I84">
        <f t="shared" si="246"/>
        <v>-32</v>
      </c>
      <c r="J84">
        <f>-SIAF!M15+SIAF!K15+0.5</f>
        <v>32</v>
      </c>
      <c r="K84">
        <f t="shared" si="247"/>
        <v>32</v>
      </c>
      <c r="L84" s="19">
        <f>SIAF!$AJ15*D84+SIAF!$AK15*H84+SIAF!$AL15*D84^2+SIAF!$AM15*D84*H84+SIAF!$AN15*H84^2</f>
        <v>-52.037513439479454</v>
      </c>
      <c r="M84" s="19">
        <f>SIAF!$AJ15*E84+SIAF!$AK15*I84+SIAF!$AL15*E84^2+SIAF!$AM15*E84*I84+SIAF!$AN15*I84^2</f>
        <v>81.881365463686578</v>
      </c>
      <c r="N84" s="19">
        <f>SIAF!$AJ15*F84+SIAF!$AK15*J84+SIAF!$AL15*F84^2+SIAF!$AM15*F84*J84+SIAF!$AN15*J84^2</f>
        <v>81.880968193954473</v>
      </c>
      <c r="O84" s="19">
        <f>SIAF!$AJ15*G84+SIAF!$AK15*K84+SIAF!$AL15*G84^2+SIAF!$AM15*G84*K84+SIAF!$AN15*K84^2</f>
        <v>-52.037444730432995</v>
      </c>
      <c r="P84" s="19">
        <f>SIAF!$BE15*D84+SIAF!$BF15*H84+SIAF!$BG15*D84^2+SIAF!$BH15*D84*H84+SIAF!$BG15*H84^2</f>
        <v>-2.3391798912547093</v>
      </c>
      <c r="Q84" s="19">
        <f>SIAF!$BE15*E84+SIAF!$BF15*I84+SIAF!$BG15*E84^2+SIAF!$BH15*E84*I84+SIAF!$BG15*I84^2</f>
        <v>-1.6686946470335615</v>
      </c>
      <c r="R84" s="19">
        <f>SIAF!$BE15*F84+SIAF!$BF15*J84+SIAF!$BG15*F84^2+SIAF!$BH15*F84*J84+SIAF!$BG15*J84^2</f>
        <v>2.5422653847990491</v>
      </c>
      <c r="S84" s="19">
        <f>SIAF!$BE15*G84+SIAF!$BF15*K84+SIAF!$BG15*G84^2+SIAF!$BH15*G84*K84+SIAF!$BG15*K84^2</f>
        <v>1.8659016587579029</v>
      </c>
      <c r="T84" s="20">
        <f>RADIANS(SIAF!R15)</f>
        <v>-9.9481323902723996E-3</v>
      </c>
      <c r="U84" s="19">
        <f>SIAF!$P15+SIAF!$S15*L84*COS($T84)+P84*SIN($T84)</f>
        <v>-223.74727229017242</v>
      </c>
      <c r="V84" s="19">
        <f>SIAF!$P15+SIAF!$S15*M84*COS($T84)+Q84*SIN($T84)</f>
        <v>-357.66619455038591</v>
      </c>
      <c r="W84" s="19">
        <f>SIAF!$P15+SIAF!$S15*N84*COS($T84)+R84*SIN($T84)</f>
        <v>-357.70768779723926</v>
      </c>
      <c r="X84" s="19">
        <f>SIAF!$P15+SIAF!$S15*O84*COS($T84)+S84*SIN($T84)</f>
        <v>-223.78917301379579</v>
      </c>
      <c r="Y84" s="19">
        <f t="shared" si="248"/>
        <v>-223.74727229017242</v>
      </c>
      <c r="Z84" s="19">
        <f>SIAF!$Q15-SIAF!$S15*L84*SIN($T84)+P84*COS($T84)</f>
        <v>-633.92444442250542</v>
      </c>
      <c r="AA84" s="19">
        <f>SIAF!$Q15-SIAF!$S15*M84*SIN($T84)+Q84*COS($T84)</f>
        <v>-634.58621311809554</v>
      </c>
      <c r="AB84" s="19">
        <f>SIAF!$Q15-SIAF!$S15*N84*SIN($T84)+R84*COS($T84)</f>
        <v>-630.37545750205925</v>
      </c>
      <c r="AC84" s="19">
        <f>SIAF!$Q15-SIAF!$S15*O84*SIN($T84)+S84*COS($T84)</f>
        <v>-629.71957163295076</v>
      </c>
      <c r="AD84" s="19">
        <f t="shared" si="249"/>
        <v>-633.92444442250542</v>
      </c>
    </row>
    <row r="85" spans="1:30">
      <c r="A85" t="str">
        <f>SIAF!B16</f>
        <v>NIS_WFSS64C3</v>
      </c>
      <c r="B85" s="19">
        <f>B$73+SIAF!S16*D15*COS(RADIANS(SIAF!R16))+S15*SIN(RADIANS(SIAF!R16))</f>
        <v>-338.11784706280912</v>
      </c>
      <c r="C85" s="19">
        <f>C$73-SIAF!S16*D15*SIN(RADIANS(SIAF!R16))+S15*COS(RADIANS(SIAF!R16))</f>
        <v>-632.3975578049492</v>
      </c>
      <c r="D85">
        <f>-SIAF!L16+0.5</f>
        <v>-1748.5</v>
      </c>
      <c r="E85" s="100">
        <f>-SIAF!L16+SIAF!J16+0.5</f>
        <v>299.5</v>
      </c>
      <c r="F85" s="100">
        <f t="shared" si="244"/>
        <v>299.5</v>
      </c>
      <c r="G85" s="100">
        <f t="shared" si="245"/>
        <v>-1748.5</v>
      </c>
      <c r="H85" s="100">
        <f>-SIAF!M16+0.5</f>
        <v>-32</v>
      </c>
      <c r="I85">
        <f t="shared" si="246"/>
        <v>-32</v>
      </c>
      <c r="J85">
        <f>-SIAF!M16+SIAF!K16+0.5</f>
        <v>32</v>
      </c>
      <c r="K85">
        <f t="shared" si="247"/>
        <v>32</v>
      </c>
      <c r="L85" s="19">
        <f>SIAF!$AJ16*D85+SIAF!$AK16*H85+SIAF!$AL16*D85^2+SIAF!$AM16*D85*H85+SIAF!$AN16*H85^2</f>
        <v>-114.30918700200944</v>
      </c>
      <c r="M85" s="19">
        <f>SIAF!$AJ16*E85+SIAF!$AK16*I85+SIAF!$AL16*E85^2+SIAF!$AM16*E85*I85+SIAF!$AN16*I85^2</f>
        <v>19.580500458559602</v>
      </c>
      <c r="N85" s="19">
        <f>SIAF!$AJ16*F85+SIAF!$AK16*J85+SIAF!$AL16*F85^2+SIAF!$AM16*F85*J85+SIAF!$AN16*J85^2</f>
        <v>19.581314533932261</v>
      </c>
      <c r="O85" s="19">
        <f>SIAF!$AJ16*G85+SIAF!$AK16*K85+SIAF!$AL16*G85^2+SIAF!$AM16*G85*K85+SIAF!$AN16*K85^2</f>
        <v>-114.31171300571951</v>
      </c>
      <c r="P85" s="19">
        <f>SIAF!$BE16*D85+SIAF!$BF16*H85+SIAF!$BG16*D85^2+SIAF!$BH16*D85*H85+SIAF!$BG16*H85^2</f>
        <v>-2.6766752628274539</v>
      </c>
      <c r="Q85" s="19">
        <f>SIAF!$BE16*E85+SIAF!$BF16*I85+SIAF!$BG16*E85^2+SIAF!$BH16*E85*I85+SIAF!$BG16*I85^2</f>
        <v>-1.9928393705129612</v>
      </c>
      <c r="R85" s="19">
        <f>SIAF!$BE16*F85+SIAF!$BF16*J85+SIAF!$BG16*F85^2+SIAF!$BH16*F85*J85+SIAF!$BG16*J85^2</f>
        <v>2.2149646069120252</v>
      </c>
      <c r="S85" s="19">
        <f>SIAF!$BE16*G85+SIAF!$BF16*K85+SIAF!$BG16*G85^2+SIAF!$BH16*G85*K85+SIAF!$BG16*K85^2</f>
        <v>1.533645399294816</v>
      </c>
      <c r="T85" s="20">
        <f>RADIANS(SIAF!R16)</f>
        <v>-9.9481323902723996E-3</v>
      </c>
      <c r="U85" s="19">
        <f>SIAF!$P16+SIAF!$S16*L85*COS($T85)+P85*SIN($T85)</f>
        <v>-223.787688857143</v>
      </c>
      <c r="V85" s="19">
        <f>SIAF!$P16+SIAF!$S16*M85*COS($T85)+Q85*SIN($T85)</f>
        <v>-357.67755393104215</v>
      </c>
      <c r="W85" s="19">
        <f>SIAF!$P16+SIAF!$S16*N85*COS($T85)+R85*SIN($T85)</f>
        <v>-357.72022706673096</v>
      </c>
      <c r="X85" s="19">
        <f>SIAF!$P16+SIAF!$S16*O85*COS($T85)+S85*SIN($T85)</f>
        <v>-223.82704711492332</v>
      </c>
      <c r="Y85" s="19">
        <f t="shared" si="248"/>
        <v>-223.787688857143</v>
      </c>
      <c r="Z85" s="19">
        <f>SIAF!$Q16-SIAF!$S16*L85*SIN($T85)+P85*COS($T85)</f>
        <v>-633.93695645063849</v>
      </c>
      <c r="AA85" s="19">
        <f>SIAF!$Q16-SIAF!$S16*M85*SIN($T85)+Q85*COS($T85)</f>
        <v>-634.58508476320981</v>
      </c>
      <c r="AB85" s="19">
        <f>SIAF!$Q16-SIAF!$S16*N85*SIN($T85)+R85*COS($T85)</f>
        <v>-630.37749709583534</v>
      </c>
      <c r="AC85" s="19">
        <f>SIAF!$Q16-SIAF!$S16*O85*SIN($T85)+S85*COS($T85)</f>
        <v>-629.72681899609711</v>
      </c>
      <c r="AD85" s="19">
        <f t="shared" si="249"/>
        <v>-633.93695645063849</v>
      </c>
    </row>
    <row r="86" spans="1:30">
      <c r="A86" t="str">
        <f>SIAF!B17</f>
        <v>NIS_WFSS128</v>
      </c>
      <c r="B86" s="19">
        <f>B$73+SIAF!S17*D16*COS(RADIANS(SIAF!R17))+S16*SIN(RADIANS(SIAF!R17))</f>
        <v>-352.46972238552024</v>
      </c>
      <c r="C86" s="19">
        <f>C$73-SIAF!S17*D16*SIN(RADIANS(SIAF!R17))+S16*COS(RADIANS(SIAF!R17))</f>
        <v>-635.58273805403235</v>
      </c>
      <c r="D86">
        <f>-SIAF!L17+0.5</f>
        <v>-1968.5</v>
      </c>
      <c r="E86" s="100">
        <f>-SIAF!L17+SIAF!J17+0.5</f>
        <v>79.5</v>
      </c>
      <c r="F86" s="100">
        <f t="shared" si="244"/>
        <v>79.5</v>
      </c>
      <c r="G86" s="100">
        <f t="shared" si="245"/>
        <v>-1968.5</v>
      </c>
      <c r="H86" s="100">
        <f>-SIAF!M17+0.5</f>
        <v>-1968.5</v>
      </c>
      <c r="I86">
        <f t="shared" si="246"/>
        <v>-1968.5</v>
      </c>
      <c r="J86">
        <f>-SIAF!M17+SIAF!K17+0.5</f>
        <v>79.5</v>
      </c>
      <c r="K86">
        <f t="shared" si="247"/>
        <v>79.5</v>
      </c>
      <c r="L86" s="19">
        <f>SIAF!$AJ17*D86+SIAF!$AK17*H86+SIAF!$AL17*D86^2+SIAF!$AM17*D86*H86+SIAF!$AN17*H86^2</f>
        <v>-128.49313905568806</v>
      </c>
      <c r="M86" s="19">
        <f>SIAF!$AJ17*E86+SIAF!$AK17*I86+SIAF!$AL17*E86^2+SIAF!$AM17*E86*I86+SIAF!$AN17*I86^2</f>
        <v>5.2254826500410898</v>
      </c>
      <c r="N86" s="19">
        <f>SIAF!$AJ17*F86+SIAF!$AK17*J86+SIAF!$AL17*F86^2+SIAF!$AM17*F86*J86+SIAF!$AN17*J86^2</f>
        <v>5.1988157065345195</v>
      </c>
      <c r="O86" s="19">
        <f>SIAF!$AJ17*G86+SIAF!$AK17*K86+SIAF!$AL17*G86^2+SIAF!$AM17*G86*K86+SIAF!$AN17*K86^2</f>
        <v>-128.67531892956785</v>
      </c>
      <c r="P86" s="19">
        <f>SIAF!$BE17*D86+SIAF!$BF17*H86+SIAF!$BG17*D86^2+SIAF!$BH17*D86*H86+SIAF!$BG17*H86^2</f>
        <v>-130.16917258980681</v>
      </c>
      <c r="Q86" s="19">
        <f>SIAF!$BE17*E86+SIAF!$BF17*I86+SIAF!$BG17*E86^2+SIAF!$BH17*E86*I86+SIAF!$BG17*I86^2</f>
        <v>-129.34500042767385</v>
      </c>
      <c r="R86" s="19">
        <f>SIAF!$BE17*F86+SIAF!$BF17*J86+SIAF!$BG17*F86^2+SIAF!$BH17*F86*J86+SIAF!$BG17*J86^2</f>
        <v>5.2580921035346035</v>
      </c>
      <c r="S86" s="19">
        <f>SIAF!$BE17*G86+SIAF!$BF17*K86+SIAF!$BG17*G86^2+SIAF!$BH17*G86*K86+SIAF!$BG17*K86^2</f>
        <v>4.5729197669855921</v>
      </c>
      <c r="T86" s="20">
        <f>RADIANS(SIAF!R17)</f>
        <v>-9.9481323902723996E-3</v>
      </c>
      <c r="U86" s="19">
        <f>SIAF!$P17+SIAF!$S17*L86*COS($T86)+P86*SIN($T86)</f>
        <v>-222.68802265773837</v>
      </c>
      <c r="V86" s="19">
        <f>SIAF!$P17+SIAF!$S17*M86*COS($T86)+Q86*SIN($T86)</f>
        <v>-356.40822650228205</v>
      </c>
      <c r="W86" s="19">
        <f>SIAF!$P17+SIAF!$S17*N86*COS($T86)+R86*SIN($T86)</f>
        <v>-357.72058817648679</v>
      </c>
      <c r="X86" s="19">
        <f>SIAF!$P17+SIAF!$S17*O86*COS($T86)+S86*SIN($T86)</f>
        <v>-223.84626186256054</v>
      </c>
      <c r="Y86" s="19">
        <f t="shared" si="248"/>
        <v>-222.68802265773837</v>
      </c>
      <c r="Z86" s="19">
        <f>SIAF!$Q17-SIAF!$S17*L86*SIN($T86)+P86*COS($T86)</f>
        <v>-764.46722390421974</v>
      </c>
      <c r="AA86" s="19">
        <f>SIAF!$Q17-SIAF!$S17*M86*SIN($T86)+Q86*COS($T86)</f>
        <v>-764.97332113442144</v>
      </c>
      <c r="AB86" s="19">
        <f>SIAF!$Q17-SIAF!$S17*N86*SIN($T86)+R86*COS($T86)</f>
        <v>-630.37662378665209</v>
      </c>
      <c r="AC86" s="19">
        <f>SIAF!$Q17-SIAF!$S17*O86*SIN($T86)+S86*COS($T86)</f>
        <v>-629.7299865711899</v>
      </c>
      <c r="AD86" s="19">
        <f t="shared" si="249"/>
        <v>-764.46722390421974</v>
      </c>
    </row>
    <row r="87" spans="1:30">
      <c r="A87" t="str">
        <f>SIAF!B18</f>
        <v>NIS_WFSS128R</v>
      </c>
      <c r="B87" s="19">
        <f>B$73+SIAF!S18*D17*COS(RADIANS(SIAF!R18))+S17*SIN(RADIANS(SIAF!R18))</f>
        <v>-352.70726053416729</v>
      </c>
      <c r="C87" s="19">
        <f>C$73-SIAF!S18*D17*SIN(RADIANS(SIAF!R18))+S17*COS(RADIANS(SIAF!R18))</f>
        <v>-712.84897748232015</v>
      </c>
      <c r="D87">
        <f>-SIAF!L18+0.5</f>
        <v>-64</v>
      </c>
      <c r="E87" s="100">
        <f>-SIAF!L18+SIAF!J18+0.5</f>
        <v>64</v>
      </c>
      <c r="F87" s="100">
        <f t="shared" si="244"/>
        <v>64</v>
      </c>
      <c r="G87" s="100">
        <f t="shared" si="245"/>
        <v>-64</v>
      </c>
      <c r="H87" s="100">
        <f>-SIAF!M18+0.5</f>
        <v>-795.5</v>
      </c>
      <c r="I87">
        <f t="shared" si="246"/>
        <v>-795.5</v>
      </c>
      <c r="J87">
        <f>-SIAF!M18+SIAF!K18+0.5</f>
        <v>1252.5</v>
      </c>
      <c r="K87">
        <f t="shared" si="247"/>
        <v>1252.5</v>
      </c>
      <c r="L87" s="19">
        <f>SIAF!$AJ18*D87+SIAF!$AK18*H87+SIAF!$AL18*D87^2+SIAF!$AM18*D87*H87+SIAF!$AN18*H87^2</f>
        <v>-4.1995974627777501</v>
      </c>
      <c r="M87" s="19">
        <f>SIAF!$AJ18*E87+SIAF!$AK18*I87+SIAF!$AL18*E87^2+SIAF!$AM18*E87*I87+SIAF!$AN18*I87^2</f>
        <v>4.1611678039090654</v>
      </c>
      <c r="N87" s="19">
        <f>SIAF!$AJ18*F87+SIAF!$AK18*J87+SIAF!$AL18*F87^2+SIAF!$AM18*F87*J87+SIAF!$AN18*J87^2</f>
        <v>4.176914809804158</v>
      </c>
      <c r="O87" s="19">
        <f>SIAF!$AJ18*G87+SIAF!$AK18*K87+SIAF!$AL18*G87^2+SIAF!$AM18*G87*K87+SIAF!$AN18*K87^2</f>
        <v>-4.1922130714646357</v>
      </c>
      <c r="P87" s="19">
        <f>SIAF!$BE18*D87+SIAF!$BF18*H87+SIAF!$BG18*D87^2+SIAF!$BH18*D87*H87+SIAF!$BG18*H87^2</f>
        <v>-52.420376211137814</v>
      </c>
      <c r="Q87" s="19">
        <f>SIAF!$BE18*E87+SIAF!$BF18*I87+SIAF!$BG18*E87^2+SIAF!$BH18*E87*I87+SIAF!$BG18*I87^2</f>
        <v>-52.37056374867533</v>
      </c>
      <c r="R87" s="19">
        <f>SIAF!$BE18*F87+SIAF!$BF18*J87+SIAF!$BG18*F87^2+SIAF!$BH18*F87*J87+SIAF!$BG18*J87^2</f>
        <v>82.643046220916474</v>
      </c>
      <c r="S87" s="19">
        <f>SIAF!$BE18*G87+SIAF!$BF18*K87+SIAF!$BG18*G87^2+SIAF!$BH18*G87*K87+SIAF!$BG18*K87^2</f>
        <v>82.592058687299541</v>
      </c>
      <c r="T87" s="20">
        <f>RADIANS(SIAF!R18)</f>
        <v>-9.9481323902723996E-3</v>
      </c>
      <c r="U87" s="19">
        <f>SIAF!$P18+SIAF!$S18*L87*COS($T87)+P87*SIN($T87)</f>
        <v>-347.98639463591547</v>
      </c>
      <c r="V87" s="19">
        <f>SIAF!$P18+SIAF!$S18*M87*COS($T87)+Q87*SIN($T87)</f>
        <v>-356.34724172583145</v>
      </c>
      <c r="W87" s="19">
        <f>SIAF!$P18+SIAF!$S18*N87*COS($T87)+R87*SIN($T87)</f>
        <v>-357.70609906516518</v>
      </c>
      <c r="X87" s="19">
        <f>SIAF!$P18+SIAF!$S18*O87*COS($T87)+S87*SIN($T87)</f>
        <v>-349.33687808489771</v>
      </c>
      <c r="Y87" s="19">
        <f t="shared" si="248"/>
        <v>-347.98639463591547</v>
      </c>
      <c r="Z87" s="19">
        <f>SIAF!$Q18-SIAF!$S18*L87*SIN($T87)+P87*COS($T87)</f>
        <v>-765.22498235227295</v>
      </c>
      <c r="AA87" s="19">
        <f>SIAF!$Q18-SIAF!$S18*M87*SIN($T87)+Q87*COS($T87)</f>
        <v>-765.25834498251697</v>
      </c>
      <c r="AB87" s="19">
        <f>SIAF!$Q18-SIAF!$S18*N87*SIN($T87)+R87*COS($T87)</f>
        <v>-630.25157244231957</v>
      </c>
      <c r="AC87" s="19">
        <f>SIAF!$Q18-SIAF!$S18*O87*SIN($T87)+S87*COS($T87)</f>
        <v>-630.21930163406</v>
      </c>
      <c r="AD87" s="19">
        <f t="shared" si="249"/>
        <v>-765.22498235227295</v>
      </c>
    </row>
    <row r="88" spans="1:30">
      <c r="A88" t="str">
        <f>SIAF!B19</f>
        <v>NIS_WFSS128R3</v>
      </c>
      <c r="B88" s="19">
        <f>B$73+SIAF!S19*D18*COS(RADIANS(SIAF!R19))+S18*SIN(RADIANS(SIAF!R19))</f>
        <v>-353.3372171015115</v>
      </c>
      <c r="C88" s="19">
        <f>C$73-SIAF!S19*D18*SIN(RADIANS(SIAF!R19))+S18*COS(RADIANS(SIAF!R19))</f>
        <v>-650.06195231388585</v>
      </c>
      <c r="D88">
        <f>-SIAF!L19+0.5</f>
        <v>-64</v>
      </c>
      <c r="E88" s="100">
        <f>-SIAF!L19+SIAF!J19+0.5</f>
        <v>64</v>
      </c>
      <c r="F88" s="100">
        <f t="shared" si="244"/>
        <v>64</v>
      </c>
      <c r="G88" s="100">
        <f t="shared" si="245"/>
        <v>-64</v>
      </c>
      <c r="H88" s="100">
        <f>-SIAF!M19+0.5</f>
        <v>-1748.5</v>
      </c>
      <c r="I88">
        <f t="shared" si="246"/>
        <v>-1748.5</v>
      </c>
      <c r="J88">
        <f>-SIAF!M19+SIAF!K19+0.5</f>
        <v>299.5</v>
      </c>
      <c r="K88">
        <f t="shared" si="247"/>
        <v>299.5</v>
      </c>
      <c r="L88" s="19">
        <f>SIAF!$AJ19*D88+SIAF!$AK19*H88+SIAF!$AL19*D88^2+SIAF!$AM19*D88*H88+SIAF!$AN19*H88^2</f>
        <v>-4.1646194728510588</v>
      </c>
      <c r="M88" s="19">
        <f>SIAF!$AJ19*E88+SIAF!$AK19*I88+SIAF!$AL19*E88^2+SIAF!$AM19*E88*I88+SIAF!$AN19*I88^2</f>
        <v>4.1956822459646075</v>
      </c>
      <c r="N88" s="19">
        <f>SIAF!$AJ19*F88+SIAF!$AK19*J88+SIAF!$AL19*F88^2+SIAF!$AM19*F88*J88+SIAF!$AN19*J88^2</f>
        <v>4.1870091091650847</v>
      </c>
      <c r="O88" s="19">
        <f>SIAF!$AJ19*G88+SIAF!$AK19*K88+SIAF!$AL19*G88^2+SIAF!$AM19*G88*K88+SIAF!$AN19*K88^2</f>
        <v>-4.1817276861823727</v>
      </c>
      <c r="P88" s="19">
        <f>SIAF!$BE19*D88+SIAF!$BF19*H88+SIAF!$BG19*D88^2+SIAF!$BH19*D88*H88+SIAF!$BG19*H88^2</f>
        <v>-115.04771296113992</v>
      </c>
      <c r="Q88" s="19">
        <f>SIAF!$BE19*E88+SIAF!$BF19*I88+SIAF!$BG19*E88^2+SIAF!$BH19*E88*I88+SIAF!$BG19*I88^2</f>
        <v>-114.99278293725109</v>
      </c>
      <c r="R88" s="19">
        <f>SIAF!$BE19*F88+SIAF!$BF19*J88+SIAF!$BG19*F88^2+SIAF!$BH19*F88*J88+SIAF!$BG19*J88^2</f>
        <v>19.74225696341346</v>
      </c>
      <c r="S88" s="19">
        <f>SIAF!$BE19*G88+SIAF!$BF19*K88+SIAF!$BG19*G88^2+SIAF!$BH19*G88*K88+SIAF!$BG19*K88^2</f>
        <v>19.694389408472169</v>
      </c>
      <c r="T88" s="20">
        <f>RADIANS(SIAF!R19)</f>
        <v>-9.9481323902723996E-3</v>
      </c>
      <c r="U88" s="19">
        <f>SIAF!$P19+SIAF!$S19*L88*COS($T88)+P88*SIN($T88)</f>
        <v>-348.02831270142025</v>
      </c>
      <c r="V88" s="19">
        <f>SIAF!$P19+SIAF!$S19*M88*COS($T88)+Q88*SIN($T88)</f>
        <v>-356.38874717574129</v>
      </c>
      <c r="W88" s="19">
        <f>SIAF!$P19+SIAF!$S19*N88*COS($T88)+R88*SIN($T88)</f>
        <v>-357.7204143745281</v>
      </c>
      <c r="X88" s="19">
        <f>SIAF!$P19+SIAF!$S19*O88*COS($T88)+S88*SIN($T88)</f>
        <v>-349.3516154982791</v>
      </c>
      <c r="Y88" s="19">
        <f t="shared" si="248"/>
        <v>-348.02831270142025</v>
      </c>
      <c r="Z88" s="19">
        <f>SIAF!$Q19-SIAF!$S19*L88*SIN($T88)+P88*COS($T88)</f>
        <v>-765.06254295155679</v>
      </c>
      <c r="AA88" s="19">
        <f>SIAF!$Q19-SIAF!$S19*M88*SIN($T88)+Q88*COS($T88)</f>
        <v>-765.09078366224355</v>
      </c>
      <c r="AB88" s="19">
        <f>SIAF!$Q19-SIAF!$S19*N88*SIN($T88)+R88*COS($T88)</f>
        <v>-630.362324475891</v>
      </c>
      <c r="AC88" s="19">
        <f>SIAF!$Q19-SIAF!$S19*O88*SIN($T88)+S88*COS($T88)</f>
        <v>-630.32693773384983</v>
      </c>
      <c r="AD88" s="19">
        <f t="shared" si="249"/>
        <v>-765.06254295155679</v>
      </c>
    </row>
    <row r="89" spans="1:30">
      <c r="A89" t="str">
        <f>SIAF!B20</f>
        <v>NIS_WFSS128C</v>
      </c>
      <c r="B89" s="19">
        <f>B$73+SIAF!S20*D19*COS(RADIANS(SIAF!R20))+S19*SIN(RADIANS(SIAF!R20))</f>
        <v>-275.78460535474034</v>
      </c>
      <c r="C89" s="19">
        <f>C$73-SIAF!S20*D19*SIN(RADIANS(SIAF!R20))+S19*COS(RADIANS(SIAF!R20))</f>
        <v>-634.2068133541095</v>
      </c>
      <c r="D89">
        <f>-SIAF!L20+0.5</f>
        <v>-795.5</v>
      </c>
      <c r="E89" s="100">
        <f>-SIAF!L20+SIAF!J20+0.5</f>
        <v>1252.5</v>
      </c>
      <c r="F89" s="100">
        <f t="shared" si="244"/>
        <v>1252.5</v>
      </c>
      <c r="G89" s="100">
        <f t="shared" si="245"/>
        <v>-795.5</v>
      </c>
      <c r="H89" s="100">
        <f>-SIAF!M20+0.5</f>
        <v>-64</v>
      </c>
      <c r="I89">
        <f t="shared" si="246"/>
        <v>-64</v>
      </c>
      <c r="J89">
        <f>-SIAF!M20+SIAF!K20+0.5</f>
        <v>64</v>
      </c>
      <c r="K89">
        <f t="shared" si="247"/>
        <v>64</v>
      </c>
      <c r="L89" s="19">
        <f>SIAF!$AJ20*D89+SIAF!$AK20*H89+SIAF!$AL20*D89^2+SIAF!$AM20*D89*H89+SIAF!$AN20*H89^2</f>
        <v>-52.037774435735606</v>
      </c>
      <c r="M89" s="19">
        <f>SIAF!$AJ20*E89+SIAF!$AK20*I89+SIAF!$AL20*E89^2+SIAF!$AM20*E89*I89+SIAF!$AN20*I89^2</f>
        <v>81.881608325872406</v>
      </c>
      <c r="N89" s="19">
        <f>SIAF!$AJ20*F89+SIAF!$AK20*J89+SIAF!$AL20*F89^2+SIAF!$AM20*F89*J89+SIAF!$AN20*J89^2</f>
        <v>81.880700600171792</v>
      </c>
      <c r="O89" s="19">
        <f>SIAF!$AJ20*G89+SIAF!$AK20*K89+SIAF!$AL20*G89^2+SIAF!$AM20*G89*K89+SIAF!$AN20*K89^2</f>
        <v>-52.037533150910342</v>
      </c>
      <c r="P89" s="19">
        <f>SIAF!$BE20*D89+SIAF!$BF20*H89+SIAF!$BG20*D89^2+SIAF!$BH20*D89*H89+SIAF!$BG20*H89^2</f>
        <v>-4.4406133517627078</v>
      </c>
      <c r="Q89" s="19">
        <f>SIAF!$BE20*E89+SIAF!$BF20*I89+SIAF!$BG20*E89^2+SIAF!$BH20*E89*I89+SIAF!$BG20*I89^2</f>
        <v>-3.7749871946622142</v>
      </c>
      <c r="R89" s="19">
        <f>SIAF!$BE20*F89+SIAF!$BF20*J89+SIAF!$BG20*F89^2+SIAF!$BH20*F89*J89+SIAF!$BG20*J89^2</f>
        <v>4.6483542022555415</v>
      </c>
      <c r="S89" s="19">
        <f>SIAF!$BE20*G89+SIAF!$BF20*K89+SIAF!$BG20*G89^2+SIAF!$BH20*G89*K89+SIAF!$BG20*K89^2</f>
        <v>3.9710678316057195</v>
      </c>
      <c r="T89" s="20">
        <f>RADIANS(SIAF!R20)</f>
        <v>-9.9481323902723996E-3</v>
      </c>
      <c r="U89" s="19">
        <f>SIAF!$P20+SIAF!$S20*L89*COS($T89)+P89*SIN($T89)</f>
        <v>-223.70523078486278</v>
      </c>
      <c r="V89" s="19">
        <f>SIAF!$P20+SIAF!$S20*M89*COS($T89)+Q89*SIN($T89)</f>
        <v>-357.62460854054154</v>
      </c>
      <c r="W89" s="19">
        <f>SIAF!$P20+SIAF!$S20*N89*COS($T89)+R89*SIN($T89)</f>
        <v>-357.70749599299063</v>
      </c>
      <c r="X89" s="19">
        <f>SIAF!$P20+SIAF!$S20*O89*COS($T89)+S89*SIN($T89)</f>
        <v>-223.78915119554733</v>
      </c>
      <c r="Y89" s="19">
        <f t="shared" si="248"/>
        <v>-223.70523078486278</v>
      </c>
      <c r="Z89" s="19">
        <f>SIAF!$Q20-SIAF!$S20*L89*SIN($T89)+P89*COS($T89)</f>
        <v>-638.12953684356694</v>
      </c>
      <c r="AA89" s="19">
        <f>SIAF!$Q20-SIAF!$S20*M89*SIN($T89)+Q89*COS($T89)</f>
        <v>-638.79616939820698</v>
      </c>
      <c r="AB89" s="19">
        <f>SIAF!$Q20-SIAF!$S20*N89*SIN($T89)+R89*COS($T89)</f>
        <v>-630.37323577723976</v>
      </c>
      <c r="AC89" s="19">
        <f>SIAF!$Q20-SIAF!$S20*O89*SIN($T89)+S89*COS($T89)</f>
        <v>-629.71827428949553</v>
      </c>
      <c r="AD89" s="19">
        <f t="shared" si="249"/>
        <v>-638.12953684356694</v>
      </c>
    </row>
    <row r="90" spans="1:30">
      <c r="A90" t="str">
        <f>SIAF!B21</f>
        <v>NIS_WFSS128C3</v>
      </c>
      <c r="B90" s="19">
        <f>B$73+SIAF!S21*D20*COS(RADIANS(SIAF!R21))+S20*SIN(RADIANS(SIAF!R21))</f>
        <v>-338.09676273790689</v>
      </c>
      <c r="C90" s="19">
        <f>C$73-SIAF!S21*D20*SIN(RADIANS(SIAF!R21))+S20*COS(RADIANS(SIAF!R21))</f>
        <v>-634.50172793894671</v>
      </c>
      <c r="D90">
        <f>-SIAF!L21+0.5</f>
        <v>-1748.5</v>
      </c>
      <c r="E90" s="100">
        <f>-SIAF!L21+SIAF!J21+0.5</f>
        <v>299.5</v>
      </c>
      <c r="F90" s="100">
        <f t="shared" si="244"/>
        <v>299.5</v>
      </c>
      <c r="G90" s="100">
        <f t="shared" si="245"/>
        <v>-1748.5</v>
      </c>
      <c r="H90" s="100">
        <f>-SIAF!M21+0.5</f>
        <v>-64</v>
      </c>
      <c r="I90">
        <f t="shared" si="246"/>
        <v>-64</v>
      </c>
      <c r="J90">
        <f>-SIAF!M21+SIAF!K21+0.5</f>
        <v>64</v>
      </c>
      <c r="K90">
        <f t="shared" si="247"/>
        <v>64</v>
      </c>
      <c r="L90" s="19">
        <f>SIAF!$AJ21*D90+SIAF!$AK21*H90+SIAF!$AL21*D90^2+SIAF!$AM21*D90*H90+SIAF!$AN21*H90^2</f>
        <v>-114.30921210250683</v>
      </c>
      <c r="M90" s="19">
        <f>SIAF!$AJ21*E90+SIAF!$AK21*I90+SIAF!$AL21*E90^2+SIAF!$AM21*E90*I90+SIAF!$AN21*I90^2</f>
        <v>19.579875550603784</v>
      </c>
      <c r="N90" s="19">
        <f>SIAF!$AJ21*F90+SIAF!$AK21*J90+SIAF!$AL21*F90^2+SIAF!$AM21*F90*J90+SIAF!$AN21*J90^2</f>
        <v>19.581371606281866</v>
      </c>
      <c r="O90" s="19">
        <f>SIAF!$AJ21*G90+SIAF!$AK21*K90+SIAF!$AL21*G90^2+SIAF!$AM21*G90*K90+SIAF!$AN21*K90^2</f>
        <v>-114.31412924830691</v>
      </c>
      <c r="P90" s="19">
        <f>SIAF!$BE21*D90+SIAF!$BF21*H90+SIAF!$BG21*D90^2+SIAF!$BH21*D90*H90+SIAF!$BG21*H90^2</f>
        <v>-4.7800996470170114</v>
      </c>
      <c r="Q90" s="19">
        <f>SIAF!$BE21*E90+SIAF!$BF21*I90+SIAF!$BG21*E90^2+SIAF!$BH21*E90*I90+SIAF!$BG21*I90^2</f>
        <v>-4.0971589228079877</v>
      </c>
      <c r="R90" s="19">
        <f>SIAF!$BE21*F90+SIAF!$BF21*J90+SIAF!$BG21*F90^2+SIAF!$BH21*F90*J90+SIAF!$BG21*J90^2</f>
        <v>4.3199840559690239</v>
      </c>
      <c r="S90" s="19">
        <f>SIAF!$BE21*G90+SIAF!$BF21*K90+SIAF!$BG21*G90^2+SIAF!$BH21*G90*K90+SIAF!$BG21*K90^2</f>
        <v>3.6418734016300549</v>
      </c>
      <c r="T90" s="20">
        <f>RADIANS(SIAF!R21)</f>
        <v>-9.9481323902723996E-3</v>
      </c>
      <c r="U90" s="19">
        <f>SIAF!$P21+SIAF!$S21*L90*COS($T90)+P90*SIN($T90)</f>
        <v>-223.74565463388083</v>
      </c>
      <c r="V90" s="19">
        <f>SIAF!$P21+SIAF!$S21*M90*COS($T90)+Q90*SIN($T90)</f>
        <v>-357.63491102489741</v>
      </c>
      <c r="W90" s="19">
        <f>SIAF!$P21+SIAF!$S21*N90*COS($T90)+R90*SIN($T90)</f>
        <v>-357.72014047811354</v>
      </c>
      <c r="X90" s="19">
        <f>SIAF!$P21+SIAF!$S21*O90*COS($T90)+S90*SIN($T90)</f>
        <v>-223.82451925234045</v>
      </c>
      <c r="Y90" s="19">
        <f t="shared" si="248"/>
        <v>-223.74565463388083</v>
      </c>
      <c r="Z90" s="19">
        <f>SIAF!$Q21-SIAF!$S21*L90*SIN($T90)+P90*COS($T90)</f>
        <v>-638.14444663693234</v>
      </c>
      <c r="AA90" s="19">
        <f>SIAF!$Q21-SIAF!$S21*M90*SIN($T90)+Q90*COS($T90)</f>
        <v>-638.79346410644871</v>
      </c>
      <c r="AB90" s="19">
        <f>SIAF!$Q21-SIAF!$S21*N90*SIN($T90)+R90*COS($T90)</f>
        <v>-630.3767525096514</v>
      </c>
      <c r="AC90" s="19">
        <f>SIAF!$Q21-SIAF!$S21*O90*SIN($T90)+S90*COS($T90)</f>
        <v>-629.72284141094281</v>
      </c>
      <c r="AD90" s="19">
        <f t="shared" si="249"/>
        <v>-638.14444663693234</v>
      </c>
    </row>
    <row r="91" spans="1:30">
      <c r="A91" t="str">
        <f>SIAF!B22</f>
        <v>NIS_SUB64</v>
      </c>
      <c r="B91" s="19">
        <f>B$73+SIAF!S22*D21*COS(RADIANS(SIAF!R22))+S21*SIN(RADIANS(SIAF!R22))</f>
        <v>-355.60694638448689</v>
      </c>
      <c r="C91" s="19">
        <f>C$73-SIAF!S22*D21*SIN(RADIANS(SIAF!R22))+S21*COS(RADIANS(SIAF!R22))</f>
        <v>-632.47263809133256</v>
      </c>
      <c r="D91">
        <f>-SIAF!L22+0.5</f>
        <v>-32</v>
      </c>
      <c r="E91" s="100">
        <f>-SIAF!L22+SIAF!J22+0.5</f>
        <v>32</v>
      </c>
      <c r="F91" s="100">
        <f t="shared" si="244"/>
        <v>32</v>
      </c>
      <c r="G91" s="100">
        <f t="shared" si="245"/>
        <v>-32</v>
      </c>
      <c r="H91" s="100">
        <f>-SIAF!M22+0.5</f>
        <v>-32</v>
      </c>
      <c r="I91">
        <f t="shared" si="246"/>
        <v>-32</v>
      </c>
      <c r="J91">
        <f>-SIAF!M22+SIAF!K22+0.5</f>
        <v>32</v>
      </c>
      <c r="K91">
        <f t="shared" si="247"/>
        <v>32</v>
      </c>
      <c r="L91" s="19">
        <f>SIAF!$AJ22*D91+SIAF!$AK22*H91+SIAF!$AL22*D91^2+SIAF!$AM22*D91*H91+SIAF!$AN22*H91^2</f>
        <v>-2.0925791684803294</v>
      </c>
      <c r="M91" s="19">
        <f>SIAF!$AJ22*E91+SIAF!$AK22*I91+SIAF!$AL22*E91^2+SIAF!$AM22*E91*I91+SIAF!$AN22*I91^2</f>
        <v>2.0917369997335222</v>
      </c>
      <c r="N91" s="19">
        <f>SIAF!$AJ22*F91+SIAF!$AK22*J91+SIAF!$AL22*F91^2+SIAF!$AM22*F91*J91+SIAF!$AN22*J91^2</f>
        <v>2.0927190128650017</v>
      </c>
      <c r="O91" s="19">
        <f>SIAF!$AJ22*G91+SIAF!$AK22*K91+SIAF!$AL22*G91^2+SIAF!$AM22*G91*K91+SIAF!$AN22*K91^2</f>
        <v>-2.0917683483705143</v>
      </c>
      <c r="P91" s="19">
        <f>SIAF!$BE22*D91+SIAF!$BF22*H91+SIAF!$BG22*D91^2+SIAF!$BH22*D91*H91+SIAF!$BG22*H91^2</f>
        <v>-2.1158373873982335</v>
      </c>
      <c r="Q91" s="19">
        <f>SIAF!$BE22*E91+SIAF!$BF22*I91+SIAF!$BG22*E91^2+SIAF!$BH22*E91*I91+SIAF!$BG22*I91^2</f>
        <v>-2.0917738673229689</v>
      </c>
      <c r="R91" s="19">
        <f>SIAF!$BE22*F91+SIAF!$BF22*J91+SIAF!$BG22*F91^2+SIAF!$BH22*F91*J91+SIAF!$BG22*J91^2</f>
        <v>2.1158305959683794</v>
      </c>
      <c r="S91" s="19">
        <f>SIAF!$BE22*G91+SIAF!$BF22*K91+SIAF!$BG22*G91^2+SIAF!$BH22*G91*K91+SIAF!$BG22*K91^2</f>
        <v>2.0919229722760786</v>
      </c>
      <c r="T91" s="20">
        <f>RADIANS(SIAF!R22)</f>
        <v>-9.9481323902723996E-3</v>
      </c>
      <c r="U91" s="19">
        <f>SIAF!$P22+SIAF!$S22*L91*COS($T91)+P91*SIN($T91)</f>
        <v>-353.49342247828798</v>
      </c>
      <c r="V91" s="19">
        <f>SIAF!$P22+SIAF!$S22*M91*COS($T91)+Q91*SIN($T91)</f>
        <v>-357.67777098021236</v>
      </c>
      <c r="W91" s="19">
        <f>SIAF!$P22+SIAF!$S22*N91*COS($T91)+R91*SIN($T91)</f>
        <v>-357.72061006058976</v>
      </c>
      <c r="X91" s="19">
        <f>SIAF!$P22+SIAF!$S22*O91*COS($T91)+S91*SIN($T91)</f>
        <v>-353.53609192496702</v>
      </c>
      <c r="Y91" s="19">
        <f t="shared" si="248"/>
        <v>-353.49342247828798</v>
      </c>
      <c r="Z91" s="19">
        <f>SIAF!$Q22-SIAF!$S22*L91*SIN($T91)+P91*COS($T91)</f>
        <v>-634.56755387107069</v>
      </c>
      <c r="AA91" s="19">
        <f>SIAF!$Q22-SIAF!$S22*M91*SIN($T91)+Q91*COS($T91)</f>
        <v>-634.58511698632958</v>
      </c>
      <c r="AB91" s="19">
        <f>SIAF!$Q22-SIAF!$S22*N91*SIN($T91)+R91*COS($T91)</f>
        <v>-630.37773049385578</v>
      </c>
      <c r="AC91" s="19">
        <f>SIAF!$Q22-SIAF!$S22*O91*SIN($T91)+S91*COS($T91)</f>
        <v>-630.36000978690515</v>
      </c>
      <c r="AD91" s="19">
        <f t="shared" si="249"/>
        <v>-634.56755387107069</v>
      </c>
    </row>
    <row r="92" spans="1:30">
      <c r="A92" t="str">
        <f>SIAF!B23</f>
        <v>NIS_SUB128</v>
      </c>
      <c r="B92" s="19">
        <f>B$73+SIAF!S23*D22*COS(RADIANS(SIAF!R23))+S22*SIN(RADIANS(SIAF!R23))</f>
        <v>-353.4934180420621</v>
      </c>
      <c r="C92" s="19">
        <f>C$73-SIAF!S23*D22*SIN(RADIANS(SIAF!R23))+S22*COS(RADIANS(SIAF!R23))</f>
        <v>-634.56776347653749</v>
      </c>
      <c r="D92">
        <f>-SIAF!L23+0.5</f>
        <v>-64</v>
      </c>
      <c r="E92" s="100">
        <f>-SIAF!L23+SIAF!J23+0.5</f>
        <v>64</v>
      </c>
      <c r="F92" s="100">
        <f t="shared" si="244"/>
        <v>64</v>
      </c>
      <c r="G92" s="100">
        <f t="shared" si="245"/>
        <v>-64</v>
      </c>
      <c r="H92" s="100">
        <f>-SIAF!M23+0.5</f>
        <v>-64</v>
      </c>
      <c r="I92">
        <f t="shared" si="246"/>
        <v>-64</v>
      </c>
      <c r="J92">
        <f>-SIAF!M23+SIAF!K23+0.5</f>
        <v>64</v>
      </c>
      <c r="K92">
        <f t="shared" si="247"/>
        <v>64</v>
      </c>
      <c r="L92" s="19">
        <f>SIAF!$AJ23*D92+SIAF!$AK23*H92+SIAF!$AL23*D92^2+SIAF!$AM23*D92*H92+SIAF!$AN23*H92^2</f>
        <v>-4.1847808349934956</v>
      </c>
      <c r="M92" s="19">
        <f>SIAF!$AJ23*E92+SIAF!$AK23*I92+SIAF!$AL23*E92^2+SIAF!$AM23*E92*I92+SIAF!$AN23*I92^2</f>
        <v>4.1834665717651083</v>
      </c>
      <c r="N92" s="19">
        <f>SIAF!$AJ23*F92+SIAF!$AK23*J92+SIAF!$AL23*F92^2+SIAF!$AM23*F92*J92+SIAF!$AN23*J92^2</f>
        <v>4.1852842792369858</v>
      </c>
      <c r="O92" s="19">
        <f>SIAF!$AJ23*G92+SIAF!$AK23*K92+SIAF!$AL23*G92^2+SIAF!$AM23*G92*K92+SIAF!$AN23*K92^2</f>
        <v>-4.1835953859340842</v>
      </c>
      <c r="P92" s="19">
        <f>SIAF!$BE23*D92+SIAF!$BF23*H92+SIAF!$BG23*D92^2+SIAF!$BH23*D92*H92+SIAF!$BG23*H92^2</f>
        <v>-4.2324961073352849</v>
      </c>
      <c r="Q92" s="19">
        <f>SIAF!$BE23*E92+SIAF!$BF23*I92+SIAF!$BG23*E92^2+SIAF!$BH23*E92*I92+SIAF!$BG23*I92^2</f>
        <v>-4.184240686913693</v>
      </c>
      <c r="R92" s="19">
        <f>SIAF!$BE23*F92+SIAF!$BF23*J92+SIAF!$BG23*F92^2+SIAF!$BH23*F92*J92+SIAF!$BG23*J92^2</f>
        <v>4.2325238285458688</v>
      </c>
      <c r="S92" s="19">
        <f>SIAF!$BE23*G92+SIAF!$BF23*K92+SIAF!$BG23*G92^2+SIAF!$BH23*G92*K92+SIAF!$BG23*K92^2</f>
        <v>4.1848373554326326</v>
      </c>
      <c r="T92" s="20">
        <f>RADIANS(SIAF!R23)</f>
        <v>-9.9481323902723996E-3</v>
      </c>
      <c r="U92" s="19">
        <f>SIAF!$P23+SIAF!$S23*L92*COS($T92)+P92*SIN($T92)</f>
        <v>-349.26673954236173</v>
      </c>
      <c r="V92" s="19">
        <f>SIAF!$P23+SIAF!$S23*M92*COS($T92)+Q92*SIN($T92)</f>
        <v>-357.63505291271144</v>
      </c>
      <c r="W92" s="19">
        <f>SIAF!$P23+SIAF!$S23*N92*COS($T92)+R92*SIN($T92)</f>
        <v>-357.72060023686413</v>
      </c>
      <c r="X92" s="19">
        <f>SIAF!$P23+SIAF!$S23*O92*COS($T92)+S92*SIN($T92)</f>
        <v>-349.35166029925733</v>
      </c>
      <c r="Y92" s="19">
        <f t="shared" si="248"/>
        <v>-349.26673954236173</v>
      </c>
      <c r="Z92" s="19">
        <f>SIAF!$Q23-SIAF!$S23*L92*SIN($T92)+P92*COS($T92)</f>
        <v>-638.75842008328868</v>
      </c>
      <c r="AA92" s="19">
        <f>SIAF!$Q23-SIAF!$S23*M92*SIN($T92)+Q92*COS($T92)</f>
        <v>-638.79341411062001</v>
      </c>
      <c r="AB92" s="19">
        <f>SIAF!$Q23-SIAF!$S23*N92*SIN($T92)+R92*COS($T92)</f>
        <v>-630.37708415819475</v>
      </c>
      <c r="AC92" s="19">
        <f>SIAF!$Q23-SIAF!$S23*O92*SIN($T92)+S92*COS($T92)</f>
        <v>-630.34151492202136</v>
      </c>
      <c r="AD92" s="19">
        <f t="shared" si="249"/>
        <v>-638.75842008328868</v>
      </c>
    </row>
    <row r="93" spans="1:30">
      <c r="A93" t="str">
        <f>SIAF!B24</f>
        <v>NIS_SUB256</v>
      </c>
      <c r="B93" s="19">
        <f>B$73+SIAF!S24*D23*COS(RADIANS(SIAF!R24))+S23*SIN(RADIANS(SIAF!R24))</f>
        <v>-349.26671373076886</v>
      </c>
      <c r="C93" s="19">
        <f>C$73-SIAF!S24*D23*SIN(RADIANS(SIAF!R24))+S23*COS(RADIANS(SIAF!R24))</f>
        <v>-638.75920573190626</v>
      </c>
      <c r="D93">
        <f>-SIAF!L24+0.5</f>
        <v>-128</v>
      </c>
      <c r="E93" s="100">
        <f>-SIAF!L24+SIAF!J24+0.5</f>
        <v>128</v>
      </c>
      <c r="F93" s="100">
        <f t="shared" si="244"/>
        <v>128</v>
      </c>
      <c r="G93" s="100">
        <f t="shared" si="245"/>
        <v>-128</v>
      </c>
      <c r="H93" s="100">
        <f>-SIAF!M24+0.5</f>
        <v>-128</v>
      </c>
      <c r="I93">
        <f t="shared" si="246"/>
        <v>-128</v>
      </c>
      <c r="J93">
        <f>-SIAF!M24+SIAF!K24+0.5</f>
        <v>128</v>
      </c>
      <c r="K93">
        <f t="shared" si="247"/>
        <v>128</v>
      </c>
      <c r="L93" s="19">
        <f>SIAF!$AJ24*D93+SIAF!$AK24*H93+SIAF!$AL24*D93^2+SIAF!$AM24*D93*H93+SIAF!$AN24*H93^2</f>
        <v>-8.368370693936706</v>
      </c>
      <c r="M93" s="19">
        <f>SIAF!$AJ24*E93+SIAF!$AK24*I93+SIAF!$AL24*E93^2+SIAF!$AM24*E93*I93+SIAF!$AN24*I93^2</f>
        <v>8.3669142286130427</v>
      </c>
      <c r="N93" s="19">
        <f>SIAF!$AJ24*F93+SIAF!$AK24*J93+SIAF!$AL24*F93^2+SIAF!$AM24*F93*J93+SIAF!$AN24*J93^2</f>
        <v>8.3699603946001258</v>
      </c>
      <c r="O93" s="19">
        <f>SIAF!$AJ24*G93+SIAF!$AK24*K93+SIAF!$AL24*G93^2+SIAF!$AM24*G93*K93+SIAF!$AN24*K93^2</f>
        <v>-8.3674551586217714</v>
      </c>
      <c r="P93" s="19">
        <f>SIAF!$BE24*D93+SIAF!$BF24*H93+SIAF!$BG24*D93^2+SIAF!$BH24*D93*H93+SIAF!$BG24*H93^2</f>
        <v>-8.467763051994158</v>
      </c>
      <c r="Q93" s="19">
        <f>SIAF!$BE24*E93+SIAF!$BF24*I93+SIAF!$BG24*E93^2+SIAF!$BH24*E93*I93+SIAF!$BG24*I93^2</f>
        <v>-8.3710556640531699</v>
      </c>
      <c r="R93" s="19">
        <f>SIAF!$BE24*F93+SIAF!$BF24*J93+SIAF!$BG24*F93^2+SIAF!$BH24*F93*J93+SIAF!$BG24*J93^2</f>
        <v>8.4682962915971878</v>
      </c>
      <c r="S93" s="19">
        <f>SIAF!$BE24*G93+SIAF!$BF24*K93+SIAF!$BG24*G93^2+SIAF!$BH24*G93*K93+SIAF!$BG24*K93^2</f>
        <v>8.3734438147666843</v>
      </c>
      <c r="T93" s="20">
        <f>RADIANS(SIAF!R24)</f>
        <v>-9.9481323902723996E-3</v>
      </c>
      <c r="U93" s="19">
        <f>SIAF!$P24+SIAF!$S24*L93*COS($T93)+P93*SIN($T93)</f>
        <v>-340.81452008428431</v>
      </c>
      <c r="V93" s="19">
        <f>SIAF!$P24+SIAF!$S24*M93*COS($T93)+Q93*SIN($T93)</f>
        <v>-357.54993894912866</v>
      </c>
      <c r="W93" s="19">
        <f>SIAF!$P24+SIAF!$S24*N93*COS($T93)+R93*SIN($T93)</f>
        <v>-357.7205023039055</v>
      </c>
      <c r="X93" s="19">
        <f>SIAF!$P24+SIAF!$S24*O93*COS($T93)+S93*SIN($T93)</f>
        <v>-340.9829713664144</v>
      </c>
      <c r="Y93" s="19">
        <f t="shared" si="248"/>
        <v>-340.81452008428431</v>
      </c>
      <c r="Z93" s="19">
        <f>SIAF!$Q24-SIAF!$S24*L93*SIN($T93)+P93*COS($T93)</f>
        <v>-647.14330149341697</v>
      </c>
      <c r="AA93" s="19">
        <f>SIAF!$Q24-SIAF!$S24*M93*SIN($T93)+Q93*COS($T93)</f>
        <v>-647.21308097475037</v>
      </c>
      <c r="AB93" s="19">
        <f>SIAF!$Q24-SIAF!$S24*N93*SIN($T93)+R93*COS($T93)</f>
        <v>-630.3745925714702</v>
      </c>
      <c r="AC93" s="19">
        <f>SIAF!$Q24-SIAF!$S24*O93*SIN($T93)+S93*COS($T93)</f>
        <v>-630.30293707536521</v>
      </c>
      <c r="AD93" s="19">
        <f t="shared" si="249"/>
        <v>-647.14330149341697</v>
      </c>
    </row>
    <row r="94" spans="1:30">
      <c r="A94" t="str">
        <f>SIAF!B25</f>
        <v>NIS_SUBAMPCAL</v>
      </c>
      <c r="B94" s="19">
        <f>B$73+SIAF!S25*D24*COS(RADIANS(SIAF!R25))+S24*SIN(RADIANS(SIAF!R25))</f>
        <v>-290.10000000000002</v>
      </c>
      <c r="C94" s="19">
        <f>C$73-SIAF!S25*D24*SIN(RADIANS(SIAF!R25))+S24*COS(RADIANS(SIAF!R25))</f>
        <v>-697.5</v>
      </c>
      <c r="D94">
        <f>-SIAF!L25+0.5</f>
        <v>-1024</v>
      </c>
      <c r="E94" s="100">
        <f>-SIAF!L25+SIAF!J25+0.5</f>
        <v>-512</v>
      </c>
      <c r="F94" s="100">
        <f t="shared" ref="F94" si="256">E94</f>
        <v>-512</v>
      </c>
      <c r="G94" s="100">
        <f t="shared" ref="G94" si="257">D94</f>
        <v>-1024</v>
      </c>
      <c r="H94" s="100">
        <f>-SIAF!M25+0.5</f>
        <v>-1024</v>
      </c>
      <c r="I94">
        <f t="shared" ref="I94" si="258">H94</f>
        <v>-1024</v>
      </c>
      <c r="J94">
        <f>-SIAF!M25+SIAF!K25+0.5</f>
        <v>768</v>
      </c>
      <c r="K94">
        <f t="shared" ref="K94" si="259">J94</f>
        <v>768</v>
      </c>
      <c r="L94" s="19">
        <f>SIAF!$AJ25*D94+SIAF!$AK25*H94+SIAF!$AL25*D94^2+SIAF!$AM25*D94*H94+SIAF!$AN25*H94^2</f>
        <v>-67.001703834539583</v>
      </c>
      <c r="M94" s="19">
        <f>SIAF!$AJ25*E94+SIAF!$AK25*I94+SIAF!$AL25*E94^2+SIAF!$AM25*E94*I94+SIAF!$AN25*I94^2</f>
        <v>-33.495945266656285</v>
      </c>
      <c r="N94" s="19">
        <f>SIAF!$AJ25*F94+SIAF!$AK25*J94+SIAF!$AL25*F94^2+SIAF!$AM25*F94*J94+SIAF!$AN25*J94^2</f>
        <v>-33.489039947640407</v>
      </c>
      <c r="O94" s="19">
        <f>SIAF!$AJ25*G94+SIAF!$AK25*K94+SIAF!$AL25*G94^2+SIAF!$AM25*G94*K94+SIAF!$AN25*K94^2</f>
        <v>-66.989084936287213</v>
      </c>
      <c r="P94" s="19">
        <f>SIAF!$BE25*D94+SIAF!$BF25*H94+SIAF!$BG25*D94^2+SIAF!$BH25*D94*H94+SIAF!$BG25*H94^2</f>
        <v>-67.651417149815202</v>
      </c>
      <c r="Q94" s="19">
        <f>SIAF!$BE25*E94+SIAF!$BF25*I94+SIAF!$BG25*E94^2+SIAF!$BH25*E94*I94+SIAF!$BG25*I94^2</f>
        <v>-67.550172740219423</v>
      </c>
      <c r="R94" s="19">
        <f>SIAF!$BE25*F94+SIAF!$BF25*J94+SIAF!$BG25*F94^2+SIAF!$BH25*F94*J94+SIAF!$BG25*J94^2</f>
        <v>50.483273000025171</v>
      </c>
      <c r="S94" s="19">
        <f>SIAF!$BE25*G94+SIAF!$BF25*K94+SIAF!$BG25*G94^2+SIAF!$BH25*G94*K94+SIAF!$BG25*K94^2</f>
        <v>50.357311457319845</v>
      </c>
      <c r="T94" s="20">
        <f>RADIANS(SIAF!R25)</f>
        <v>-9.9481323902723996E-3</v>
      </c>
      <c r="U94" s="19">
        <f>SIAF!$P25+SIAF!$S25*L94*COS($T94)+P94*SIN($T94)</f>
        <v>-222.4286174077009</v>
      </c>
      <c r="V94" s="19">
        <f>SIAF!$P25+SIAF!$S25*M94*COS($T94)+Q94*SIN($T94)</f>
        <v>-255.93372521107341</v>
      </c>
      <c r="W94" s="19">
        <f>SIAF!$P25+SIAF!$S25*N94*COS($T94)+R94*SIN($T94)</f>
        <v>-257.11482316547801</v>
      </c>
      <c r="X94" s="19">
        <f>SIAF!$P25+SIAF!$S25*O94*COS($T94)+S94*SIN($T94)</f>
        <v>-223.61518277336447</v>
      </c>
      <c r="Y94" s="19">
        <f t="shared" ref="Y94" si="260">U94</f>
        <v>-222.4286174077009</v>
      </c>
      <c r="Z94" s="19">
        <f>SIAF!$Q25-SIAF!$S25*L94*SIN($T94)+P94*COS($T94)</f>
        <v>-764.48153877865411</v>
      </c>
      <c r="AA94" s="19">
        <f>SIAF!$Q25-SIAF!$S25*M94*SIN($T94)+Q94*COS($T94)</f>
        <v>-764.71361360310777</v>
      </c>
      <c r="AB94" s="19">
        <f>SIAF!$Q25-SIAF!$S25*N94*SIN($T94)+R94*COS($T94)</f>
        <v>-646.68607711851951</v>
      </c>
      <c r="AC94" s="19">
        <f>SIAF!$Q25-SIAF!$S25*O94*SIN($T94)+S94*COS($T94)</f>
        <v>-646.4787750426209</v>
      </c>
      <c r="AD94" s="19">
        <f t="shared" ref="AD94" si="261">Z94</f>
        <v>-764.48153877865411</v>
      </c>
    </row>
    <row r="95" spans="1:30">
      <c r="A95" t="str">
        <f>SIAF!B26</f>
        <v>NIS_SUBSTRIP96</v>
      </c>
      <c r="B95" s="19">
        <f>B$73+SIAF!S26*D25*COS(RADIANS(SIAF!R26))+S25*SIN(RADIANS(SIAF!R26))</f>
        <v>-351.04655769734256</v>
      </c>
      <c r="C95" s="19">
        <f>C$73-SIAF!S26*D25*SIN(RADIANS(SIAF!R26))+S25*COS(RADIANS(SIAF!R26))</f>
        <v>-686.28330929230776</v>
      </c>
      <c r="D95">
        <f>-SIAF!L26+0.5</f>
        <v>-1979.5</v>
      </c>
      <c r="E95" s="100">
        <f>-SIAF!L26+SIAF!J26+0.5</f>
        <v>118.5</v>
      </c>
      <c r="F95" s="100">
        <f t="shared" ref="F95:F96" si="262">E95</f>
        <v>118.5</v>
      </c>
      <c r="G95" s="100">
        <f t="shared" ref="G95:G96" si="263">D95</f>
        <v>-1979.5</v>
      </c>
      <c r="H95" s="100">
        <f>-SIAF!M26+0.5</f>
        <v>-257.5</v>
      </c>
      <c r="I95">
        <f t="shared" ref="I95:I96" si="264">H95</f>
        <v>-257.5</v>
      </c>
      <c r="J95">
        <f>-SIAF!M26+SIAF!K26+0.5</f>
        <v>59.5</v>
      </c>
      <c r="K95">
        <f t="shared" ref="K95:K96" si="265">J95</f>
        <v>59.5</v>
      </c>
      <c r="L95" s="19">
        <f>SIAF!$AJ26*D95+SIAF!$AK26*H95+SIAF!$AL26*D95^2+SIAF!$AM26*D95*H95+SIAF!$AN26*H95^2</f>
        <v>-129.42925247899356</v>
      </c>
      <c r="M95" s="19">
        <f>SIAF!$AJ26*E95+SIAF!$AK26*I95+SIAF!$AL26*E95^2+SIAF!$AM26*E95*I95+SIAF!$AN26*I95^2</f>
        <v>7.7424730487846549</v>
      </c>
      <c r="N95" s="19">
        <f>SIAF!$AJ26*F95+SIAF!$AK26*J95+SIAF!$AL26*F95^2+SIAF!$AM26*F95*J95+SIAF!$AN26*J95^2</f>
        <v>7.744873549661464</v>
      </c>
      <c r="O95" s="19">
        <f>SIAF!$AJ26*G95+SIAF!$AK26*K95+SIAF!$AL26*G95^2+SIAF!$AM26*G95*K95+SIAF!$AN26*K95^2</f>
        <v>-129.44362280884911</v>
      </c>
      <c r="P95" s="19">
        <f>SIAF!$BE26*D95+SIAF!$BF26*H95+SIAF!$BG26*D95^2+SIAF!$BH26*D95*H95+SIAF!$BG26*H95^2</f>
        <v>-17.580495180349409</v>
      </c>
      <c r="Q95" s="19">
        <f>SIAF!$BE26*E95+SIAF!$BF26*I95+SIAF!$BG26*E95^2+SIAF!$BH26*E95*I95+SIAF!$BG26*I95^2</f>
        <v>-16.919920508618464</v>
      </c>
      <c r="R95" s="19">
        <f>SIAF!$BE26*F95+SIAF!$BF26*J95+SIAF!$BG26*F95^2+SIAF!$BH26*F95*J95+SIAF!$BG26*J95^2</f>
        <v>3.9679510662194097</v>
      </c>
      <c r="S95" s="19">
        <f>SIAF!$BE26*G95+SIAF!$BF26*K95+SIAF!$BG26*G95^2+SIAF!$BH26*G95*K95+SIAF!$BG26*K95^2</f>
        <v>3.3124321338353511</v>
      </c>
      <c r="T95" s="20">
        <f>RADIANS(SIAF!R26)</f>
        <v>-9.9481323902723996E-3</v>
      </c>
      <c r="U95" s="19">
        <f>SIAF!$P26+SIAF!$S26*L95*COS($T95)+P95*SIN($T95)</f>
        <v>-221.44881946156411</v>
      </c>
      <c r="V95" s="19">
        <f>SIAF!$P26+SIAF!$S26*M95*COS($T95)+Q95*SIN($T95)</f>
        <v>-358.6203287981233</v>
      </c>
      <c r="W95" s="19">
        <f>SIAF!$P26+SIAF!$S26*N95*COS($T95)+R95*SIN($T95)</f>
        <v>-358.83052106459013</v>
      </c>
      <c r="X95" s="19">
        <f>SIAF!$P26+SIAF!$S26*O95*COS($T95)+S95*SIN($T95)</f>
        <v>-221.64229202149198</v>
      </c>
      <c r="Y95" s="19">
        <f t="shared" ref="Y95:Y96" si="266">U95</f>
        <v>-221.44881946156411</v>
      </c>
      <c r="Z95" s="19">
        <f>SIAF!$Q26-SIAF!$S26*L95*SIN($T95)+P95*COS($T95)</f>
        <v>-702.57537644868785</v>
      </c>
      <c r="AA95" s="19">
        <f>SIAF!$Q26-SIAF!$S26*M95*SIN($T95)+Q95*COS($T95)</f>
        <v>-703.27941444149121</v>
      </c>
      <c r="AB95" s="19">
        <f>SIAF!$Q26-SIAF!$S26*N95*SIN($T95)+R95*COS($T95)</f>
        <v>-682.39260032587185</v>
      </c>
      <c r="AC95" s="19">
        <f>SIAF!$Q26-SIAF!$S26*O95*SIN($T95)+S95*COS($T95)</f>
        <v>-681.68334000819834</v>
      </c>
      <c r="AD95" s="19">
        <f t="shared" ref="AD95:AD96" si="267">Z95</f>
        <v>-702.57537644868785</v>
      </c>
    </row>
    <row r="96" spans="1:30">
      <c r="A96" t="str">
        <f>SIAF!B27</f>
        <v>NIS_SUBSTRIP256</v>
      </c>
      <c r="B96" s="19">
        <f>B$73+SIAF!S27*D26*COS(RADIANS(SIAF!R27))+S26*SIN(RADIANS(SIAF!R27))</f>
        <v>-351.04655769734256</v>
      </c>
      <c r="C96" s="19">
        <f>C$73-SIAF!S27*D26*SIN(RADIANS(SIAF!R27))+S26*COS(RADIANS(SIAF!R27))</f>
        <v>-686.28330929230776</v>
      </c>
      <c r="D96">
        <f>-SIAF!L27+0.5</f>
        <v>-1979.5</v>
      </c>
      <c r="E96" s="100">
        <f>-SIAF!L27+SIAF!J27+0.5</f>
        <v>118.5</v>
      </c>
      <c r="F96" s="100">
        <f t="shared" si="262"/>
        <v>118.5</v>
      </c>
      <c r="G96" s="100">
        <f t="shared" si="263"/>
        <v>-1979.5</v>
      </c>
      <c r="H96" s="100">
        <f>-SIAF!M27+0.5</f>
        <v>-257.5</v>
      </c>
      <c r="I96">
        <f t="shared" si="264"/>
        <v>-257.5</v>
      </c>
      <c r="J96">
        <f>-SIAF!M27+SIAF!K27+0.5</f>
        <v>219.5</v>
      </c>
      <c r="K96">
        <f t="shared" si="265"/>
        <v>219.5</v>
      </c>
      <c r="L96" s="19">
        <f>SIAF!$AJ27*D96+SIAF!$AK27*H96+SIAF!$AL27*D96^2+SIAF!$AM27*D96*H96+SIAF!$AN27*H96^2</f>
        <v>-129.42925247899356</v>
      </c>
      <c r="M96" s="19">
        <f>SIAF!$AJ27*E96+SIAF!$AK27*I96+SIAF!$AL27*E96^2+SIAF!$AM27*E96*I96+SIAF!$AN27*I96^2</f>
        <v>7.7424730487846549</v>
      </c>
      <c r="N96" s="19">
        <f>SIAF!$AJ27*F96+SIAF!$AK27*J96+SIAF!$AL27*F96^2+SIAF!$AM27*F96*J96+SIAF!$AN27*J96^2</f>
        <v>7.7456992380700189</v>
      </c>
      <c r="O96" s="19">
        <f>SIAF!$AJ27*G96+SIAF!$AK27*K96+SIAF!$AL27*G96^2+SIAF!$AM27*G96*K96+SIAF!$AN27*K96^2</f>
        <v>-129.45126189304995</v>
      </c>
      <c r="P96" s="19">
        <f>SIAF!$BE27*D96+SIAF!$BF27*H96+SIAF!$BG27*D96^2+SIAF!$BH27*D96*H96+SIAF!$BG27*H96^2</f>
        <v>-17.580495180349409</v>
      </c>
      <c r="Q96" s="19">
        <f>SIAF!$BE27*E96+SIAF!$BF27*I96+SIAF!$BG27*E96^2+SIAF!$BH27*E96*I96+SIAF!$BG27*I96^2</f>
        <v>-16.919920508618464</v>
      </c>
      <c r="R96" s="19">
        <f>SIAF!$BE27*F96+SIAF!$BF27*J96+SIAF!$BG27*F96^2+SIAF!$BH27*F96*J96+SIAF!$BG27*J96^2</f>
        <v>14.513864391713708</v>
      </c>
      <c r="S96" s="19">
        <f>SIAF!$BE27*G96+SIAF!$BF27*K96+SIAF!$BG27*G96^2+SIAF!$BH27*G96*K96+SIAF!$BG27*K96^2</f>
        <v>13.860897252059942</v>
      </c>
      <c r="T96" s="20">
        <f>RADIANS(SIAF!R27)</f>
        <v>-9.9481323902723996E-3</v>
      </c>
      <c r="U96" s="19">
        <f>SIAF!$P27+SIAF!$S27*L96*COS($T96)+P96*SIN($T96)</f>
        <v>-221.44881946156411</v>
      </c>
      <c r="V96" s="19">
        <f>SIAF!$P27+SIAF!$S27*M96*COS($T96)+Q96*SIN($T96)</f>
        <v>-358.6203287981233</v>
      </c>
      <c r="W96" s="19">
        <f>SIAF!$P27+SIAF!$S27*N96*COS($T96)+R96*SIN($T96)</f>
        <v>-358.93625712364445</v>
      </c>
      <c r="X96" s="19">
        <f>SIAF!$P27+SIAF!$S27*O96*COS($T96)+S96*SIN($T96)</f>
        <v>-221.73958911194617</v>
      </c>
      <c r="Y96" s="19">
        <f t="shared" si="266"/>
        <v>-221.44881946156411</v>
      </c>
      <c r="Z96" s="19">
        <f>SIAF!$Q27-SIAF!$S27*L96*SIN($T96)+P96*COS($T96)</f>
        <v>-702.57537644868785</v>
      </c>
      <c r="AA96" s="19">
        <f>SIAF!$Q27-SIAF!$S27*M96*SIN($T96)+Q96*COS($T96)</f>
        <v>-703.27941444149121</v>
      </c>
      <c r="AB96" s="19">
        <f>SIAF!$Q27-SIAF!$S27*N96*SIN($T96)+R96*COS($T96)</f>
        <v>-671.84721704993467</v>
      </c>
      <c r="AC96" s="19">
        <f>SIAF!$Q27-SIAF!$S27*O96*SIN($T96)+S96*COS($T96)</f>
        <v>-671.13532085850977</v>
      </c>
      <c r="AD96" s="19">
        <f t="shared" si="267"/>
        <v>-702.57537644868785</v>
      </c>
    </row>
    <row r="97" spans="1:30">
      <c r="A97" t="str">
        <f>SIAF!B28</f>
        <v>NIS_FP1MIMF</v>
      </c>
      <c r="B97" s="19">
        <f>B$73+SIAF!S28*D27*COS(RADIANS(SIAF!R28))+S27*SIN(RADIANS(SIAF!R28))</f>
        <v>-290.12516018601337</v>
      </c>
      <c r="C97" s="19">
        <f>C$73-SIAF!S28*D27*SIN(RADIANS(SIAF!R28))+S27*COS(RADIANS(SIAF!R28))</f>
        <v>-698.25790927590469</v>
      </c>
      <c r="D97">
        <f>-SIAF!L28+0.5</f>
        <v>-1024.5</v>
      </c>
      <c r="E97" s="100">
        <f>-SIAF!L28+SIAF!J28+0.5</f>
        <v>1023.5</v>
      </c>
      <c r="F97" s="100">
        <f t="shared" ref="F97:F101" si="268">E97</f>
        <v>1023.5</v>
      </c>
      <c r="G97" s="100">
        <f t="shared" ref="G97:G101" si="269">D97</f>
        <v>-1024.5</v>
      </c>
      <c r="H97" s="100">
        <f>-SIAF!M28+0.5</f>
        <v>-1012.5</v>
      </c>
      <c r="I97">
        <f t="shared" ref="I97:I101" si="270">H97</f>
        <v>-1012.5</v>
      </c>
      <c r="J97">
        <f>-SIAF!M28+SIAF!K28+0.5</f>
        <v>1035.5</v>
      </c>
      <c r="K97">
        <f t="shared" ref="K97:K101" si="271">J97</f>
        <v>1035.5</v>
      </c>
      <c r="L97" s="19">
        <f>SIAF!$AJ28*D97+SIAF!$AK28*H97+SIAF!$AL28*D97^2+SIAF!$AM28*D97*H97+SIAF!$AN28*H97^2</f>
        <v>-67.034294034820519</v>
      </c>
      <c r="M97" s="19">
        <f>SIAF!$AJ28*E97+SIAF!$AK28*I97+SIAF!$AL28*E97^2+SIAF!$AM28*E97*I97+SIAF!$AN28*I97^2</f>
        <v>66.913091692163306</v>
      </c>
      <c r="N97" s="19">
        <f>SIAF!$AJ28*F97+SIAF!$AK28*J97+SIAF!$AL28*F97^2+SIAF!$AM28*F97*J97+SIAF!$AN28*J97^2</f>
        <v>66.900458694685895</v>
      </c>
      <c r="O97" s="19">
        <f>SIAF!$AJ28*G97+SIAF!$AK28*K97+SIAF!$AL28*G97^2+SIAF!$AM28*G97*K97+SIAF!$AN28*K97^2</f>
        <v>-67.021662538147993</v>
      </c>
      <c r="P97" s="19">
        <f>SIAF!$BE28*D97+SIAF!$BF28*H97+SIAF!$BG28*D97^2+SIAF!$BH28*D97*H97+SIAF!$BG28*H97^2</f>
        <v>-66.894541218952682</v>
      </c>
      <c r="Q97" s="19">
        <f>SIAF!$BE28*E97+SIAF!$BF28*I97+SIAF!$BG28*E97^2+SIAF!$BH28*E97*I97+SIAF!$BG28*I97^2</f>
        <v>-66.334911853641245</v>
      </c>
      <c r="R97" s="19">
        <f>SIAF!$BE28*F97+SIAF!$BF28*J97+SIAF!$BG28*F97^2+SIAF!$BH28*F97*J97+SIAF!$BG28*J97^2</f>
        <v>68.672945389815652</v>
      </c>
      <c r="S97" s="19">
        <f>SIAF!$BE28*G97+SIAF!$BF28*K97+SIAF!$BG28*G97^2+SIAF!$BH28*G97*K97+SIAF!$BG28*K97^2</f>
        <v>68.000531761787201</v>
      </c>
      <c r="T97" s="20">
        <f>RADIANS(SIAF!R28)</f>
        <v>-9.9481323902723996E-3</v>
      </c>
      <c r="U97" s="19">
        <f>SIAF!$P28+SIAF!$S28*L97*COS($T97)+P97*SIN($T97)</f>
        <v>-222.42871838384065</v>
      </c>
      <c r="V97" s="19">
        <f>SIAF!$P28+SIAF!$S28*M97*COS($T97)+Q97*SIN($T97)</f>
        <v>-356.37504326652004</v>
      </c>
      <c r="W97" s="19">
        <f>SIAF!$P28+SIAF!$S28*N97*COS($T97)+R97*SIN($T97)</f>
        <v>-357.7054647788508</v>
      </c>
      <c r="X97" s="19">
        <f>SIAF!$P28+SIAF!$S28*O97*COS($T97)+S97*SIN($T97)</f>
        <v>-223.78328116590626</v>
      </c>
      <c r="Y97" s="19">
        <f t="shared" ref="Y97:Y101" si="272">U97</f>
        <v>-222.42871838384065</v>
      </c>
      <c r="Z97" s="19">
        <f>SIAF!$Q28-SIAF!$S28*L97*SIN($T97)+P97*COS($T97)</f>
        <v>-764.48228536934914</v>
      </c>
      <c r="AA97" s="19">
        <f>SIAF!$Q28-SIAF!$S28*M97*SIN($T97)+Q97*COS($T97)</f>
        <v>-765.25518804342926</v>
      </c>
      <c r="AB97" s="19">
        <f>SIAF!$Q28-SIAF!$S28*N97*SIN($T97)+R97*COS($T97)</f>
        <v>-630.25388562133492</v>
      </c>
      <c r="AC97" s="19">
        <f>SIAF!$Q28-SIAF!$S28*O97*SIN($T97)+S97*COS($T97)</f>
        <v>-629.59401295953853</v>
      </c>
      <c r="AD97" s="19">
        <f t="shared" ref="AD97:AD101" si="273">Z97</f>
        <v>-764.48228536934914</v>
      </c>
    </row>
    <row r="98" spans="1:30">
      <c r="A98" t="str">
        <f>SIAF!B29</f>
        <v>NIS_FP2MIMF</v>
      </c>
      <c r="B98" s="19">
        <f>B$73+SIAF!S29*D28*COS(RADIANS(SIAF!R29))+S28*SIN(RADIANS(SIAF!R29))</f>
        <v>-335.2640931535754</v>
      </c>
      <c r="C98" s="19">
        <f>C$73-SIAF!S29*D28*SIN(RADIANS(SIAF!R29))+S28*COS(RADIANS(SIAF!R29))</f>
        <v>-721.93662614607865</v>
      </c>
      <c r="D98">
        <f>-SIAF!L29+0.5</f>
        <v>-1718.5</v>
      </c>
      <c r="E98" s="100">
        <f>-SIAF!L29+SIAF!J29+0.5</f>
        <v>329.5</v>
      </c>
      <c r="F98" s="100">
        <f t="shared" si="268"/>
        <v>329.5</v>
      </c>
      <c r="G98" s="100">
        <f t="shared" si="269"/>
        <v>-1718.5</v>
      </c>
      <c r="H98" s="100">
        <f>-SIAF!M29+0.5</f>
        <v>-656.5</v>
      </c>
      <c r="I98">
        <f t="shared" si="270"/>
        <v>-656.5</v>
      </c>
      <c r="J98">
        <f>-SIAF!M29+SIAF!K29+0.5</f>
        <v>1391.5</v>
      </c>
      <c r="K98">
        <f t="shared" si="271"/>
        <v>1391.5</v>
      </c>
      <c r="L98" s="19">
        <f>SIAF!$AJ29*D98+SIAF!$AK29*H98+SIAF!$AL29*D98^2+SIAF!$AM29*D98*H98+SIAF!$AN29*H98^2</f>
        <v>-112.40003962377727</v>
      </c>
      <c r="M98" s="19">
        <f>SIAF!$AJ29*E98+SIAF!$AK29*I98+SIAF!$AL29*E98^2+SIAF!$AM29*E98*I98+SIAF!$AN29*I98^2</f>
        <v>21.514543159227578</v>
      </c>
      <c r="N98" s="19">
        <f>SIAF!$AJ29*F98+SIAF!$AK29*J98+SIAF!$AL29*F98^2+SIAF!$AM29*F98*J98+SIAF!$AN29*J98^2</f>
        <v>21.527231973653389</v>
      </c>
      <c r="O98" s="19">
        <f>SIAF!$AJ29*G98+SIAF!$AK29*K98+SIAF!$AL29*G98^2+SIAF!$AM29*G98*K98+SIAF!$AN29*K98^2</f>
        <v>-112.47868349964379</v>
      </c>
      <c r="P98" s="19">
        <f>SIAF!$BE29*D98+SIAF!$BF29*H98+SIAF!$BG29*D98^2+SIAF!$BH29*D98*H98+SIAF!$BG29*H98^2</f>
        <v>-43.696649171755567</v>
      </c>
      <c r="Q98" s="19">
        <f>SIAF!$BE29*E98+SIAF!$BF29*I98+SIAF!$BG29*E98^2+SIAF!$BH29*E98*I98+SIAF!$BG29*I98^2</f>
        <v>-43.11549154391372</v>
      </c>
      <c r="R98" s="19">
        <f>SIAF!$BE29*F98+SIAF!$BF29*J98+SIAF!$BG29*F98^2+SIAF!$BH29*F98*J98+SIAF!$BG29*J98^2</f>
        <v>91.926734178675929</v>
      </c>
      <c r="S98" s="19">
        <f>SIAF!$BE29*G98+SIAF!$BF29*K98+SIAF!$BG29*G98^2+SIAF!$BH29*G98*K98+SIAF!$BG29*K98^2</f>
        <v>91.286091142984532</v>
      </c>
      <c r="T98" s="20">
        <f>RADIANS(SIAF!R29)</f>
        <v>-9.9481323902723996E-3</v>
      </c>
      <c r="U98" s="19">
        <f>SIAF!$P29+SIAF!$S29*L98*COS($T98)+P98*SIN($T98)</f>
        <v>-222.43492245692059</v>
      </c>
      <c r="V98" s="19">
        <f>SIAF!$P29+SIAF!$S29*M98*COS($T98)+Q98*SIN($T98)</f>
        <v>-356.3486601812582</v>
      </c>
      <c r="W98" s="19">
        <f>SIAF!$P29+SIAF!$S29*N98*COS($T98)+R98*SIN($T98)</f>
        <v>-357.70474414905266</v>
      </c>
      <c r="X98" s="19">
        <f>SIAF!$P29+SIAF!$S29*O98*COS($T98)+S98*SIN($T98)</f>
        <v>-223.69908649481891</v>
      </c>
      <c r="Y98" s="19">
        <f t="shared" si="272"/>
        <v>-222.43492245692059</v>
      </c>
      <c r="Z98" s="19">
        <f>SIAF!$Q29-SIAF!$S29*L98*SIN($T98)+P98*COS($T98)</f>
        <v>-764.51296107725034</v>
      </c>
      <c r="AA98" s="19">
        <f>SIAF!$Q29-SIAF!$S29*M98*SIN($T98)+Q98*COS($T98)</f>
        <v>-765.26401023142034</v>
      </c>
      <c r="AB98" s="19">
        <f>SIAF!$Q29-SIAF!$S29*N98*SIN($T98)+R98*COS($T98)</f>
        <v>-630.22859293140539</v>
      </c>
      <c r="AC98" s="19">
        <f>SIAF!$Q29-SIAF!$S29*O98*SIN($T98)+S98*COS($T98)</f>
        <v>-629.53611766690449</v>
      </c>
      <c r="AD98" s="19">
        <f t="shared" si="273"/>
        <v>-764.51296107725034</v>
      </c>
    </row>
    <row r="99" spans="1:30">
      <c r="A99" t="str">
        <f>SIAF!B30</f>
        <v>NIS_FP3MIMF</v>
      </c>
      <c r="B99" s="19">
        <f>B$73+SIAF!S30*D29*COS(RADIANS(SIAF!R30))+S29*SIN(RADIANS(SIAF!R30))</f>
        <v>-228.03916325749532</v>
      </c>
      <c r="C99" s="19">
        <f>C$73-SIAF!S30*D29*SIN(RADIANS(SIAF!R30))+S29*COS(RADIANS(SIAF!R30))</f>
        <v>-751.61833780688096</v>
      </c>
      <c r="D99">
        <f>-SIAF!L30+0.5</f>
        <v>-83.5</v>
      </c>
      <c r="E99" s="100">
        <f>-SIAF!L30+SIAF!J30+0.5</f>
        <v>1964.5</v>
      </c>
      <c r="F99" s="100">
        <f t="shared" si="268"/>
        <v>1964.5</v>
      </c>
      <c r="G99" s="100">
        <f t="shared" si="269"/>
        <v>-83.5</v>
      </c>
      <c r="H99" s="100">
        <f>-SIAF!M30+0.5</f>
        <v>-196.5</v>
      </c>
      <c r="I99">
        <f t="shared" si="270"/>
        <v>-196.5</v>
      </c>
      <c r="J99">
        <f>-SIAF!M30+SIAF!K30+0.5</f>
        <v>1851.5</v>
      </c>
      <c r="K99">
        <f t="shared" si="271"/>
        <v>1851.5</v>
      </c>
      <c r="L99" s="19">
        <f>SIAF!$AJ30*D99+SIAF!$AK30*H99+SIAF!$AL30*D99^2+SIAF!$AM30*D99*H99+SIAF!$AN30*H99^2</f>
        <v>-5.4564093820237485</v>
      </c>
      <c r="M99" s="19">
        <f>SIAF!$AJ30*E99+SIAF!$AK30*I99+SIAF!$AL30*E99^2+SIAF!$AM30*E99*I99+SIAF!$AN30*I99^2</f>
        <v>128.52721295442768</v>
      </c>
      <c r="N99" s="19">
        <f>SIAF!$AJ30*F99+SIAF!$AK30*J99+SIAF!$AL30*F99^2+SIAF!$AM30*F99*J99+SIAF!$AN30*J99^2</f>
        <v>128.72228032077672</v>
      </c>
      <c r="O99" s="19">
        <f>SIAF!$AJ30*G99+SIAF!$AK30*K99+SIAF!$AL30*G99^2+SIAF!$AM30*G99*K99+SIAF!$AN30*K99^2</f>
        <v>-5.4254062760746402</v>
      </c>
      <c r="P99" s="19">
        <f>SIAF!$BE30*D99+SIAF!$BF30*H99+SIAF!$BG30*D99^2+SIAF!$BH30*D99*H99+SIAF!$BG30*H99^2</f>
        <v>-12.952065134600314</v>
      </c>
      <c r="Q99" s="19">
        <f>SIAF!$BE30*E99+SIAF!$BF30*I99+SIAF!$BG30*E99^2+SIAF!$BH30*E99*I99+SIAF!$BG30*I99^2</f>
        <v>-12.419133741141469</v>
      </c>
      <c r="R99" s="19">
        <f>SIAF!$BE30*F99+SIAF!$BF30*J99+SIAF!$BG30*F99^2+SIAF!$BH30*F99*J99+SIAF!$BG30*J99^2</f>
        <v>122.6497229313601</v>
      </c>
      <c r="S99" s="19">
        <f>SIAF!$BE30*G99+SIAF!$BF30*K99+SIAF!$BG30*G99^2+SIAF!$BH30*G99*K99+SIAF!$BG30*K99^2</f>
        <v>122.03429778303902</v>
      </c>
      <c r="T99" s="20">
        <f>RADIANS(SIAF!R30)</f>
        <v>-9.9481323902723996E-3</v>
      </c>
      <c r="U99" s="19">
        <f>SIAF!$P30+SIAF!$S30*L99*COS($T99)+P99*SIN($T99)</f>
        <v>-222.45417713750925</v>
      </c>
      <c r="V99" s="19">
        <f>SIAF!$P30+SIAF!$S30*M99*COS($T99)+Q99*SIN($T99)</f>
        <v>-356.43647124600909</v>
      </c>
      <c r="W99" s="19">
        <f>SIAF!$P30+SIAF!$S30*N99*COS($T99)+R99*SIN($T99)</f>
        <v>-357.97518966506942</v>
      </c>
      <c r="X99" s="19">
        <f>SIAF!$P30+SIAF!$S30*O99*COS($T99)+S99*SIN($T99)</f>
        <v>-223.82801876918148</v>
      </c>
      <c r="Y99" s="19">
        <f t="shared" si="272"/>
        <v>-222.45417713750925</v>
      </c>
      <c r="Z99" s="19">
        <f>SIAF!$Q30-SIAF!$S30*L99*SIN($T99)+P99*COS($T99)</f>
        <v>-764.51548185642662</v>
      </c>
      <c r="AA99" s="19">
        <f>SIAF!$Q30-SIAF!$S30*M99*SIN($T99)+Q99*COS($T99)</f>
        <v>-765.31544166192577</v>
      </c>
      <c r="AB99" s="19">
        <f>SIAF!$Q30-SIAF!$S30*N99*SIN($T99)+R99*COS($T99)</f>
        <v>-630.25520902581241</v>
      </c>
      <c r="AC99" s="19">
        <f>SIAF!$Q30-SIAF!$S30*O99*SIN($T99)+S99*COS($T99)</f>
        <v>-629.53610678713574</v>
      </c>
      <c r="AD99" s="19">
        <f t="shared" si="273"/>
        <v>-764.51548185642662</v>
      </c>
    </row>
    <row r="100" spans="1:30">
      <c r="A100" t="str">
        <f>SIAF!B31</f>
        <v>NIS_FP4MIMF</v>
      </c>
      <c r="B100" s="19">
        <f>B$73+SIAF!S31*D30*COS(RADIANS(SIAF!R31))+S30*SIN(RADIANS(SIAF!R31))</f>
        <v>-246.8638593628099</v>
      </c>
      <c r="C100" s="19">
        <f>C$73-SIAF!S31*D30*SIN(RADIANS(SIAF!R31))+S30*COS(RADIANS(SIAF!R31))</f>
        <v>-641.64757437879325</v>
      </c>
      <c r="D100">
        <f>-SIAF!L31+0.5</f>
        <v>-354.5</v>
      </c>
      <c r="E100" s="100">
        <f>-SIAF!L31+SIAF!J31+0.5</f>
        <v>1693.5</v>
      </c>
      <c r="F100" s="100">
        <f t="shared" si="268"/>
        <v>1693.5</v>
      </c>
      <c r="G100" s="100">
        <f t="shared" si="269"/>
        <v>-354.5</v>
      </c>
      <c r="H100" s="100">
        <f>-SIAF!M31+0.5</f>
        <v>-1868.5</v>
      </c>
      <c r="I100">
        <f t="shared" si="270"/>
        <v>-1868.5</v>
      </c>
      <c r="J100">
        <f>-SIAF!M31+SIAF!K31+0.5</f>
        <v>179.5</v>
      </c>
      <c r="K100">
        <f t="shared" si="271"/>
        <v>179.5</v>
      </c>
      <c r="L100" s="19">
        <f>SIAF!$AJ31*D100+SIAF!$AK31*H100+SIAF!$AL31*D100^2+SIAF!$AM31*D100*H100+SIAF!$AN31*H100^2</f>
        <v>-23.222581092234773</v>
      </c>
      <c r="M100" s="19">
        <f>SIAF!$AJ31*E100+SIAF!$AK31*I100+SIAF!$AL31*E100^2+SIAF!$AM31*E100*I100+SIAF!$AN31*I100^2</f>
        <v>110.71225712040446</v>
      </c>
      <c r="N100" s="19">
        <f>SIAF!$AJ31*F100+SIAF!$AK31*J100+SIAF!$AL31*F100^2+SIAF!$AM31*F100*J100+SIAF!$AN31*J100^2</f>
        <v>110.72201499443575</v>
      </c>
      <c r="O100" s="19">
        <f>SIAF!$AJ31*G100+SIAF!$AK31*K100+SIAF!$AL31*G100^2+SIAF!$AM31*G100*K100+SIAF!$AN31*K100^2</f>
        <v>-23.193325267109469</v>
      </c>
      <c r="P100" s="19">
        <f>SIAF!$BE31*D100+SIAF!$BF31*H100+SIAF!$BG31*D100^2+SIAF!$BH31*D100*H100+SIAF!$BG31*H100^2</f>
        <v>-122.8443584216451</v>
      </c>
      <c r="Q100" s="19">
        <f>SIAF!$BE31*E100+SIAF!$BF31*I100+SIAF!$BG31*E100^2+SIAF!$BH31*E100*I100+SIAF!$BG31*I100^2</f>
        <v>-122.45117756458596</v>
      </c>
      <c r="R100" s="19">
        <f>SIAF!$BE31*F100+SIAF!$BF31*J100+SIAF!$BG31*F100^2+SIAF!$BH31*F100*J100+SIAF!$BG31*J100^2</f>
        <v>12.383965084408166</v>
      </c>
      <c r="S100" s="19">
        <f>SIAF!$BE31*G100+SIAF!$BF31*K100+SIAF!$BG31*G100^2+SIAF!$BH31*G100*K100+SIAF!$BG31*K100^2</f>
        <v>11.702699415280149</v>
      </c>
      <c r="T100" s="20">
        <f>RADIANS(SIAF!R31)</f>
        <v>-9.9481323902723996E-3</v>
      </c>
      <c r="U100" s="19">
        <f>SIAF!$P31+SIAF!$S31*L100*COS($T100)+P100*SIN($T100)</f>
        <v>-222.42037559244321</v>
      </c>
      <c r="V100" s="19">
        <f>SIAF!$P31+SIAF!$S31*M100*COS($T100)+Q100*SIN($T100)</f>
        <v>-356.35249775717301</v>
      </c>
      <c r="W100" s="19">
        <f>SIAF!$P31+SIAF!$S31*N100*COS($T100)+R100*SIN($T100)</f>
        <v>-357.70359087375004</v>
      </c>
      <c r="X100" s="19">
        <f>SIAF!$P31+SIAF!$S31*O100*COS($T100)+S100*SIN($T100)</f>
        <v>-223.78809983673216</v>
      </c>
      <c r="Y100" s="19">
        <f t="shared" si="272"/>
        <v>-222.42037559244321</v>
      </c>
      <c r="Z100" s="19">
        <f>SIAF!$Q31-SIAF!$S31*L100*SIN($T100)+P100*COS($T100)</f>
        <v>-764.25483668318884</v>
      </c>
      <c r="AA100" s="19">
        <f>SIAF!$Q31-SIAF!$S31*M100*SIN($T100)+Q100*COS($T100)</f>
        <v>-765.19405480699766</v>
      </c>
      <c r="AB100" s="19">
        <f>SIAF!$Q31-SIAF!$S31*N100*SIN($T100)+R100*COS($T100)</f>
        <v>-630.36568117673755</v>
      </c>
      <c r="AC100" s="19">
        <f>SIAF!$Q31-SIAF!$S31*O100*SIN($T100)+S100*COS($T100)</f>
        <v>-629.71472757490915</v>
      </c>
      <c r="AD100" s="19">
        <f t="shared" si="273"/>
        <v>-764.25483668318884</v>
      </c>
    </row>
    <row r="101" spans="1:30">
      <c r="A101" t="str">
        <f>SIAF!B32</f>
        <v>NIS_FP5MIMF</v>
      </c>
      <c r="B101" s="19">
        <f>B$73+SIAF!S32*D31*COS(RADIANS(SIAF!R32))+S31*SIN(RADIANS(SIAF!R32))</f>
        <v>-351.14886454845919</v>
      </c>
      <c r="C101" s="19">
        <f>C$73-SIAF!S32*D31*SIN(RADIANS(SIAF!R32))+S31*COS(RADIANS(SIAF!R32))</f>
        <v>-636.89251826231975</v>
      </c>
      <c r="D101">
        <f>-SIAF!L32+0.5</f>
        <v>-1948.5</v>
      </c>
      <c r="E101" s="100">
        <f>-SIAF!L32+SIAF!J32+0.5</f>
        <v>99.5</v>
      </c>
      <c r="F101" s="100">
        <f t="shared" si="268"/>
        <v>99.5</v>
      </c>
      <c r="G101" s="100">
        <f t="shared" si="269"/>
        <v>-1948.5</v>
      </c>
      <c r="H101" s="100">
        <f>-SIAF!M32+0.5</f>
        <v>-1948.5</v>
      </c>
      <c r="I101">
        <f t="shared" si="270"/>
        <v>-1948.5</v>
      </c>
      <c r="J101">
        <f>-SIAF!M32+SIAF!K32+0.5</f>
        <v>99.5</v>
      </c>
      <c r="K101">
        <f t="shared" si="271"/>
        <v>99.5</v>
      </c>
      <c r="L101" s="19">
        <f>SIAF!$AJ32*D101+SIAF!$AK32*H101+SIAF!$AL32*D101^2+SIAF!$AM32*D101*H101+SIAF!$AN32*H101^2</f>
        <v>-127.20100567456939</v>
      </c>
      <c r="M101" s="19">
        <f>SIAF!$AJ32*E101+SIAF!$AK32*I101+SIAF!$AL32*E101^2+SIAF!$AM32*E101*I101+SIAF!$AN32*I101^2</f>
        <v>6.5303989905184627</v>
      </c>
      <c r="N101" s="19">
        <f>SIAF!$AJ32*F101+SIAF!$AK32*J101+SIAF!$AL32*F101^2+SIAF!$AM32*F101*J101+SIAF!$AN32*J101^2</f>
        <v>6.5065457866045211</v>
      </c>
      <c r="O101" s="19">
        <f>SIAF!$AJ32*G101+SIAF!$AK32*K101+SIAF!$AL32*G101^2+SIAF!$AM32*G101*K101+SIAF!$AN32*K101^2</f>
        <v>-127.37234496109281</v>
      </c>
      <c r="P101" s="19">
        <f>SIAF!$BE32*D101+SIAF!$BF32*H101+SIAF!$BG32*D101^2+SIAF!$BH32*D101*H101+SIAF!$BG32*H101^2</f>
        <v>-128.84607338564859</v>
      </c>
      <c r="Q101" s="19">
        <f>SIAF!$BE32*E101+SIAF!$BF32*I101+SIAF!$BG32*E101^2+SIAF!$BH32*E101*I101+SIAF!$BG32*I101^2</f>
        <v>-128.03388238263759</v>
      </c>
      <c r="R101" s="19">
        <f>SIAF!$BE32*F101+SIAF!$BF32*J101+SIAF!$BG32*F101^2+SIAF!$BH32*F101*J101+SIAF!$BG32*J101^2</f>
        <v>6.5816782588926399</v>
      </c>
      <c r="S101" s="19">
        <f>SIAF!$BE32*G101+SIAF!$BF32*K101+SIAF!$BG32*G101^2+SIAF!$BH32*G101*K101+SIAF!$BG32*K101^2</f>
        <v>5.9000255690806327</v>
      </c>
      <c r="T101" s="20">
        <f>RADIANS(SIAF!R32)</f>
        <v>-9.9481323902723996E-3</v>
      </c>
      <c r="U101" s="19">
        <f>SIAF!$P32+SIAF!$S32*L101*COS($T101)+P101*SIN($T101)</f>
        <v>-222.67239641306136</v>
      </c>
      <c r="V101" s="19">
        <f>SIAF!$P32+SIAF!$S32*M101*COS($T101)+Q101*SIN($T101)</f>
        <v>-356.40526339624284</v>
      </c>
      <c r="W101" s="19">
        <f>SIAF!$P32+SIAF!$S32*N101*COS($T101)+R101*SIN($T101)</f>
        <v>-357.72056270317631</v>
      </c>
      <c r="X101" s="19">
        <f>SIAF!$P32+SIAF!$S32*O101*COS($T101)+S101*SIN($T101)</f>
        <v>-223.84151552633242</v>
      </c>
      <c r="Y101" s="19">
        <f t="shared" si="272"/>
        <v>-222.67239641306136</v>
      </c>
      <c r="Z101" s="19">
        <f>SIAF!$Q32-SIAF!$S32*L101*SIN($T101)+P101*COS($T101)</f>
        <v>-764.46682448020943</v>
      </c>
      <c r="AA101" s="19">
        <f>SIAF!$Q32-SIAF!$S32*M101*SIN($T101)+Q101*COS($T101)</f>
        <v>-764.98502944115273</v>
      </c>
      <c r="AB101" s="19">
        <f>SIAF!$Q32-SIAF!$S32*N101*SIN($T101)+R101*COS($T101)</f>
        <v>-630.37589259100423</v>
      </c>
      <c r="AC101" s="19">
        <f>SIAF!$Q32-SIAF!$S32*O101*SIN($T101)+S101*COS($T101)</f>
        <v>-629.72568858931766</v>
      </c>
      <c r="AD101" s="19">
        <f t="shared" si="273"/>
        <v>-764.46682448020943</v>
      </c>
    </row>
    <row r="102" spans="1:30">
      <c r="A102" t="str">
        <f>SIAF!B33</f>
        <v>NIS_AMIFULL</v>
      </c>
      <c r="B102" s="19">
        <f>B$73+SIAF!S33*D32*COS(RADIANS(SIAF!R33))+S32*SIN(RADIANS(SIAF!R33))</f>
        <v>-293.73531671180052</v>
      </c>
      <c r="C102" s="19">
        <f>C$73-SIAF!S33*D32*SIN(RADIANS(SIAF!R33))+S32*COS(RADIANS(SIAF!R33))</f>
        <v>-762.31178779737411</v>
      </c>
      <c r="D102">
        <f>-SIAF!L33+0.5</f>
        <v>-1089.5</v>
      </c>
      <c r="E102" s="100">
        <f>-SIAF!L33+SIAF!J33+0.5</f>
        <v>958.5</v>
      </c>
      <c r="F102" s="100">
        <f t="shared" ref="F102:F103" si="274">E102</f>
        <v>958.5</v>
      </c>
      <c r="G102" s="100">
        <f t="shared" ref="G102:G103" si="275">D102</f>
        <v>-1089.5</v>
      </c>
      <c r="H102" s="100">
        <f>-SIAF!M33+0.5</f>
        <v>-40.5</v>
      </c>
      <c r="I102">
        <f t="shared" ref="I102:I103" si="276">H102</f>
        <v>-40.5</v>
      </c>
      <c r="J102">
        <f>-SIAF!M33+SIAF!K33+0.5</f>
        <v>2007.5</v>
      </c>
      <c r="K102">
        <f t="shared" ref="K102:K103" si="277">J102</f>
        <v>2007.5</v>
      </c>
      <c r="L102" s="19">
        <f>SIAF!$AJ33*D102+SIAF!$AK33*H102+SIAF!$AL33*D102^2+SIAF!$AM33*D102*H102+SIAF!$AN33*H102^2</f>
        <v>-71.271557942411263</v>
      </c>
      <c r="M102" s="19">
        <f>SIAF!$AJ33*E102+SIAF!$AK33*I102+SIAF!$AL33*E102^2+SIAF!$AM33*E102*I102+SIAF!$AN33*I102^2</f>
        <v>62.641783382235303</v>
      </c>
      <c r="N102" s="19">
        <f>SIAF!$AJ33*F102+SIAF!$AK33*J102+SIAF!$AL33*F102^2+SIAF!$AM33*F102*J102+SIAF!$AN33*J102^2</f>
        <v>62.702020399891367</v>
      </c>
      <c r="O102" s="19">
        <f>SIAF!$AJ33*G102+SIAF!$AK33*K102+SIAF!$AL33*G102^2+SIAF!$AM33*G102*K102+SIAF!$AN33*K102^2</f>
        <v>-71.349093124473995</v>
      </c>
      <c r="P102" s="19">
        <f>SIAF!$BE33*D102+SIAF!$BF33*H102+SIAF!$BG33*D102^2+SIAF!$BH33*D102*H102+SIAF!$BG33*H102^2</f>
        <v>-2.9100929582359543</v>
      </c>
      <c r="Q102" s="19">
        <f>SIAF!$BE33*E102+SIAF!$BF33*I102+SIAF!$BG33*E102^2+SIAF!$BH33*E102*I102+SIAF!$BG33*I102^2</f>
        <v>-2.3472929075521436</v>
      </c>
      <c r="R102" s="19">
        <f>SIAF!$BE33*F102+SIAF!$BF33*J102+SIAF!$BG33*F102^2+SIAF!$BH33*F102*J102+SIAF!$BG33*J102^2</f>
        <v>132.82003422485536</v>
      </c>
      <c r="S102" s="19">
        <f>SIAF!$BE33*G102+SIAF!$BF33*K102+SIAF!$BG33*G102^2+SIAF!$BH33*G102*K102+SIAF!$BG33*K102^2</f>
        <v>132.15505281380564</v>
      </c>
      <c r="T102" s="20">
        <f>RADIANS(SIAF!R33)</f>
        <v>-9.9481323902723996E-3</v>
      </c>
      <c r="U102" s="19">
        <f>SIAF!$P33+SIAF!$S33*L102*COS($T102)+P102*SIN($T102)</f>
        <v>-222.43833593470561</v>
      </c>
      <c r="V102" s="19">
        <f>SIAF!$P33+SIAF!$S33*M102*COS($T102)+Q102*SIN($T102)</f>
        <v>-356.3506496415194</v>
      </c>
      <c r="W102" s="19">
        <f>SIAF!$P33+SIAF!$S33*N102*COS($T102)+R102*SIN($T102)</f>
        <v>-357.75552396461126</v>
      </c>
      <c r="X102" s="19">
        <f>SIAF!$P33+SIAF!$S33*O102*COS($T102)+S102*SIN($T102)</f>
        <v>-223.70442837842441</v>
      </c>
      <c r="Y102" s="19">
        <f t="shared" ref="Y102:Y103" si="278">U102</f>
        <v>-222.43833593470561</v>
      </c>
      <c r="Z102" s="19">
        <f>SIAF!$Q33-SIAF!$S33*L102*SIN($T102)+P102*COS($T102)</f>
        <v>-764.51272955821685</v>
      </c>
      <c r="AA102" s="19">
        <f>SIAF!$Q33-SIAF!$S33*M102*SIN($T102)+Q102*COS($T102)</f>
        <v>-765.28212303118175</v>
      </c>
      <c r="AB102" s="19">
        <f>SIAF!$Q33-SIAF!$S33*N102*SIN($T102)+R102*COS($T102)</f>
        <v>-630.12208351966842</v>
      </c>
      <c r="AC102" s="19">
        <f>SIAF!$Q33-SIAF!$S33*O102*SIN($T102)+S102*COS($T102)</f>
        <v>-629.45349579742845</v>
      </c>
      <c r="AD102" s="19">
        <f t="shared" ref="AD102:AD103" si="279">Z102</f>
        <v>-764.51272955821685</v>
      </c>
    </row>
    <row r="103" spans="1:30">
      <c r="A103" t="str">
        <f>SIAF!B34</f>
        <v>NIS_SOSSFULL</v>
      </c>
      <c r="B103" s="19">
        <f>B$73+SIAF!S34*D33*COS(RADIANS(SIAF!R34))+S33*SIN(RADIANS(SIAF!R34))</f>
        <v>-351.04655769734256</v>
      </c>
      <c r="C103" s="19">
        <f>C$73-SIAF!S34*D33*SIN(RADIANS(SIAF!R34))+S33*COS(RADIANS(SIAF!R34))</f>
        <v>-686.28330929230776</v>
      </c>
      <c r="D103">
        <f>-SIAF!L34+0.5</f>
        <v>-1954.5</v>
      </c>
      <c r="E103" s="100">
        <f>-SIAF!L34+SIAF!J34+0.5</f>
        <v>93.5</v>
      </c>
      <c r="F103" s="100">
        <f t="shared" si="274"/>
        <v>93.5</v>
      </c>
      <c r="G103" s="100">
        <f t="shared" si="275"/>
        <v>-1954.5</v>
      </c>
      <c r="H103" s="100">
        <f>-SIAF!M34+0.5</f>
        <v>-1198.5</v>
      </c>
      <c r="I103">
        <f t="shared" si="276"/>
        <v>-1198.5</v>
      </c>
      <c r="J103">
        <f>-SIAF!M34+SIAF!K34+0.5</f>
        <v>849.5</v>
      </c>
      <c r="K103">
        <f t="shared" si="277"/>
        <v>849.5</v>
      </c>
      <c r="L103" s="19">
        <f>SIAF!$AJ34*D103+SIAF!$AK34*H103+SIAF!$AL34*D103^2+SIAF!$AM34*D103*H103+SIAF!$AN34*H103^2</f>
        <v>-127.75772518767171</v>
      </c>
      <c r="M103" s="19">
        <f>SIAF!$AJ34*E103+SIAF!$AK34*I103+SIAF!$AL34*E103^2+SIAF!$AM34*E103*I103+SIAF!$AN34*I103^2</f>
        <v>6.0962964461529952</v>
      </c>
      <c r="N103" s="19">
        <f>SIAF!$AJ34*F103+SIAF!$AK34*J103+SIAF!$AL34*F103^2+SIAF!$AM34*F103*J103+SIAF!$AN34*J103^2</f>
        <v>6.1120776932629983</v>
      </c>
      <c r="O103" s="19">
        <f>SIAF!$AJ34*G103+SIAF!$AK34*K103+SIAF!$AL34*G103^2+SIAF!$AM34*G103*K103+SIAF!$AN34*K103^2</f>
        <v>-127.84771083050046</v>
      </c>
      <c r="P103" s="19">
        <f>SIAF!$BE34*D103+SIAF!$BF34*H103+SIAF!$BG34*D103^2+SIAF!$BH34*D103*H103+SIAF!$BG34*H103^2</f>
        <v>-79.545586887016569</v>
      </c>
      <c r="Q103" s="19">
        <f>SIAF!$BE34*E103+SIAF!$BF34*I103+SIAF!$BG34*E103^2+SIAF!$BH34*E103*I103+SIAF!$BG34*I103^2</f>
        <v>-78.886105113526227</v>
      </c>
      <c r="R103" s="19">
        <f>SIAF!$BE34*F103+SIAF!$BF34*J103+SIAF!$BG34*F103^2+SIAF!$BH34*F103*J103+SIAF!$BG34*J103^2</f>
        <v>56.049075776925719</v>
      </c>
      <c r="S103" s="19">
        <f>SIAF!$BE34*G103+SIAF!$BF34*K103+SIAF!$BG34*G103^2+SIAF!$BH34*G103*K103+SIAF!$BG34*K103^2</f>
        <v>55.421478519807572</v>
      </c>
      <c r="T103" s="20">
        <f>RADIANS(SIAF!R34)</f>
        <v>-9.9481323902723996E-3</v>
      </c>
      <c r="U103" s="19">
        <f>SIAF!$P34+SIAF!$S34*L103*COS($T103)+P103*SIN($T103)</f>
        <v>-222.50383727366105</v>
      </c>
      <c r="V103" s="19">
        <f>SIAF!$P34+SIAF!$S34*M103*COS($T103)+Q103*SIN($T103)</f>
        <v>-356.35779601163944</v>
      </c>
      <c r="W103" s="19">
        <f>SIAF!$P34+SIAF!$S34*N103*COS($T103)+R103*SIN($T103)</f>
        <v>-357.71590738050037</v>
      </c>
      <c r="X103" s="19">
        <f>SIAF!$P34+SIAF!$S34*O103*COS($T103)+S103*SIN($T103)</f>
        <v>-223.75650417232632</v>
      </c>
      <c r="Y103" s="19">
        <f t="shared" si="278"/>
        <v>-222.50383727366105</v>
      </c>
      <c r="Z103" s="19">
        <f>SIAF!$Q34-SIAF!$S34*L103*SIN($T103)+P103*COS($T103)</f>
        <v>-764.55403028303192</v>
      </c>
      <c r="AA103" s="19">
        <f>SIAF!$Q34-SIAF!$S34*M103*SIN($T103)+Q103*COS($T103)</f>
        <v>-765.22615670681671</v>
      </c>
      <c r="AB103" s="19">
        <f>SIAF!$Q34-SIAF!$S34*N103*SIN($T103)+R103*COS($T103)</f>
        <v>-630.29780970554145</v>
      </c>
      <c r="AC103" s="19">
        <f>SIAF!$Q34-SIAF!$S34*O103*SIN($T103)+S103*COS($T103)</f>
        <v>-629.59274817743392</v>
      </c>
      <c r="AD103" s="19">
        <f t="shared" si="279"/>
        <v>-764.55403028303192</v>
      </c>
    </row>
    <row r="107" spans="1:30">
      <c r="B107" t="s">
        <v>122</v>
      </c>
      <c r="C107" t="s">
        <v>129</v>
      </c>
      <c r="D107" t="s">
        <v>123</v>
      </c>
      <c r="E107" s="100" t="s">
        <v>124</v>
      </c>
      <c r="F107" s="100" t="s">
        <v>125</v>
      </c>
      <c r="G107" s="100" t="s">
        <v>126</v>
      </c>
      <c r="H107" s="100" t="s">
        <v>127</v>
      </c>
      <c r="I107" t="s">
        <v>128</v>
      </c>
      <c r="O107" s="12"/>
    </row>
    <row r="108" spans="1:30">
      <c r="A108" t="str">
        <f t="shared" ref="A108:A137" si="280">A72</f>
        <v>NIS_CEN_OSS</v>
      </c>
      <c r="B108">
        <f>SIAF!S3</f>
        <v>1</v>
      </c>
      <c r="C108" s="12">
        <f>RADIANS(SIAF!R3)</f>
        <v>-9.9481323902723996E-3</v>
      </c>
      <c r="D108" s="17">
        <f>B108*SIAF!AJ3*COS(C108)+SIAF!BE3*SIN(C108)</f>
        <v>6.5397583872154316E-2</v>
      </c>
      <c r="E108" s="100">
        <f>B108*SIAF!AK3*COS(C108)+SIAF!BF3*SIN(C108)</f>
        <v>6.5550394675125898E-4</v>
      </c>
      <c r="F108" s="100">
        <f>-B108*SIAF!AJ3*SIN(C108)+SIAF!BE3*COS(C108)</f>
        <v>3.4979828630082708E-4</v>
      </c>
      <c r="G108" s="100">
        <f>-B108*SIAF!AK3*SIN(C108)+SIAF!BF3*COS(C108)</f>
        <v>-6.5889987872795652E-2</v>
      </c>
      <c r="H108" s="100">
        <f t="shared" ref="H108" si="281">DEGREES(ATAN2(F108,D108))</f>
        <v>89.693539528960841</v>
      </c>
      <c r="I108" s="12">
        <f>DEGREES(ATAN2(G108,E108))</f>
        <v>179.430014</v>
      </c>
    </row>
    <row r="109" spans="1:30">
      <c r="A109" t="str">
        <f t="shared" si="280"/>
        <v>NIS_CEN</v>
      </c>
      <c r="B109">
        <f>SIAF!S4</f>
        <v>-1</v>
      </c>
      <c r="C109" s="12">
        <f>RADIANS(SIAF!R4)</f>
        <v>-9.9481323902723996E-3</v>
      </c>
      <c r="D109" s="17">
        <f>B109*SIAF!AJ4*COS(C109)+SIAF!BE4*SIN(C109)</f>
        <v>-6.5397583872154316E-2</v>
      </c>
      <c r="E109" s="100">
        <f>B109*SIAF!AK4*COS(C109)+SIAF!BF4*SIN(C109)</f>
        <v>-6.5550394675124618E-4</v>
      </c>
      <c r="F109" s="100">
        <f>-B109*SIAF!AJ4*SIN(C109)+SIAF!BE4*COS(C109)</f>
        <v>-3.4979828630081407E-4</v>
      </c>
      <c r="G109" s="100">
        <f>-B109*SIAF!AK4*SIN(C109)+SIAF!BF4*COS(C109)</f>
        <v>6.5889987872795652E-2</v>
      </c>
      <c r="H109" s="100">
        <f t="shared" ref="H109:H129" si="282">DEGREES(ATAN2(F109,D109))</f>
        <v>-90.306460471039145</v>
      </c>
      <c r="I109" s="12">
        <f t="shared" ref="I109:I129" si="283">DEGREES(ATAN2(G109,E109))</f>
        <v>-0.56998599999999988</v>
      </c>
    </row>
    <row r="110" spans="1:30">
      <c r="A110" t="str">
        <f t="shared" si="280"/>
        <v>NIS_AMI1</v>
      </c>
      <c r="B110">
        <f>SIAF!S5</f>
        <v>-1</v>
      </c>
      <c r="C110" s="12">
        <f>RADIANS(SIAF!R5)</f>
        <v>-9.9481323902723996E-3</v>
      </c>
      <c r="D110" s="17">
        <f>B110*SIAF!AJ5*COS(C110)+SIAF!BE5*SIN(C110)</f>
        <v>-6.5384310709767024E-2</v>
      </c>
      <c r="E110" s="100">
        <f>B110*SIAF!AK5*COS(C110)+SIAF!BF5*SIN(C110)</f>
        <v>-6.6361276114849108E-4</v>
      </c>
      <c r="F110" s="100">
        <f>-B110*SIAF!AJ5*SIN(C110)+SIAF!BE5*COS(C110)</f>
        <v>-3.6752800180354272E-4</v>
      </c>
      <c r="G110" s="100">
        <f>-B110*SIAF!AK5*SIN(C110)+SIAF!BF5*COS(C110)</f>
        <v>6.5865771156141215E-2</v>
      </c>
      <c r="H110" s="100">
        <f t="shared" si="282"/>
        <v>-90.322058630735768</v>
      </c>
      <c r="I110" s="12">
        <f t="shared" si="283"/>
        <v>-0.5772485967715707</v>
      </c>
    </row>
    <row r="111" spans="1:30">
      <c r="A111" t="str">
        <f t="shared" si="280"/>
        <v>NIS_AMI2</v>
      </c>
      <c r="B111">
        <f>SIAF!S6</f>
        <v>-1</v>
      </c>
      <c r="C111" s="12">
        <f>RADIANS(SIAF!R6)</f>
        <v>-9.9481323902723996E-3</v>
      </c>
      <c r="D111" s="17">
        <f>B111*SIAF!AJ6*COS(C111)+SIAF!BE6*SIN(C111)</f>
        <v>-6.538650364068134E-2</v>
      </c>
      <c r="E111" s="100">
        <f>B111*SIAF!AK6*COS(C111)+SIAF!BF6*SIN(C111)</f>
        <v>-6.6253504088397178E-4</v>
      </c>
      <c r="F111" s="100">
        <f>-B111*SIAF!AJ6*SIN(C111)+SIAF!BE6*COS(C111)</f>
        <v>-3.701874463765868E-4</v>
      </c>
      <c r="G111" s="100">
        <f>-B111*SIAF!AK6*SIN(C111)+SIAF!BF6*COS(C111)</f>
        <v>6.5864728869626757E-2</v>
      </c>
      <c r="H111" s="100">
        <f t="shared" si="282"/>
        <v>-90.324378128722174</v>
      </c>
      <c r="I111" s="12">
        <f t="shared" si="283"/>
        <v>-0.57632031621140456</v>
      </c>
    </row>
    <row r="112" spans="1:30">
      <c r="A112" t="str">
        <f t="shared" si="280"/>
        <v>NIS_AMI3</v>
      </c>
      <c r="B112">
        <f>SIAF!S7</f>
        <v>-1</v>
      </c>
      <c r="C112" s="12">
        <f>RADIANS(SIAF!R7)</f>
        <v>-9.9481323902723996E-3</v>
      </c>
      <c r="D112" s="17">
        <f>B112*SIAF!AJ7*COS(C112)+SIAF!BE7*SIN(C112)</f>
        <v>-6.5385420428803895E-2</v>
      </c>
      <c r="E112" s="100">
        <f>B112*SIAF!AK7*COS(C112)+SIAF!BF7*SIN(C112)</f>
        <v>-6.6283596435427977E-4</v>
      </c>
      <c r="F112" s="100">
        <f>-B112*SIAF!AJ7*SIN(C112)+SIAF!BE7*COS(C112)</f>
        <v>-3.7097329288941875E-4</v>
      </c>
      <c r="G112" s="100">
        <f>-B112*SIAF!AK7*SIN(C112)+SIAF!BF7*COS(C112)</f>
        <v>6.5865515062697805E-2</v>
      </c>
      <c r="H112" s="100">
        <f t="shared" si="282"/>
        <v>-90.325072100018772</v>
      </c>
      <c r="I112" s="12">
        <f t="shared" si="283"/>
        <v>-0.57657518146460818</v>
      </c>
    </row>
    <row r="113" spans="1:12">
      <c r="A113" t="str">
        <f t="shared" si="280"/>
        <v>NIS_AMI4</v>
      </c>
      <c r="B113">
        <f>SIAF!S8</f>
        <v>-1</v>
      </c>
      <c r="C113" s="12">
        <f>RADIANS(SIAF!R8)</f>
        <v>-9.9481323902723996E-3</v>
      </c>
      <c r="D113" s="17">
        <f>B113*SIAF!AJ8*COS(C113)+SIAF!BE8*SIN(C113)</f>
        <v>-6.5382897178983018E-2</v>
      </c>
      <c r="E113" s="100">
        <f>B113*SIAF!AK8*COS(C113)+SIAF!BF8*SIN(C113)</f>
        <v>-6.6427630675139956E-4</v>
      </c>
      <c r="F113" s="100">
        <f>-B113*SIAF!AJ8*SIN(C113)+SIAF!BE8*COS(C113)</f>
        <v>-3.6640283951878153E-4</v>
      </c>
      <c r="G113" s="100">
        <f>-B113*SIAF!AK8*SIN(C113)+SIAF!BF8*COS(C113)</f>
        <v>6.5866548923965054E-2</v>
      </c>
      <c r="H113" s="100">
        <f t="shared" si="282"/>
        <v>-90.321079631761378</v>
      </c>
      <c r="I113" s="12">
        <f t="shared" si="283"/>
        <v>-0.57781892519380962</v>
      </c>
    </row>
    <row r="114" spans="1:12">
      <c r="A114" t="str">
        <f t="shared" si="280"/>
        <v>NIS_AMITA</v>
      </c>
      <c r="B114">
        <f>SIAF!S9</f>
        <v>-1</v>
      </c>
      <c r="C114" s="12">
        <f>RADIANS(SIAF!R9)</f>
        <v>-9.9481323902723996E-3</v>
      </c>
      <c r="D114" s="17">
        <f>B114*SIAF!AJ9*COS(C114)+SIAF!BE9*SIN(C114)</f>
        <v>-6.5386772572942148E-2</v>
      </c>
      <c r="E114" s="100">
        <f>B114*SIAF!AK9*COS(C114)+SIAF!BF9*SIN(C114)</f>
        <v>-6.627283462643191E-4</v>
      </c>
      <c r="F114" s="100">
        <f>-B114*SIAF!AJ9*SIN(C114)+SIAF!BE9*COS(C114)</f>
        <v>-3.6623421978955798E-4</v>
      </c>
      <c r="G114" s="100">
        <f>-B114*SIAF!AK9*SIN(C114)+SIAF!BF9*COS(C114)</f>
        <v>6.5864551101570842E-2</v>
      </c>
      <c r="H114" s="100">
        <f t="shared" si="282"/>
        <v>-90.320912852163644</v>
      </c>
      <c r="I114" s="12">
        <f t="shared" si="283"/>
        <v>-0.57649001153012303</v>
      </c>
      <c r="L114" s="12"/>
    </row>
    <row r="115" spans="1:12">
      <c r="A115" t="str">
        <f t="shared" si="280"/>
        <v>NIS_SOSSTA</v>
      </c>
      <c r="B115">
        <f>SIAF!S10</f>
        <v>-1</v>
      </c>
      <c r="C115" s="12">
        <f>RADIANS(SIAF!R10)</f>
        <v>-9.9481323902723996E-3</v>
      </c>
      <c r="D115" s="17">
        <f>B115*SIAF!AJ10*COS(C115)+SIAF!BE10*SIN(C115)</f>
        <v>-6.5357121584166178E-2</v>
      </c>
      <c r="E115" s="100">
        <f>B115*SIAF!AK10*COS(C115)+SIAF!BF10*SIN(C115)</f>
        <v>-6.5916785912590995E-4</v>
      </c>
      <c r="F115" s="100">
        <f>-B115*SIAF!AJ10*SIN(C115)+SIAF!BE10*COS(C115)</f>
        <v>-2.6073909786199115E-4</v>
      </c>
      <c r="G115" s="100">
        <f>-B115*SIAF!AK10*SIN(C115)+SIAF!BF10*COS(C115)</f>
        <v>6.5898087286151624E-2</v>
      </c>
      <c r="H115" s="100">
        <f t="shared" si="282"/>
        <v>-90.22857754815162</v>
      </c>
      <c r="I115" s="12">
        <f t="shared" si="283"/>
        <v>-0.57310125858120897</v>
      </c>
    </row>
    <row r="116" spans="1:12">
      <c r="A116" t="str">
        <f t="shared" si="280"/>
        <v>NIS_WFSS_OFFSET</v>
      </c>
      <c r="B116">
        <f>SIAF!S11</f>
        <v>-1</v>
      </c>
      <c r="C116" s="12">
        <f>RADIANS(SIAF!R11)</f>
        <v>-9.9481323902723996E-3</v>
      </c>
      <c r="D116" s="17">
        <f>B116*SIAF!AJ11*COS(C116)+SIAF!BE11*SIN(C116)</f>
        <v>-6.5397697774039212E-2</v>
      </c>
      <c r="E116" s="100">
        <f>B116*SIAF!AK11*COS(C116)+SIAF!BF11*SIN(C116)</f>
        <v>-6.5553315330510822E-4</v>
      </c>
      <c r="F116" s="100">
        <f>-B116*SIAF!AJ11*SIN(C116)+SIAF!BE11*COS(C116)</f>
        <v>-3.5008770857874951E-4</v>
      </c>
      <c r="G116" s="100">
        <f>-B116*SIAF!AK11*SIN(C116)+SIAF!BF11*COS(C116)</f>
        <v>6.5889902863515398E-2</v>
      </c>
      <c r="H116" s="100">
        <f t="shared" ref="H116" si="284">DEGREES(ATAN2(F116,D116))</f>
        <v>-90.306713496681112</v>
      </c>
      <c r="I116" s="12">
        <f t="shared" ref="I116" si="285">DEGREES(ATAN2(G116,E116))</f>
        <v>-0.5700121299149985</v>
      </c>
    </row>
    <row r="117" spans="1:12">
      <c r="A117" t="str">
        <f t="shared" si="280"/>
        <v>NIS_WFSS64</v>
      </c>
      <c r="B117">
        <f>SIAF!S12</f>
        <v>-1</v>
      </c>
      <c r="C117" s="12">
        <f>RADIANS(SIAF!R12)</f>
        <v>-9.9481323902723996E-3</v>
      </c>
      <c r="D117" s="17">
        <f>B117*SIAF!AJ12*COS(C117)+SIAF!BE12*SIN(C117)</f>
        <v>-6.5381770605836692E-2</v>
      </c>
      <c r="E117" s="100">
        <f>B117*SIAF!AK12*COS(C117)+SIAF!BF12*SIN(C117)</f>
        <v>-6.680353676283287E-4</v>
      </c>
      <c r="F117" s="100">
        <f>-B117*SIAF!AJ12*SIN(C117)+SIAF!BE12*COS(C117)</f>
        <v>-2.7565486101212403E-4</v>
      </c>
      <c r="G117" s="100">
        <f>-B117*SIAF!AK12*SIN(C117)+SIAF!BF12*COS(C117)</f>
        <v>6.5741645129994766E-2</v>
      </c>
      <c r="H117" s="100">
        <f t="shared" si="282"/>
        <v>-90.241562233822833</v>
      </c>
      <c r="I117" s="12">
        <f t="shared" si="283"/>
        <v>-0.58219245553743604</v>
      </c>
    </row>
    <row r="118" spans="1:12">
      <c r="A118" t="str">
        <f t="shared" si="280"/>
        <v>NIS_WFSS64R</v>
      </c>
      <c r="B118">
        <f>SIAF!S13</f>
        <v>-1</v>
      </c>
      <c r="C118" s="12">
        <f>RADIANS(SIAF!R13)</f>
        <v>-9.9481323902723996E-3</v>
      </c>
      <c r="D118" s="17">
        <f>B118*SIAF!AJ13*COS(C118)+SIAF!BE13*SIN(C118)</f>
        <v>-6.5342719625141432E-2</v>
      </c>
      <c r="E118" s="100">
        <f>B118*SIAF!AK13*COS(C118)+SIAF!BF13*SIN(C118)</f>
        <v>-6.6899550859727164E-4</v>
      </c>
      <c r="F118" s="100">
        <f>-B118*SIAF!AJ13*SIN(C118)+SIAF!BE13*COS(C118)</f>
        <v>-2.5430057420632116E-4</v>
      </c>
      <c r="G118" s="100">
        <f>-B118*SIAF!AK13*SIN(C118)+SIAF!BF13*COS(C118)</f>
        <v>6.5899442571423453E-2</v>
      </c>
      <c r="H118" s="100">
        <f t="shared" si="282"/>
        <v>-90.222982394256007</v>
      </c>
      <c r="I118" s="12">
        <f t="shared" si="283"/>
        <v>-0.58163318199615166</v>
      </c>
    </row>
    <row r="119" spans="1:12">
      <c r="A119" t="str">
        <f t="shared" si="280"/>
        <v>NIS_WFSS64R3</v>
      </c>
      <c r="B119">
        <f>SIAF!S14</f>
        <v>-1</v>
      </c>
      <c r="C119" s="12">
        <f>RADIANS(SIAF!R14)</f>
        <v>-9.9481323902723996E-3</v>
      </c>
      <c r="D119" s="17">
        <f>B119*SIAF!AJ14*COS(C119)+SIAF!BE14*SIN(C119)</f>
        <v>-6.5371759644758332E-2</v>
      </c>
      <c r="E119" s="100">
        <f>B119*SIAF!AK14*COS(C119)+SIAF!BF14*SIN(C119)</f>
        <v>-6.6214322730648377E-4</v>
      </c>
      <c r="F119" s="100">
        <f>-B119*SIAF!AJ14*SIN(C119)+SIAF!BE14*COS(C119)</f>
        <v>-2.665995432796659E-4</v>
      </c>
      <c r="G119" s="100">
        <f>-B119*SIAF!AK14*SIN(C119)+SIAF!BF14*COS(C119)</f>
        <v>6.5824869402638347E-2</v>
      </c>
      <c r="H119" s="100">
        <f t="shared" si="282"/>
        <v>-90.233662732199761</v>
      </c>
      <c r="I119" s="12">
        <f t="shared" si="283"/>
        <v>-0.57632826576150875</v>
      </c>
    </row>
    <row r="120" spans="1:12">
      <c r="A120" t="str">
        <f t="shared" si="280"/>
        <v>NIS_WFSS64C</v>
      </c>
      <c r="B120">
        <f>SIAF!S15</f>
        <v>-1</v>
      </c>
      <c r="C120" s="12">
        <f>RADIANS(SIAF!R15)</f>
        <v>-9.9481323902723996E-3</v>
      </c>
      <c r="D120" s="17">
        <f>B120*SIAF!AJ15*COS(C120)+SIAF!BE15*SIN(C120)</f>
        <v>-6.539894862464854E-2</v>
      </c>
      <c r="E120" s="100">
        <f>B120*SIAF!AK15*COS(C120)+SIAF!BF15*SIN(C120)</f>
        <v>-6.5222575538737742E-4</v>
      </c>
      <c r="F120" s="100">
        <f>-B120*SIAF!AJ15*SIN(C120)+SIAF!BE15*COS(C120)</f>
        <v>-3.3320895234884951E-4</v>
      </c>
      <c r="G120" s="100">
        <f>-B120*SIAF!AK15*SIN(C120)+SIAF!BF15*COS(C120)</f>
        <v>6.5736841289322098E-2</v>
      </c>
      <c r="H120" s="100">
        <f t="shared" si="282"/>
        <v>-90.291920617528461</v>
      </c>
      <c r="I120" s="12">
        <f t="shared" si="283"/>
        <v>-0.56845683740027964</v>
      </c>
    </row>
    <row r="121" spans="1:12">
      <c r="A121" t="str">
        <f t="shared" si="280"/>
        <v>NIS_WFSS64C3</v>
      </c>
      <c r="B121">
        <f>SIAF!S16</f>
        <v>-1</v>
      </c>
      <c r="C121" s="12">
        <f>RADIANS(SIAF!R16)</f>
        <v>-9.9481323902723996E-3</v>
      </c>
      <c r="D121" s="17">
        <f>B121*SIAF!AJ16*COS(C121)+SIAF!BE16*SIN(C121)</f>
        <v>-6.5378666846225106E-2</v>
      </c>
      <c r="E121" s="100">
        <f>B121*SIAF!AK16*COS(C121)+SIAF!BF16*SIN(C121)</f>
        <v>-6.5919323697722037E-4</v>
      </c>
      <c r="F121" s="100">
        <f>-B121*SIAF!AJ16*SIN(C121)+SIAF!BE16*COS(C121)</f>
        <v>-2.8606268982198752E-4</v>
      </c>
      <c r="G121" s="100">
        <f>-B121*SIAF!AK16*SIN(C121)+SIAF!BF16*COS(C121)</f>
        <v>6.5749383575741879E-2</v>
      </c>
      <c r="H121" s="100">
        <f t="shared" si="282"/>
        <v>-90.250694622562932</v>
      </c>
      <c r="I121" s="12">
        <f t="shared" si="283"/>
        <v>-0.57441945311019726</v>
      </c>
    </row>
    <row r="122" spans="1:12">
      <c r="A122" t="str">
        <f t="shared" si="280"/>
        <v>NIS_WFSS128</v>
      </c>
      <c r="B122">
        <f>SIAF!S17</f>
        <v>-1</v>
      </c>
      <c r="C122" s="12">
        <f>RADIANS(SIAF!R17)</f>
        <v>-9.9481323902723996E-3</v>
      </c>
      <c r="D122" s="17">
        <f>B122*SIAF!AJ17*COS(C122)+SIAF!BE17*SIN(C122)</f>
        <v>-6.5379074070877286E-2</v>
      </c>
      <c r="E122" s="100">
        <f>B122*SIAF!AK17*COS(C122)+SIAF!BF17*SIN(C122)</f>
        <v>-6.6491766857149255E-4</v>
      </c>
      <c r="F122" s="100">
        <f>-B122*SIAF!AJ17*SIN(C122)+SIAF!BE17*COS(C122)</f>
        <v>-2.7570675718375392E-4</v>
      </c>
      <c r="G122" s="100">
        <f>-B122*SIAF!AK17*SIN(C122)+SIAF!BF17*COS(C122)</f>
        <v>6.5760944732419557E-2</v>
      </c>
      <c r="H122" s="100">
        <f t="shared" si="282"/>
        <v>-90.241617675905488</v>
      </c>
      <c r="I122" s="12">
        <f t="shared" si="283"/>
        <v>-0.57930551463095037</v>
      </c>
    </row>
    <row r="123" spans="1:12">
      <c r="A123" t="str">
        <f t="shared" si="280"/>
        <v>NIS_WFSS128R</v>
      </c>
      <c r="B123">
        <f>SIAF!S18</f>
        <v>-1</v>
      </c>
      <c r="C123" s="12">
        <f>RADIANS(SIAF!R18)</f>
        <v>-9.9481323902723996E-3</v>
      </c>
      <c r="D123" s="17">
        <f>B123*SIAF!AJ18*COS(C123)+SIAF!BE18*SIN(C123)</f>
        <v>-6.5344529227914949E-2</v>
      </c>
      <c r="E123" s="100">
        <f>B123*SIAF!AK18*COS(C123)+SIAF!BF18*SIN(C123)</f>
        <v>-6.6794323645695606E-4</v>
      </c>
      <c r="F123" s="100">
        <f>-B123*SIAF!AJ18*SIN(C123)+SIAF!BE18*COS(C123)</f>
        <v>-2.5733231487734255E-4</v>
      </c>
      <c r="G123" s="100">
        <f>-B123*SIAF!AK18*SIN(C123)+SIAF!BF18*COS(C123)</f>
        <v>6.5899322547020828E-2</v>
      </c>
      <c r="H123" s="100">
        <f t="shared" si="282"/>
        <v>-90.225634487389499</v>
      </c>
      <c r="I123" s="12">
        <f t="shared" si="283"/>
        <v>-0.58071944355765537</v>
      </c>
    </row>
    <row r="124" spans="1:12">
      <c r="A124" t="str">
        <f t="shared" si="280"/>
        <v>NIS_WFSS128R3</v>
      </c>
      <c r="B124">
        <f>SIAF!S19</f>
        <v>-1</v>
      </c>
      <c r="C124" s="12">
        <f>RADIANS(SIAF!R19)</f>
        <v>-9.9481323902723996E-3</v>
      </c>
      <c r="D124" s="17">
        <f>B124*SIAF!AJ19*COS(C124)+SIAF!BE19*SIN(C124)</f>
        <v>-6.5371684876176867E-2</v>
      </c>
      <c r="E124" s="100">
        <f>B124*SIAF!AK19*COS(C124)+SIAF!BF19*SIN(C124)</f>
        <v>-6.610892498733269E-4</v>
      </c>
      <c r="F124" s="100">
        <f>-B124*SIAF!AJ19*SIN(C124)+SIAF!BE19*COS(C124)</f>
        <v>-2.6829456829019168E-4</v>
      </c>
      <c r="G124" s="100">
        <f>-B124*SIAF!AK19*SIN(C124)+SIAF!BF19*COS(C124)</f>
        <v>6.5825773318536424E-2</v>
      </c>
      <c r="H124" s="100">
        <f t="shared" si="282"/>
        <v>-90.235148599121899</v>
      </c>
      <c r="I124" s="12">
        <f t="shared" si="283"/>
        <v>-0.57540304646388285</v>
      </c>
    </row>
    <row r="125" spans="1:12">
      <c r="A125" t="str">
        <f t="shared" si="280"/>
        <v>NIS_WFSS128C</v>
      </c>
      <c r="B125">
        <f>SIAF!S20</f>
        <v>-1</v>
      </c>
      <c r="C125" s="12">
        <f>RADIANS(SIAF!R20)</f>
        <v>-9.9481323902723996E-3</v>
      </c>
      <c r="D125" s="17">
        <f>B125*SIAF!AJ20*COS(C125)+SIAF!BE20*SIN(C125)</f>
        <v>-6.5399061536016864E-2</v>
      </c>
      <c r="E125" s="100">
        <f>B125*SIAF!AK20*COS(C125)+SIAF!BF20*SIN(C125)</f>
        <v>-6.5249360201149662E-4</v>
      </c>
      <c r="F125" s="100">
        <f>-B125*SIAF!AJ20*SIN(C125)+SIAF!BE20*COS(C125)</f>
        <v>-3.3463941781654446E-4</v>
      </c>
      <c r="G125" s="100">
        <f>-B125*SIAF!AK20*SIN(C125)+SIAF!BF20*COS(C125)</f>
        <v>6.5748405626120998E-2</v>
      </c>
      <c r="H125" s="100">
        <f t="shared" si="282"/>
        <v>-90.293173304261799</v>
      </c>
      <c r="I125" s="12">
        <f t="shared" si="283"/>
        <v>-0.56859024862623242</v>
      </c>
    </row>
    <row r="126" spans="1:12">
      <c r="A126" t="str">
        <f t="shared" si="280"/>
        <v>NIS_WFSS128C3</v>
      </c>
      <c r="B126">
        <f>SIAF!S21</f>
        <v>-1</v>
      </c>
      <c r="C126" s="12">
        <f>RADIANS(SIAF!R21)</f>
        <v>-9.9481323902723996E-3</v>
      </c>
      <c r="D126" s="17">
        <f>B126*SIAF!AJ21*COS(C126)+SIAF!BE21*SIN(C126)</f>
        <v>-6.5377873843143433E-2</v>
      </c>
      <c r="E126" s="100">
        <f>B126*SIAF!AK21*COS(C126)+SIAF!BF21*SIN(C126)</f>
        <v>-6.5858326788706021E-4</v>
      </c>
      <c r="F126" s="100">
        <f>-B126*SIAF!AJ21*SIN(C126)+SIAF!BE21*COS(C126)</f>
        <v>-2.8545275469244949E-4</v>
      </c>
      <c r="G126" s="100">
        <f>-B126*SIAF!AK21*SIN(C126)+SIAF!BF21*COS(C126)</f>
        <v>6.5761150330291659E-2</v>
      </c>
      <c r="H126" s="100">
        <f t="shared" si="282"/>
        <v>-90.250163139356758</v>
      </c>
      <c r="I126" s="12">
        <f t="shared" si="283"/>
        <v>-0.57378528314614641</v>
      </c>
    </row>
    <row r="127" spans="1:12">
      <c r="A127" t="str">
        <f t="shared" si="280"/>
        <v>NIS_SUB64</v>
      </c>
      <c r="B127">
        <f>SIAF!S22</f>
        <v>-1</v>
      </c>
      <c r="C127" s="12">
        <f>RADIANS(SIAF!R22)</f>
        <v>-9.9481323902723996E-3</v>
      </c>
      <c r="D127" s="17">
        <f>B127*SIAF!AJ22*COS(C127)+SIAF!BE22*SIN(C127)</f>
        <v>-6.5381770605836692E-2</v>
      </c>
      <c r="E127" s="100">
        <f>B127*SIAF!AK22*COS(C127)+SIAF!BF22*SIN(C127)</f>
        <v>-6.680353676283287E-4</v>
      </c>
      <c r="F127" s="100">
        <f>-B127*SIAF!AJ22*SIN(C127)+SIAF!BE22*COS(C127)</f>
        <v>-2.7565486101212403E-4</v>
      </c>
      <c r="G127" s="100">
        <f>-B127*SIAF!AK22*SIN(C127)+SIAF!BF22*COS(C127)</f>
        <v>6.5741645129994766E-2</v>
      </c>
      <c r="H127" s="100">
        <f t="shared" si="282"/>
        <v>-90.241562233822833</v>
      </c>
      <c r="I127" s="12">
        <f t="shared" si="283"/>
        <v>-0.58219245553743604</v>
      </c>
    </row>
    <row r="128" spans="1:12">
      <c r="A128" t="str">
        <f t="shared" si="280"/>
        <v>NIS_SUB128</v>
      </c>
      <c r="B128">
        <f>SIAF!S23</f>
        <v>-1</v>
      </c>
      <c r="C128" s="12">
        <f>RADIANS(SIAF!R23)</f>
        <v>-9.9481323902723996E-3</v>
      </c>
      <c r="D128" s="17">
        <f>B128*SIAF!AJ23*COS(C128)+SIAF!BE23*SIN(C128)</f>
        <v>-6.5379895734204954E-2</v>
      </c>
      <c r="E128" s="100">
        <f>B128*SIAF!AK23*COS(C128)+SIAF!BF23*SIN(C128)</f>
        <v>-6.6589094159524636E-4</v>
      </c>
      <c r="F128" s="100">
        <f>-B128*SIAF!AJ23*SIN(C128)+SIAF!BE23*COS(C128)</f>
        <v>-2.7563774806544896E-4</v>
      </c>
      <c r="G128" s="100">
        <f>-B128*SIAF!AK23*SIN(C128)+SIAF!BF23*COS(C128)</f>
        <v>6.5754824662861922E-2</v>
      </c>
      <c r="H128" s="100">
        <f t="shared" si="282"/>
        <v>-90.241554164226329</v>
      </c>
      <c r="I128" s="12">
        <f t="shared" si="283"/>
        <v>-0.58020740852792807</v>
      </c>
    </row>
    <row r="129" spans="1:9">
      <c r="A129" t="str">
        <f t="shared" si="280"/>
        <v>NIS_SUB256</v>
      </c>
      <c r="B129">
        <f>SIAF!S24</f>
        <v>-1</v>
      </c>
      <c r="C129" s="12">
        <f>RADIANS(SIAF!R24)</f>
        <v>-9.9481323902723996E-3</v>
      </c>
      <c r="D129" s="17">
        <f>B129*SIAF!AJ24*COS(C129)+SIAF!BE24*SIN(C129)</f>
        <v>-6.5376855082686508E-2</v>
      </c>
      <c r="E129" s="100">
        <f>B129*SIAF!AK24*COS(C129)+SIAF!BF24*SIN(C129)</f>
        <v>-6.6213796270879195E-4</v>
      </c>
      <c r="F129" s="100">
        <f>-B129*SIAF!AJ24*SIN(C129)+SIAF!BE24*COS(C129)</f>
        <v>-2.7624019030932415E-4</v>
      </c>
      <c r="G129" s="100">
        <f>-B129*SIAF!AK24*SIN(C129)+SIAF!BF24*COS(C129)</f>
        <v>6.5779009416664022E-2</v>
      </c>
      <c r="H129" s="100">
        <f t="shared" si="282"/>
        <v>-90.242093365085054</v>
      </c>
      <c r="I129" s="12">
        <f t="shared" si="283"/>
        <v>-0.57672545953352694</v>
      </c>
    </row>
    <row r="130" spans="1:9">
      <c r="A130" t="str">
        <f t="shared" si="280"/>
        <v>NIS_SUBAMPCAL</v>
      </c>
      <c r="B130">
        <f>SIAF!S25</f>
        <v>-1</v>
      </c>
      <c r="C130" s="12">
        <f>RADIANS(SIAF!R25)</f>
        <v>-9.9481323902723996E-3</v>
      </c>
      <c r="D130" s="17">
        <f>B130*SIAF!AJ25*COS(C130)+SIAF!BE25*SIN(C130)</f>
        <v>-6.5397583872154316E-2</v>
      </c>
      <c r="E130" s="100">
        <f>B130*SIAF!AK25*COS(C130)+SIAF!BF25*SIN(C130)</f>
        <v>-6.5550394675124618E-4</v>
      </c>
      <c r="F130" s="100">
        <f>-B130*SIAF!AJ25*SIN(C130)+SIAF!BE25*COS(C130)</f>
        <v>-3.4979828630081407E-4</v>
      </c>
      <c r="G130" s="100">
        <f>-B130*SIAF!AK25*SIN(C130)+SIAF!BF25*COS(C130)</f>
        <v>6.5889987872795652E-2</v>
      </c>
      <c r="H130" s="100">
        <f t="shared" ref="H130" si="286">DEGREES(ATAN2(F130,D130))</f>
        <v>-90.306460471039145</v>
      </c>
      <c r="I130" s="12">
        <f t="shared" ref="I130" si="287">DEGREES(ATAN2(G130,E130))</f>
        <v>-0.56998599999999988</v>
      </c>
    </row>
    <row r="131" spans="1:9">
      <c r="A131" t="str">
        <f t="shared" si="280"/>
        <v>NIS_SUBSTRIP96</v>
      </c>
      <c r="B131">
        <f>SIAF!S26</f>
        <v>-1</v>
      </c>
      <c r="C131" s="12">
        <f>RADIANS(SIAF!R26)</f>
        <v>-9.9481323902723996E-3</v>
      </c>
      <c r="D131" s="17">
        <f>B131*SIAF!AJ26*COS(C131)+SIAF!BE26*SIN(C131)</f>
        <v>-6.5357121584166178E-2</v>
      </c>
      <c r="E131" s="100">
        <f>B131*SIAF!AK26*COS(C131)+SIAF!BF26*SIN(C131)</f>
        <v>-6.5916785912590995E-4</v>
      </c>
      <c r="F131" s="100">
        <f>-B131*SIAF!AJ26*SIN(C131)+SIAF!BE26*COS(C131)</f>
        <v>-2.6073909786199115E-4</v>
      </c>
      <c r="G131" s="100">
        <f>-B131*SIAF!AK26*SIN(C131)+SIAF!BF26*COS(C131)</f>
        <v>6.5898087286151624E-2</v>
      </c>
      <c r="H131" s="100">
        <f t="shared" ref="H131:H132" si="288">DEGREES(ATAN2(F131,D131))</f>
        <v>-90.22857754815162</v>
      </c>
      <c r="I131" s="12">
        <f t="shared" ref="I131:I132" si="289">DEGREES(ATAN2(G131,E131))</f>
        <v>-0.57310125858120897</v>
      </c>
    </row>
    <row r="132" spans="1:9">
      <c r="A132" t="str">
        <f t="shared" si="280"/>
        <v>NIS_SUBSTRIP256</v>
      </c>
      <c r="B132">
        <f>SIAF!S27</f>
        <v>-1</v>
      </c>
      <c r="C132" s="12">
        <f>RADIANS(SIAF!R27)</f>
        <v>-9.9481323902723996E-3</v>
      </c>
      <c r="D132" s="17">
        <f>B132*SIAF!AJ27*COS(C132)+SIAF!BE27*SIN(C132)</f>
        <v>-6.5357121584166178E-2</v>
      </c>
      <c r="E132" s="100">
        <f>B132*SIAF!AK27*COS(C132)+SIAF!BF27*SIN(C132)</f>
        <v>-6.5916785912590995E-4</v>
      </c>
      <c r="F132" s="100">
        <f>-B132*SIAF!AJ27*SIN(C132)+SIAF!BE27*COS(C132)</f>
        <v>-2.6073909786199115E-4</v>
      </c>
      <c r="G132" s="100">
        <f>-B132*SIAF!AK27*SIN(C132)+SIAF!BF27*COS(C132)</f>
        <v>6.5898087286151624E-2</v>
      </c>
      <c r="H132" s="100">
        <f t="shared" si="288"/>
        <v>-90.22857754815162</v>
      </c>
      <c r="I132" s="12">
        <f t="shared" si="289"/>
        <v>-0.57310125858120897</v>
      </c>
    </row>
    <row r="133" spans="1:9">
      <c r="A133" t="str">
        <f t="shared" si="280"/>
        <v>NIS_FP1MIMF</v>
      </c>
      <c r="B133">
        <f>SIAF!S28</f>
        <v>-1</v>
      </c>
      <c r="C133" s="12">
        <f>RADIANS(SIAF!R28)</f>
        <v>-9.9481323902723996E-3</v>
      </c>
      <c r="D133" s="17">
        <f>B133*SIAF!AJ28*COS(C133)+SIAF!BE28*SIN(C133)</f>
        <v>-6.5397627779261377E-2</v>
      </c>
      <c r="E133" s="100">
        <f>B133*SIAF!AK28*COS(C133)+SIAF!BF28*SIN(C133)</f>
        <v>-6.5555996396812343E-4</v>
      </c>
      <c r="F133" s="100">
        <f>-B133*SIAF!AJ28*SIN(C133)+SIAF!BE28*COS(C133)</f>
        <v>-3.5005904225401892E-4</v>
      </c>
      <c r="G133" s="100">
        <f>-B133*SIAF!AK28*SIN(C133)+SIAF!BF28*COS(C133)</f>
        <v>6.5889888629736479E-2</v>
      </c>
      <c r="H133" s="100">
        <f t="shared" ref="H133:H137" si="290">DEGREES(ATAN2(F133,D133))</f>
        <v>-90.306688710699106</v>
      </c>
      <c r="I133" s="12">
        <f t="shared" ref="I133:I137" si="291">DEGREES(ATAN2(G133,E133))</f>
        <v>-0.57003556444676851</v>
      </c>
    </row>
    <row r="134" spans="1:9">
      <c r="A134" t="str">
        <f t="shared" si="280"/>
        <v>NIS_FP2MIMF</v>
      </c>
      <c r="B134">
        <f>SIAF!S29</f>
        <v>-1</v>
      </c>
      <c r="C134" s="12">
        <f>RADIANS(SIAF!R29)</f>
        <v>-9.9481323902723996E-3</v>
      </c>
      <c r="D134" s="17">
        <f>B134*SIAF!AJ29*COS(C134)+SIAF!BE29*SIN(C134)</f>
        <v>-6.5357095808405347E-2</v>
      </c>
      <c r="E134" s="100">
        <f>B134*SIAF!AK29*COS(C134)+SIAF!BF29*SIN(C134)</f>
        <v>-6.6489634762837541E-4</v>
      </c>
      <c r="F134" s="100">
        <f>-B134*SIAF!AJ29*SIN(C134)+SIAF!BE29*COS(C134)</f>
        <v>-2.8518395888789329E-4</v>
      </c>
      <c r="G134" s="100">
        <f>-B134*SIAF!AK29*SIN(C134)+SIAF!BF29*COS(C134)</f>
        <v>6.589250208579292E-2</v>
      </c>
      <c r="H134" s="100">
        <f t="shared" si="290"/>
        <v>-90.250007031757193</v>
      </c>
      <c r="I134" s="12">
        <f t="shared" si="291"/>
        <v>-0.5781304462213066</v>
      </c>
    </row>
    <row r="135" spans="1:9">
      <c r="A135" t="str">
        <f t="shared" si="280"/>
        <v>NIS_FP3MIMF</v>
      </c>
      <c r="B135">
        <f>SIAF!S30</f>
        <v>-1</v>
      </c>
      <c r="C135" s="12">
        <f>RADIANS(SIAF!R30)</f>
        <v>-9.9481323902723996E-3</v>
      </c>
      <c r="D135" s="17">
        <f>B135*SIAF!AJ30*COS(C135)+SIAF!BE30*SIN(C135)</f>
        <v>-6.5412884960893133E-2</v>
      </c>
      <c r="E135" s="100">
        <f>B135*SIAF!AK30*COS(C135)+SIAF!BF30*SIN(C135)</f>
        <v>-6.3431259132749331E-4</v>
      </c>
      <c r="F135" s="100">
        <f>-B135*SIAF!AJ30*SIN(C135)+SIAF!BE30*COS(C135)</f>
        <v>-4.634858744248623E-4</v>
      </c>
      <c r="G135" s="100">
        <f>-B135*SIAF!AK30*SIN(C135)+SIAF!BF30*COS(C135)</f>
        <v>6.5842307566325642E-2</v>
      </c>
      <c r="H135" s="100">
        <f t="shared" si="290"/>
        <v>-90.40596497291429</v>
      </c>
      <c r="I135" s="12">
        <f t="shared" si="291"/>
        <v>-0.55195984818241051</v>
      </c>
    </row>
    <row r="136" spans="1:9">
      <c r="A136" t="str">
        <f t="shared" si="280"/>
        <v>NIS_FP4MIMF</v>
      </c>
      <c r="B136">
        <f>SIAF!S31</f>
        <v>-1</v>
      </c>
      <c r="C136" s="12">
        <f>RADIANS(SIAF!R31)</f>
        <v>-9.9481323902723996E-3</v>
      </c>
      <c r="D136" s="17">
        <f>B136*SIAF!AJ31*COS(C136)+SIAF!BE31*SIN(C136)</f>
        <v>-6.541842452816389E-2</v>
      </c>
      <c r="E136" s="100">
        <f>B136*SIAF!AK31*COS(C136)+SIAF!BF31*SIN(C136)</f>
        <v>-6.5607814082281732E-4</v>
      </c>
      <c r="F136" s="100">
        <f>-B136*SIAF!AJ31*SIN(C136)+SIAF!BE31*COS(C136)</f>
        <v>-3.6435782919158252E-4</v>
      </c>
      <c r="G136" s="100">
        <f>-B136*SIAF!AK31*SIN(C136)+SIAF!BF31*COS(C136)</f>
        <v>6.5760617187622064E-2</v>
      </c>
      <c r="H136" s="100">
        <f t="shared" si="290"/>
        <v>-90.319114227118305</v>
      </c>
      <c r="I136" s="12">
        <f t="shared" si="291"/>
        <v>-0.57160749064354854</v>
      </c>
    </row>
    <row r="137" spans="1:9">
      <c r="A137" t="str">
        <f t="shared" si="280"/>
        <v>NIS_FP5MIMF</v>
      </c>
      <c r="B137">
        <f>SIAF!S32</f>
        <v>-1</v>
      </c>
      <c r="C137" s="12">
        <f>RADIANS(SIAF!R32)</f>
        <v>-9.9481323902723996E-3</v>
      </c>
      <c r="D137" s="17">
        <f>B137*SIAF!AJ32*COS(C137)+SIAF!BE32*SIN(C137)</f>
        <v>-6.5378095233950537E-2</v>
      </c>
      <c r="E137" s="100">
        <f>B137*SIAF!AK32*COS(C137)+SIAF!BF32*SIN(C137)</f>
        <v>-6.6372329757097986E-4</v>
      </c>
      <c r="F137" s="100">
        <f>-B137*SIAF!AJ32*SIN(C137)+SIAF!BE32*COS(C137)</f>
        <v>-2.7586899492813773E-4</v>
      </c>
      <c r="G137" s="100">
        <f>-B137*SIAF!AK32*SIN(C137)+SIAF!BF32*COS(C137)</f>
        <v>6.5768591547212249E-2</v>
      </c>
      <c r="H137" s="100">
        <f t="shared" si="290"/>
        <v>-90.241763472048532</v>
      </c>
      <c r="I137" s="12">
        <f t="shared" si="291"/>
        <v>-0.57819776738215489</v>
      </c>
    </row>
    <row r="138" spans="1:9">
      <c r="A138" t="str">
        <f t="shared" ref="A138:A139" si="292">A102</f>
        <v>NIS_AMIFULL</v>
      </c>
      <c r="B138">
        <f>SIAF!S33</f>
        <v>-1</v>
      </c>
      <c r="C138" s="12">
        <f>RADIANS(SIAF!R33)</f>
        <v>-9.9481323902723996E-3</v>
      </c>
      <c r="D138" s="17">
        <f>B138*SIAF!AJ33*COS(C138)+SIAF!BE33*SIN(C138)</f>
        <v>-6.5384310709767024E-2</v>
      </c>
      <c r="E138" s="100">
        <f>B138*SIAF!AK33*COS(C138)+SIAF!BF33*SIN(C138)</f>
        <v>-6.6361276114849108E-4</v>
      </c>
      <c r="F138" s="100">
        <f>-B138*SIAF!AJ33*SIN(C138)+SIAF!BE33*COS(C138)</f>
        <v>-3.6752800180354272E-4</v>
      </c>
      <c r="G138" s="100">
        <f>-B138*SIAF!AK33*SIN(C138)+SIAF!BF33*COS(C138)</f>
        <v>6.5865771156141215E-2</v>
      </c>
      <c r="H138" s="100">
        <f t="shared" ref="H138:H139" si="293">DEGREES(ATAN2(F138,D138))</f>
        <v>-90.322058630735768</v>
      </c>
      <c r="I138" s="12">
        <f t="shared" ref="I138:I139" si="294">DEGREES(ATAN2(G138,E138))</f>
        <v>-0.5772485967715707</v>
      </c>
    </row>
    <row r="139" spans="1:9">
      <c r="A139" t="str">
        <f t="shared" si="292"/>
        <v>NIS_SOSSFULL</v>
      </c>
      <c r="B139">
        <f>SIAF!S34</f>
        <v>-1</v>
      </c>
      <c r="C139" s="12">
        <f>RADIANS(SIAF!R34)</f>
        <v>-9.9481323902723996E-3</v>
      </c>
      <c r="D139" s="17">
        <f>B139*SIAF!AJ34*COS(C139)+SIAF!BE34*SIN(C139)</f>
        <v>-6.5357121584166178E-2</v>
      </c>
      <c r="E139" s="100">
        <f>B139*SIAF!AK34*COS(C139)+SIAF!BF34*SIN(C139)</f>
        <v>-6.5916785912590995E-4</v>
      </c>
      <c r="F139" s="100">
        <f>-B139*SIAF!AJ34*SIN(C139)+SIAF!BE34*COS(C139)</f>
        <v>-2.6073909786199115E-4</v>
      </c>
      <c r="G139" s="100">
        <f>-B139*SIAF!AK34*SIN(C139)+SIAF!BF34*COS(C139)</f>
        <v>6.5898087286151624E-2</v>
      </c>
      <c r="H139" s="100">
        <f t="shared" si="293"/>
        <v>-90.22857754815162</v>
      </c>
      <c r="I139" s="12">
        <f t="shared" si="294"/>
        <v>-0.57310125858120897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0" enableFormatConditionsCalculation="0"/>
  <dimension ref="A1:AD12"/>
  <sheetViews>
    <sheetView workbookViewId="0">
      <selection sqref="A1:C2"/>
    </sheetView>
  </sheetViews>
  <sheetFormatPr baseColWidth="10" defaultColWidth="8.83203125" defaultRowHeight="15" x14ac:dyDescent="0"/>
  <cols>
    <col min="1" max="1" width="24.1640625" customWidth="1"/>
    <col min="2" max="2" width="20.5" customWidth="1"/>
    <col min="3" max="3" width="21.33203125" customWidth="1"/>
    <col min="4" max="4" width="31.6640625" customWidth="1"/>
    <col min="5" max="9" width="10.1640625" customWidth="1"/>
    <col min="10" max="15" width="11.1640625" customWidth="1"/>
    <col min="16" max="16" width="12.83203125" customWidth="1"/>
    <col min="17" max="17" width="11.1640625" customWidth="1"/>
    <col min="18" max="18" width="13.83203125" customWidth="1"/>
    <col min="19" max="19" width="13" customWidth="1"/>
    <col min="20" max="20" width="13.1640625" customWidth="1"/>
    <col min="21" max="21" width="13" customWidth="1"/>
    <col min="22" max="29" width="11.1640625" customWidth="1"/>
    <col min="30" max="30" width="14.1640625" style="28" customWidth="1"/>
    <col min="31" max="31" width="31.1640625" customWidth="1"/>
    <col min="32" max="36" width="11.1640625" customWidth="1"/>
    <col min="37" max="37" width="11.33203125" customWidth="1"/>
    <col min="38" max="99" width="11.1640625" customWidth="1"/>
    <col min="100" max="117" width="12.1640625" customWidth="1"/>
  </cols>
  <sheetData>
    <row r="1" spans="1:30">
      <c r="A1" s="96"/>
      <c r="B1" s="97"/>
      <c r="C1" s="97"/>
      <c r="AD1"/>
    </row>
    <row r="2" spans="1:30">
      <c r="A2" s="96"/>
      <c r="B2" s="97"/>
      <c r="C2" s="97"/>
      <c r="H2" s="22"/>
      <c r="I2" s="22"/>
      <c r="AD2"/>
    </row>
    <row r="3" spans="1:30" ht="26.25" customHeight="1">
      <c r="A3" s="23"/>
      <c r="B3" s="23"/>
      <c r="H3" s="22"/>
      <c r="I3" s="22"/>
      <c r="AD3"/>
    </row>
    <row r="4" spans="1:30" ht="16.5" customHeight="1">
      <c r="A4" s="24" t="s">
        <v>130</v>
      </c>
      <c r="B4" s="23"/>
      <c r="G4" s="22"/>
      <c r="H4" s="22"/>
      <c r="AD4"/>
    </row>
    <row r="5" spans="1:30">
      <c r="A5" s="23" t="s">
        <v>131</v>
      </c>
      <c r="B5" s="23" t="s">
        <v>132</v>
      </c>
      <c r="AD5"/>
    </row>
    <row r="6" spans="1:30">
      <c r="A6" s="25" t="s">
        <v>133</v>
      </c>
      <c r="B6" s="26" t="s">
        <v>119</v>
      </c>
      <c r="AD6"/>
    </row>
    <row r="7" spans="1:30">
      <c r="A7" s="25" t="s">
        <v>134</v>
      </c>
      <c r="B7" s="26" t="s">
        <v>139</v>
      </c>
      <c r="AD7"/>
    </row>
    <row r="8" spans="1:30">
      <c r="A8" s="25" t="s">
        <v>135</v>
      </c>
      <c r="B8" s="27" t="s">
        <v>140</v>
      </c>
      <c r="AD8"/>
    </row>
    <row r="9" spans="1:30">
      <c r="A9" s="25" t="s">
        <v>136</v>
      </c>
      <c r="B9" s="27" t="s">
        <v>141</v>
      </c>
      <c r="AD9"/>
    </row>
    <row r="10" spans="1:30">
      <c r="A10" s="25" t="s">
        <v>137</v>
      </c>
      <c r="B10" s="27" t="s">
        <v>142</v>
      </c>
      <c r="AD10"/>
    </row>
    <row r="11" spans="1:30">
      <c r="A11" s="25" t="s">
        <v>138</v>
      </c>
      <c r="B11" s="27"/>
      <c r="AD11"/>
    </row>
    <row r="12" spans="1:30" ht="27.75" customHeight="1">
      <c r="A12" s="23"/>
      <c r="B12" s="23"/>
      <c r="AD12"/>
    </row>
  </sheetData>
  <mergeCells count="1">
    <mergeCell ref="A1:C2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 macro="[0]!Sheet100.UpdateXML">
                <anchor moveWithCells="1">
                  <from>
                    <xdr:col>1</xdr:col>
                    <xdr:colOff>50800</xdr:colOff>
                    <xdr:row>0</xdr:row>
                    <xdr:rowOff>50800</xdr:rowOff>
                  </from>
                  <to>
                    <xdr:col>1</xdr:col>
                    <xdr:colOff>596900</xdr:colOff>
                    <xdr:row>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098" r:id="rId4" name="Button 2">
              <controlPr defaultSize="0" print="0" autoFill="0" autoPict="0" macro="[0]!Sheet100.ExportXml">
                <anchor moveWithCells="1">
                  <from>
                    <xdr:col>1</xdr:col>
                    <xdr:colOff>698500</xdr:colOff>
                    <xdr:row>0</xdr:row>
                    <xdr:rowOff>50800</xdr:rowOff>
                  </from>
                  <to>
                    <xdr:col>2</xdr:col>
                    <xdr:colOff>50800</xdr:colOff>
                    <xdr:row>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099" r:id="rId5" name="Button 3">
              <controlPr defaultSize="0" print="0" autoFill="0" autoPict="0" macro="[0]!Sheet100.CreateSchemaTable">
                <anchor moveWithCells="1" sizeWithCells="1">
                  <from>
                    <xdr:col>0</xdr:col>
                    <xdr:colOff>50800</xdr:colOff>
                    <xdr:row>0</xdr:row>
                    <xdr:rowOff>50800</xdr:rowOff>
                  </from>
                  <to>
                    <xdr:col>1</xdr:col>
                    <xdr:colOff>0</xdr:colOff>
                    <xdr:row>1</xdr:row>
                    <xdr:rowOff>101600</xdr:rowOff>
                  </to>
                </anchor>
              </controlPr>
            </control>
          </mc:Choice>
          <mc:Fallback/>
        </mc:AlternateContent>
      </controls>
    </mc:Choice>
    <mc:Fallback/>
  </mc:AlternateContent>
  <tableParts count="1"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7" workbookViewId="0">
      <selection activeCell="K31" sqref="K31"/>
    </sheetView>
  </sheetViews>
  <sheetFormatPr baseColWidth="10" defaultRowHeight="15" x14ac:dyDescent="0"/>
  <cols>
    <col min="1" max="1" width="16.5" bestFit="1" customWidth="1"/>
  </cols>
  <sheetData>
    <row r="1" spans="1:9">
      <c r="E1" s="56" t="s">
        <v>196</v>
      </c>
      <c r="F1" s="56" t="s">
        <v>197</v>
      </c>
    </row>
    <row r="2" spans="1:9">
      <c r="A2" s="56"/>
      <c r="B2" s="56"/>
      <c r="C2" s="56"/>
      <c r="D2" s="56" t="s">
        <v>191</v>
      </c>
      <c r="E2" s="19">
        <f>VLOOKUP(E1,SIAF!$B$3:$Q$32, 15, FALSE)</f>
        <v>-290.10000000000002</v>
      </c>
      <c r="F2" s="19">
        <f>VLOOKUP(F1,SIAF!$B$3:$Q$32, 15, FALSE)</f>
        <v>-293.73531671180052</v>
      </c>
    </row>
    <row r="3" spans="1:9">
      <c r="A3" s="56" t="s">
        <v>8</v>
      </c>
      <c r="B3" s="56" t="s">
        <v>190</v>
      </c>
      <c r="C3" s="56" t="s">
        <v>191</v>
      </c>
      <c r="D3" s="56" t="s">
        <v>192</v>
      </c>
      <c r="E3" s="19">
        <f>VLOOKUP(E1,SIAF!$B$3:$Q$32, 16, FALSE)</f>
        <v>-697.5</v>
      </c>
      <c r="F3" s="19">
        <f>VLOOKUP(F1,SIAF!$B$3:$Q$32, 16, FALSE)</f>
        <v>-762.31178779737411</v>
      </c>
      <c r="G3" s="56" t="s">
        <v>216</v>
      </c>
      <c r="H3" s="56" t="s">
        <v>196</v>
      </c>
      <c r="I3" s="56" t="s">
        <v>197</v>
      </c>
    </row>
    <row r="4" spans="1:9">
      <c r="A4" t="str">
        <f>SIAF!B3</f>
        <v>NIS_CEN_OSS</v>
      </c>
      <c r="B4" t="str">
        <f>HLOOKUP(TRUE,$H4:$I$36, ROW($I$36)-ROW(H4)+1,FALSE)</f>
        <v>NIS_CNTR</v>
      </c>
      <c r="C4" s="19">
        <f>VLOOKUP(A4,SIAF!$B$3:$Q$32, 15, FALSE)</f>
        <v>-290.10000000000002</v>
      </c>
      <c r="D4" s="19">
        <f>VLOOKUP(A4,SIAF!$B$3:$Q$32, 16, FALSE)</f>
        <v>-697.5</v>
      </c>
      <c r="E4" s="19">
        <f>SQRT(($C4-E$2)^2+($D4-E$3)^2)</f>
        <v>0</v>
      </c>
      <c r="F4" s="19">
        <f>SQRT(($C4-F$2)^2+($D4-F$3)^2)</f>
        <v>64.913660851063909</v>
      </c>
      <c r="G4" s="19">
        <f>MIN(E4:F4)</f>
        <v>0</v>
      </c>
      <c r="H4" t="b">
        <f>E4=$G4</f>
        <v>1</v>
      </c>
      <c r="I4" t="b">
        <f t="shared" ref="I4:I33" si="0">F4=$G4</f>
        <v>0</v>
      </c>
    </row>
    <row r="5" spans="1:9">
      <c r="A5" t="str">
        <f>SIAF!B4</f>
        <v>NIS_CEN</v>
      </c>
      <c r="B5" t="str">
        <f>HLOOKUP(TRUE,$H5:$I$36, ROW($I$36)-ROW(H5)+1,FALSE)</f>
        <v>NIS_CNTR</v>
      </c>
      <c r="C5" s="19">
        <f>VLOOKUP(A5,SIAF!$B$3:$Q$32, 15, FALSE)</f>
        <v>-290.10000000000002</v>
      </c>
      <c r="D5" s="19">
        <f>VLOOKUP(A5,SIAF!$B$3:$Q$32, 16, FALSE)</f>
        <v>-697.5</v>
      </c>
      <c r="E5" s="19">
        <f t="shared" ref="E5:F20" si="1">SQRT(($C5-E$2)^2+($D5-E$3)^2)</f>
        <v>0</v>
      </c>
      <c r="F5" s="19">
        <f t="shared" si="1"/>
        <v>64.913660851063909</v>
      </c>
      <c r="G5" s="19">
        <f t="shared" ref="G5:G33" si="2">MIN(E5:F5)</f>
        <v>0</v>
      </c>
      <c r="H5" t="b">
        <f t="shared" ref="H5:H33" si="3">E5=$G5</f>
        <v>1</v>
      </c>
      <c r="I5" t="b">
        <f t="shared" si="0"/>
        <v>0</v>
      </c>
    </row>
    <row r="6" spans="1:9">
      <c r="A6" t="str">
        <f>SIAF!B5</f>
        <v>NIS_AMI1</v>
      </c>
      <c r="B6" t="str">
        <f>HLOOKUP(TRUE,$H6:$I$36, ROW($I$36)-ROW(H6)+1,FALSE)</f>
        <v>NIS_AMI</v>
      </c>
      <c r="C6" s="19">
        <f>VLOOKUP(A6,SIAF!$B$3:$Q$32, 15, FALSE)</f>
        <v>-293.73531671180052</v>
      </c>
      <c r="D6" s="19">
        <f>VLOOKUP(A6,SIAF!$B$3:$Q$32, 16, FALSE)</f>
        <v>-762.31178779737411</v>
      </c>
      <c r="E6" s="19">
        <f t="shared" si="1"/>
        <v>64.913660851063909</v>
      </c>
      <c r="F6" s="19">
        <f t="shared" si="1"/>
        <v>0</v>
      </c>
      <c r="G6" s="19">
        <f t="shared" si="2"/>
        <v>0</v>
      </c>
      <c r="H6" t="b">
        <f t="shared" si="3"/>
        <v>0</v>
      </c>
      <c r="I6" t="b">
        <f t="shared" si="0"/>
        <v>1</v>
      </c>
    </row>
    <row r="7" spans="1:9">
      <c r="A7" t="str">
        <f>SIAF!B6</f>
        <v>NIS_AMI2</v>
      </c>
      <c r="B7" t="str">
        <f>HLOOKUP(TRUE,$H7:$I$36, ROW($I$36)-ROW(H7)+1,FALSE)</f>
        <v>NIS_AMI</v>
      </c>
      <c r="C7" s="19">
        <f>VLOOKUP(A7,SIAF!$B$3:$Q$32, 15, FALSE)</f>
        <v>-291.91579730081219</v>
      </c>
      <c r="D7" s="19">
        <f>VLOOKUP(A7,SIAF!$B$3:$Q$32, 16, FALSE)</f>
        <v>-761.18175062875889</v>
      </c>
      <c r="E7" s="19">
        <f t="shared" si="1"/>
        <v>63.70763284710138</v>
      </c>
      <c r="F7" s="19">
        <f t="shared" si="1"/>
        <v>2.1418764878991583</v>
      </c>
      <c r="G7" s="19">
        <f t="shared" si="2"/>
        <v>2.1418764878991583</v>
      </c>
      <c r="H7" t="b">
        <f t="shared" si="3"/>
        <v>0</v>
      </c>
      <c r="I7" t="b">
        <f t="shared" si="0"/>
        <v>1</v>
      </c>
    </row>
    <row r="8" spans="1:9">
      <c r="A8" t="str">
        <f>SIAF!B7</f>
        <v>NIS_AMI3</v>
      </c>
      <c r="B8" t="str">
        <f>HLOOKUP(TRUE,$H8:$I$36, ROW($I$36)-ROW(H8)+1,FALSE)</f>
        <v>NIS_AMI</v>
      </c>
      <c r="C8" s="19">
        <f>VLOOKUP(A8,SIAF!$B$3:$Q$32, 15, FALSE)</f>
        <v>-291.89392868778236</v>
      </c>
      <c r="D8" s="19">
        <f>VLOOKUP(A8,SIAF!$B$3:$Q$32, 16, FALSE)</f>
        <v>-763.35529893640842</v>
      </c>
      <c r="E8" s="19">
        <f t="shared" si="1"/>
        <v>65.879728127403226</v>
      </c>
      <c r="F8" s="19">
        <f t="shared" si="1"/>
        <v>2.1165125447977333</v>
      </c>
      <c r="G8" s="19">
        <f t="shared" si="2"/>
        <v>2.1165125447977333</v>
      </c>
      <c r="H8" t="b">
        <f t="shared" si="3"/>
        <v>0</v>
      </c>
      <c r="I8" t="b">
        <f t="shared" si="0"/>
        <v>1</v>
      </c>
    </row>
    <row r="9" spans="1:9">
      <c r="A9" t="str">
        <f>SIAF!B8</f>
        <v>NIS_AMI4</v>
      </c>
      <c r="B9" t="str">
        <f>HLOOKUP(TRUE,$H9:$I$36, ROW($I$36)-ROW(H9)+1,FALSE)</f>
        <v>NIS_AMI</v>
      </c>
      <c r="C9" s="19">
        <f>VLOOKUP(A9,SIAF!$B$3:$Q$32, 15, FALSE)</f>
        <v>-294.63940019597499</v>
      </c>
      <c r="D9" s="19">
        <f>VLOOKUP(A9,SIAF!$B$3:$Q$32, 16, FALSE)</f>
        <v>-763.4366499311036</v>
      </c>
      <c r="E9" s="19">
        <f t="shared" si="1"/>
        <v>66.092722430507592</v>
      </c>
      <c r="F9" s="19">
        <f t="shared" si="1"/>
        <v>1.4431499458668553</v>
      </c>
      <c r="G9" s="19">
        <f t="shared" si="2"/>
        <v>1.4431499458668553</v>
      </c>
      <c r="H9" t="b">
        <f t="shared" si="3"/>
        <v>0</v>
      </c>
      <c r="I9" t="b">
        <f t="shared" si="0"/>
        <v>1</v>
      </c>
    </row>
    <row r="10" spans="1:9">
      <c r="A10" t="str">
        <f>SIAF!B9</f>
        <v>NIS_AMITA</v>
      </c>
      <c r="B10" t="str">
        <f>HLOOKUP(TRUE,$H10:$I$36, ROW($I$36)-ROW(H10)+1,FALSE)</f>
        <v>NIS_AMI</v>
      </c>
      <c r="C10" s="19">
        <f>VLOOKUP(A10,SIAF!$B$3:$Q$32, 15, FALSE)</f>
        <v>-293.5215223868816</v>
      </c>
      <c r="D10" s="19">
        <f>VLOOKUP(A10,SIAF!$B$3:$Q$32, 16, FALSE)</f>
        <v>-757.56803565160988</v>
      </c>
      <c r="E10" s="19">
        <f t="shared" si="1"/>
        <v>60.165403036022347</v>
      </c>
      <c r="F10" s="19">
        <f t="shared" si="1"/>
        <v>4.7485674085781184</v>
      </c>
      <c r="G10" s="19">
        <f t="shared" si="2"/>
        <v>4.7485674085781184</v>
      </c>
      <c r="H10" t="b">
        <f t="shared" si="3"/>
        <v>0</v>
      </c>
      <c r="I10" t="b">
        <f t="shared" si="0"/>
        <v>1</v>
      </c>
    </row>
    <row r="11" spans="1:9">
      <c r="A11" t="str">
        <f>SIAF!B10</f>
        <v>NIS_SOSSTA</v>
      </c>
      <c r="B11" t="str">
        <f>HLOOKUP(TRUE,$H11:$I$36, ROW($I$36)-ROW(H11)+1,FALSE)</f>
        <v>NIS_CNTR</v>
      </c>
      <c r="C11" s="19">
        <f>VLOOKUP(A11,SIAF!$B$3:$Q$32, 15, FALSE)</f>
        <v>-351.04655769734256</v>
      </c>
      <c r="D11" s="19">
        <f>VLOOKUP(A11,SIAF!$B$3:$Q$32, 16, FALSE)</f>
        <v>-686.28330929230776</v>
      </c>
      <c r="E11" s="19">
        <f t="shared" si="1"/>
        <v>61.970130269247719</v>
      </c>
      <c r="F11" s="19">
        <f t="shared" si="1"/>
        <v>95.209809825974389</v>
      </c>
      <c r="G11" s="19">
        <f t="shared" si="2"/>
        <v>61.970130269247719</v>
      </c>
      <c r="H11" t="b">
        <f t="shared" si="3"/>
        <v>1</v>
      </c>
      <c r="I11" t="b">
        <f t="shared" si="0"/>
        <v>0</v>
      </c>
    </row>
    <row r="12" spans="1:9">
      <c r="A12" t="str">
        <f>SIAF!B11</f>
        <v>NIS_WFSS_OFFSET</v>
      </c>
      <c r="B12" t="str">
        <f>HLOOKUP(TRUE,$H12:$I$36, ROW($I$36)-ROW(H12)+1,FALSE)</f>
        <v>NIS_CNTR</v>
      </c>
      <c r="C12" s="19">
        <f>VLOOKUP(A12,SIAF!$B$3:$Q$32, 15, FALSE)</f>
        <v>-289.96697595522164</v>
      </c>
      <c r="D12" s="19">
        <f>VLOOKUP(A12,SIAF!$B$3:$Q$32, 16, FALSE)</f>
        <v>-697.7233259288945</v>
      </c>
      <c r="E12" s="19">
        <f t="shared" si="1"/>
        <v>0.2599420454751219</v>
      </c>
      <c r="F12" s="19">
        <f t="shared" si="1"/>
        <v>64.698298266598471</v>
      </c>
      <c r="G12" s="19">
        <f t="shared" si="2"/>
        <v>0.2599420454751219</v>
      </c>
      <c r="H12" t="b">
        <f t="shared" si="3"/>
        <v>1</v>
      </c>
      <c r="I12" t="b">
        <f t="shared" si="0"/>
        <v>0</v>
      </c>
    </row>
    <row r="13" spans="1:9">
      <c r="A13" t="str">
        <f>SIAF!B12</f>
        <v>NIS_WFSS64</v>
      </c>
      <c r="B13" t="str">
        <f>HLOOKUP(TRUE,$H13:$I$36, ROW($I$36)-ROW(H13)+1,FALSE)</f>
        <v>NIS_CNTR</v>
      </c>
      <c r="C13" s="19">
        <f>VLOOKUP(A13,SIAF!$B$3:$Q$32, 15, FALSE)</f>
        <v>-355.60694638448689</v>
      </c>
      <c r="D13" s="19">
        <f>VLOOKUP(A13,SIAF!$B$3:$Q$32, 16, FALSE)</f>
        <v>-632.47263809133256</v>
      </c>
      <c r="E13" s="19">
        <f t="shared" si="1"/>
        <v>92.302317530064485</v>
      </c>
      <c r="F13" s="19">
        <f t="shared" si="1"/>
        <v>143.82733869032657</v>
      </c>
      <c r="G13" s="19">
        <f t="shared" si="2"/>
        <v>92.302317530064485</v>
      </c>
      <c r="H13" t="b">
        <f t="shared" si="3"/>
        <v>1</v>
      </c>
      <c r="I13" t="b">
        <f t="shared" si="0"/>
        <v>0</v>
      </c>
    </row>
    <row r="14" spans="1:9">
      <c r="A14" t="str">
        <f>SIAF!B13</f>
        <v>NIS_WFSS64R</v>
      </c>
      <c r="B14" t="str">
        <f>HLOOKUP(TRUE,$H14:$I$36, ROW($I$36)-ROW(H14)+1,FALSE)</f>
        <v>NIS_CNTR</v>
      </c>
      <c r="C14" s="19">
        <f>VLOOKUP(A14,SIAF!$B$3:$Q$32, 15, FALSE)</f>
        <v>-354.79825648241371</v>
      </c>
      <c r="D14" s="19">
        <f>VLOOKUP(A14,SIAF!$B$3:$Q$32, 16, FALSE)</f>
        <v>-712.85716353142516</v>
      </c>
      <c r="E14" s="19">
        <f t="shared" si="1"/>
        <v>66.495916142234762</v>
      </c>
      <c r="F14" s="19">
        <f t="shared" si="1"/>
        <v>78.577620698998771</v>
      </c>
      <c r="G14" s="19">
        <f t="shared" si="2"/>
        <v>66.495916142234762</v>
      </c>
      <c r="H14" t="b">
        <f t="shared" si="3"/>
        <v>1</v>
      </c>
      <c r="I14" t="b">
        <f t="shared" si="0"/>
        <v>0</v>
      </c>
    </row>
    <row r="15" spans="1:9">
      <c r="A15" t="str">
        <f>SIAF!B14</f>
        <v>NIS_WFSS64R3</v>
      </c>
      <c r="B15" t="str">
        <f>HLOOKUP(TRUE,$H15:$I$36, ROW($I$36)-ROW(H15)+1,FALSE)</f>
        <v>NIS_CNTR</v>
      </c>
      <c r="C15" s="19">
        <f>VLOOKUP(A15,SIAF!$B$3:$Q$32, 15, FALSE)</f>
        <v>-355.4291120504808</v>
      </c>
      <c r="D15" s="19">
        <f>VLOOKUP(A15,SIAF!$B$3:$Q$32, 16, FALSE)</f>
        <v>-650.07051052720476</v>
      </c>
      <c r="E15" s="19">
        <f t="shared" si="1"/>
        <v>80.730721246340082</v>
      </c>
      <c r="F15" s="19">
        <f t="shared" si="1"/>
        <v>128.07899400967361</v>
      </c>
      <c r="G15" s="19">
        <f t="shared" si="2"/>
        <v>80.730721246340082</v>
      </c>
      <c r="H15" t="b">
        <f t="shared" si="3"/>
        <v>1</v>
      </c>
      <c r="I15" t="b">
        <f t="shared" si="0"/>
        <v>0</v>
      </c>
    </row>
    <row r="16" spans="1:9">
      <c r="A16" t="str">
        <f>SIAF!B15</f>
        <v>NIS_WFSS64C</v>
      </c>
      <c r="B16" t="str">
        <f>HLOOKUP(TRUE,$H16:$I$36, ROW($I$36)-ROW(H16)+1,FALSE)</f>
        <v>NIS_CNTR</v>
      </c>
      <c r="C16" s="19">
        <f>VLOOKUP(A16,SIAF!$B$3:$Q$32, 15, FALSE)</f>
        <v>-275.80548088324963</v>
      </c>
      <c r="D16" s="19">
        <f>VLOOKUP(A16,SIAF!$B$3:$Q$32, 16, FALSE)</f>
        <v>-632.10304781349464</v>
      </c>
      <c r="E16" s="19">
        <f t="shared" si="1"/>
        <v>66.940978720535682</v>
      </c>
      <c r="F16" s="19">
        <f t="shared" si="1"/>
        <v>131.43741849651613</v>
      </c>
      <c r="G16" s="19">
        <f t="shared" si="2"/>
        <v>66.940978720535682</v>
      </c>
      <c r="H16" t="b">
        <f t="shared" si="3"/>
        <v>1</v>
      </c>
      <c r="I16" t="b">
        <f t="shared" si="0"/>
        <v>0</v>
      </c>
    </row>
    <row r="17" spans="1:9">
      <c r="A17" t="str">
        <f>SIAF!B16</f>
        <v>NIS_WFSS64C3</v>
      </c>
      <c r="B17" t="str">
        <f>HLOOKUP(TRUE,$H17:$I$36, ROW($I$36)-ROW(H17)+1,FALSE)</f>
        <v>NIS_CNTR</v>
      </c>
      <c r="C17" s="19">
        <f>VLOOKUP(A17,SIAF!$B$3:$Q$32, 15, FALSE)</f>
        <v>-338.11784706280912</v>
      </c>
      <c r="D17" s="19">
        <f>VLOOKUP(A17,SIAF!$B$3:$Q$32, 16, FALSE)</f>
        <v>-632.3975578049492</v>
      </c>
      <c r="E17" s="19">
        <f t="shared" si="1"/>
        <v>80.895250888462272</v>
      </c>
      <c r="F17" s="19">
        <f t="shared" si="1"/>
        <v>137.28625624906113</v>
      </c>
      <c r="G17" s="19">
        <f t="shared" si="2"/>
        <v>80.895250888462272</v>
      </c>
      <c r="H17" t="b">
        <f t="shared" si="3"/>
        <v>1</v>
      </c>
      <c r="I17" t="b">
        <f t="shared" si="0"/>
        <v>0</v>
      </c>
    </row>
    <row r="18" spans="1:9">
      <c r="A18" t="str">
        <f>SIAF!B17</f>
        <v>NIS_WFSS128</v>
      </c>
      <c r="B18" t="str">
        <f>HLOOKUP(TRUE,$H18:$I$36, ROW($I$36)-ROW(H18)+1,FALSE)</f>
        <v>NIS_CNTR</v>
      </c>
      <c r="C18" s="19">
        <f>VLOOKUP(A18,SIAF!$B$3:$Q$32, 15, FALSE)</f>
        <v>-352.46972238552024</v>
      </c>
      <c r="D18" s="19">
        <f>VLOOKUP(A18,SIAF!$B$3:$Q$32, 16, FALSE)</f>
        <v>-635.58273805403235</v>
      </c>
      <c r="E18" s="19">
        <f t="shared" si="1"/>
        <v>87.884751790810881</v>
      </c>
      <c r="F18" s="19">
        <f t="shared" si="1"/>
        <v>139.67813880022698</v>
      </c>
      <c r="G18" s="19">
        <f t="shared" si="2"/>
        <v>87.884751790810881</v>
      </c>
      <c r="H18" t="b">
        <f t="shared" si="3"/>
        <v>1</v>
      </c>
      <c r="I18" t="b">
        <f t="shared" si="0"/>
        <v>0</v>
      </c>
    </row>
    <row r="19" spans="1:9">
      <c r="A19" t="str">
        <f>SIAF!B18</f>
        <v>NIS_WFSS128R</v>
      </c>
      <c r="B19" t="str">
        <f>HLOOKUP(TRUE,$H19:$I$36, ROW($I$36)-ROW(H19)+1,FALSE)</f>
        <v>NIS_CNTR</v>
      </c>
      <c r="C19" s="19">
        <f>VLOOKUP(A19,SIAF!$B$3:$Q$32, 15, FALSE)</f>
        <v>-352.70726053416729</v>
      </c>
      <c r="D19" s="19">
        <f>VLOOKUP(A19,SIAF!$B$3:$Q$32, 16, FALSE)</f>
        <v>-712.84897748232015</v>
      </c>
      <c r="E19" s="19">
        <f t="shared" si="1"/>
        <v>64.461307629816744</v>
      </c>
      <c r="F19" s="19">
        <f t="shared" si="1"/>
        <v>76.969213081928999</v>
      </c>
      <c r="G19" s="19">
        <f t="shared" si="2"/>
        <v>64.461307629816744</v>
      </c>
      <c r="H19" t="b">
        <f t="shared" si="3"/>
        <v>1</v>
      </c>
      <c r="I19" t="b">
        <f t="shared" si="0"/>
        <v>0</v>
      </c>
    </row>
    <row r="20" spans="1:9">
      <c r="A20" t="str">
        <f>SIAF!B19</f>
        <v>NIS_WFSS128R3</v>
      </c>
      <c r="B20" t="str">
        <f>HLOOKUP(TRUE,$H20:$I$36, ROW($I$36)-ROW(H20)+1,FALSE)</f>
        <v>NIS_CNTR</v>
      </c>
      <c r="C20" s="19">
        <f>VLOOKUP(A20,SIAF!$B$3:$Q$32, 15, FALSE)</f>
        <v>-353.3372171015115</v>
      </c>
      <c r="D20" s="19">
        <f>VLOOKUP(A20,SIAF!$B$3:$Q$32, 16, FALSE)</f>
        <v>-650.06195231388585</v>
      </c>
      <c r="E20" s="19">
        <f t="shared" si="1"/>
        <v>79.052602708663144</v>
      </c>
      <c r="F20" s="19">
        <f t="shared" si="1"/>
        <v>127.09214018237009</v>
      </c>
      <c r="G20" s="19">
        <f t="shared" si="2"/>
        <v>79.052602708663144</v>
      </c>
      <c r="H20" t="b">
        <f t="shared" si="3"/>
        <v>1</v>
      </c>
      <c r="I20" t="b">
        <f t="shared" si="0"/>
        <v>0</v>
      </c>
    </row>
    <row r="21" spans="1:9">
      <c r="A21" t="str">
        <f>SIAF!B20</f>
        <v>NIS_WFSS128C</v>
      </c>
      <c r="B21" t="str">
        <f>HLOOKUP(TRUE,$H21:$I$36, ROW($I$36)-ROW(H21)+1,FALSE)</f>
        <v>NIS_CNTR</v>
      </c>
      <c r="C21" s="19">
        <f>VLOOKUP(A21,SIAF!$B$3:$Q$32, 15, FALSE)</f>
        <v>-275.78460535474034</v>
      </c>
      <c r="D21" s="19">
        <f>VLOOKUP(A21,SIAF!$B$3:$Q$32, 16, FALSE)</f>
        <v>-634.2068133541095</v>
      </c>
      <c r="E21" s="19">
        <f t="shared" ref="E21:F35" si="4">SQRT(($C21-E$2)^2+($D21-E$3)^2)</f>
        <v>64.891894714525492</v>
      </c>
      <c r="F21" s="19">
        <f t="shared" si="4"/>
        <v>129.35653255763302</v>
      </c>
      <c r="G21" s="19">
        <f t="shared" si="2"/>
        <v>64.891894714525492</v>
      </c>
      <c r="H21" t="b">
        <f t="shared" si="3"/>
        <v>1</v>
      </c>
      <c r="I21" t="b">
        <f t="shared" si="0"/>
        <v>0</v>
      </c>
    </row>
    <row r="22" spans="1:9">
      <c r="A22" t="str">
        <f>SIAF!B21</f>
        <v>NIS_WFSS128C3</v>
      </c>
      <c r="B22" t="str">
        <f>HLOOKUP(TRUE,$H22:$I$36, ROW($I$36)-ROW(H22)+1,FALSE)</f>
        <v>NIS_CNTR</v>
      </c>
      <c r="C22" s="19">
        <f>VLOOKUP(A22,SIAF!$B$3:$Q$32, 15, FALSE)</f>
        <v>-338.09676273790689</v>
      </c>
      <c r="D22" s="19">
        <f>VLOOKUP(A22,SIAF!$B$3:$Q$32, 16, FALSE)</f>
        <v>-634.50172793894671</v>
      </c>
      <c r="E22" s="19">
        <f t="shared" si="4"/>
        <v>79.198936331224871</v>
      </c>
      <c r="F22" s="19">
        <f t="shared" si="4"/>
        <v>135.28987136715719</v>
      </c>
      <c r="G22" s="19">
        <f t="shared" si="2"/>
        <v>79.198936331224871</v>
      </c>
      <c r="H22" t="b">
        <f t="shared" si="3"/>
        <v>1</v>
      </c>
      <c r="I22" t="b">
        <f t="shared" si="0"/>
        <v>0</v>
      </c>
    </row>
    <row r="23" spans="1:9">
      <c r="A23" t="str">
        <f>SIAF!B22</f>
        <v>NIS_SUB64</v>
      </c>
      <c r="B23" t="str">
        <f>HLOOKUP(TRUE,$H23:$I$36, ROW($I$36)-ROW(H23)+1,FALSE)</f>
        <v>NIS_CNTR</v>
      </c>
      <c r="C23" s="19">
        <f>VLOOKUP(A23,SIAF!$B$3:$Q$32, 15, FALSE)</f>
        <v>-355.60694638448689</v>
      </c>
      <c r="D23" s="19">
        <f>VLOOKUP(A23,SIAF!$B$3:$Q$32, 16, FALSE)</f>
        <v>-632.47263809133256</v>
      </c>
      <c r="E23" s="19">
        <f t="shared" si="4"/>
        <v>92.302317530064485</v>
      </c>
      <c r="F23" s="19">
        <f t="shared" si="4"/>
        <v>143.82733869032657</v>
      </c>
      <c r="G23" s="19">
        <f t="shared" si="2"/>
        <v>92.302317530064485</v>
      </c>
      <c r="H23" t="b">
        <f t="shared" si="3"/>
        <v>1</v>
      </c>
      <c r="I23" t="b">
        <f t="shared" si="0"/>
        <v>0</v>
      </c>
    </row>
    <row r="24" spans="1:9">
      <c r="A24" t="str">
        <f>SIAF!B23</f>
        <v>NIS_SUB128</v>
      </c>
      <c r="B24" t="str">
        <f>HLOOKUP(TRUE,$H24:$I$36, ROW($I$36)-ROW(H24)+1,FALSE)</f>
        <v>NIS_CNTR</v>
      </c>
      <c r="C24" s="19">
        <f>VLOOKUP(A24,SIAF!$B$3:$Q$32, 15, FALSE)</f>
        <v>-353.4934180420621</v>
      </c>
      <c r="D24" s="19">
        <f>VLOOKUP(A24,SIAF!$B$3:$Q$32, 16, FALSE)</f>
        <v>-634.56776347653749</v>
      </c>
      <c r="E24" s="19">
        <f t="shared" si="4"/>
        <v>89.326322239867636</v>
      </c>
      <c r="F24" s="19">
        <f t="shared" si="4"/>
        <v>141.03037411947935</v>
      </c>
      <c r="G24" s="19">
        <f t="shared" si="2"/>
        <v>89.326322239867636</v>
      </c>
      <c r="H24" t="b">
        <f t="shared" si="3"/>
        <v>1</v>
      </c>
      <c r="I24" t="b">
        <f t="shared" si="0"/>
        <v>0</v>
      </c>
    </row>
    <row r="25" spans="1:9">
      <c r="A25" t="str">
        <f>SIAF!B24</f>
        <v>NIS_SUB256</v>
      </c>
      <c r="B25" t="str">
        <f>HLOOKUP(TRUE,$H25:$I$36, ROW($I$36)-ROW(H25)+1,FALSE)</f>
        <v>NIS_CNTR</v>
      </c>
      <c r="C25" s="19">
        <f>VLOOKUP(A25,SIAF!$B$3:$Q$32, 15, FALSE)</f>
        <v>-349.26671373076886</v>
      </c>
      <c r="D25" s="19">
        <f>VLOOKUP(A25,SIAF!$B$3:$Q$32, 16, FALSE)</f>
        <v>-638.75920573190626</v>
      </c>
      <c r="E25" s="19">
        <f t="shared" si="4"/>
        <v>83.373742418973038</v>
      </c>
      <c r="F25" s="19">
        <f t="shared" si="4"/>
        <v>135.45839431324458</v>
      </c>
      <c r="G25" s="19">
        <f t="shared" si="2"/>
        <v>83.373742418973038</v>
      </c>
      <c r="H25" t="b">
        <f t="shared" si="3"/>
        <v>1</v>
      </c>
      <c r="I25" t="b">
        <f t="shared" si="0"/>
        <v>0</v>
      </c>
    </row>
    <row r="26" spans="1:9">
      <c r="A26" t="str">
        <f>SIAF!B25</f>
        <v>NIS_SUBAMPCAL</v>
      </c>
      <c r="B26" t="str">
        <f>HLOOKUP(TRUE,$H26:$I$36, ROW($I$36)-ROW(H26)+1,FALSE)</f>
        <v>NIS_CNTR</v>
      </c>
      <c r="C26" s="19">
        <f>VLOOKUP(A26,SIAF!$B$3:$Q$32, 15, FALSE)</f>
        <v>-290.10000000000002</v>
      </c>
      <c r="D26" s="19">
        <f>VLOOKUP(A26,SIAF!$B$3:$Q$32, 16, FALSE)</f>
        <v>-697.5</v>
      </c>
      <c r="E26" s="19">
        <f t="shared" si="4"/>
        <v>0</v>
      </c>
      <c r="F26" s="19">
        <f t="shared" si="4"/>
        <v>64.913660851063909</v>
      </c>
      <c r="G26" s="19">
        <f t="shared" si="2"/>
        <v>0</v>
      </c>
      <c r="H26" t="b">
        <f t="shared" si="3"/>
        <v>1</v>
      </c>
      <c r="I26" t="b">
        <f t="shared" si="0"/>
        <v>0</v>
      </c>
    </row>
    <row r="27" spans="1:9">
      <c r="A27" t="str">
        <f>SIAF!B26</f>
        <v>NIS_SUBSTRIP96</v>
      </c>
      <c r="B27" t="str">
        <f>HLOOKUP(TRUE,$H27:$I$36, ROW($I$36)-ROW(H27)+1,FALSE)</f>
        <v>NIS_CNTR</v>
      </c>
      <c r="C27" s="19">
        <f>VLOOKUP(A27,SIAF!$B$3:$Q$32, 15, FALSE)</f>
        <v>-351.04655769734256</v>
      </c>
      <c r="D27" s="19">
        <f>VLOOKUP(A27,SIAF!$B$3:$Q$32, 16, FALSE)</f>
        <v>-686.28330929230776</v>
      </c>
      <c r="E27" s="19">
        <f t="shared" si="4"/>
        <v>61.970130269247719</v>
      </c>
      <c r="F27" s="19">
        <f t="shared" si="4"/>
        <v>95.209809825974389</v>
      </c>
      <c r="G27" s="19">
        <f t="shared" si="2"/>
        <v>61.970130269247719</v>
      </c>
      <c r="H27" t="b">
        <f t="shared" si="3"/>
        <v>1</v>
      </c>
      <c r="I27" t="b">
        <f t="shared" si="0"/>
        <v>0</v>
      </c>
    </row>
    <row r="28" spans="1:9">
      <c r="A28" t="str">
        <f>SIAF!B27</f>
        <v>NIS_SUBSTRIP256</v>
      </c>
      <c r="B28" t="str">
        <f>HLOOKUP(TRUE,$H28:$I$36, ROW($I$36)-ROW(H28)+1,FALSE)</f>
        <v>NIS_CNTR</v>
      </c>
      <c r="C28" s="19">
        <f>VLOOKUP(A28,SIAF!$B$3:$Q$32, 15, FALSE)</f>
        <v>-351.04655769734256</v>
      </c>
      <c r="D28" s="19">
        <f>VLOOKUP(A28,SIAF!$B$3:$Q$32, 16, FALSE)</f>
        <v>-686.28330929230776</v>
      </c>
      <c r="E28" s="19">
        <f t="shared" si="4"/>
        <v>61.970130269247719</v>
      </c>
      <c r="F28" s="19">
        <f t="shared" si="4"/>
        <v>95.209809825974389</v>
      </c>
      <c r="G28" s="19">
        <f t="shared" si="2"/>
        <v>61.970130269247719</v>
      </c>
      <c r="H28" t="b">
        <f t="shared" si="3"/>
        <v>1</v>
      </c>
      <c r="I28" t="b">
        <f t="shared" si="0"/>
        <v>0</v>
      </c>
    </row>
    <row r="29" spans="1:9">
      <c r="A29" t="str">
        <f>SIAF!B28</f>
        <v>NIS_FP1MIMF</v>
      </c>
      <c r="B29" t="str">
        <f>HLOOKUP(TRUE,$H29:$I$36, ROW($I$36)-ROW(H29)+1,FALSE)</f>
        <v>NIS_CNTR</v>
      </c>
      <c r="C29" s="19">
        <f>VLOOKUP(A29,SIAF!$B$3:$Q$32, 15, FALSE)</f>
        <v>-290.12516018601337</v>
      </c>
      <c r="D29" s="19">
        <f>VLOOKUP(A29,SIAF!$B$3:$Q$32, 16, FALSE)</f>
        <v>-698.25790927590469</v>
      </c>
      <c r="E29" s="19">
        <f t="shared" si="4"/>
        <v>0.75832678013017885</v>
      </c>
      <c r="F29" s="19">
        <f t="shared" si="4"/>
        <v>64.155534319213984</v>
      </c>
      <c r="G29" s="19">
        <f t="shared" si="2"/>
        <v>0.75832678013017885</v>
      </c>
      <c r="H29" t="b">
        <f t="shared" si="3"/>
        <v>1</v>
      </c>
      <c r="I29" t="b">
        <f t="shared" si="0"/>
        <v>0</v>
      </c>
    </row>
    <row r="30" spans="1:9">
      <c r="A30" t="str">
        <f>SIAF!B29</f>
        <v>NIS_FP2MIMF</v>
      </c>
      <c r="B30" t="str">
        <f>HLOOKUP(TRUE,$H30:$I$36, ROW($I$36)-ROW(H30)+1,FALSE)</f>
        <v>NIS_CNTR</v>
      </c>
      <c r="C30" s="19">
        <f>VLOOKUP(A30,SIAF!$B$3:$Q$32, 15, FALSE)</f>
        <v>-335.2640931535754</v>
      </c>
      <c r="D30" s="19">
        <f>VLOOKUP(A30,SIAF!$B$3:$Q$32, 16, FALSE)</f>
        <v>-721.93662614607865</v>
      </c>
      <c r="E30" s="19">
        <f t="shared" si="4"/>
        <v>51.351183119652163</v>
      </c>
      <c r="F30" s="19">
        <f t="shared" si="4"/>
        <v>57.920574506121362</v>
      </c>
      <c r="G30" s="19">
        <f t="shared" si="2"/>
        <v>51.351183119652163</v>
      </c>
      <c r="H30" t="b">
        <f t="shared" si="3"/>
        <v>1</v>
      </c>
      <c r="I30" t="b">
        <f t="shared" si="0"/>
        <v>0</v>
      </c>
    </row>
    <row r="31" spans="1:9">
      <c r="A31" t="str">
        <f>SIAF!B30</f>
        <v>NIS_FP3MIMF</v>
      </c>
      <c r="B31" t="str">
        <f>HLOOKUP(TRUE,$H31:$I$36, ROW($I$36)-ROW(H31)+1,FALSE)</f>
        <v>NIS_AMI</v>
      </c>
      <c r="C31" s="19">
        <f>VLOOKUP(A31,SIAF!$B$3:$Q$32, 15, FALSE)</f>
        <v>-228.03916325749532</v>
      </c>
      <c r="D31" s="19">
        <f>VLOOKUP(A31,SIAF!$B$3:$Q$32, 16, FALSE)</f>
        <v>-751.61833780688096</v>
      </c>
      <c r="E31" s="19">
        <f t="shared" si="4"/>
        <v>82.342831771560441</v>
      </c>
      <c r="F31" s="19">
        <f t="shared" si="4"/>
        <v>66.560757593275611</v>
      </c>
      <c r="G31" s="19">
        <f t="shared" si="2"/>
        <v>66.560757593275611</v>
      </c>
      <c r="H31" t="b">
        <f t="shared" si="3"/>
        <v>0</v>
      </c>
      <c r="I31" t="b">
        <f t="shared" si="0"/>
        <v>1</v>
      </c>
    </row>
    <row r="32" spans="1:9">
      <c r="A32" t="str">
        <f>SIAF!B31</f>
        <v>NIS_FP4MIMF</v>
      </c>
      <c r="B32" t="str">
        <f>HLOOKUP(TRUE,$H32:$I$36, ROW($I$36)-ROW(H32)+1,FALSE)</f>
        <v>NIS_CNTR</v>
      </c>
      <c r="C32" s="19">
        <f>VLOOKUP(A32,SIAF!$B$3:$Q$32, 15, FALSE)</f>
        <v>-246.8638593628099</v>
      </c>
      <c r="D32" s="19">
        <f>VLOOKUP(A32,SIAF!$B$3:$Q$32, 16, FALSE)</f>
        <v>-641.64757437879325</v>
      </c>
      <c r="E32" s="19">
        <f t="shared" si="4"/>
        <v>70.631843420452469</v>
      </c>
      <c r="F32" s="19">
        <f t="shared" si="4"/>
        <v>129.44800467347139</v>
      </c>
      <c r="G32" s="19">
        <f t="shared" si="2"/>
        <v>70.631843420452469</v>
      </c>
      <c r="H32" t="b">
        <f t="shared" si="3"/>
        <v>1</v>
      </c>
      <c r="I32" t="b">
        <f t="shared" si="0"/>
        <v>0</v>
      </c>
    </row>
    <row r="33" spans="1:9">
      <c r="A33" t="str">
        <f>SIAF!B32</f>
        <v>NIS_FP5MIMF</v>
      </c>
      <c r="B33" t="str">
        <f>HLOOKUP(TRUE,$H33:$I$36, ROW($I$36)-ROW(H33)+1,FALSE)</f>
        <v>NIS_CNTR</v>
      </c>
      <c r="C33" s="19">
        <f>VLOOKUP(A33,SIAF!$B$3:$Q$32, 15, FALSE)</f>
        <v>-351.14886454845919</v>
      </c>
      <c r="D33" s="19">
        <f>VLOOKUP(A33,SIAF!$B$3:$Q$32, 16, FALSE)</f>
        <v>-636.89251826231975</v>
      </c>
      <c r="E33" s="19">
        <f t="shared" si="4"/>
        <v>86.024593606941025</v>
      </c>
      <c r="F33" s="19">
        <f t="shared" si="4"/>
        <v>137.93588599744052</v>
      </c>
      <c r="G33" s="19">
        <f t="shared" si="2"/>
        <v>86.024593606941025</v>
      </c>
      <c r="H33" t="b">
        <f t="shared" si="3"/>
        <v>1</v>
      </c>
      <c r="I33" t="b">
        <f t="shared" si="0"/>
        <v>0</v>
      </c>
    </row>
    <row r="34" spans="1:9">
      <c r="A34" t="str">
        <f>SIAF!B33</f>
        <v>NIS_AMIFULL</v>
      </c>
      <c r="B34" t="str">
        <f>HLOOKUP(TRUE,$H34:$I$36, ROW($I$36)-ROW(H34)+1,FALSE)</f>
        <v>NIS_AMI</v>
      </c>
      <c r="C34" s="19">
        <f>VLOOKUP(A34,SIAF!$B$3:$Q$34, 15, FALSE)</f>
        <v>-293.73531671180052</v>
      </c>
      <c r="D34" s="19">
        <f>VLOOKUP(A34,SIAF!$B$3:$Q$34, 16, FALSE)</f>
        <v>-762.31178779737411</v>
      </c>
      <c r="E34" s="19">
        <f t="shared" si="4"/>
        <v>64.913660851063909</v>
      </c>
      <c r="F34" s="19">
        <f t="shared" si="4"/>
        <v>0</v>
      </c>
      <c r="G34" s="19">
        <f t="shared" ref="G34:G35" si="5">MIN(E34:F34)</f>
        <v>0</v>
      </c>
      <c r="H34" t="b">
        <f t="shared" ref="H34:H35" si="6">E34=$G34</f>
        <v>0</v>
      </c>
      <c r="I34" t="b">
        <f t="shared" ref="I34:I35" si="7">F34=$G34</f>
        <v>1</v>
      </c>
    </row>
    <row r="35" spans="1:9">
      <c r="A35" t="str">
        <f>SIAF!B34</f>
        <v>NIS_SOSSFULL</v>
      </c>
      <c r="B35" t="str">
        <f>HLOOKUP(TRUE,$H35:$I$36, ROW($I$36)-ROW(H35)+1,FALSE)</f>
        <v>NIS_CNTR</v>
      </c>
      <c r="C35" s="19">
        <f>VLOOKUP(A35,SIAF!$B$3:$Q$34, 15, FALSE)</f>
        <v>-351.04655769734256</v>
      </c>
      <c r="D35" s="19">
        <f>VLOOKUP(A35,SIAF!$B$3:$Q$34, 16, FALSE)</f>
        <v>-686.28330929230776</v>
      </c>
      <c r="E35" s="19">
        <f t="shared" si="4"/>
        <v>61.970130269247719</v>
      </c>
      <c r="F35" s="19">
        <f t="shared" si="4"/>
        <v>95.209809825974389</v>
      </c>
      <c r="G35" s="19">
        <f t="shared" si="5"/>
        <v>61.970130269247719</v>
      </c>
      <c r="H35" t="b">
        <f t="shared" si="6"/>
        <v>1</v>
      </c>
      <c r="I35" t="b">
        <f t="shared" si="7"/>
        <v>0</v>
      </c>
    </row>
    <row r="36" spans="1:9">
      <c r="H36" s="56" t="s">
        <v>193</v>
      </c>
      <c r="I36" s="56" t="s">
        <v>194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iafEntries>
  <SiafEntry>
    <InstrName>NIRISS</InstrName>
    <AperName>NIS_FULL_CNTR_OSS</AperName>
    <AperShape>QUAD</AperShape>
    <XDetSize>2048</XDetSize>
    <YDetSize>2048</YDetSize>
    <XDetRef>1023.5</XDetRef>
    <YDetRef>1023.5</YDetRef>
    <XSciSize>2048</XSciSize>
    <YSciSize>2048</YSciSize>
    <XSciRef>1023.5</XSciRef>
    <YSciRef>1023.5</YSciRef>
    <XSciScale>6.53606820639887E-02</XSciScale>
    <YSciScale>0.06585349</YSciScale>
    <V2Ref>-290.088</V2Ref>
    <V3Ref>-697.5</V3Ref>
    <V3IdlYAngle>0.5721</V3IdlYAngle>
    <VIdlParity>1</VIdlParity>
    <DetSciYAngle>0</DetSciYAngle>
    <DetSciParity>1</DetSciParity>
    <V3SciXAngle>90.8338533691206</V3SciXAngle>
    <V3SciYAngle>-179.4279</V3SciYAngle>
    <XIdlVert1>-66.9068093804249</XIdlVert1>
    <XIdlVert2>66.949793270517</XIdlVert2>
    <XIdlVert3>66.9504706195751</XIdlVert3>
    <XIdlVert4>-66.9074867294831</XIdlVert4>
    <YIdlVert1>67.6127708835021</YIdlVert1>
    <YIdlVert2>67.0474856076083</YIdlVert2>
    <YIdlVert3>-67.8667022684979</YIdlVert3>
    <YIdlVert4>-67.2089362803917</YIdlVert4>
    <UseAfterDate>2014-01-21</UseAfterDate>
    <Comment/>
    <Sci2IdlDeg>4</Sci2IdlDeg>
    <Sci2IdlX10>0.06536</Sci2IdlX10>
    <Sci2IdlX11>-2.211772E-17</Sci2IdlX11>
    <Sci2IdlX20>0.0000000178985</Sci2IdlX20>
    <Sci2IdlX21>3.229852E-10</Sci2IdlX21>
    <Sci2IdlX22>0.000000002597816</Sci2IdlX22>
    <Sci2IdlX30>-1.660528E-12</Sci2IdlX30>
    <Sci2IdlX31>5.243394E-12</Sci2IdlX31>
    <Sci2IdlX32>-8.313006E-12</Sci2IdlX32>
    <Sci2IdlX33>6.197381E-13</Sci2IdlX33>
    <Sci2IdlX40>-9.452946E-16</Sci2IdlX40>
    <Sci2IdlX41>-6.920084E-15</Sci2IdlX41>
    <Sci2IdlX42>-1.284165E-15</Sci2IdlX42>
    <Sci2IdlX43>-6.159667E-15</Sci2IdlX43>
    <Sci2IdlX44>1.686839E-16</Sci2IdlX44>
    <Sci2IdlX50/>
    <Sci2IdlX51/>
    <Sci2IdlX52/>
    <Sci2IdlX53/>
    <Sci2IdlX54/>
    <Sci2IdlX55/>
    <Sci2IdlY10>-0.0002985965</Sci2IdlY10>
    <Sci2IdlY11>-0.06585349</Sci2IdlY11>
    <Sci2IdlY20>-0.0000000495174</Sci2IdlY20>
    <Sci2IdlY21>-0.00000002204912</Sci2IdlY21>
    <Sci2IdlY22>0.000000001902323</Sci2IdlY22>
    <Sci2IdlY30>-1.03602E-12</Sci2IdlY30>
    <Sci2IdlY31>1.426574E-11</Sci2IdlY31>
    <Sci2IdlY32>-1.439421E-12</Sci2IdlY32>
    <Sci2IdlY33>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0.000003033013</Idl2SciX11>
    <Idl2SciX20>-0.00006461235</Idl2SciX20>
    <Idl2SciX21>0.000001228877</Idl2SciX21>
    <Idl2SciX22>-0.000009252377</Idl2SciX22>
    <Idl2SciX30>0.00000009016805</Idl2SciX30>
    <Idl2SciX31>0.0000002916077</Idl2SciX31>
    <Idl2SciX32>0.0000004479427</Idl2SciX32>
    <Idl2SciX33>0.00000003149413</Idl2SciX33>
    <Idl2SciX40>9.174626E-10</Idl2SciX40>
    <Idl2SciX41>-0.000000005804785</Idl2SciX41>
    <Idl2SciX42>9.441654E-10</Idl2SciX42>
    <Idl2SciX43>-0.000000005055775</Idl2SciX43>
    <Idl2SciX44>-0.00000000010323</Idl2SciX44>
    <Idl2SciX50/>
    <Idl2SciX51/>
    <Idl2SciX52/>
    <Idl2SciX53/>
    <Idl2SciX54/>
    <Idl2SciX55/>
    <Idl2SciY10>-0.06937148</Idl2SciY10>
    <Idl2SciY11>-15.18524</Idl2SciY11>
    <Idl2SciY20>-0.0001749296</Idl2SciY20>
    <Idl2SciY21>0.00007792879</Idl2SciY21>
    <Idl2SciY22>0.000007115692</Idl2SciY22>
    <Idl2SciY30>-0.00000005876054</Idl2SciY30>
    <Idl2SciY31>-0.0000007664019</Idl2SciY31>
    <Idl2SciY32>-0.0000001009334</Idl2SciY32>
    <Idl2SciY33>-0.00000146158</Idl2SciY33>
    <Idl2SciY40>0.000000001155591</Idl2SciY40>
    <Idl2SciY41>-6.822058E-10</Idl2SciY41>
    <Idl2SciY42>0.000000006388641</Idl2SciY42>
    <Idl2SciY43>1.636864E-10</Idl2SciY43>
    <Idl2SciY44>0.00000001151811</Idl2SciY44>
    <Idl2SciY50/>
    <Idl2SciY51/>
    <Idl2SciY52/>
    <Idl2SciY53/>
    <Idl2SciY54/>
    <Idl2SciY55/>
  </SiafEntry>
  <SiafEntry>
    <InstrName>NIRISS</InstrName>
    <AperName>NIS_FULL_CNTR</AperName>
    <AperShape>QUAD</AperShape>
    <XDetSize>2048</XDetSize>
    <YDetSize>2048</YDetSize>
    <XDetRef>1023.5</XDetRef>
    <YDetRef>1023.5</YDetRef>
    <XSciSize>2048</XSciSize>
    <YSciSize>2048</YSciSize>
    <XSciRef>1024.5</XSciRef>
    <YSciRef>1024.5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-66.9504706195751</XIdlVert1>
    <XIdlVert2>66.9074867294831</XIdlVert2>
    <XIdlVert3>66.9068093804249</XIdlVert3>
    <XIdlVert4>-66.9497932705169</XIdlVert4>
    <YIdlVert1>-67.8667022684979</YIdlVert1>
    <YIdlVert2>-67.2089362803917</YIdlVert2>
    <YIdlVert3>67.6127708835021</YIdlVert3>
    <YIdlVert4>67.0474856076083</YIdlVert4>
    <UseAfterDate>2014-01-21</UseAfterDate>
    <Comment/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NIS_SUB256_CNTR</AperName>
    <AperShape>QUAD</AperShape>
    <XDetSize>256</XDetSize>
    <YDetSize>256</YDetSize>
    <XDetRef>1023.5</XDetRef>
    <YDetRef>1023.5</YDetRef>
    <XSciSize>256</XSciSize>
    <YSciSize>256</YSciSize>
    <XSciRef>128.5</XSciRef>
    <YSciRef>128.5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-8.36642110343086</XIdlVert1>
    <XIdlVert2>8.36574948014817</XIdlVert2>
    <XIdlVert3>8.36573889656914</XIdlVert3>
    <XIdlVert4>-8.36641051985183</XIdlVert4>
    <YIdlVert1>-8.46945091094528</YIdlVert1>
    <YIdlVert2>-8.39228770138112</YIdlVert2>
    <YIdlVert3>8.46548323305472</YIdlVert3>
    <YIdlVert4>8.38976503461888</YIdlVert4>
    <UseAfterDate>2014-01-21</UseAfterDate>
    <Comment/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NIS_SUB128_CNTR</AperName>
    <AperShape>QUAD</AperShape>
    <XDetSize>128</XDetSize>
    <YDetSize>128</YDetSize>
    <XDetRef>1023.5</XDetRef>
    <YDetRef>1023.5</YDetRef>
    <XSciSize>128</XSciSize>
    <YSciSize>128</YSciSize>
    <XSciRef>64.5</XSciRef>
    <YSciRef>64.5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-4.18312527585772</XIdlVert1>
    <XIdlVert2>4.18295737003704</XIdlVert2>
    <XIdlVert3>4.18295472414228</XIdlVert3>
    <XIdlVert4>-4.18312262996296</XIdlVert4>
    <YIdlVert1>-4.23422949573632</YIdlVert1>
    <YIdlVert2>-4.19582851734528</YIdlVert2>
    <YIdlVert3>4.23323757626368</YIdlVert3>
    <YIdlVert4>4.19519785065472</YIdlVert4>
    <UseAfterDate>2014-01-21</UseAfterDate>
    <Comment/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NIS_SUB64_CNTR</AperName>
    <AperShape>QUAD</AperShape>
    <XDetSize>64</XDetSize>
    <YDetSize>64</YDetSize>
    <XDetRef>1023.5</XDetRef>
    <YDetRef>1023.5</YDetRef>
    <XSciSize>64</XSciSize>
    <YSciSize>64</YSciSize>
    <XSciRef>32.5</XSciRef>
    <YSciRef>32.5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-2.09154131896443</XIdlVert1>
    <XIdlVert2>2.09149934250926</XIdlVert2>
    <XIdlVert3>2.09149868103557</XIdlVert3>
    <XIdlVert4>-2.09154065749074</XIdlVert4>
    <YIdlVert1>-2.11699075793408</YIdlVert1>
    <YIdlVert2>-2.09783542533632</YIdlVert2>
    <YIdlVert3>2.11674277806592</YIdlVert3>
    <YIdlVert4>2.09767775866368</YIdlVert4>
    <UseAfterDate>2014-01-21</UseAfterDate>
    <Comment/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</SiafEntries>
</file>

<file path=customXml/item2.xml><?xml version="1.0" encoding="utf-8"?>
<SiafEntries>
  <SiafEntry>
    <InstrName>NIRISS</InstrName>
    <AperName>NIS_FULL_CNTR_OSS</AperName>
    <AperShape>QUAD</AperShape>
    <XDetSize>2048</XDetSize>
    <YDetSize>2048</YDetSize>
    <XDetRef>1023.5</XDetRef>
    <YDetRef>1023.5</YDetRef>
    <XSciSize>2048</XSciSize>
    <YSciSize>2048</YSciSize>
    <XSciRef>1023.5</XSciRef>
    <YSciRef>1023.5</YSciRef>
    <XSciScale>6.53606820639887E-02</XSciScale>
    <YSciScale>0.06585349</YSciScale>
    <V2Ref>-290.088</V2Ref>
    <V3Ref>-697.5</V3Ref>
    <V3IdlYAngle>0.5721</V3IdlYAngle>
    <VIdlParity>1</VIdlParity>
    <DetSciYAngle>0</DetSciYAngle>
    <DetSciParity>1</DetSciParity>
    <V3SciXAngle>90.8338533691206</V3SciXAngle>
    <V3SciYAngle>-179.4279</V3SciYAngle>
    <XIdlVert1>-66.9068093804249</XIdlVert1>
    <XIdlVert2>66.949793270517</XIdlVert2>
    <XIdlVert3>66.9504706195751</XIdlVert3>
    <XIdlVert4>-66.9074867294831</XIdlVert4>
    <YIdlVert1>67.6127708835021</YIdlVert1>
    <YIdlVert2>67.0474856076083</YIdlVert2>
    <YIdlVert3>-67.8667022684979</YIdlVert3>
    <YIdlVert4>-67.2089362803917</YIdlVert4>
    <UseAfterDate>2014-01-21</UseAfterDate>
    <Comment/>
    <Sci2IdlDeg>4</Sci2IdlDeg>
    <Sci2IdlX00/>
    <Sci2IdlX10>0.06536</Sci2IdlX10>
    <Sci2IdlX11>-2.211772E-17</Sci2IdlX11>
    <Sci2IdlX20>0.0000000178985</Sci2IdlX20>
    <Sci2IdlX21>3.229852E-10</Sci2IdlX21>
    <Sci2IdlX22>0.000000002597816</Sci2IdlX22>
    <Sci2IdlX30>-1.660528E-12</Sci2IdlX30>
    <Sci2IdlX31>5.243394E-12</Sci2IdlX31>
    <Sci2IdlX32>-8.313006E-12</Sci2IdlX32>
    <Sci2IdlX33>6.197381E-13</Sci2IdlX33>
    <Sci2IdlX40>-9.452946E-16</Sci2IdlX40>
    <Sci2IdlX41>-6.920084E-15</Sci2IdlX41>
    <Sci2IdlX42>-1.284165E-15</Sci2IdlX42>
    <Sci2IdlX43>-6.159667E-15</Sci2IdlX43>
    <Sci2IdlX44>1.686839E-16</Sci2IdlX44>
    <Sci2IdlX50/>
    <Sci2IdlX51/>
    <Sci2IdlX52/>
    <Sci2IdlX53/>
    <Sci2IdlX54/>
    <Sci2IdlX55/>
    <Sci2IdlY00/>
    <Sci2IdlY10>-0.0002985965</Sci2IdlY10>
    <Sci2IdlY11>-0.06585349</Sci2IdlY11>
    <Sci2IdlY20>-0.0000000495174</Sci2IdlY20>
    <Sci2IdlY21>-0.00000002204912</Sci2IdlY21>
    <Sci2IdlY22>0.000000001902323</Sci2IdlY22>
    <Sci2IdlY30>-1.03602E-12</Sci2IdlY30>
    <Sci2IdlY31>1.426574E-11</Sci2IdlY31>
    <Sci2IdlY32>-1.439421E-12</Sci2IdlY32>
    <Sci2IdlY33>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00/>
    <Idl2SciX10>15.29989</Idl2SciX10>
    <Idl2SciX11>0.000003033013</Idl2SciX11>
    <Idl2SciX20>-0.00006461235</Idl2SciX20>
    <Idl2SciX21>0.000001228877</Idl2SciX21>
    <Idl2SciX22>-0.000009252377</Idl2SciX22>
    <Idl2SciX30>0.00000009016805</Idl2SciX30>
    <Idl2SciX31>0.0000002916077</Idl2SciX31>
    <Idl2SciX32>0.0000004479427</Idl2SciX32>
    <Idl2SciX33>0.00000003149413</Idl2SciX33>
    <Idl2SciX40>9.174626E-10</Idl2SciX40>
    <Idl2SciX41>-0.000000005804785</Idl2SciX41>
    <Idl2SciX42>9.441654E-10</Idl2SciX42>
    <Idl2SciX43>-0.000000005055775</Idl2SciX43>
    <Idl2SciX44>-0.00000000010323</Idl2SciX44>
    <Idl2SciX50/>
    <Idl2SciX51/>
    <Idl2SciX52/>
    <Idl2SciX53/>
    <Idl2SciX54/>
    <Idl2SciX55/>
    <Idl2SciY00/>
    <Idl2SciY10>-0.06937148</Idl2SciY10>
    <Idl2SciY11>-15.18524</Idl2SciY11>
    <Idl2SciY20>-0.0001749296</Idl2SciY20>
    <Idl2SciY21>0.00007792879</Idl2SciY21>
    <Idl2SciY22>0.000007115692</Idl2SciY22>
    <Idl2SciY30>-0.00000005876054</Idl2SciY30>
    <Idl2SciY31>-0.0000007664019</Idl2SciY31>
    <Idl2SciY32>-0.0000001009334</Idl2SciY32>
    <Idl2SciY33>-0.00000146158</Idl2SciY33>
    <Idl2SciY40>0.000000001155591</Idl2SciY40>
    <Idl2SciY41>-6.822058E-10</Idl2SciY41>
    <Idl2SciY42>0.000000006388641</Idl2SciY42>
    <Idl2SciY43>1.636864E-10</Idl2SciY43>
    <Idl2SciY44>0.00000001151811</Idl2SciY44>
    <Idl2SciY50/>
    <Idl2SciY51/>
    <Idl2SciY52/>
    <Idl2SciY53/>
    <Idl2SciY54/>
    <Idl2SciY55/>
  </SiafEntry>
  <SiafEntry>
    <InstrName>NIRISS</InstrName>
    <AperName>NIS_FULL_CNTR</AperName>
    <AperShape>QUAD</AperShape>
    <XDetSize>2048</XDetSize>
    <YDetSize>2048</YDetSize>
    <XDetRef>1023.5</XDetRef>
    <YDetRef>1023.5</YDetRef>
    <XSciSize>2048</XSciSize>
    <YSciSize>2048</YSciSize>
    <XSciRef>1024.5</XSciRef>
    <YSciRef>1024.5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-66.9504706195751</XIdlVert1>
    <XIdlVert2>66.9074867294831</XIdlVert2>
    <XIdlVert3>66.9068093804249</XIdlVert3>
    <XIdlVert4>-66.9497932705169</XIdlVert4>
    <YIdlVert1>-67.8667022684979</YIdlVert1>
    <YIdlVert2>-67.2089362803917</YIdlVert2>
    <YIdlVert3>67.6127708835021</YIdlVert3>
    <YIdlVert4>67.0474856076083</YIdlVert4>
    <UseAfterDate>2014-01-21</UseAfterDate>
    <Comment/>
    <Sci2IdlDeg>4</Sci2IdlDeg>
    <Sci2IdlX00/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00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00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00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NIS_SUB256_CNTR</AperName>
    <AperShape>QUAD</AperShape>
    <XDetSize>256</XDetSize>
    <YDetSize>256</YDetSize>
    <XDetRef>1023.5</XDetRef>
    <YDetRef>1023.5</YDetRef>
    <XSciSize>256</XSciSize>
    <YSciSize>256</YSciSize>
    <XSciRef>128.5</XSciRef>
    <YSciRef>128.5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-8.36642110343086</XIdlVert1>
    <XIdlVert2>8.36574948014817</XIdlVert2>
    <XIdlVert3>8.36573889656914</XIdlVert3>
    <XIdlVert4>-8.36641051985183</XIdlVert4>
    <YIdlVert1>-8.46945091094528</YIdlVert1>
    <YIdlVert2>-8.39228770138112</YIdlVert2>
    <YIdlVert3>8.46548323305472</YIdlVert3>
    <YIdlVert4>8.38976503461888</YIdlVert4>
    <UseAfterDate>2014-01-21</UseAfterDate>
    <Comment/>
    <Sci2IdlDeg>4</Sci2IdlDeg>
    <Sci2IdlX00/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00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00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00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NIS_SUB128_CNTR</AperName>
    <AperShape>QUAD</AperShape>
    <XDetSize>128</XDetSize>
    <YDetSize>128</YDetSize>
    <XDetRef>1023.5</XDetRef>
    <YDetRef>1023.5</YDetRef>
    <XSciSize>128</XSciSize>
    <YSciSize>128</YSciSize>
    <XSciRef>64.5</XSciRef>
    <YSciRef>64.5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-4.18312527585772</XIdlVert1>
    <XIdlVert2>4.18295737003704</XIdlVert2>
    <XIdlVert3>4.18295472414228</XIdlVert3>
    <XIdlVert4>-4.18312262996296</XIdlVert4>
    <YIdlVert1>-4.23422949573632</YIdlVert1>
    <YIdlVert2>-4.19582851734528</YIdlVert2>
    <YIdlVert3>4.23323757626368</YIdlVert3>
    <YIdlVert4>4.19519785065472</YIdlVert4>
    <UseAfterDate>2014-01-21</UseAfterDate>
    <Comment/>
    <Sci2IdlDeg>4</Sci2IdlDeg>
    <Sci2IdlX00/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00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00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00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NIS_SUB64_CNTR</AperName>
    <AperShape>QUAD</AperShape>
    <XDetSize>64</XDetSize>
    <YDetSize>64</YDetSize>
    <XDetRef>1023.5</XDetRef>
    <YDetRef>1023.5</YDetRef>
    <XSciSize>64</XSciSize>
    <YSciSize>64</YSciSize>
    <XSciRef>32.5</XSciRef>
    <YSciRef>32.5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-2.09154131896443</XIdlVert1>
    <XIdlVert2>2.09149934250926</XIdlVert2>
    <XIdlVert3>2.09149868103557</XIdlVert3>
    <XIdlVert4>-2.09154065749074</XIdlVert4>
    <YIdlVert1>-2.11699075793408</YIdlVert1>
    <YIdlVert2>-2.09783542533632</YIdlVert2>
    <YIdlVert3>2.11674277806592</YIdlVert3>
    <YIdlVert4>2.09767775866368</YIdlVert4>
    <UseAfterDate>2014-01-21</UseAfterDate>
    <Comment/>
    <Sci2IdlDeg>4</Sci2IdlDeg>
    <Sci2IdlX00/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00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00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00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</SiafEntries>
</file>

<file path=customXml/item3.xml><?xml version="1.0" encoding="utf-8"?>
<SiafEntries>
  <SiafEntry>
    <InstrName>NIRISS</InstrName>
    <AperName>NIS_FULL_CNTR_OSS</AperName>
    <AperShape>QUAD</AperShape>
    <XDetSize>2048</XDetSize>
    <YDetSize>2048</YDetSize>
    <XDetRef>1023.5</XDetRef>
    <YDetRef>1023.5</YDetRef>
    <XSciSize>2048</XSciSize>
    <YSciSize>2048</YSciSize>
    <XSciRef>1023.5</XSciRef>
    <YSciRef>1023.5</YSciRef>
    <XSciScale>6.53606820639887E-02</XSciScale>
    <YSciScale>0.06585349</YSciScale>
    <V2Ref>-290.088</V2Ref>
    <V3Ref>-697.5</V3Ref>
    <V3IdlYAngle>0.5721</V3IdlYAngle>
    <VIdlParity>1</VIdlParity>
    <DetSciYAngle>0</DetSciYAngle>
    <DetSciParity>1</DetSciParity>
    <V3SciXAngle>90.8338533691206</V3SciXAngle>
    <V3SciYAngle>-179.4279</V3SciYAngle>
    <XIdlVert1>-66.9068093804249</XIdlVert1>
    <XIdlVert2>66.949793270517</XIdlVert2>
    <XIdlVert3>66.9504706195751</XIdlVert3>
    <XIdlVert4>-66.9074867294831</XIdlVert4>
    <YIdlVert1>67.6127708835021</YIdlVert1>
    <YIdlVert2>67.0474856076083</YIdlVert2>
    <YIdlVert3>-67.8667022684979</YIdlVert3>
    <YIdlVert4>-67.2089362803917</YIdlVert4>
    <UseAfterDate>2014-01-21</UseAfterDate>
    <Comment/>
    <Sci2IdlDeg>4</Sci2IdlDeg>
    <Sci2IdlX00/>
    <Sci2IdlX10>0.06536</Sci2IdlX10>
    <Sci2IdlX11>-2.211772E-17</Sci2IdlX11>
    <Sci2IdlX20>0.0000000178985</Sci2IdlX20>
    <Sci2IdlX21>3.229852E-10</Sci2IdlX21>
    <Sci2IdlX22>0.000000002597816</Sci2IdlX22>
    <Sci2IdlX30>-1.660528E-12</Sci2IdlX30>
    <Sci2IdlX31>5.243394E-12</Sci2IdlX31>
    <Sci2IdlX32>-8.313006E-12</Sci2IdlX32>
    <Sci2IdlX33>6.197381E-13</Sci2IdlX33>
    <Sci2IdlX40>-9.452946E-16</Sci2IdlX40>
    <Sci2IdlX41>-6.920084E-15</Sci2IdlX41>
    <Sci2IdlX42>-1.284165E-15</Sci2IdlX42>
    <Sci2IdlX43>-6.159667E-15</Sci2IdlX43>
    <Sci2IdlX44>1.686839E-16</Sci2IdlX44>
    <Sci2IdlX50/>
    <Sci2IdlX51/>
    <Sci2IdlX52/>
    <Sci2IdlX53/>
    <Sci2IdlX54/>
    <Sci2IdlX55/>
    <Sci2IdlY00/>
    <Sci2IdlY10>-0.0002985965</Sci2IdlY10>
    <Sci2IdlY11>-0.06585349</Sci2IdlY11>
    <Sci2IdlY20>-0.0000000495174</Sci2IdlY20>
    <Sci2IdlY21>-0.00000002204912</Sci2IdlY21>
    <Sci2IdlY22>0.000000001902323</Sci2IdlY22>
    <Sci2IdlY30>-1.03602E-12</Sci2IdlY30>
    <Sci2IdlY31>1.426574E-11</Sci2IdlY31>
    <Sci2IdlY32>-1.439421E-12</Sci2IdlY32>
    <Sci2IdlY33>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00/>
    <Idl2SciX10>15.29989</Idl2SciX10>
    <Idl2SciX11>0.000003033013</Idl2SciX11>
    <Idl2SciX20>-0.00006461235</Idl2SciX20>
    <Idl2SciX21>0.000001228877</Idl2SciX21>
    <Idl2SciX22>-0.000009252377</Idl2SciX22>
    <Idl2SciX30>0.00000009016805</Idl2SciX30>
    <Idl2SciX31>0.0000002916077</Idl2SciX31>
    <Idl2SciX32>0.0000004479427</Idl2SciX32>
    <Idl2SciX33>0.00000003149413</Idl2SciX33>
    <Idl2SciX40>9.174626E-10</Idl2SciX40>
    <Idl2SciX41>-0.000000005804785</Idl2SciX41>
    <Idl2SciX42>9.441654E-10</Idl2SciX42>
    <Idl2SciX43>-0.000000005055775</Idl2SciX43>
    <Idl2SciX44>-0.00000000010323</Idl2SciX44>
    <Idl2SciX50/>
    <Idl2SciX51/>
    <Idl2SciX52/>
    <Idl2SciX53/>
    <Idl2SciX54/>
    <Idl2SciX55/>
    <Idl2SciY00/>
    <Idl2SciY10>-0.06937148</Idl2SciY10>
    <Idl2SciY11>-15.18524</Idl2SciY11>
    <Idl2SciY20>-0.0001749296</Idl2SciY20>
    <Idl2SciY21>0.00007792879</Idl2SciY21>
    <Idl2SciY22>0.000007115692</Idl2SciY22>
    <Idl2SciY30>-0.00000005876054</Idl2SciY30>
    <Idl2SciY31>-0.0000007664019</Idl2SciY31>
    <Idl2SciY32>-0.0000001009334</Idl2SciY32>
    <Idl2SciY33>-0.00000146158</Idl2SciY33>
    <Idl2SciY40>0.000000001155591</Idl2SciY40>
    <Idl2SciY41>-6.822058E-10</Idl2SciY41>
    <Idl2SciY42>0.000000006388641</Idl2SciY42>
    <Idl2SciY43>1.636864E-10</Idl2SciY43>
    <Idl2SciY44>0.00000001151811</Idl2SciY44>
    <Idl2SciY50/>
    <Idl2SciY51/>
    <Idl2SciY52/>
    <Idl2SciY53/>
    <Idl2SciY54/>
    <Idl2SciY55/>
  </SiafEntry>
  <SiafEntry>
    <InstrName>NIRISS</InstrName>
    <AperName>NIS_FULL_CNTR</AperName>
    <AperShape>QUAD</AperShape>
    <XDetSize>2048</XDetSize>
    <YDetSize>2048</YDetSize>
    <XDetRef>1023.5</XDetRef>
    <YDetRef>1023.5</YDetRef>
    <XSciSize>2048</XSciSize>
    <YSciSize>2048</YSciSize>
    <XSciRef>1024.5</XSciRef>
    <YSciRef>1024.5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-66.9504706195751</XIdlVert1>
    <XIdlVert2>66.9074867294831</XIdlVert2>
    <XIdlVert3>66.9068093804249</XIdlVert3>
    <XIdlVert4>-66.9497932705169</XIdlVert4>
    <YIdlVert1>-67.8667022684979</YIdlVert1>
    <YIdlVert2>-67.2089362803917</YIdlVert2>
    <YIdlVert3>67.6127708835021</YIdlVert3>
    <YIdlVert4>67.0474856076083</YIdlVert4>
    <UseAfterDate>2014-01-21</UseAfterDate>
    <Comment/>
    <Sci2IdlDeg>4</Sci2IdlDeg>
    <Sci2IdlX00/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00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00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00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NIS_SUB256_CNTR</AperName>
    <AperShape>QUAD</AperShape>
    <XDetSize>256</XDetSize>
    <YDetSize>256</YDetSize>
    <XDetRef>1023.5</XDetRef>
    <YDetRef>1023.5</YDetRef>
    <XSciSize>256</XSciSize>
    <YSciSize>256</YSciSize>
    <XSciRef>128.5</XSciRef>
    <YSciRef>128.5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-8.36642110343086</XIdlVert1>
    <XIdlVert2>8.36574948014817</XIdlVert2>
    <XIdlVert3>8.36573889656914</XIdlVert3>
    <XIdlVert4>-8.36641051985183</XIdlVert4>
    <YIdlVert1>-8.46945091094528</YIdlVert1>
    <YIdlVert2>-8.39228770138112</YIdlVert2>
    <YIdlVert3>8.46548323305472</YIdlVert3>
    <YIdlVert4>8.38976503461888</YIdlVert4>
    <UseAfterDate>2014-01-21</UseAfterDate>
    <Comment/>
    <Sci2IdlDeg>4</Sci2IdlDeg>
    <Sci2IdlX00/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00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00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00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NIS_SUB128_CNTR</AperName>
    <AperShape>QUAD</AperShape>
    <XDetSize>128</XDetSize>
    <YDetSize>128</YDetSize>
    <XDetRef>1023.5</XDetRef>
    <YDetRef>1023.5</YDetRef>
    <XSciSize>128</XSciSize>
    <YSciSize>128</YSciSize>
    <XSciRef>64.5</XSciRef>
    <YSciRef>64.5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-4.18312527585772</XIdlVert1>
    <XIdlVert2>4.18295737003704</XIdlVert2>
    <XIdlVert3>4.18295472414228</XIdlVert3>
    <XIdlVert4>-4.18312262996296</XIdlVert4>
    <YIdlVert1>-4.23422949573632</YIdlVert1>
    <YIdlVert2>-4.19582851734528</YIdlVert2>
    <YIdlVert3>4.23323757626368</YIdlVert3>
    <YIdlVert4>4.19519785065472</YIdlVert4>
    <UseAfterDate>2014-01-21</UseAfterDate>
    <Comment/>
    <Sci2IdlDeg>4</Sci2IdlDeg>
    <Sci2IdlX00/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00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00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00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NIS_SUB64_CNTR</AperName>
    <AperShape>QUAD</AperShape>
    <XDetSize>64</XDetSize>
    <YDetSize>64</YDetSize>
    <XDetRef>1023.5</XDetRef>
    <YDetRef>1023.5</YDetRef>
    <XSciSize>64</XSciSize>
    <YSciSize>64</YSciSize>
    <XSciRef>32.5</XSciRef>
    <YSciRef>32.5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-2.09154131896443</XIdlVert1>
    <XIdlVert2>2.09149934250926</XIdlVert2>
    <XIdlVert3>2.09149868103557</XIdlVert3>
    <XIdlVert4>-2.09154065749074</XIdlVert4>
    <YIdlVert1>-2.11699075793408</YIdlVert1>
    <YIdlVert2>-2.09783542533632</YIdlVert2>
    <YIdlVert3>2.11674277806592</YIdlVert3>
    <YIdlVert4>2.09767775866368</YIdlVert4>
    <UseAfterDate>2014-01-21</UseAfterDate>
    <Comment/>
    <Sci2IdlDeg>4</Sci2IdlDeg>
    <Sci2IdlX00/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00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00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00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</SiafEntries>
</file>

<file path=customXml/item4.xml><?xml version="1.0" encoding="utf-8"?>
<SiafEntries>
  <SiafEntry>
    <InstrName>NIRISS</InstrName>
    <AperName>NIS_FULL_CNTR_OSS</AperName>
    <AperShape>QUAD</AperShape>
    <XDetSize>2048</XDetSize>
    <YDetSize>2048</YDetSize>
    <XDetRef>1023.5</XDetRef>
    <YDetRef>1023.5</YDetRef>
    <XSciSize>2048</XSciSize>
    <YSciSize>2048</YSciSize>
    <XSciRef>1023.5</XSciRef>
    <YSciRef>1023.5</YSciRef>
    <XSciScale>6.53606820639887E-02</XSciScale>
    <YSciScale>0.06585349</YSciScale>
    <V2Ref>-290.088</V2Ref>
    <V3Ref>-697.5</V3Ref>
    <V3IdlYAngle>0.5721</V3IdlYAngle>
    <VIdlParity>1</VIdlParity>
    <DetSciYAngle>0</DetSciYAngle>
    <DetSciParity>1</DetSciParity>
    <V3SciXAngle>90.8338533691206</V3SciXAngle>
    <V3SciYAngle>-179.4279</V3SciYAngle>
    <XIdlVert1>-66.9068093804249</XIdlVert1>
    <XIdlVert2>66.949793270517</XIdlVert2>
    <XIdlVert3>66.9504706195751</XIdlVert3>
    <XIdlVert4>-66.9074867294831</XIdlVert4>
    <YIdlVert1>67.6127708835021</YIdlVert1>
    <YIdlVert2>67.0474856076083</YIdlVert2>
    <YIdlVert3>-67.8667022684979</YIdlVert3>
    <YIdlVert4>-67.2089362803917</YIdlVert4>
    <UseAfterDate>2014-01-21</UseAfterDate>
    <Comment/>
    <Sci2IdlDeg>4</Sci2IdlDeg>
    <Sci2IdlX10>0.06536</Sci2IdlX10>
    <Sci2IdlX11>-2.211772E-17</Sci2IdlX11>
    <Sci2IdlX20>0.0000000178985</Sci2IdlX20>
    <Sci2IdlX21>3.229852E-10</Sci2IdlX21>
    <Sci2IdlX22>0.000000002597816</Sci2IdlX22>
    <Sci2IdlX30>-1.660528E-12</Sci2IdlX30>
    <Sci2IdlX31>5.243394E-12</Sci2IdlX31>
    <Sci2IdlX32>-8.313006E-12</Sci2IdlX32>
    <Sci2IdlX33>6.197381E-13</Sci2IdlX33>
    <Sci2IdlX40>-9.452946E-16</Sci2IdlX40>
    <Sci2IdlX41>-6.920084E-15</Sci2IdlX41>
    <Sci2IdlX42>-1.284165E-15</Sci2IdlX42>
    <Sci2IdlX43>-6.159667E-15</Sci2IdlX43>
    <Sci2IdlX44>1.686839E-16</Sci2IdlX44>
    <Sci2IdlX50/>
    <Sci2IdlX51/>
    <Sci2IdlX52/>
    <Sci2IdlX53/>
    <Sci2IdlX54/>
    <Sci2IdlX55/>
    <Sci2IdlY10>-0.0002985965</Sci2IdlY10>
    <Sci2IdlY11>-0.06585349</Sci2IdlY11>
    <Sci2IdlY20>-0.0000000495174</Sci2IdlY20>
    <Sci2IdlY21>-0.00000002204912</Sci2IdlY21>
    <Sci2IdlY22>0.000000001902323</Sci2IdlY22>
    <Sci2IdlY30>-1.03602E-12</Sci2IdlY30>
    <Sci2IdlY31>1.426574E-11</Sci2IdlY31>
    <Sci2IdlY32>-1.439421E-12</Sci2IdlY32>
    <Sci2IdlY33>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0.000003033013</Idl2SciX11>
    <Idl2SciX20>-0.00006461235</Idl2SciX20>
    <Idl2SciX21>0.000001228877</Idl2SciX21>
    <Idl2SciX22>-0.000009252377</Idl2SciX22>
    <Idl2SciX30>0.00000009016805</Idl2SciX30>
    <Idl2SciX31>0.0000002916077</Idl2SciX31>
    <Idl2SciX32>0.0000004479427</Idl2SciX32>
    <Idl2SciX33>0.00000003149413</Idl2SciX33>
    <Idl2SciX40>9.174626E-10</Idl2SciX40>
    <Idl2SciX41>-0.000000005804785</Idl2SciX41>
    <Idl2SciX42>9.441654E-10</Idl2SciX42>
    <Idl2SciX43>-0.000000005055775</Idl2SciX43>
    <Idl2SciX44>-0.00000000010323</Idl2SciX44>
    <Idl2SciX50/>
    <Idl2SciX51/>
    <Idl2SciX52/>
    <Idl2SciX53/>
    <Idl2SciX54/>
    <Idl2SciX55/>
    <Idl2SciY10>-0.06937148</Idl2SciY10>
    <Idl2SciY11>-15.18524</Idl2SciY11>
    <Idl2SciY20>-0.0001749296</Idl2SciY20>
    <Idl2SciY21>0.00007792879</Idl2SciY21>
    <Idl2SciY22>0.000007115692</Idl2SciY22>
    <Idl2SciY30>-0.00000005876054</Idl2SciY30>
    <Idl2SciY31>-0.0000007664019</Idl2SciY31>
    <Idl2SciY32>-0.0000001009334</Idl2SciY32>
    <Idl2SciY33>-0.00000146158</Idl2SciY33>
    <Idl2SciY40>0.000000001155591</Idl2SciY40>
    <Idl2SciY41>-6.822058E-10</Idl2SciY41>
    <Idl2SciY42>0.000000006388641</Idl2SciY42>
    <Idl2SciY43>1.636864E-10</Idl2SciY43>
    <Idl2SciY44>0.00000001151811</Idl2SciY44>
    <Idl2SciY50/>
    <Idl2SciY51/>
    <Idl2SciY52/>
    <Idl2SciY53/>
    <Idl2SciY54/>
    <Idl2SciY55/>
  </SiafEntry>
  <SiafEntry>
    <InstrName>NIRISS</InstrName>
    <AperName>NIS_FULL_CNTR</AperName>
    <AperShape>QUAD</AperShape>
    <XDetSize>2048</XDetSize>
    <YDetSize>2048</YDetSize>
    <XDetRef>1023.5</XDetRef>
    <YDetRef>1023.5</YDetRef>
    <XSciSize>2048</XSciSize>
    <YSciSize>2048</YSciSize>
    <XSciRef>1024.5</XSciRef>
    <YSciRef>1024.5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-66.9504706195751</XIdlVert1>
    <XIdlVert2>66.9074867294831</XIdlVert2>
    <XIdlVert3>66.9068093804249</XIdlVert3>
    <XIdlVert4>-66.9497932705169</XIdlVert4>
    <YIdlVert1>-67.8667022684979</YIdlVert1>
    <YIdlVert2>-67.2089362803917</YIdlVert2>
    <YIdlVert3>67.6127708835021</YIdlVert3>
    <YIdlVert4>67.0474856076083</YIdlVert4>
    <UseAfterDate>2014-01-21</UseAfterDate>
    <Comment/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NIS_SUB256_CNTR</AperName>
    <AperShape>QUAD</AperShape>
    <XDetSize>256</XDetSize>
    <YDetSize>256</YDetSize>
    <XDetRef>1023.5</XDetRef>
    <YDetRef>1023.5</YDetRef>
    <XSciSize>256</XSciSize>
    <YSciSize>256</YSciSize>
    <XSciRef>128.5</XSciRef>
    <YSciRef>128.5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-8.36642110343086</XIdlVert1>
    <XIdlVert2>8.36574948014817</XIdlVert2>
    <XIdlVert3>8.36573889656914</XIdlVert3>
    <XIdlVert4>-8.36641051985183</XIdlVert4>
    <YIdlVert1>-8.46945091094528</YIdlVert1>
    <YIdlVert2>-8.39228770138112</YIdlVert2>
    <YIdlVert3>8.46548323305472</YIdlVert3>
    <YIdlVert4>8.38976503461888</YIdlVert4>
    <UseAfterDate>2014-01-21</UseAfterDate>
    <Comment/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NIS_SUB128_CNTR</AperName>
    <AperShape>QUAD</AperShape>
    <XDetSize>128</XDetSize>
    <YDetSize>128</YDetSize>
    <XDetRef>1023.5</XDetRef>
    <YDetRef>1023.5</YDetRef>
    <XSciSize>128</XSciSize>
    <YSciSize>128</YSciSize>
    <XSciRef>64.5</XSciRef>
    <YSciRef>64.5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-4.18312527585772</XIdlVert1>
    <XIdlVert2>4.18295737003704</XIdlVert2>
    <XIdlVert3>4.18295472414228</XIdlVert3>
    <XIdlVert4>-4.18312262996296</XIdlVert4>
    <YIdlVert1>-4.23422949573632</YIdlVert1>
    <YIdlVert2>-4.19582851734528</YIdlVert2>
    <YIdlVert3>4.23323757626368</YIdlVert3>
    <YIdlVert4>4.19519785065472</YIdlVert4>
    <UseAfterDate>2014-01-21</UseAfterDate>
    <Comment/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  <SiafEntry>
    <InstrName>NIRISS</InstrName>
    <AperName>NIS_SUB64_CNTR</AperName>
    <AperShape>QUAD</AperShape>
    <XDetSize>64</XDetSize>
    <YDetSize>64</YDetSize>
    <XDetRef>1023.5</XDetRef>
    <YDetRef>1023.5</YDetRef>
    <XSciSize>64</XSciSize>
    <YSciSize>64</YSciSize>
    <XSciRef>32.5</XSciRef>
    <YSciRef>32.5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-2.09154131896443</XIdlVert1>
    <XIdlVert2>2.09149934250926</XIdlVert2>
    <XIdlVert3>2.09149868103557</XIdlVert3>
    <XIdlVert4>-2.09154065749074</XIdlVert4>
    <YIdlVert1>-2.11699075793408</YIdlVert1>
    <YIdlVert2>-2.09783542533632</YIdlVert2>
    <YIdlVert3>2.11674277806592</YIdlVert3>
    <YIdlVert4>2.09767775866368</YIdlVert4>
    <UseAfterDate>2014-01-21</UseAfterDate>
    <Comment/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</SiafEntry>
</SiafEntries>
</file>

<file path=customXml/item5.xml><?xml version="1.0" encoding="utf-8"?>
<SiafEntries>
  <SiafEntry>
    <InstrName>NIRISS</InstrName>
    <AperName>NIS_FULL_CNTR_OSS</AperName>
    <UseAfterDate>2014-01-21</UseAfterDate>
    <AperShape>QUAD</AperShape>
    <XDetSize>2048</XDetSize>
    <YDetSize>2048</YDetSize>
    <XDetRef>1023.5</XDetRef>
    <YDetRef>1023.5</YDetRef>
    <XSciSize>2048</XSciSize>
    <YSciSize>2048</YSciSize>
    <XSciRef>1023.5</XSciRef>
    <YSciRef>1023.5</YSciRef>
    <XSciScale>6.53606820639887E-02</XSciScale>
    <YSciScale>0.06585349</YSciScale>
    <DetSciYAngle>0</DetSciYAngle>
    <DetSciParity>1</DetSciParity>
    <V3SciXAngle>90.8338533691206</V3SciXAngle>
    <V3SciYAngle>-179.4279</V3SciYAngle>
    <Sci2IdlDeg>4</Sci2IdlDeg>
    <Sci2IdlX10>0.06536</Sci2IdlX10>
    <Sci2IdlX11>-2.211772E-17</Sci2IdlX11>
    <Sci2IdlX20>0.0000000178985</Sci2IdlX20>
    <Sci2IdlX21>3.229852E-10</Sci2IdlX21>
    <Sci2IdlX22>0.000000002597816</Sci2IdlX22>
    <Sci2IdlX30>-1.660528E-12</Sci2IdlX30>
    <Sci2IdlX31>5.243394E-12</Sci2IdlX31>
    <Sci2IdlX32>-8.313006E-12</Sci2IdlX32>
    <Sci2IdlX33>6.197381E-13</Sci2IdlX33>
    <Sci2IdlX40>-9.452946E-16</Sci2IdlX40>
    <Sci2IdlX41>-6.920084E-15</Sci2IdlX41>
    <Sci2IdlX42>-1.284165E-15</Sci2IdlX42>
    <Sci2IdlX43>-6.159667E-15</Sci2IdlX43>
    <Sci2IdlX44>1.686839E-16</Sci2IdlX44>
    <Sci2IdlY10>-0.0002985965</Sci2IdlY10>
    <Sci2IdlY11>-0.06585349</Sci2IdlY11>
    <Sci2IdlY20>-0.0000000495174</Sci2IdlY20>
    <Sci2IdlY21>-0.00000002204912</Sci2IdlY21>
    <Sci2IdlY22>0.000000001902323</Sci2IdlY22>
    <Sci2IdlY30>-1.03602E-12</Sci2IdlY30>
    <Sci2IdlY31>1.426574E-11</Sci2IdlY31>
    <Sci2IdlY32>-1.439421E-12</Sci2IdlY32>
    <Sci2IdlY33>2.750809E-11</Sci2IdlY33>
    <Sci2IdlY40>1.512702E-15</Sci2IdlY40>
    <Sci2IdlY41>9.71619E-16</Sci2IdlY41>
    <Sci2IdlY42>7.994719E-15</Sci2IdlY42>
    <Sci2IdlY43>6.528978E-17</Sci2IdlY43>
    <Sci2IdlY44>1.432382E-14</Sci2IdlY44>
    <Idl2SciX10>15.29989</Idl2SciX10>
    <Idl2SciX11>0.000003033013</Idl2SciX11>
    <Idl2SciX20>-0.00006461235</Idl2SciX20>
    <Idl2SciX21>0.000001228877</Idl2SciX21>
    <Idl2SciX22>-0.000009252377</Idl2SciX22>
    <Idl2SciX30>0.00000009016805</Idl2SciX30>
    <Idl2SciX31>0.0000002916077</Idl2SciX31>
    <Idl2SciX32>0.0000004479427</Idl2SciX32>
    <Idl2SciX33>0.00000003149413</Idl2SciX33>
    <Idl2SciX40>9.174626E-10</Idl2SciX40>
    <Idl2SciX41>-0.000000005804785</Idl2SciX41>
    <Idl2SciX42>9.441654E-10</Idl2SciX42>
    <Idl2SciX43>-0.000000005055775</Idl2SciX43>
    <Idl2SciX44>-0.00000000010323</Idl2SciX44>
    <Idl2SciY10>-0.06937148</Idl2SciY10>
    <Idl2SciY11>-15.18524</Idl2SciY11>
    <Idl2SciY20>-0.0001749296</Idl2SciY20>
    <Idl2SciY21>0.00007792879</Idl2SciY21>
    <Idl2SciY22>0.000007115692</Idl2SciY22>
    <Idl2SciY30>-0.00000005876054</Idl2SciY30>
    <Idl2SciY31>-0.0000007664019</Idl2SciY31>
    <Idl2SciY32>-0.0000001009334</Idl2SciY32>
    <Idl2SciY33>-0.00000146158</Idl2SciY33>
    <Idl2SciY40>0.000000001155591</Idl2SciY40>
    <Idl2SciY41>-6.822058E-10</Idl2SciY41>
    <Idl2SciY42>0.000000006388641</Idl2SciY42>
    <Idl2SciY43>1.636864E-10</Idl2SciY43>
    <Idl2SciY44>0.00000001151811</Idl2SciY44>
    <XIdlVert1>-66.9068093804249</XIdlVert1>
    <XIdlVert2>66.949793270517</XIdlVert2>
    <XIdlVert3>66.9504706195751</XIdlVert3>
    <XIdlVert4>-66.9074867294831</XIdlVert4>
    <YIdlVert1>67.6127708835021</YIdlVert1>
    <YIdlVert2>67.0474856076083</YIdlVert2>
    <YIdlVert3>-67.8667022684979</YIdlVert3>
    <YIdlVert4>-67.2089362803917</YIdlVert4>
    <V2Ref>-290.088</V2Ref>
    <V3Ref>-697.5</V3Ref>
    <V3IdlYAngle>0.5721</V3IdlYAngle>
    <VIdlParity>1</VIdlParity>
    <Comment/>
  </SiafEntry>
  <SiafEntry>
    <InstrName>NIRISS</InstrName>
    <AperName>NIS_FULL_CNTR</AperName>
    <UseAfterDate>2014-01-21</UseAfterDate>
    <AperShape>QUAD</AperShape>
    <XDetSize>2048</XDetSize>
    <YDetSize>2048</YDetSize>
    <XDetRef>1023.5</XDetRef>
    <YDetRef>1023.5</YDetRef>
    <XSciSize>2048</XSciSize>
    <YSciSize>2048</YSciSize>
    <XSciRef>1024.5</XSciRef>
    <YSciRef>1024.5</YSciRef>
    <XSciScale>6.53606820639887E-02</XSciScale>
    <YSciScale>0.06585349</YSciScale>
    <DetSciYAngle>180</DetSciYAngle>
    <DetSciParity>1</DetSciParity>
    <V3SciXAngle>-89.1661466308794</V3SciXAngle>
    <V3SciYAngle>0.5721</V3SciYAngle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XIdlVert1>-66.9504706195751</XIdlVert1>
    <XIdlVert2>66.9074867294831</XIdlVert2>
    <XIdlVert3>66.9068093804249</XIdlVert3>
    <XIdlVert4>-66.9497932705169</XIdlVert4>
    <YIdlVert1>-67.8667022684979</YIdlVert1>
    <YIdlVert2>-67.2089362803917</YIdlVert2>
    <YIdlVert3>67.6127708835021</YIdlVert3>
    <YIdlVert4>67.0474856076083</YIdlVert4>
    <V2Ref>-290.088</V2Ref>
    <V3Ref>-697.5</V3Ref>
    <V3IdlYAngle>0.5721</V3IdlYAngle>
    <VIdlParity>-1</VIdlParity>
    <Comment/>
  </SiafEntry>
  <SiafEntry>
    <InstrName>NIRISS</InstrName>
    <AperName>NIS_SUB256_CNTR</AperName>
    <UseAfterDate>2014-01-21</UseAfterDate>
    <AperShape>QUAD</AperShape>
    <XDetSize>256</XDetSize>
    <YDetSize>256</YDetSize>
    <XDetRef>1023.5</XDetRef>
    <YDetRef>1023.5</YDetRef>
    <XSciSize>256</XSciSize>
    <YSciSize>256</YSciSize>
    <XSciRef>128.5</XSciRef>
    <YSciRef>128.5</YSciRef>
    <XSciScale>6.53606820639887E-02</XSciScale>
    <YSciScale>0.06585349</YSciScale>
    <DetSciYAngle>180</DetSciYAngle>
    <DetSciParity>1</DetSciParity>
    <V3SciXAngle>-89.1661466308794</V3SciXAngle>
    <V3SciYAngle>0.5721</V3SciYAngle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XIdlVert1>-8.36642110343086</XIdlVert1>
    <XIdlVert2>8.36574948014817</XIdlVert2>
    <XIdlVert3>8.36573889656914</XIdlVert3>
    <XIdlVert4>-8.36641051985183</XIdlVert4>
    <YIdlVert1>-8.46945091094528</YIdlVert1>
    <YIdlVert2>-8.39228770138112</YIdlVert2>
    <YIdlVert3>8.46548323305472</YIdlVert3>
    <YIdlVert4>8.38976503461888</YIdlVert4>
    <V2Ref>-290.088</V2Ref>
    <V3Ref>-697.5</V3Ref>
    <V3IdlYAngle>0.5721</V3IdlYAngle>
    <VIdlParity>-1</VIdlParity>
    <Comment/>
  </SiafEntry>
  <SiafEntry>
    <InstrName>NIRISS</InstrName>
    <AperName>NIS_SUB128_CNTR</AperName>
    <UseAfterDate>2014-01-21</UseAfterDate>
    <AperShape>QUAD</AperShape>
    <XDetSize>128</XDetSize>
    <YDetSize>128</YDetSize>
    <XDetRef>1023.5</XDetRef>
    <YDetRef>1023.5</YDetRef>
    <XSciSize>128</XSciSize>
    <YSciSize>128</YSciSize>
    <XSciRef>64.5</XSciRef>
    <YSciRef>64.5</YSciRef>
    <XSciScale>6.53606820639887E-02</XSciScale>
    <YSciScale>0.06585349</YSciScale>
    <DetSciYAngle>180</DetSciYAngle>
    <DetSciParity>1</DetSciParity>
    <V3SciXAngle>-89.1661466308794</V3SciXAngle>
    <V3SciYAngle>0.5721</V3SciYAngle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XIdlVert1>-4.18312527585772</XIdlVert1>
    <XIdlVert2>4.18295737003704</XIdlVert2>
    <XIdlVert3>4.18295472414228</XIdlVert3>
    <XIdlVert4>-4.18312262996296</XIdlVert4>
    <YIdlVert1>-4.23422949573632</YIdlVert1>
    <YIdlVert2>-4.19582851734528</YIdlVert2>
    <YIdlVert3>4.23323757626368</YIdlVert3>
    <YIdlVert4>4.19519785065472</YIdlVert4>
    <V2Ref>-290.088</V2Ref>
    <V3Ref>-697.5</V3Ref>
    <V3IdlYAngle>0.5721</V3IdlYAngle>
    <VIdlParity>-1</VIdlParity>
    <Comment/>
  </SiafEntry>
  <SiafEntry>
    <InstrName>NIRISS</InstrName>
    <AperName>NIS_SUB64_CNTR</AperName>
    <UseAfterDate>2014-01-21</UseAfterDate>
    <AperShape>QUAD</AperShape>
    <XDetSize>64</XDetSize>
    <YDetSize>64</YDetSize>
    <XDetRef>1023.5</XDetRef>
    <YDetRef>1023.5</YDetRef>
    <XSciSize>64</XSciSize>
    <YSciSize>64</YSciSize>
    <XSciRef>32.5</XSciRef>
    <YSciRef>32.5</YSciRef>
    <XSciScale>6.53606820639887E-02</XSciScale>
    <YSciScale>0.06585349</YSciScale>
    <DetSciYAngle>180</DetSciYAngle>
    <DetSciParity>1</DetSciParity>
    <V3SciXAngle>-89.1661466308794</V3SciXAngle>
    <V3SciYAngle>0.5721</V3SciYAngle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XIdlVert1>-2.09154131896443</XIdlVert1>
    <XIdlVert2>2.09149934250926</XIdlVert2>
    <XIdlVert3>2.09149868103557</XIdlVert3>
    <XIdlVert4>-2.09154065749074</XIdlVert4>
    <YIdlVert1>-2.11699075793408</YIdlVert1>
    <YIdlVert2>-2.09783542533632</YIdlVert2>
    <YIdlVert3>2.11674277806592</YIdlVert3>
    <YIdlVert4>2.09767775866368</YIdlVert4>
    <V2Ref>-290.088</V2Ref>
    <V3Ref>-697.5</V3Ref>
    <V3IdlYAngle>0.5721</V3IdlYAngle>
    <VIdlParity>-1</VIdlParity>
    <Comment/>
  </SiafEntry>
</SiafEntries>
</file>

<file path=customXml/item6.xml><?xml version="1.0" encoding="utf-8"?>
<SiafEntries>
  <SiafEntry>
    <InstrName>NIRISS</InstrName>
    <AperName>NIS_FULL_CNTR_OSS</AperName>
    <AperShape>QUAD</AperShape>
    <XDetSize>2048</XDetSize>
    <YDetSize>2048</YDetSize>
    <XDetRef>1023.5</XDetRef>
    <YDetRef>1023.5</YDetRef>
    <XSciSize>2048</XSciSize>
    <YSciSize>2048</YSciSize>
    <XSciRef>1023.5</XSciRef>
    <YSciRef>1023.5</YSciRef>
    <XSciScale>6.53606820639887E-02</XSciScale>
    <YSciScale>0.06585349</YSciScale>
    <V2Ref>-290.088</V2Ref>
    <V3Ref>-697.5</V3Ref>
    <V3IdlYAngle>0.5721</V3IdlYAngle>
    <VIdlParity>1</VIdlParity>
    <DetSciYAngle>0</DetSciYAngle>
    <DetSciParity>1</DetSciParity>
    <V3SciXAngle>90.8338533691206</V3SciXAngle>
    <V3SciYAngle>-179.4279</V3SciYAngle>
    <XIdlVert1>-66.9068093804249</XIdlVert1>
    <XIdlVert2>66.949793270517</XIdlVert2>
    <XIdlVert3>66.9504706195751</XIdlVert3>
    <XIdlVert4>-66.9074867294831</XIdlVert4>
    <YIdlVert1>67.6127708835021</YIdlVert1>
    <YIdlVert2>67.0474856076083</YIdlVert2>
    <YIdlVert3>-67.8667022684979</YIdlVert3>
    <YIdlVert4>-67.2089362803917</YIdlVert4>
    <Sci2IdlDeg>4</Sci2IdlDeg>
    <Sci2IdlX10>0.06536</Sci2IdlX10>
    <Sci2IdlX11>-2.211772E-17</Sci2IdlX11>
    <Sci2IdlX20>0.0000000178985</Sci2IdlX20>
    <Sci2IdlX21>3.229852E-10</Sci2IdlX21>
    <Sci2IdlX22>0.000000002597816</Sci2IdlX22>
    <Sci2IdlX30>-1.660528E-12</Sci2IdlX30>
    <Sci2IdlX31>5.243394E-12</Sci2IdlX31>
    <Sci2IdlX32>-8.313006E-12</Sci2IdlX32>
    <Sci2IdlX33>6.197381E-13</Sci2IdlX33>
    <Sci2IdlX40>-9.452946E-16</Sci2IdlX40>
    <Sci2IdlX41>-6.920084E-15</Sci2IdlX41>
    <Sci2IdlX42>-1.284165E-15</Sci2IdlX42>
    <Sci2IdlX43>-6.159667E-15</Sci2IdlX43>
    <Sci2IdlX44>1.686839E-16</Sci2IdlX44>
    <Sci2IdlX50/>
    <Sci2IdlX51/>
    <Sci2IdlX52/>
    <Sci2IdlX53/>
    <Sci2IdlX54/>
    <Sci2IdlX55/>
    <Sci2IdlY10>-0.0002985965</Sci2IdlY10>
    <Sci2IdlY11>-0.06585349</Sci2IdlY11>
    <Sci2IdlY20>-0.0000000495174</Sci2IdlY20>
    <Sci2IdlY21>-0.00000002204912</Sci2IdlY21>
    <Sci2IdlY22>0.000000001902323</Sci2IdlY22>
    <Sci2IdlY30>-1.03602E-12</Sci2IdlY30>
    <Sci2IdlY31>1.426574E-11</Sci2IdlY31>
    <Sci2IdlY32>-1.439421E-12</Sci2IdlY32>
    <Sci2IdlY33>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0.000003033013</Idl2SciX11>
    <Idl2SciX20>-0.00006461235</Idl2SciX20>
    <Idl2SciX21>0.000001228877</Idl2SciX21>
    <Idl2SciX22>-0.000009252377</Idl2SciX22>
    <Idl2SciX30>0.00000009016805</Idl2SciX30>
    <Idl2SciX31>0.0000002916077</Idl2SciX31>
    <Idl2SciX32>0.0000004479427</Idl2SciX32>
    <Idl2SciX33>0.00000003149413</Idl2SciX33>
    <Idl2SciX40>9.174626E-10</Idl2SciX40>
    <Idl2SciX41>-0.000000005804785</Idl2SciX41>
    <Idl2SciX42>9.441654E-10</Idl2SciX42>
    <Idl2SciX43>-0.000000005055775</Idl2SciX43>
    <Idl2SciX44>-0.00000000010323</Idl2SciX44>
    <Idl2SciX50/>
    <Idl2SciX51/>
    <Idl2SciX52/>
    <Idl2SciX53/>
    <Idl2SciX54/>
    <Idl2SciX55/>
    <Idl2SciY10>-0.06937148</Idl2SciY10>
    <Idl2SciY11>-15.18524</Idl2SciY11>
    <Idl2SciY20>-0.0001749296</Idl2SciY20>
    <Idl2SciY21>0.00007792879</Idl2SciY21>
    <Idl2SciY22>0.000007115692</Idl2SciY22>
    <Idl2SciY30>-0.00000005876054</Idl2SciY30>
    <Idl2SciY31>-0.0000007664019</Idl2SciY31>
    <Idl2SciY32>-0.0000001009334</Idl2SciY32>
    <Idl2SciY33>-0.00000146158</Idl2SciY33>
    <Idl2SciY40>0.000000001155591</Idl2SciY40>
    <Idl2SciY41>-6.822058E-10</Idl2SciY41>
    <Idl2SciY42>0.000000006388641</Idl2SciY42>
    <Idl2SciY43>1.636864E-10</Idl2SciY43>
    <Idl2SciY44>0.00000001151811</Idl2SciY44>
    <Idl2SciY50/>
    <Idl2SciY51/>
    <Idl2SciY52/>
    <Idl2SciY53/>
    <Idl2SciY54/>
    <Idl2SciY55/>
    <UseAfterDate>2014-01-21</UseAfterDate>
    <Comment/>
  </SiafEntry>
  <SiafEntry>
    <InstrName>NIRISS</InstrName>
    <AperName>NIS_FULL_CNTR</AperName>
    <AperShape>QUAD</AperShape>
    <XDetSize>2048</XDetSize>
    <YDetSize>2048</YDetSize>
    <XDetRef>1023.5</XDetRef>
    <YDetRef>1023.5</YDetRef>
    <XSciSize>2048</XSciSize>
    <YSciSize>2048</YSciSize>
    <XSciRef>1024.5</XSciRef>
    <YSciRef>1024.5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-66.9504706195751</XIdlVert1>
    <XIdlVert2>66.9074867294831</XIdlVert2>
    <XIdlVert3>66.9068093804249</XIdlVert3>
    <XIdlVert4>-66.9497932705169</XIdlVert4>
    <YIdlVert1>-67.8667022684979</YIdlVert1>
    <YIdlVert2>-67.2089362803917</YIdlVert2>
    <YIdlVert3>67.6127708835021</YIdlVert3>
    <YIdlVert4>67.0474856076083</YIdlVert4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  <UseAfterDate>2014-01-21</UseAfterDate>
    <Comment/>
  </SiafEntry>
  <SiafEntry>
    <InstrName>NIRISS</InstrName>
    <AperName>NIS_SUB256_CNTR</AperName>
    <AperShape>QUAD</AperShape>
    <XDetSize>256</XDetSize>
    <YDetSize>256</YDetSize>
    <XDetRef>1023.5</XDetRef>
    <YDetRef>1023.5</YDetRef>
    <XSciSize>256</XSciSize>
    <YSciSize>256</YSciSize>
    <XSciRef>128.5</XSciRef>
    <YSciRef>128.5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-8.36642110343086</XIdlVert1>
    <XIdlVert2>8.36574948014817</XIdlVert2>
    <XIdlVert3>8.36573889656914</XIdlVert3>
    <XIdlVert4>-8.36641051985183</XIdlVert4>
    <YIdlVert1>-8.46945091094528</YIdlVert1>
    <YIdlVert2>-8.39228770138112</YIdlVert2>
    <YIdlVert3>8.46548323305472</YIdlVert3>
    <YIdlVert4>8.38976503461888</YIdlVert4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  <UseAfterDate>2014-01-21</UseAfterDate>
    <Comment/>
  </SiafEntry>
  <SiafEntry>
    <InstrName>NIRISS</InstrName>
    <AperName>NIS_SUB128_CNTR</AperName>
    <AperShape>QUAD</AperShape>
    <XDetSize>128</XDetSize>
    <YDetSize>128</YDetSize>
    <XDetRef>1023.5</XDetRef>
    <YDetRef>1023.5</YDetRef>
    <XSciSize>128</XSciSize>
    <YSciSize>128</YSciSize>
    <XSciRef>64.5</XSciRef>
    <YSciRef>64.5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-4.18312527585772</XIdlVert1>
    <XIdlVert2>4.18295737003704</XIdlVert2>
    <XIdlVert3>4.18295472414228</XIdlVert3>
    <XIdlVert4>-4.18312262996296</XIdlVert4>
    <YIdlVert1>-4.23422949573632</YIdlVert1>
    <YIdlVert2>-4.19582851734528</YIdlVert2>
    <YIdlVert3>4.23323757626368</YIdlVert3>
    <YIdlVert4>4.19519785065472</YIdlVert4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  <UseAfterDate>2014-01-21</UseAfterDate>
    <Comment/>
  </SiafEntry>
  <SiafEntry>
    <InstrName>NIRISS</InstrName>
    <AperName>NIS_SUB64_CNTR</AperName>
    <AperShape>QUAD</AperShape>
    <XDetSize>64</XDetSize>
    <YDetSize>64</YDetSize>
    <XDetRef>1023.5</XDetRef>
    <YDetRef>1023.5</YDetRef>
    <XSciSize>64</XSciSize>
    <YSciSize>64</YSciSize>
    <XSciRef>32.5</XSciRef>
    <YSciRef>32.5</YSciRef>
    <XSciScale>6.53606820639887E-02</XSciScale>
    <YSciScale>0.06585349</YSciScale>
    <V2Ref>-290.088</V2Ref>
    <V3Ref>-697.5</V3Ref>
    <V3IdlYAngle>0.5721</V3IdlYAngle>
    <VIdlParity>-1</VIdlParity>
    <DetSciYAngle>180</DetSciYAngle>
    <DetSciParity>1</DetSciParity>
    <V3SciXAngle>-89.1661466308794</V3SciXAngle>
    <V3SciYAngle>0.5721</V3SciYAngle>
    <XIdlVert1>-2.09154131896443</XIdlVert1>
    <XIdlVert2>2.09149934250926</XIdlVert2>
    <XIdlVert3>2.09149868103557</XIdlVert3>
    <XIdlVert4>-2.09154065749074</XIdlVert4>
    <YIdlVert1>-2.11699075793408</YIdlVert1>
    <YIdlVert2>-2.09783542533632</YIdlVert2>
    <YIdlVert3>2.11674277806592</YIdlVert3>
    <YIdlVert4>2.09767775866368</YIdlVert4>
    <Sci2IdlDeg>4</Sci2IdlDeg>
    <Sci2IdlX10>0.06536</Sci2IdlX10>
    <Sci2IdlX11>1.084202E-19</Sci2IdlX11>
    <Sci2IdlX20>-0.0000000178985</Sci2IdlX20>
    <Sci2IdlX21>-3.229852E-10</Sci2IdlX21>
    <Sci2IdlX22>-0.000000002597816</Sci2IdlX22>
    <Sci2IdlX30>-1.660528E-12</Sci2IdlX30>
    <Sci2IdlX31>5.243394E-12</Sci2IdlX31>
    <Sci2IdlX32>-8.313006E-12</Sci2IdlX32>
    <Sci2IdlX33>6.197381E-13</Sci2IdlX33>
    <Sci2IdlX40>9.452946E-16</Sci2IdlX40>
    <Sci2IdlX41>6.920084E-15</Sci2IdlX41>
    <Sci2IdlX42>1.284165E-15</Sci2IdlX42>
    <Sci2IdlX43>6.159667E-15</Sci2IdlX43>
    <Sci2IdlX44>-1.686839E-16</Sci2IdlX44>
    <Sci2IdlX50/>
    <Sci2IdlX51/>
    <Sci2IdlX52/>
    <Sci2IdlX53/>
    <Sci2IdlX54/>
    <Sci2IdlX55/>
    <Sci2IdlY10>0.0002985965</Sci2IdlY10>
    <Sci2IdlY11>0.06585349</Sci2IdlY11>
    <Sci2IdlY20>-0.0000000495174</Sci2IdlY20>
    <Sci2IdlY21>-0.00000002204912</Sci2IdlY21>
    <Sci2IdlY22>0.000000001902323</Sci2IdlY22>
    <Sci2IdlY30>1.03602E-12</Sci2IdlY30>
    <Sci2IdlY31>-1.426574E-11</Sci2IdlY31>
    <Sci2IdlY32>1.439421E-12</Sci2IdlY32>
    <Sci2IdlY33>-2.750809E-11</Sci2IdlY33>
    <Sci2IdlY40>1.512702E-15</Sci2IdlY40>
    <Sci2IdlY41>9.71619E-16</Sci2IdlY41>
    <Sci2IdlY42>7.994719E-15</Sci2IdlY42>
    <Sci2IdlY43>6.528978E-17</Sci2IdlY43>
    <Sci2IdlY44>1.432382E-14</Sci2IdlY44>
    <Sci2IdlY50/>
    <Sci2IdlY51/>
    <Sci2IdlY52/>
    <Sci2IdlY53/>
    <Sci2IdlY54/>
    <Sci2IdlY55/>
    <Idl2SciX10>15.29989</Idl2SciX10>
    <Idl2SciX11>-0.000003033013</Idl2SciX11>
    <Idl2SciX20>0.00006461235</Idl2SciX20>
    <Idl2SciX21>0.000001228877</Idl2SciX21>
    <Idl2SciX22>0.000009252377</Idl2SciX22>
    <Idl2SciX30>0.00000009016805</Idl2SciX30>
    <Idl2SciX31>-0.0000002916077</Idl2SciX31>
    <Idl2SciX32>0.0000004479427</Idl2SciX32>
    <Idl2SciX33>-0.00000003149413</Idl2SciX33>
    <Idl2SciX40>-9.174626E-10</Idl2SciX40>
    <Idl2SciX41>-0.000000005804785</Idl2SciX41>
    <Idl2SciX42>-9.441654E-10</Idl2SciX42>
    <Idl2SciX43>-0.000000005055775</Idl2SciX43>
    <Idl2SciX44>0.00000000010323</Idl2SciX44>
    <Idl2SciX50/>
    <Idl2SciX51/>
    <Idl2SciX52/>
    <Idl2SciX53/>
    <Idl2SciX54/>
    <Idl2SciX55/>
    <Idl2SciY10>-0.06937148</Idl2SciY10>
    <Idl2SciY11>15.18524</Idl2SciY11>
    <Idl2SciY20>0.0001749296</Idl2SciY20>
    <Idl2SciY21>0.00007792879</Idl2SciY21>
    <Idl2SciY22>-0.000007115692</Idl2SciY22>
    <Idl2SciY30>-0.00000005876054</Idl2SciY30>
    <Idl2SciY31>0.0000007664019</Idl2SciY31>
    <Idl2SciY32>-0.0000001009334</Idl2SciY32>
    <Idl2SciY33>0.00000146158</Idl2SciY33>
    <Idl2SciY40>-0.000000001155591</Idl2SciY40>
    <Idl2SciY41>-6.822058E-10</Idl2SciY41>
    <Idl2SciY42>-0.000000006388641</Idl2SciY42>
    <Idl2SciY43>1.636864E-10</Idl2SciY43>
    <Idl2SciY44>-0.00000001151811</Idl2SciY44>
    <Idl2SciY50/>
    <Idl2SciY51/>
    <Idl2SciY52/>
    <Idl2SciY53/>
    <Idl2SciY54/>
    <Idl2SciY55/>
    <UseAfterDate>2014-01-21</UseAfterDate>
    <Comment/>
  </SiafEntry>
</SiafEntries>
</file>

<file path=customXml/itemProps1.xml><?xml version="1.0" encoding="utf-8"?>
<ds:datastoreItem xmlns:ds="http://schemas.openxmlformats.org/officeDocument/2006/customXml" ds:itemID="{05970455-E71A-471B-A2C7-27734089849A}">
  <ds:schemaRefs/>
</ds:datastoreItem>
</file>

<file path=customXml/itemProps2.xml><?xml version="1.0" encoding="utf-8"?>
<ds:datastoreItem xmlns:ds="http://schemas.openxmlformats.org/officeDocument/2006/customXml" ds:itemID="{217958B1-303F-460E-968B-B824EDF7D737}">
  <ds:schemaRefs/>
</ds:datastoreItem>
</file>

<file path=customXml/itemProps3.xml><?xml version="1.0" encoding="utf-8"?>
<ds:datastoreItem xmlns:ds="http://schemas.openxmlformats.org/officeDocument/2006/customXml" ds:itemID="{FB3D94F3-C1E4-456C-813D-44BB036507C8}">
  <ds:schemaRefs/>
</ds:datastoreItem>
</file>

<file path=customXml/itemProps4.xml><?xml version="1.0" encoding="utf-8"?>
<ds:datastoreItem xmlns:ds="http://schemas.openxmlformats.org/officeDocument/2006/customXml" ds:itemID="{DF4B986E-DBBC-4DE8-BF48-AA342A383F42}">
  <ds:schemaRefs/>
</ds:datastoreItem>
</file>

<file path=customXml/itemProps5.xml><?xml version="1.0" encoding="utf-8"?>
<ds:datastoreItem xmlns:ds="http://schemas.openxmlformats.org/officeDocument/2006/customXml" ds:itemID="{8BA391F2-8623-4922-B5F7-B4B29C23F23B}">
  <ds:schemaRefs/>
</ds:datastoreItem>
</file>

<file path=customXml/itemProps6.xml><?xml version="1.0" encoding="utf-8"?>
<ds:datastoreItem xmlns:ds="http://schemas.openxmlformats.org/officeDocument/2006/customXml" ds:itemID="{78677E7A-FF13-45FF-A8B4-E85552CAC93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SIAF</vt:lpstr>
      <vt:lpstr>Calc</vt:lpstr>
      <vt:lpstr>XML</vt:lpstr>
      <vt:lpstr>DDC</vt:lpstr>
      <vt:lpstr>Plot</vt:lpstr>
    </vt:vector>
  </TitlesOfParts>
  <Company>STScI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Cox</dc:creator>
  <cp:lastModifiedBy>Colin Cox</cp:lastModifiedBy>
  <cp:lastPrinted>2016-03-28T14:42:46Z</cp:lastPrinted>
  <dcterms:created xsi:type="dcterms:W3CDTF">2013-01-28T15:12:42Z</dcterms:created>
  <dcterms:modified xsi:type="dcterms:W3CDTF">2017-03-20T14:57:13Z</dcterms:modified>
</cp:coreProperties>
</file>