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epli\Desktop\Classwork\Module 1\"/>
    </mc:Choice>
  </mc:AlternateContent>
  <xr:revisionPtr revIDLastSave="0" documentId="13_ncr:1_{A8719DB8-1907-4DBF-BDBC-DC7F5BF92F30}" xr6:coauthVersionLast="47" xr6:coauthVersionMax="47" xr10:uidLastSave="{00000000-0000-0000-0000-000000000000}"/>
  <bookViews>
    <workbookView xWindow="-108" yWindow="-108" windowWidth="23256" windowHeight="12576" tabRatio="775" firstSheet="5" activeTab="10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Box and Whisker" sheetId="10" r:id="rId4"/>
    <sheet name="Successful US Kickstarters" sheetId="7" r:id="rId5"/>
    <sheet name="Failed US Kickstarters" sheetId="8" r:id="rId6"/>
    <sheet name="Descriptive Statistics" sheetId="9" r:id="rId7"/>
    <sheet name="Category Statistics" sheetId="3" r:id="rId8"/>
    <sheet name="Subcategory Statistics" sheetId="4" r:id="rId9"/>
    <sheet name="Outcomes Based on Launch Date" sheetId="5" r:id="rId10"/>
    <sheet name="Edinburgh Research" sheetId="6" r:id="rId11"/>
  </sheets>
  <definedNames>
    <definedName name="_xlnm._FilterDatabase" localSheetId="0" hidden="1">Kickstarter!$A$1:$T$4117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13" i="13"/>
  <c r="E12" i="13"/>
  <c r="E11" i="13"/>
  <c r="E10" i="13"/>
  <c r="E9" i="13"/>
  <c r="E8" i="13"/>
  <c r="E7" i="13"/>
  <c r="E6" i="13"/>
  <c r="E5" i="13"/>
  <c r="E4" i="13"/>
  <c r="E3" i="13"/>
  <c r="E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D3" i="13"/>
  <c r="C3" i="13"/>
  <c r="B3" i="13"/>
  <c r="D2" i="13"/>
  <c r="C2" i="13"/>
  <c r="B2" i="13"/>
  <c r="D13" i="13"/>
  <c r="C13" i="13"/>
  <c r="B13" i="13"/>
  <c r="D12" i="13"/>
  <c r="C12" i="13"/>
  <c r="B12" i="13"/>
  <c r="C13" i="9"/>
  <c r="C12" i="9"/>
  <c r="B13" i="9"/>
  <c r="B12" i="9"/>
  <c r="C11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2" i="6"/>
  <c r="F3" i="6"/>
  <c r="F4" i="6"/>
  <c r="F5" i="6"/>
  <c r="F6" i="6"/>
  <c r="C3" i="6"/>
  <c r="C4" i="6"/>
  <c r="C5" i="6"/>
  <c r="C6" i="6"/>
  <c r="D3" i="6"/>
  <c r="D4" i="6"/>
  <c r="D5" i="6"/>
  <c r="D6" i="6"/>
  <c r="D2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B14" i="9"/>
</calcChain>
</file>

<file path=xl/sharedStrings.xml><?xml version="1.0" encoding="utf-8"?>
<sst xmlns="http://schemas.openxmlformats.org/spreadsheetml/2006/main" count="38384" uniqueCount="8416">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</sst>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1" fillId="0" borderId="0" xfId="0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E7A7A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E7A7A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E7A7A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E7A7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51-4942-A38B-E5D24ACE07A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51-4942-A38B-E5D24ACE07A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51-4942-A38B-E5D24ACE0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1009904"/>
        <c:axId val="1921007824"/>
      </c:lineChart>
      <c:catAx>
        <c:axId val="192100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007824"/>
        <c:crosses val="autoZero"/>
        <c:auto val="1"/>
        <c:lblAlgn val="ctr"/>
        <c:lblOffset val="100"/>
        <c:noMultiLvlLbl val="0"/>
      </c:catAx>
      <c:valAx>
        <c:axId val="192100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00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8054155730533681"/>
          <c:y val="0.159995625546806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0B-4ABB-ABFF-FD098F7B18C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0B-4ABB-ABFF-FD098F7B18C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0B-4ABB-ABFF-FD098F7B1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0374607"/>
        <c:axId val="1520365871"/>
      </c:lineChart>
      <c:catAx>
        <c:axId val="152037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365871"/>
        <c:crosses val="autoZero"/>
        <c:auto val="1"/>
        <c:lblAlgn val="ctr"/>
        <c:lblOffset val="100"/>
        <c:noMultiLvlLbl val="0"/>
      </c:catAx>
      <c:valAx>
        <c:axId val="152036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37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 Ratios</a:t>
            </a:r>
          </a:p>
        </c:rich>
      </c:tx>
      <c:layout>
        <c:manualLayout>
          <c:xMode val="edge"/>
          <c:yMode val="edge"/>
          <c:x val="0.34167882507333641"/>
          <c:y val="7.67021769337656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30-47C1-A3C5-C8E331B190B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30-47C1-A3C5-C8E331B190B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30-47C1-A3C5-C8E331B190B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30-47C1-A3C5-C8E331B19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2979519"/>
        <c:axId val="1262984511"/>
      </c:barChart>
      <c:catAx>
        <c:axId val="126297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984511"/>
        <c:crosses val="autoZero"/>
        <c:auto val="1"/>
        <c:lblAlgn val="ctr"/>
        <c:lblOffset val="100"/>
        <c:noMultiLvlLbl val="0"/>
      </c:catAx>
      <c:valAx>
        <c:axId val="126298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9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FA-4804-A7E0-F0EC1814215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FA-4804-A7E0-F0EC1814215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FA-4804-A7E0-F0EC18142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5931215"/>
        <c:axId val="1785927055"/>
      </c:barChart>
      <c:catAx>
        <c:axId val="178593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927055"/>
        <c:crosses val="autoZero"/>
        <c:auto val="1"/>
        <c:lblAlgn val="ctr"/>
        <c:lblOffset val="100"/>
        <c:noMultiLvlLbl val="0"/>
      </c:catAx>
      <c:valAx>
        <c:axId val="178592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93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914260717410318E-2"/>
          <c:y val="0.12397929425488481"/>
          <c:w val="0.68347419072615923"/>
          <c:h val="0.6585309128025663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C9-4560-9376-7BEC4CB1298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C9-4560-9376-7BEC4CB1298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C9-4560-9376-7BEC4CB1298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0C9-4560-9376-7BEC4CB12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5916063"/>
        <c:axId val="1785921471"/>
      </c:lineChart>
      <c:catAx>
        <c:axId val="178591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921471"/>
        <c:crosses val="autoZero"/>
        <c:auto val="1"/>
        <c:lblAlgn val="ctr"/>
        <c:lblOffset val="100"/>
        <c:noMultiLvlLbl val="0"/>
      </c:catAx>
      <c:valAx>
        <c:axId val="178592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91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F301CF5C-8668-457E-85EF-0631AE8F605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AC7E14C-7AF8-4A2E-9000-6EDA29BAFF1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1FDBFA1-9E63-4B09-A590-A1BB2556AFE0}">
  <sheetPr/>
  <sheetViews>
    <sheetView zoomScale="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198120</xdr:colOff>
      <xdr:row>15</xdr:row>
      <xdr:rowOff>15240</xdr:rowOff>
    </xdr:from>
    <xdr:to>
      <xdr:col>5</xdr:col>
      <xdr:colOff>891540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CD6F2C-7442-864C-028D-62A864B89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388620</xdr:colOff>
      <xdr:row>2</xdr:row>
      <xdr:rowOff>137160</xdr:rowOff>
    </xdr:from>
    <xdr:to>
      <xdr:col>15</xdr:col>
      <xdr:colOff>83820</xdr:colOff>
      <xdr:row>17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698F12-199D-D65E-6A20-5973FBBEA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74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73E5B8C-CD2E-E77E-27A1-F3530FD2343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0D4593C-CCD4-F1AC-C3AB-30DBFCF0DE4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74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640080</xdr:colOff>
      <xdr:row>2</xdr:row>
      <xdr:rowOff>0</xdr:rowOff>
    </xdr:from>
    <xdr:to>
      <xdr:col>15</xdr:col>
      <xdr:colOff>205740</xdr:colOff>
      <xdr:row>19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3524A0-7DCA-1A2F-AA30-7C3A55DD5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594360</xdr:colOff>
      <xdr:row>3</xdr:row>
      <xdr:rowOff>41910</xdr:rowOff>
    </xdr:from>
    <xdr:to>
      <xdr:col>20</xdr:col>
      <xdr:colOff>251460</xdr:colOff>
      <xdr:row>30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CD3F70-B964-E0FD-C917-089F8E8F8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182880</xdr:colOff>
      <xdr:row>2</xdr:row>
      <xdr:rowOff>76200</xdr:rowOff>
    </xdr:from>
    <xdr:to>
      <xdr:col>17</xdr:col>
      <xdr:colOff>365760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C2FAB5-B6B3-3343-A259-D77B397C5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pli" refreshedDate="44709.823157175924" createdVersion="8" refreshedVersion="8" minRefreshableVersion="3" recordCount="4116" xr:uid="{F0FFCC00-05AE-4A1B-80CE-2BC7EB201E22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pli" refreshedDate="44709.847278935187" createdVersion="8" refreshedVersion="8" minRefreshableVersion="3" recordCount="4116" xr:uid="{2D582638-5E5D-48BB-875F-CD77078D32E5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pli" refreshedDate="44710.851664120368" createdVersion="8" refreshedVersion="8" minRefreshableVersion="3" recordCount="4114" xr:uid="{2514A9C8-150E-49DC-B670-F6496603810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491A93-4A35-4079-8EED-F6640BB7FD3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94B53F-5F51-4BB7-B5F2-2F46B41B4FD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4E629-4A3E-4B1B-9EA7-C63C49FF4D7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1D7498-7E2B-4340-B1FD-A6D880554C1B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opLeftCell="N1" zoomScale="95" zoomScaleNormal="95" workbookViewId="0">
      <pane ySplit="1" topLeftCell="A2" activePane="bottomLeft" state="frozen"/>
      <selection activeCell="F1" sqref="F1"/>
      <selection pane="bottomLeft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21.4414062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3.5546875" customWidth="1"/>
    <col min="19" max="19" width="22.109375" bestFit="1" customWidth="1"/>
    <col min="20" max="20" width="20.7773437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8395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  <row r="4116" spans="1:21" x14ac:dyDescent="0.3">
      <c r="S4116" s="15"/>
      <c r="T4116" s="15"/>
    </row>
    <row r="4117" spans="1:21" x14ac:dyDescent="0.3">
      <c r="S4117" s="15"/>
      <c r="T4117" s="15"/>
    </row>
  </sheetData>
  <autoFilter ref="A1:T4117" xr:uid="{00000000-0001-0000-0000-000000000000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C6CBD-D159-4A80-8372-B715DB011B48}">
  <dimension ref="A1:H13"/>
  <sheetViews>
    <sheetView workbookViewId="0">
      <selection activeCell="G18" sqref="G18"/>
    </sheetView>
  </sheetViews>
  <sheetFormatPr defaultRowHeight="14.4" x14ac:dyDescent="0.3"/>
  <cols>
    <col min="1" max="1" width="16.5546875" customWidth="1"/>
    <col min="2" max="2" width="18.5546875" customWidth="1"/>
    <col min="3" max="3" width="15.44140625" customWidth="1"/>
    <col min="4" max="4" width="18.6640625" customWidth="1"/>
    <col min="5" max="5" width="15.6640625" customWidth="1"/>
    <col min="6" max="6" width="22.21875" customWidth="1"/>
    <col min="7" max="7" width="20.109375" customWidth="1"/>
    <col min="8" max="8" width="21.44140625" customWidth="1"/>
  </cols>
  <sheetData>
    <row r="1" spans="1:8" x14ac:dyDescent="0.3">
      <c r="A1" s="1" t="s">
        <v>8396</v>
      </c>
      <c r="B1" s="1" t="s">
        <v>8397</v>
      </c>
      <c r="C1" s="1" t="s">
        <v>8398</v>
      </c>
      <c r="D1" s="1" t="s">
        <v>8399</v>
      </c>
      <c r="E1" s="1" t="s">
        <v>8400</v>
      </c>
      <c r="F1" s="1" t="s">
        <v>8401</v>
      </c>
      <c r="G1" s="1" t="s">
        <v>8402</v>
      </c>
      <c r="H1" s="1" t="s">
        <v>8403</v>
      </c>
    </row>
    <row r="2" spans="1:8" x14ac:dyDescent="0.3">
      <c r="A2" t="s">
        <v>8404</v>
      </c>
      <c r="B2">
        <f>COUNTIFS(Kickstarter!F:F, "successful",Kickstarter!D:D, "&lt;1000",Kickstarter!R:R, "plays")</f>
        <v>141</v>
      </c>
      <c r="C2">
        <f>COUNTIFS(Kickstarter!F:F, "failed",Kickstarter!D:D, "&lt;1000",Kickstarter!R:R, "plays")</f>
        <v>45</v>
      </c>
      <c r="D2">
        <f>COUNTIFS(Kickstarter!F:F, "canceled",Kickstarter!D:D, "&lt;1000",Kickstarter!R:R, "plays")</f>
        <v>0</v>
      </c>
      <c r="E2">
        <f>SUM(B2:D2)</f>
        <v>186</v>
      </c>
      <c r="F2" s="20">
        <f>SUM(B2/E2)</f>
        <v>0.75806451612903225</v>
      </c>
      <c r="G2" s="20">
        <f>SUM(C2/E2)</f>
        <v>0.24193548387096775</v>
      </c>
      <c r="H2" s="20">
        <f>SUM(D2/E2)</f>
        <v>0</v>
      </c>
    </row>
    <row r="3" spans="1:8" x14ac:dyDescent="0.3">
      <c r="A3" t="s">
        <v>8405</v>
      </c>
      <c r="B3">
        <f>COUNTIFS(Kickstarter!F:F, "successful", Kickstarter!D:D, "&gt;=1000", Kickstarter!D:D, "&lt;=4999", Kickstarter!R:R, "plays")</f>
        <v>388</v>
      </c>
      <c r="C3">
        <f>COUNTIFS(Kickstarter!F:F, "failed", Kickstarter!D:D, "&gt;=1000", Kickstarter!D:D, "&lt;=4999", Kickstarter!R:R, "plays")</f>
        <v>146</v>
      </c>
      <c r="D3">
        <f>COUNTIFS(Kickstarter!F:F, "canceled", Kickstarter!D:D, "&gt;=1000", Kickstarter!D:D, "&lt;=4999", Kickstarter!R:R, "plays")</f>
        <v>0</v>
      </c>
      <c r="E3">
        <f>SUM(B3:D3)</f>
        <v>534</v>
      </c>
      <c r="F3" s="20">
        <f t="shared" ref="F3:F13" si="0">SUM(B3/E3)</f>
        <v>0.72659176029962547</v>
      </c>
      <c r="G3" s="20">
        <f t="shared" ref="G3:G13" si="1">SUM(C3/E3)</f>
        <v>0.27340823970037453</v>
      </c>
      <c r="H3" s="20">
        <f t="shared" ref="H3:H13" si="2">SUM(D3/E3)</f>
        <v>0</v>
      </c>
    </row>
    <row r="4" spans="1:8" x14ac:dyDescent="0.3">
      <c r="A4" t="s">
        <v>8406</v>
      </c>
      <c r="B4">
        <f>COUNTIFS(Kickstarter!F:F, "successful", Kickstarter!D:D, "&gt;=5000", Kickstarter!D:D, "&lt;=9999", Kickstarter!R:R, "plays")</f>
        <v>93</v>
      </c>
      <c r="C4">
        <f>COUNTIFS(Kickstarter!F:F, "failed", Kickstarter!D:D, "&gt;=5000", Kickstarter!D:D, "&lt;=9999", Kickstarter!R:R, "plays")</f>
        <v>76</v>
      </c>
      <c r="D4">
        <f>COUNTIFS(Kickstarter!F:F, "canceled", Kickstarter!D:D, "&gt;=5000", Kickstarter!D:D, "&lt;=9999", Kickstarter!R:R, "plays")</f>
        <v>0</v>
      </c>
      <c r="E4">
        <f>SUM(B4:D4)</f>
        <v>169</v>
      </c>
      <c r="F4" s="20">
        <f t="shared" si="0"/>
        <v>0.55029585798816572</v>
      </c>
      <c r="G4" s="20">
        <f t="shared" si="1"/>
        <v>0.44970414201183434</v>
      </c>
      <c r="H4" s="20">
        <f t="shared" si="2"/>
        <v>0</v>
      </c>
    </row>
    <row r="5" spans="1:8" x14ac:dyDescent="0.3">
      <c r="A5" t="s">
        <v>8407</v>
      </c>
      <c r="B5">
        <f>COUNTIFS(Kickstarter!F:F, "successful", Kickstarter!D:D, "&gt;=10000", Kickstarter!D:D, "&lt;=14999", Kickstarter!R:R, "plays")</f>
        <v>39</v>
      </c>
      <c r="C5">
        <f>COUNTIFS(Kickstarter!F:F, "failed", Kickstarter!D:D, "&gt;=10000", Kickstarter!D:D, "&lt;=14999", Kickstarter!R:R, "plays")</f>
        <v>33</v>
      </c>
      <c r="D5">
        <f>COUNTIFS(Kickstarter!F:F, "canceled", Kickstarter!D:D, "&gt;=10000", Kickstarter!D:D, "&lt;=14999", Kickstarter!R:R, "plays")</f>
        <v>0</v>
      </c>
      <c r="E5">
        <f>SUM(B5:D5)</f>
        <v>72</v>
      </c>
      <c r="F5" s="20">
        <f t="shared" si="0"/>
        <v>0.54166666666666663</v>
      </c>
      <c r="G5" s="20">
        <f t="shared" si="1"/>
        <v>0.45833333333333331</v>
      </c>
      <c r="H5" s="20">
        <f t="shared" si="2"/>
        <v>0</v>
      </c>
    </row>
    <row r="6" spans="1:8" x14ac:dyDescent="0.3">
      <c r="A6" t="s">
        <v>8408</v>
      </c>
      <c r="B6">
        <f>COUNTIFS(Kickstarter!F:F, "successful", Kickstarter!D:D, "&gt;=15000", Kickstarter!D:D, "&lt;=19999", Kickstarter!R:R, "plays")</f>
        <v>12</v>
      </c>
      <c r="C6">
        <f>COUNTIFS(Kickstarter!F:F, "failed", Kickstarter!D:D, "&gt;=15000", Kickstarter!D:D, "&lt;=19999", Kickstarter!R:R, "plays")</f>
        <v>12</v>
      </c>
      <c r="D6">
        <f>COUNTIFS(Kickstarter!F:F, "canceled", Kickstarter!D:D, "&gt;=15000", Kickstarter!D:D, "&lt;=19999", Kickstarter!R:R, "plays")</f>
        <v>0</v>
      </c>
      <c r="E6">
        <f>SUM(B6:D6)</f>
        <v>24</v>
      </c>
      <c r="F6" s="20">
        <f t="shared" si="0"/>
        <v>0.5</v>
      </c>
      <c r="G6" s="20">
        <f t="shared" si="1"/>
        <v>0.5</v>
      </c>
      <c r="H6" s="20">
        <f t="shared" si="2"/>
        <v>0</v>
      </c>
    </row>
    <row r="7" spans="1:8" x14ac:dyDescent="0.3">
      <c r="A7" t="s">
        <v>8409</v>
      </c>
      <c r="B7">
        <f>COUNTIFS(Kickstarter!F:F, "successful", Kickstarter!D:D, "&gt;=20000", Kickstarter!D:D, "&lt;=24999", Kickstarter!R:R, "plays")</f>
        <v>9</v>
      </c>
      <c r="C7">
        <f>COUNTIFS(Kickstarter!F:F, "failed", Kickstarter!D:D, "&gt;=20000", Kickstarter!D:D, "&lt;=24999", Kickstarter!R:R, "plays")</f>
        <v>11</v>
      </c>
      <c r="D7">
        <f>COUNTIFS(Kickstarter!F:F, "canceled", Kickstarter!D:D, "&gt;=20000", Kickstarter!D:D, "&lt;=24999", Kickstarter!R:R, "plays")</f>
        <v>0</v>
      </c>
      <c r="E7">
        <f>SUM(B7:D7)</f>
        <v>20</v>
      </c>
      <c r="F7" s="20">
        <f t="shared" si="0"/>
        <v>0.45</v>
      </c>
      <c r="G7" s="20">
        <f t="shared" si="1"/>
        <v>0.55000000000000004</v>
      </c>
      <c r="H7" s="20">
        <f t="shared" si="2"/>
        <v>0</v>
      </c>
    </row>
    <row r="8" spans="1:8" x14ac:dyDescent="0.3">
      <c r="A8" t="s">
        <v>8410</v>
      </c>
      <c r="B8">
        <f>COUNTIFS(Kickstarter!F:F, "successful", Kickstarter!D:D, "&gt;=25000", Kickstarter!D:D, "&lt;=29999", Kickstarter!R:R, "plays")</f>
        <v>1</v>
      </c>
      <c r="C8">
        <f>COUNTIFS(Kickstarter!F:F, "failed", Kickstarter!D:D, "&gt;=25000", Kickstarter!D:D, "&lt;=29999", Kickstarter!R:R, "plays")</f>
        <v>4</v>
      </c>
      <c r="D8">
        <f>COUNTIFS(Kickstarter!F:F, "canceled", Kickstarter!D:D, "&gt;=25000", Kickstarter!D:D, "&lt;=29999", Kickstarter!R:R, "plays")</f>
        <v>0</v>
      </c>
      <c r="E8">
        <f>SUM(B8:D8)</f>
        <v>5</v>
      </c>
      <c r="F8" s="20">
        <f t="shared" si="0"/>
        <v>0.2</v>
      </c>
      <c r="G8" s="20">
        <f t="shared" si="1"/>
        <v>0.8</v>
      </c>
      <c r="H8" s="20">
        <f t="shared" si="2"/>
        <v>0</v>
      </c>
    </row>
    <row r="9" spans="1:8" x14ac:dyDescent="0.3">
      <c r="A9" t="s">
        <v>8411</v>
      </c>
      <c r="B9">
        <f>COUNTIFS(Kickstarter!F:F, "successful", Kickstarter!D:D, "&gt;=30000", Kickstarter!D:D, "&lt;=34999", Kickstarter!R:R, "plays")</f>
        <v>3</v>
      </c>
      <c r="C9">
        <f>COUNTIFS(Kickstarter!F:F, "failed", Kickstarter!D:D, "&gt;=30000", Kickstarter!D:D, "&lt;=34999", Kickstarter!R:R, "plays")</f>
        <v>8</v>
      </c>
      <c r="D9">
        <f>COUNTIFS(Kickstarter!F:F, "canceled", Kickstarter!D:D, "&gt;=30000", Kickstarter!D:D, "&lt;=34999", Kickstarter!R:R, "plays")</f>
        <v>0</v>
      </c>
      <c r="E9">
        <f>SUM(B9:D9)</f>
        <v>11</v>
      </c>
      <c r="F9" s="20">
        <f t="shared" si="0"/>
        <v>0.27272727272727271</v>
      </c>
      <c r="G9" s="20">
        <f t="shared" si="1"/>
        <v>0.72727272727272729</v>
      </c>
      <c r="H9" s="20">
        <f t="shared" si="2"/>
        <v>0</v>
      </c>
    </row>
    <row r="10" spans="1:8" x14ac:dyDescent="0.3">
      <c r="A10" t="s">
        <v>8412</v>
      </c>
      <c r="B10">
        <f>COUNTIFS(Kickstarter!F:F, "successful", Kickstarter!D:D, "&gt;=35000", Kickstarter!D:D, "&lt;=39999", Kickstarter!R:R, "plays")</f>
        <v>4</v>
      </c>
      <c r="C10">
        <f>COUNTIFS(Kickstarter!F:F, "failed", Kickstarter!D:D, "&gt;=35000", Kickstarter!D:D, "&lt;=39999", Kickstarter!R:R, "plays")</f>
        <v>2</v>
      </c>
      <c r="D10">
        <f>COUNTIFS(Kickstarter!F:F, "canceled", Kickstarter!D:D, "&gt;=35000", Kickstarter!D:D, "&lt;=39999", Kickstarter!R:R, "plays")</f>
        <v>0</v>
      </c>
      <c r="E10">
        <f>SUM(B10:D10)</f>
        <v>6</v>
      </c>
      <c r="F10" s="20">
        <f t="shared" si="0"/>
        <v>0.66666666666666663</v>
      </c>
      <c r="G10" s="20">
        <f t="shared" si="1"/>
        <v>0.33333333333333331</v>
      </c>
      <c r="H10" s="20">
        <f t="shared" si="2"/>
        <v>0</v>
      </c>
    </row>
    <row r="11" spans="1:8" x14ac:dyDescent="0.3">
      <c r="A11" t="s">
        <v>8413</v>
      </c>
      <c r="B11">
        <f>COUNTIFS(Kickstarter!F:F, "successful", Kickstarter!D:D, "&gt;=40000", Kickstarter!D:D, "&lt;=44999", Kickstarter!R:R, "plays")</f>
        <v>2</v>
      </c>
      <c r="C11">
        <f>COUNTIFS(Kickstarter!F:F, "failed", Kickstarter!D:D, "&gt;=40000", Kickstarter!D:D, "&lt;=44999", Kickstarter!R:R, "plays")</f>
        <v>1</v>
      </c>
      <c r="D11">
        <f>COUNTIFS(Kickstarter!F:F, "canceled", Kickstarter!D:D, "&gt;=40000", Kickstarter!D:D, "&lt;=44999", Kickstarter!R:R, "plays")</f>
        <v>0</v>
      </c>
      <c r="E11">
        <f>SUM(B11:D11)</f>
        <v>3</v>
      </c>
      <c r="F11" s="20">
        <f t="shared" si="0"/>
        <v>0.66666666666666663</v>
      </c>
      <c r="G11" s="20">
        <f t="shared" si="1"/>
        <v>0.33333333333333331</v>
      </c>
      <c r="H11" s="20">
        <f t="shared" si="2"/>
        <v>0</v>
      </c>
    </row>
    <row r="12" spans="1:8" x14ac:dyDescent="0.3">
      <c r="A12" t="s">
        <v>8414</v>
      </c>
      <c r="B12">
        <f>COUNTIFS(Kickstarter!F:F, "successful", Kickstarter!D:D, "&gt;=45000", Kickstarter!D:D, "&lt;=49999", Kickstarter!R:R, "plays")</f>
        <v>0</v>
      </c>
      <c r="C12">
        <f>COUNTIFS(Kickstarter!F:F, "failed", Kickstarter!D:D, "&gt;=45000", Kickstarter!D:D, "&lt;=49999", Kickstarter!R:R, "plays")</f>
        <v>1</v>
      </c>
      <c r="D12">
        <f>COUNTIFS(Kickstarter!F:F, "canceled", Kickstarter!D:D, "&gt;=45000", Kickstarter!D:D, "&lt;=49999", Kickstarter!R:R, "plays")</f>
        <v>0</v>
      </c>
      <c r="E12">
        <f>SUM(B12:D12)</f>
        <v>1</v>
      </c>
      <c r="F12" s="20">
        <f t="shared" si="0"/>
        <v>0</v>
      </c>
      <c r="G12" s="20">
        <f t="shared" si="1"/>
        <v>1</v>
      </c>
      <c r="H12" s="20">
        <f t="shared" si="2"/>
        <v>0</v>
      </c>
    </row>
    <row r="13" spans="1:8" x14ac:dyDescent="0.3">
      <c r="A13" t="s">
        <v>8415</v>
      </c>
      <c r="B13">
        <f>COUNTIFS(Kickstarter!F:F, "successful",Kickstarter!D:D, "&gt;50000",Kickstarter!R:R, "plays")</f>
        <v>2</v>
      </c>
      <c r="C13">
        <f>COUNTIFS(Kickstarter!F:F, "failed",Kickstarter!D:D, "&gt;50000",Kickstarter!R:R, "plays")</f>
        <v>10</v>
      </c>
      <c r="D13">
        <f>COUNTIFS(Kickstarter!F:F, "canceled",Kickstarter!D:D, "&gt;50000",Kickstarter!R:R, "plays")</f>
        <v>0</v>
      </c>
      <c r="E13">
        <f>SUM(B13:D13)</f>
        <v>12</v>
      </c>
      <c r="F13" s="20">
        <f t="shared" si="0"/>
        <v>0.16666666666666666</v>
      </c>
      <c r="G13" s="20">
        <f t="shared" si="1"/>
        <v>0.83333333333333337</v>
      </c>
      <c r="H13" s="20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04ED1-76F4-4382-A9C9-74CBB101311D}">
  <dimension ref="A1:E18"/>
  <sheetViews>
    <sheetView workbookViewId="0">
      <selection activeCell="A44" sqref="A4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8395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6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6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6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6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6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6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E0047-4F58-4C66-926A-AAF825A13A0F}">
  <dimension ref="A1:T413"/>
  <sheetViews>
    <sheetView zoomScaleNormal="100" workbookViewId="0">
      <selection activeCell="M2" sqref="M2"/>
    </sheetView>
  </sheetViews>
  <sheetFormatPr defaultRowHeight="14.4" x14ac:dyDescent="0.3"/>
  <cols>
    <col min="2" max="2" width="14.88671875" customWidth="1"/>
    <col min="3" max="3" width="8.88671875" customWidth="1"/>
    <col min="4" max="4" width="12.109375" bestFit="1" customWidth="1"/>
    <col min="9" max="9" width="11" bestFit="1" customWidth="1"/>
    <col min="10" max="10" width="11.44140625" bestFit="1" customWidth="1"/>
    <col min="11" max="11" width="9.2187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44.8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87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259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21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244.8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86.4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44.8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59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59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59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30.4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44.8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273.6000000000000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01.6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00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44.8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59.2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259.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16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73.6000000000000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59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201.6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72.8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72.8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16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01.6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259.2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16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29.6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44.8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59.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59.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16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44.8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86.4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30.4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44.8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30.4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216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16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59.2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01.6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30.4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44.8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72.8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86.4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59.2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44.8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59.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44.8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30.4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59.2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44.8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59.2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44.8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87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72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30.4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44.8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72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273.6000000000000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73.60000000000002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44.8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302.39999999999998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59.2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59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201.6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30.4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29.6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59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88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87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201.6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59.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59.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00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15.2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87.2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16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44.8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44.8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259.2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259.2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44.8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115.2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30.4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58.4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01.6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44.8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59.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73.60000000000002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9.2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73.60000000000002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230.4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72.8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1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01.6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87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73.60000000000002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44.8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59.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30.4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59.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58.4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59.2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87.2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72.8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15.2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201.6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59.2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30.4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100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30.4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59.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16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01.6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16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73.6000000000000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4.8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29.6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73.60000000000002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5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59.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244.8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16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5.2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44.8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59.2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59.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15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201.6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87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59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01.6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73.6000000000000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44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44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72.8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44.8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30.4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44.8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16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73.60000000000002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44.8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73.6000000000000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259.2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73.6000000000000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87.2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44.8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30.4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57.6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73.60000000000002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59.2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59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30.4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16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16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30.4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30.4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44.8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44.8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244.8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30.4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72.8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16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30.4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01.6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244.8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30.4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01.6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244.8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59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44.8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259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59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244.8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59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58.4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87.2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01.6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59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87.2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44.8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44.8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16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59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44.8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01.6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30.4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01.6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44.8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30.4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16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44.8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59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01.6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44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87.2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30.4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4.8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44.8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30.4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73.6000000000000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73.6000000000000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230.4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273.6000000000000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73.60000000000002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16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59.2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44.8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30.4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87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59.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59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30.4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73.60000000000002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01.6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44.8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16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59.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73.60000000000002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30.4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87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59.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44.8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44.8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16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30.4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59.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30.4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30.4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16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58.4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273.6000000000000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59.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30.4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288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72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59.2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244.8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73.6000000000000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244.8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44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244.8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16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44.8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44.8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88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244.8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44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44.8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59.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201.6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302.39999999999998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87.2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57.6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87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59.2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58.4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44.8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59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59.2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216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244.8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244.8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244.8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44.8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59.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16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59.2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30.4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73.6000000000000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44.8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30.4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16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73.60000000000002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59.2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30.4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59.2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73.6000000000000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59.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44.8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73.6000000000000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01.6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73.6000000000000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88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73.6000000000000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73.6000000000000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30.4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44.8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259.2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9.2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73.6000000000000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30.4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73.6000000000000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73.6000000000000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73.6000000000000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00.8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73.60000000000002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88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16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30.4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59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44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73.6000000000000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73.6000000000000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16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16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59.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59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216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73.60000000000002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9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4.8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59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44.8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16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30.4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73.6000000000000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30.4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16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30.4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16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259.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44.8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57.6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59.2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59.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16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16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88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5.2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9.6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16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16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44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59.2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30.4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44.8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72.8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44.8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30.4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44.8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44.8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72.8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58.4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88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30.4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72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87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73.60000000000002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44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01.6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44.8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59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00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44.8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73.6000000000000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59.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72.8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44.8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01.6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88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44.8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30.4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44.8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30.4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201.6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59.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59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44.8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00.8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44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201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73.60000000000002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87.2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59.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15.2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30.4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30.4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201.6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87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73.60000000000002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58.4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44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44.8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59.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73.6000000000000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30.4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5.2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73.60000000000002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259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230.4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30.4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73.6000000000000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59.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1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59.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30.4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87.2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44.8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230.4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59.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44.8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273.6000000000000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16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59.2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73.6000000000000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87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88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A8A39-14F9-472B-B25B-4AD99EE2E63F}">
  <dimension ref="A1:T251"/>
  <sheetViews>
    <sheetView workbookViewId="0">
      <selection activeCell="K2" sqref="K2"/>
    </sheetView>
  </sheetViews>
  <sheetFormatPr defaultRowHeight="14.4" x14ac:dyDescent="0.3"/>
  <cols>
    <col min="4" max="4" width="12.109375" bestFit="1" customWidth="1"/>
    <col min="9" max="9" width="11" bestFit="1" customWidth="1"/>
    <col min="10" max="10" width="11.44140625" bestFit="1" customWidth="1"/>
    <col min="14" max="14" width="23.5546875" bestFit="1" customWidth="1"/>
    <col min="15" max="15" width="17.44140625" bestFit="1" customWidth="1"/>
    <col min="16" max="16" width="16.21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44.8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201.6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59.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244.8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30.4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273.6000000000000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216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73.60000000000002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16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59.2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216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73.6000000000000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73.6000000000000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259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73.60000000000002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59.2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73.60000000000002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73.60000000000002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16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58.4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59.2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59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244.8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30.4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30.4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01.6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73.6000000000000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73.6000000000000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44.8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59.2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72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72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244.8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30.4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59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1.6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73.6000000000000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273.6000000000000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230.4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6.4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0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59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44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259.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59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44.8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88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244.8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72.8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59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87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88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273.6000000000000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44.8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59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44.8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44.8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30.4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4.8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16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16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201.6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88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30.4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59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87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73.60000000000002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72.8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59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01.6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59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58.4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59.2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16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6.4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73.6000000000000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244.8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88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44.8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30.4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16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88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29.6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16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72.8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29.6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88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59.2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59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87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273.6000000000000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57.6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9.6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44.8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30.4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29.6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30.4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01.6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44.8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72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59.2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88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44.8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59.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16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01.6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01.6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59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73.60000000000002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0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01.6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288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30.4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30.4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30.4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16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16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59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44.8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16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44.8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16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59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44.8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44.8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59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44.8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44.8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288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30.4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73.6000000000000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16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01.6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59.2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59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58.4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30.4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4.8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44.8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59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44.8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259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16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59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244.8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73.6000000000000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16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59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59.2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44.8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16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30.4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88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59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72.8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59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59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59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73.6000000000000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59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73.60000000000002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01.6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59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73.60000000000002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15.2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44.8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29.6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87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16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72.8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44.8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87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16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0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59.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16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0.8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16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44.8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30.4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01.6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59.2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244.8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59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44.8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44.8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30.4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87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58.4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01.6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59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01.6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44.8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01.6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30.4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1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59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30.4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30.4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44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59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59.2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16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87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44.8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244.8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59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73.60000000000002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59.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259.2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59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44.8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59.2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44.8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44.8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44.8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58.4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30.4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87.2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59.2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44.8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87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01.6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16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87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59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44.8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30.4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30.4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73.6000000000000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30.4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44.8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259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2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73.60000000000002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01.6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73.6000000000000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30.4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44.8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01.6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73.60000000000002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72.8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59.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16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59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44.8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44.8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30.4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16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59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B2E2A-D20A-487E-98F5-8CF614BAE9D8}">
  <dimension ref="A1:C14"/>
  <sheetViews>
    <sheetView workbookViewId="0">
      <selection sqref="A1:C14"/>
    </sheetView>
  </sheetViews>
  <sheetFormatPr defaultRowHeight="14.4" x14ac:dyDescent="0.3"/>
  <cols>
    <col min="1" max="1" width="25.88671875" bestFit="1" customWidth="1"/>
    <col min="2" max="2" width="10.77734375" customWidth="1"/>
    <col min="3" max="3" width="11.109375" bestFit="1" customWidth="1"/>
  </cols>
  <sheetData>
    <row r="1" spans="1:3" x14ac:dyDescent="0.3">
      <c r="B1" t="s">
        <v>8381</v>
      </c>
      <c r="C1" t="s">
        <v>8382</v>
      </c>
    </row>
    <row r="2" spans="1:3" x14ac:dyDescent="0.3">
      <c r="A2" t="s">
        <v>8383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8384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t="s">
        <v>8387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8388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3">
      <c r="A6" t="s">
        <v>8389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3">
      <c r="A7" t="s">
        <v>8390</v>
      </c>
      <c r="B7" s="19">
        <f>B5-B6</f>
        <v>3500</v>
      </c>
      <c r="C7" s="19">
        <f>C5-C6</f>
        <v>8000</v>
      </c>
    </row>
    <row r="8" spans="1:3" x14ac:dyDescent="0.3">
      <c r="B8" s="19"/>
      <c r="C8" s="19"/>
    </row>
    <row r="9" spans="1:3" x14ac:dyDescent="0.3">
      <c r="A9" t="s">
        <v>8385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8386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8391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t="s">
        <v>8392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3">
      <c r="A13" t="s">
        <v>8393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3">
      <c r="A14" t="s">
        <v>8394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7E3BF-C405-4EEB-A4DB-A8252DF414FF}">
  <dimension ref="A1:F6"/>
  <sheetViews>
    <sheetView workbookViewId="0">
      <selection activeCell="E21" sqref="E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95F92-2298-4C12-A955-BC08D5CC5C50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3FA2A-3159-4F56-AB92-1FE3F9349625}">
  <dimension ref="A1:F17"/>
  <sheetViews>
    <sheetView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17.33203125" bestFit="1" customWidth="1"/>
    <col min="9" max="9" width="22.6640625" bestFit="1" customWidth="1"/>
    <col min="10" max="10" width="17.33203125" bestFit="1" customWidth="1"/>
    <col min="11" max="11" width="22.6640625" bestFit="1" customWidth="1"/>
    <col min="12" max="12" width="22.109375" bestFit="1" customWidth="1"/>
    <col min="13" max="13" width="27.44140625" bestFit="1" customWidth="1"/>
  </cols>
  <sheetData>
    <row r="1" spans="1:6" x14ac:dyDescent="0.3">
      <c r="A1" s="12" t="s">
        <v>8358</v>
      </c>
      <c r="B1" t="s">
        <v>8315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8367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">
      <c r="A6" s="16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">
      <c r="A7" s="16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">
      <c r="A8" s="16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6" t="s">
        <v>8368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6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6" t="s">
        <v>8369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">
      <c r="A12" s="16" t="s">
        <v>8370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">
      <c r="A13" s="16" t="s">
        <v>8371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">
      <c r="A14" s="16" t="s">
        <v>8372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">
      <c r="A15" s="16" t="s">
        <v>8373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">
      <c r="A16" s="16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">
      <c r="A17" s="16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BA176-1678-42D2-8015-E87EA3E652FB}">
  <dimension ref="A1:F6"/>
  <sheetViews>
    <sheetView tabSelected="1" workbookViewId="0">
      <selection activeCell="B16" sqref="B16"/>
    </sheetView>
  </sheetViews>
  <sheetFormatPr defaultRowHeight="14.4" x14ac:dyDescent="0.3"/>
  <cols>
    <col min="1" max="1" width="30.5546875" bestFit="1" customWidth="1"/>
    <col min="2" max="2" width="117.21875" bestFit="1" customWidth="1"/>
    <col min="5" max="5" width="16" customWidth="1"/>
  </cols>
  <sheetData>
    <row r="1" spans="1:6" x14ac:dyDescent="0.3">
      <c r="A1" s="18" t="s">
        <v>1</v>
      </c>
      <c r="B1" s="18" t="s">
        <v>4110</v>
      </c>
      <c r="C1" s="18" t="s">
        <v>8216</v>
      </c>
      <c r="D1" s="18" t="s">
        <v>8217</v>
      </c>
      <c r="E1" s="18" t="s">
        <v>8379</v>
      </c>
      <c r="F1" s="18" t="s">
        <v>8380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Goals</vt:lpstr>
      <vt:lpstr>Theater Outcomes by Launch Date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pepli</cp:lastModifiedBy>
  <dcterms:created xsi:type="dcterms:W3CDTF">2017-04-20T15:17:24Z</dcterms:created>
  <dcterms:modified xsi:type="dcterms:W3CDTF">2022-05-30T21:05:58Z</dcterms:modified>
</cp:coreProperties>
</file>