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perb Trader\Desktop\Alfa Sharks Flow\"/>
    </mc:Choice>
  </mc:AlternateContent>
  <xr:revisionPtr revIDLastSave="0" documentId="13_ncr:1_{90ACEDFB-68F8-423A-AE87-DA9F40C088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do" sheetId="1" r:id="rId1"/>
    <sheet name="fluxort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" i="1"/>
  <c r="K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  <c r="E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I4" i="1"/>
  <c r="C4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A37" i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29" i="1"/>
  <c r="B37" i="1" l="1"/>
  <c r="B36" i="1"/>
  <c r="O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A102" i="2"/>
  <c r="O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A101" i="2"/>
  <c r="O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A100" i="2"/>
  <c r="O99" i="2"/>
  <c r="N99" i="2"/>
  <c r="M99" i="2"/>
  <c r="L99" i="2"/>
  <c r="K99" i="2"/>
  <c r="J99" i="2"/>
  <c r="I99" i="2"/>
  <c r="G99" i="2"/>
  <c r="F99" i="2"/>
  <c r="E99" i="2"/>
  <c r="D99" i="2"/>
  <c r="C99" i="2"/>
  <c r="B99" i="2"/>
  <c r="A99" i="2"/>
  <c r="O98" i="2"/>
  <c r="N98" i="2"/>
  <c r="M98" i="2"/>
  <c r="L98" i="2"/>
  <c r="K98" i="2"/>
  <c r="J98" i="2"/>
  <c r="I98" i="2"/>
  <c r="G98" i="2"/>
  <c r="F98" i="2"/>
  <c r="E98" i="2"/>
  <c r="D98" i="2"/>
  <c r="C98" i="2"/>
  <c r="B98" i="2"/>
  <c r="A98" i="2"/>
  <c r="O97" i="2"/>
  <c r="N97" i="2"/>
  <c r="M97" i="2"/>
  <c r="L97" i="2"/>
  <c r="K97" i="2"/>
  <c r="J97" i="2"/>
  <c r="I97" i="2"/>
  <c r="G97" i="2"/>
  <c r="F97" i="2"/>
  <c r="E97" i="2"/>
  <c r="D97" i="2"/>
  <c r="C97" i="2"/>
  <c r="B97" i="2"/>
  <c r="A97" i="2"/>
  <c r="O96" i="2"/>
  <c r="N96" i="2"/>
  <c r="M96" i="2"/>
  <c r="L96" i="2"/>
  <c r="K96" i="2"/>
  <c r="J96" i="2"/>
  <c r="I96" i="2"/>
  <c r="G96" i="2"/>
  <c r="F96" i="2"/>
  <c r="E96" i="2"/>
  <c r="D96" i="2"/>
  <c r="C96" i="2"/>
  <c r="B96" i="2"/>
  <c r="A96" i="2"/>
  <c r="O95" i="2"/>
  <c r="N95" i="2"/>
  <c r="M95" i="2"/>
  <c r="L95" i="2"/>
  <c r="K95" i="2"/>
  <c r="J95" i="2"/>
  <c r="I95" i="2"/>
  <c r="G95" i="2"/>
  <c r="F95" i="2"/>
  <c r="E95" i="2"/>
  <c r="D95" i="2"/>
  <c r="C95" i="2"/>
  <c r="B95" i="2"/>
  <c r="A95" i="2"/>
  <c r="O94" i="2"/>
  <c r="N94" i="2"/>
  <c r="M94" i="2"/>
  <c r="L94" i="2"/>
  <c r="K94" i="2"/>
  <c r="J94" i="2"/>
  <c r="I94" i="2"/>
  <c r="G94" i="2"/>
  <c r="F94" i="2"/>
  <c r="E94" i="2"/>
  <c r="D94" i="2"/>
  <c r="C94" i="2"/>
  <c r="B94" i="2"/>
  <c r="A94" i="2"/>
  <c r="O93" i="2"/>
  <c r="N93" i="2"/>
  <c r="M93" i="2"/>
  <c r="L93" i="2"/>
  <c r="K93" i="2"/>
  <c r="J93" i="2"/>
  <c r="I93" i="2"/>
  <c r="G93" i="2"/>
  <c r="F93" i="2"/>
  <c r="E93" i="2"/>
  <c r="D93" i="2"/>
  <c r="C93" i="2"/>
  <c r="B93" i="2"/>
  <c r="A93" i="2"/>
  <c r="O92" i="2"/>
  <c r="N92" i="2"/>
  <c r="M92" i="2"/>
  <c r="L92" i="2"/>
  <c r="K92" i="2"/>
  <c r="J92" i="2"/>
  <c r="I92" i="2"/>
  <c r="G92" i="2"/>
  <c r="F92" i="2"/>
  <c r="E92" i="2"/>
  <c r="D92" i="2"/>
  <c r="C92" i="2"/>
  <c r="B92" i="2"/>
  <c r="A92" i="2"/>
  <c r="O91" i="2"/>
  <c r="N91" i="2"/>
  <c r="M91" i="2"/>
  <c r="L91" i="2"/>
  <c r="K91" i="2"/>
  <c r="J91" i="2"/>
  <c r="I91" i="2"/>
  <c r="G91" i="2"/>
  <c r="F91" i="2"/>
  <c r="E91" i="2"/>
  <c r="D91" i="2"/>
  <c r="C91" i="2"/>
  <c r="B91" i="2"/>
  <c r="A91" i="2"/>
  <c r="O90" i="2"/>
  <c r="N90" i="2"/>
  <c r="M90" i="2"/>
  <c r="L90" i="2"/>
  <c r="K90" i="2"/>
  <c r="J90" i="2"/>
  <c r="I90" i="2"/>
  <c r="G90" i="2"/>
  <c r="F90" i="2"/>
  <c r="E90" i="2"/>
  <c r="D90" i="2"/>
  <c r="C90" i="2"/>
  <c r="B90" i="2"/>
  <c r="A90" i="2"/>
  <c r="O89" i="2"/>
  <c r="N89" i="2"/>
  <c r="M89" i="2"/>
  <c r="L89" i="2"/>
  <c r="K89" i="2"/>
  <c r="J89" i="2"/>
  <c r="I89" i="2"/>
  <c r="G89" i="2"/>
  <c r="F89" i="2"/>
  <c r="E89" i="2"/>
  <c r="D89" i="2"/>
  <c r="C89" i="2"/>
  <c r="B89" i="2"/>
  <c r="A89" i="2"/>
  <c r="O88" i="2"/>
  <c r="N88" i="2"/>
  <c r="M88" i="2"/>
  <c r="L88" i="2"/>
  <c r="K88" i="2"/>
  <c r="J88" i="2"/>
  <c r="I88" i="2"/>
  <c r="G88" i="2"/>
  <c r="F88" i="2"/>
  <c r="E88" i="2"/>
  <c r="D88" i="2"/>
  <c r="C88" i="2"/>
  <c r="B88" i="2"/>
  <c r="A88" i="2"/>
  <c r="O87" i="2"/>
  <c r="N87" i="2"/>
  <c r="M87" i="2"/>
  <c r="L87" i="2"/>
  <c r="K87" i="2"/>
  <c r="J87" i="2"/>
  <c r="I87" i="2"/>
  <c r="G87" i="2"/>
  <c r="F87" i="2"/>
  <c r="E87" i="2"/>
  <c r="D87" i="2"/>
  <c r="C87" i="2"/>
  <c r="B87" i="2"/>
  <c r="A87" i="2"/>
  <c r="O86" i="2"/>
  <c r="N86" i="2"/>
  <c r="M86" i="2"/>
  <c r="L86" i="2"/>
  <c r="K86" i="2"/>
  <c r="J86" i="2"/>
  <c r="I86" i="2"/>
  <c r="G86" i="2"/>
  <c r="F86" i="2"/>
  <c r="E86" i="2"/>
  <c r="D86" i="2"/>
  <c r="C86" i="2"/>
  <c r="B86" i="2"/>
  <c r="A86" i="2"/>
  <c r="O85" i="2"/>
  <c r="N85" i="2"/>
  <c r="M85" i="2"/>
  <c r="L85" i="2"/>
  <c r="K85" i="2"/>
  <c r="J85" i="2"/>
  <c r="I85" i="2"/>
  <c r="G85" i="2"/>
  <c r="F85" i="2"/>
  <c r="E85" i="2"/>
  <c r="D85" i="2"/>
  <c r="C85" i="2"/>
  <c r="B85" i="2"/>
  <c r="A85" i="2"/>
  <c r="O84" i="2"/>
  <c r="N84" i="2"/>
  <c r="M84" i="2"/>
  <c r="L84" i="2"/>
  <c r="K84" i="2"/>
  <c r="J84" i="2"/>
  <c r="I84" i="2"/>
  <c r="G84" i="2"/>
  <c r="F84" i="2"/>
  <c r="E84" i="2"/>
  <c r="D84" i="2"/>
  <c r="C84" i="2"/>
  <c r="B84" i="2"/>
  <c r="A84" i="2"/>
  <c r="O83" i="2"/>
  <c r="N83" i="2"/>
  <c r="M83" i="2"/>
  <c r="L83" i="2"/>
  <c r="K83" i="2"/>
  <c r="J83" i="2"/>
  <c r="I83" i="2"/>
  <c r="G83" i="2"/>
  <c r="F83" i="2"/>
  <c r="E83" i="2"/>
  <c r="D83" i="2"/>
  <c r="C83" i="2"/>
  <c r="B83" i="2"/>
  <c r="A83" i="2"/>
  <c r="O82" i="2"/>
  <c r="N82" i="2"/>
  <c r="M82" i="2"/>
  <c r="L82" i="2"/>
  <c r="K82" i="2"/>
  <c r="J82" i="2"/>
  <c r="I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G29" i="1" s="1"/>
  <c r="H29" i="1" s="1"/>
  <c r="I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G25" i="1" s="1"/>
  <c r="H25" i="1" s="1"/>
  <c r="I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G21" i="1" s="1"/>
  <c r="H21" i="1" s="1"/>
  <c r="I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G17" i="1" s="1"/>
  <c r="H17" i="1" s="1"/>
  <c r="I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G13" i="1" s="1"/>
  <c r="H13" i="1" s="1"/>
  <c r="I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G12" i="1" s="1"/>
  <c r="H12" i="1" s="1"/>
  <c r="I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G9" i="1" s="1"/>
  <c r="H9" i="1" s="1"/>
  <c r="I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G8" i="1" s="1"/>
  <c r="H8" i="1" s="1"/>
  <c r="I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G8" i="2"/>
  <c r="F8" i="2"/>
  <c r="E8" i="2"/>
  <c r="D8" i="2"/>
  <c r="C8" i="2"/>
  <c r="B8" i="2"/>
  <c r="A8" i="2"/>
  <c r="O7" i="2"/>
  <c r="N7" i="2"/>
  <c r="M7" i="2"/>
  <c r="L7" i="2"/>
  <c r="K7" i="2"/>
  <c r="J7" i="2"/>
  <c r="G5" i="1" s="1"/>
  <c r="H5" i="1" s="1"/>
  <c r="I7" i="2"/>
  <c r="G7" i="2"/>
  <c r="F7" i="2"/>
  <c r="E7" i="2"/>
  <c r="D7" i="2"/>
  <c r="C7" i="2"/>
  <c r="B7" i="2"/>
  <c r="A5" i="1" s="1"/>
  <c r="B5" i="1" s="1"/>
  <c r="A7" i="2"/>
  <c r="O6" i="2"/>
  <c r="N6" i="2"/>
  <c r="M6" i="2"/>
  <c r="L6" i="2"/>
  <c r="K6" i="2"/>
  <c r="J6" i="2"/>
  <c r="G4" i="1" s="1"/>
  <c r="I6" i="2"/>
  <c r="G6" i="2"/>
  <c r="F6" i="2"/>
  <c r="E6" i="2"/>
  <c r="D6" i="2"/>
  <c r="C6" i="2"/>
  <c r="B6" i="2"/>
  <c r="A6" i="2"/>
  <c r="O5" i="2"/>
  <c r="N5" i="2"/>
  <c r="M5" i="2"/>
  <c r="L5" i="2"/>
  <c r="K5" i="2"/>
  <c r="J5" i="2"/>
  <c r="I5" i="2"/>
  <c r="G5" i="2"/>
  <c r="F5" i="2"/>
  <c r="E5" i="2"/>
  <c r="B7" i="1" s="1"/>
  <c r="D5" i="2"/>
  <c r="C5" i="2"/>
  <c r="B5" i="2"/>
  <c r="A5" i="2"/>
  <c r="O4" i="2"/>
  <c r="N4" i="2"/>
  <c r="M4" i="2"/>
  <c r="L4" i="2"/>
  <c r="K4" i="2"/>
  <c r="J4" i="2"/>
  <c r="I4" i="2"/>
  <c r="G4" i="2"/>
  <c r="F4" i="2"/>
  <c r="E4" i="2"/>
  <c r="D4" i="2"/>
  <c r="C4" i="2"/>
  <c r="B4" i="2"/>
  <c r="A4" i="2"/>
  <c r="O3" i="2"/>
  <c r="N3" i="2"/>
  <c r="M3" i="2"/>
  <c r="L3" i="2"/>
  <c r="K3" i="2"/>
  <c r="J3" i="2"/>
  <c r="H28" i="1" s="1"/>
  <c r="I3" i="2"/>
  <c r="G3" i="2"/>
  <c r="F3" i="2"/>
  <c r="E3" i="2"/>
  <c r="D3" i="2"/>
  <c r="C3" i="2"/>
  <c r="B3" i="2"/>
  <c r="A3" i="2"/>
  <c r="J1" i="2"/>
  <c r="I1" i="2"/>
  <c r="B1" i="2"/>
  <c r="A1" i="2"/>
  <c r="B29" i="1"/>
  <c r="G28" i="1"/>
  <c r="A28" i="1"/>
  <c r="B28" i="1" s="1"/>
  <c r="G27" i="1"/>
  <c r="H27" i="1" s="1"/>
  <c r="A27" i="1"/>
  <c r="B27" i="1" s="1"/>
  <c r="G26" i="1"/>
  <c r="A26" i="1"/>
  <c r="B26" i="1" s="1"/>
  <c r="A25" i="1"/>
  <c r="B25" i="1" s="1"/>
  <c r="G24" i="1"/>
  <c r="A24" i="1"/>
  <c r="B24" i="1" s="1"/>
  <c r="G23" i="1"/>
  <c r="H23" i="1" s="1"/>
  <c r="A23" i="1"/>
  <c r="B23" i="1" s="1"/>
  <c r="G22" i="1"/>
  <c r="A22" i="1"/>
  <c r="B22" i="1" s="1"/>
  <c r="A21" i="1"/>
  <c r="B21" i="1" s="1"/>
  <c r="G20" i="1"/>
  <c r="A20" i="1"/>
  <c r="B20" i="1" s="1"/>
  <c r="G19" i="1"/>
  <c r="H19" i="1" s="1"/>
  <c r="A19" i="1"/>
  <c r="B19" i="1" s="1"/>
  <c r="G18" i="1"/>
  <c r="A18" i="1"/>
  <c r="B18" i="1" s="1"/>
  <c r="A17" i="1"/>
  <c r="B17" i="1" s="1"/>
  <c r="G16" i="1"/>
  <c r="A16" i="1"/>
  <c r="B16" i="1" s="1"/>
  <c r="G15" i="1"/>
  <c r="H15" i="1" s="1"/>
  <c r="A15" i="1"/>
  <c r="B15" i="1" s="1"/>
  <c r="G14" i="1"/>
  <c r="A14" i="1"/>
  <c r="B14" i="1" s="1"/>
  <c r="A13" i="1"/>
  <c r="B13" i="1" s="1"/>
  <c r="A12" i="1"/>
  <c r="B12" i="1" s="1"/>
  <c r="G11" i="1"/>
  <c r="H11" i="1" s="1"/>
  <c r="A11" i="1"/>
  <c r="B11" i="1" s="1"/>
  <c r="G10" i="1"/>
  <c r="A10" i="1"/>
  <c r="B10" i="1" s="1"/>
  <c r="A9" i="1"/>
  <c r="B9" i="1" s="1"/>
  <c r="A8" i="1"/>
  <c r="B8" i="1" s="1"/>
  <c r="G7" i="1"/>
  <c r="H7" i="1" s="1"/>
  <c r="A7" i="1"/>
  <c r="G6" i="1"/>
  <c r="H6" i="1" s="1"/>
  <c r="A6" i="1"/>
  <c r="B6" i="1" s="1"/>
  <c r="A4" i="1"/>
  <c r="Q11" i="1" l="1"/>
  <c r="P13" i="1"/>
  <c r="Q10" i="1"/>
  <c r="Q8" i="1"/>
  <c r="P35" i="1"/>
  <c r="P8" i="1"/>
  <c r="P3" i="1"/>
  <c r="P31" i="1"/>
  <c r="Q5" i="1"/>
  <c r="Q40" i="1"/>
  <c r="Q16" i="1"/>
  <c r="Q37" i="1"/>
  <c r="Q29" i="1"/>
  <c r="P7" i="1"/>
  <c r="P16" i="1"/>
  <c r="P4" i="1"/>
  <c r="P26" i="1"/>
  <c r="Q13" i="1"/>
  <c r="Q34" i="1"/>
  <c r="Q24" i="1"/>
  <c r="H4" i="1"/>
  <c r="Q20" i="1"/>
  <c r="Q31" i="1"/>
  <c r="Q26" i="1"/>
  <c r="Q12" i="1"/>
  <c r="Q41" i="1"/>
  <c r="P15" i="1"/>
  <c r="P24" i="1"/>
  <c r="P30" i="1"/>
  <c r="P11" i="1"/>
  <c r="Q21" i="1"/>
  <c r="Q7" i="1"/>
  <c r="Q28" i="1"/>
  <c r="Q18" i="1"/>
  <c r="Q42" i="1"/>
  <c r="P28" i="1"/>
  <c r="P9" i="1"/>
  <c r="P5" i="1"/>
  <c r="P21" i="1"/>
  <c r="Q14" i="1"/>
  <c r="Q35" i="1"/>
  <c r="Q4" i="1"/>
  <c r="Q22" i="1"/>
  <c r="P23" i="1"/>
  <c r="P32" i="1"/>
  <c r="P38" i="1"/>
  <c r="P19" i="1"/>
  <c r="Q43" i="1"/>
  <c r="Q15" i="1"/>
  <c r="Q36" i="1"/>
  <c r="Q3" i="1"/>
  <c r="P42" i="1"/>
  <c r="P36" i="1"/>
  <c r="P17" i="1"/>
  <c r="P41" i="1"/>
  <c r="Q32" i="1"/>
  <c r="Q19" i="1"/>
  <c r="P20" i="1"/>
  <c r="P29" i="1"/>
  <c r="P10" i="1"/>
  <c r="P12" i="1"/>
  <c r="Q33" i="1"/>
  <c r="Q23" i="1"/>
  <c r="Q9" i="1"/>
  <c r="Q30" i="1"/>
  <c r="B4" i="1"/>
  <c r="P40" i="1"/>
  <c r="P34" i="1"/>
  <c r="P6" i="1"/>
  <c r="P22" i="1"/>
  <c r="P14" i="1"/>
  <c r="P43" i="1"/>
  <c r="P37" i="1"/>
  <c r="P18" i="1"/>
  <c r="P33" i="1"/>
  <c r="Q6" i="1"/>
  <c r="Q27" i="1"/>
  <c r="Q17" i="1"/>
  <c r="Q38" i="1"/>
  <c r="P27" i="1"/>
  <c r="H10" i="1"/>
  <c r="H14" i="1"/>
  <c r="H16" i="1"/>
  <c r="H18" i="1"/>
  <c r="H20" i="1"/>
  <c r="H22" i="1"/>
  <c r="H24" i="1"/>
  <c r="H26" i="1"/>
  <c r="T4" i="1" l="1"/>
  <c r="T5" i="1"/>
  <c r="T3" i="1"/>
  <c r="T7" i="1" l="1"/>
</calcChain>
</file>

<file path=xl/sharedStrings.xml><?xml version="1.0" encoding="utf-8"?>
<sst xmlns="http://schemas.openxmlformats.org/spreadsheetml/2006/main" count="73" uniqueCount="49">
  <si>
    <t>CHEIO</t>
  </si>
  <si>
    <t>MINI</t>
  </si>
  <si>
    <t>Corretora</t>
  </si>
  <si>
    <t>Vol. Qtd</t>
  </si>
  <si>
    <t>Média</t>
  </si>
  <si>
    <t>Ativa</t>
  </si>
  <si>
    <t>Estrangeiros</t>
  </si>
  <si>
    <t>BGC Liquidez</t>
  </si>
  <si>
    <t>BTG</t>
  </si>
  <si>
    <t>Bancos</t>
  </si>
  <si>
    <t>Bradesco</t>
  </si>
  <si>
    <t>C6</t>
  </si>
  <si>
    <t>Pessoas Físicas</t>
  </si>
  <si>
    <t>Capital</t>
  </si>
  <si>
    <t>Credit</t>
  </si>
  <si>
    <t>Genial</t>
  </si>
  <si>
    <t>Goldman</t>
  </si>
  <si>
    <t>Ideal</t>
  </si>
  <si>
    <t>Intl</t>
  </si>
  <si>
    <t>Itau</t>
  </si>
  <si>
    <t>JP Morgan</t>
  </si>
  <si>
    <t>Merril</t>
  </si>
  <si>
    <t>Morgan</t>
  </si>
  <si>
    <t>Necton</t>
  </si>
  <si>
    <t>Nova Futura</t>
  </si>
  <si>
    <t>Renascença</t>
  </si>
  <si>
    <t>Safra</t>
  </si>
  <si>
    <t>Santander</t>
  </si>
  <si>
    <t>Tullet</t>
  </si>
  <si>
    <t>UBS</t>
  </si>
  <si>
    <t>Citigroup</t>
  </si>
  <si>
    <t>BB</t>
  </si>
  <si>
    <t>BNP</t>
  </si>
  <si>
    <t>Clear</t>
  </si>
  <si>
    <t>Modal</t>
  </si>
  <si>
    <t>Rico</t>
  </si>
  <si>
    <t>XP</t>
  </si>
  <si>
    <t>Data</t>
  </si>
  <si>
    <t>Compradora</t>
  </si>
  <si>
    <t>Valor</t>
  </si>
  <si>
    <t>Quantidade</t>
  </si>
  <si>
    <t>Vendedora</t>
  </si>
  <si>
    <t>Agressor</t>
  </si>
  <si>
    <t>Agente Agressor</t>
  </si>
  <si>
    <t>DADOS MINI</t>
  </si>
  <si>
    <t>DADOS CHEIO</t>
  </si>
  <si>
    <t>Saldo Financeiro</t>
  </si>
  <si>
    <t>Saldo Geral</t>
  </si>
  <si>
    <t>DASHBOARD FLUXO WINFUT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</si>
</sst>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Tahoma"/>
      <family val="2"/>
    </font>
    <font>
      <sz val="11"/>
      <name val="Tahoma"/>
      <family val="2"/>
    </font>
    <font>
      <sz val="10"/>
      <color theme="2"/>
      <name val="Tahoma"/>
      <family val="2"/>
    </font>
    <font>
      <sz val="10"/>
      <color theme="0"/>
      <name val="Tahoma"/>
      <family val="2"/>
    </font>
    <font>
      <sz val="11"/>
      <color theme="0"/>
      <name val="Tahoma"/>
      <family val="2"/>
    </font>
    <font>
      <b/>
      <sz val="10"/>
      <color theme="1" tint="0.249977111117893"/>
      <name val="Tahoma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indexed="64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/>
  </cellStyleXfs>
  <cellXfs count="113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left" vertical="center" wrapText="1"/>
    </xf>
    <xf numFmtId="8" fontId="2" fillId="2" borderId="12" xfId="0" applyNumberFormat="1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vertical="center" wrapText="1"/>
    </xf>
    <xf numFmtId="44" fontId="2" fillId="2" borderId="27" xfId="1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2" fillId="2" borderId="14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8" fontId="2" fillId="2" borderId="15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8" fontId="2" fillId="2" borderId="1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20" xfId="0" applyFont="1" applyFill="1" applyBorder="1" applyAlignment="1">
      <alignment horizontal="left" vertical="center" wrapText="1"/>
    </xf>
    <xf numFmtId="8" fontId="2" fillId="2" borderId="17" xfId="0" applyNumberFormat="1" applyFont="1" applyFill="1" applyBorder="1" applyAlignment="1">
      <alignment horizontal="right" vertical="center" wrapText="1"/>
    </xf>
    <xf numFmtId="8" fontId="2" fillId="2" borderId="18" xfId="0" applyNumberFormat="1" applyFont="1" applyFill="1" applyBorder="1" applyAlignment="1">
      <alignment horizontal="right" vertical="center" wrapText="1"/>
    </xf>
    <xf numFmtId="0" fontId="2" fillId="2" borderId="24" xfId="0" applyFont="1" applyFill="1" applyBorder="1" applyAlignment="1">
      <alignment horizontal="right" vertical="center" wrapText="1"/>
    </xf>
    <xf numFmtId="0" fontId="2" fillId="2" borderId="24" xfId="0" applyFont="1" applyFill="1" applyBorder="1" applyAlignment="1">
      <alignment horizontal="left" vertical="center" wrapText="1"/>
    </xf>
    <xf numFmtId="8" fontId="2" fillId="2" borderId="13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vertical="center" wrapText="1"/>
    </xf>
    <xf numFmtId="0" fontId="5" fillId="7" borderId="26" xfId="0" applyFont="1" applyFill="1" applyBorder="1" applyAlignment="1">
      <alignment vertical="center" wrapText="1"/>
    </xf>
    <xf numFmtId="0" fontId="5" fillId="6" borderId="26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8" fontId="2" fillId="3" borderId="15" xfId="0" applyNumberFormat="1" applyFont="1" applyFill="1" applyBorder="1" applyAlignment="1">
      <alignment horizontal="righ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right" vertical="center" wrapText="1"/>
    </xf>
    <xf numFmtId="8" fontId="2" fillId="3" borderId="18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3" fontId="2" fillId="3" borderId="17" xfId="0" applyNumberFormat="1" applyFont="1" applyFill="1" applyBorder="1" applyAlignment="1">
      <alignment horizontal="right" vertical="center" wrapText="1"/>
    </xf>
    <xf numFmtId="0" fontId="2" fillId="3" borderId="19" xfId="0" applyFont="1" applyFill="1" applyBorder="1" applyAlignment="1">
      <alignment horizontal="left" vertical="center" wrapText="1"/>
    </xf>
    <xf numFmtId="8" fontId="2" fillId="3" borderId="12" xfId="0" applyNumberFormat="1" applyFont="1" applyFill="1" applyBorder="1" applyAlignment="1">
      <alignment horizontal="right" vertical="center" wrapText="1"/>
    </xf>
    <xf numFmtId="8" fontId="2" fillId="3" borderId="28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8" fontId="2" fillId="3" borderId="13" xfId="0" applyNumberFormat="1" applyFont="1" applyFill="1" applyBorder="1" applyAlignment="1">
      <alignment horizontal="right" vertical="center" wrapText="1"/>
    </xf>
    <xf numFmtId="0" fontId="2" fillId="3" borderId="20" xfId="0" applyFont="1" applyFill="1" applyBorder="1" applyAlignment="1">
      <alignment horizontal="left" vertical="center" wrapText="1"/>
    </xf>
    <xf numFmtId="8" fontId="2" fillId="3" borderId="17" xfId="0" applyNumberFormat="1" applyFont="1" applyFill="1" applyBorder="1" applyAlignment="1">
      <alignment horizontal="right" vertical="center" wrapText="1"/>
    </xf>
    <xf numFmtId="44" fontId="2" fillId="3" borderId="27" xfId="1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8" fontId="2" fillId="2" borderId="30" xfId="0" applyNumberFormat="1" applyFont="1" applyFill="1" applyBorder="1" applyAlignment="1">
      <alignment horizontal="right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/>
    </xf>
    <xf numFmtId="0" fontId="2" fillId="3" borderId="24" xfId="0" applyFont="1" applyFill="1" applyBorder="1" applyAlignment="1">
      <alignment horizontal="righ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/>
    <xf numFmtId="0" fontId="5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4" fontId="2" fillId="3" borderId="4" xfId="0" applyNumberFormat="1" applyFont="1" applyFill="1" applyBorder="1" applyAlignment="1">
      <alignment horizontal="right" vertical="center" wrapText="1"/>
    </xf>
    <xf numFmtId="4" fontId="2" fillId="3" borderId="33" xfId="0" applyNumberFormat="1" applyFont="1" applyFill="1" applyBorder="1" applyAlignment="1">
      <alignment horizontal="right" vertical="center" wrapText="1"/>
    </xf>
    <xf numFmtId="4" fontId="2" fillId="3" borderId="17" xfId="0" applyNumberFormat="1" applyFont="1" applyFill="1" applyBorder="1" applyAlignment="1">
      <alignment horizontal="right" vertical="center" wrapText="1"/>
    </xf>
    <xf numFmtId="8" fontId="2" fillId="3" borderId="30" xfId="0" applyNumberFormat="1" applyFont="1" applyFill="1" applyBorder="1" applyAlignment="1">
      <alignment horizontal="right" vertical="center" wrapText="1"/>
    </xf>
    <xf numFmtId="8" fontId="2" fillId="3" borderId="34" xfId="0" applyNumberFormat="1" applyFont="1" applyFill="1" applyBorder="1" applyAlignment="1">
      <alignment horizontal="right" vertical="center" wrapText="1"/>
    </xf>
    <xf numFmtId="0" fontId="8" fillId="0" borderId="25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5" fillId="5" borderId="26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5" fillId="4" borderId="35" xfId="0" applyFont="1" applyFill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25" xfId="0" applyFont="1" applyFill="1" applyBorder="1" applyAlignment="1">
      <alignment vertical="center"/>
    </xf>
    <xf numFmtId="0" fontId="8" fillId="3" borderId="27" xfId="0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 t="s">
        <v>-</v>
        <stp/>
        <stp>T&amp;T0</stp>
        <stp>DAT</stp>
        <stp>8</stp>
        <tr r="I11" s="2"/>
      </tp>
      <tp t="s">
        <v>-</v>
        <stp/>
        <stp>T&amp;T0</stp>
        <stp>DAT</stp>
        <stp>9</stp>
        <tr r="I12" s="2"/>
      </tp>
      <tp t="s">
        <v>-</v>
        <stp/>
        <stp>T&amp;T0</stp>
        <stp>DAT</stp>
        <stp>6</stp>
        <tr r="I9" s="2"/>
      </tp>
      <tp t="s">
        <v>-</v>
        <stp/>
        <stp>T&amp;T0</stp>
        <stp>DAT</stp>
        <stp>7</stp>
        <tr r="I10" s="2"/>
      </tp>
      <tp t="s">
        <v>-</v>
        <stp/>
        <stp>T&amp;T0</stp>
        <stp>DAT</stp>
        <stp>4</stp>
        <tr r="I7" s="2"/>
      </tp>
      <tp t="s">
        <v>-</v>
        <stp/>
        <stp>T&amp;T0</stp>
        <stp>DAT</stp>
        <stp>5</stp>
        <tr r="I8" s="2"/>
      </tp>
      <tp t="s">
        <v>-</v>
        <stp/>
        <stp>T&amp;T0</stp>
        <stp>DAT</stp>
        <stp>2</stp>
        <tr r="I5" s="2"/>
      </tp>
      <tp t="s">
        <v>-</v>
        <stp/>
        <stp>T&amp;T0</stp>
        <stp>DAT</stp>
        <stp>3</stp>
        <tr r="I6" s="2"/>
      </tp>
      <tp t="s">
        <v>-</v>
        <stp/>
        <stp>T&amp;T0</stp>
        <stp>DAT</stp>
        <stp>0</stp>
        <tr r="I3" s="2"/>
      </tp>
      <tp t="s">
        <v>-</v>
        <stp/>
        <stp>T&amp;T0</stp>
        <stp>DAT</stp>
        <stp>1</stp>
        <tr r="I4" s="2"/>
      </tp>
      <tp t="s">
        <v>-</v>
        <stp/>
        <stp>T&amp;T1</stp>
        <stp>DAT</stp>
        <stp>8</stp>
        <tr r="A11" s="2"/>
      </tp>
      <tp t="s">
        <v>-</v>
        <stp/>
        <stp>T&amp;T1</stp>
        <stp>DAT</stp>
        <stp>9</stp>
        <tr r="A12" s="2"/>
      </tp>
      <tp t="s">
        <v>-</v>
        <stp/>
        <stp>T&amp;T1</stp>
        <stp>DAT</stp>
        <stp>6</stp>
        <tr r="A9" s="2"/>
      </tp>
      <tp t="s">
        <v>-</v>
        <stp/>
        <stp>T&amp;T1</stp>
        <stp>DAT</stp>
        <stp>7</stp>
        <tr r="A10" s="2"/>
      </tp>
      <tp t="s">
        <v>-</v>
        <stp/>
        <stp>T&amp;T1</stp>
        <stp>DAT</stp>
        <stp>4</stp>
        <tr r="A7" s="2"/>
      </tp>
      <tp t="s">
        <v>-</v>
        <stp/>
        <stp>T&amp;T1</stp>
        <stp>DAT</stp>
        <stp>5</stp>
        <tr r="A8" s="2"/>
      </tp>
      <tp t="s">
        <v>-</v>
        <stp/>
        <stp>T&amp;T1</stp>
        <stp>DAT</stp>
        <stp>2</stp>
        <tr r="A5" s="2"/>
      </tp>
      <tp t="s">
        <v>-</v>
        <stp/>
        <stp>T&amp;T1</stp>
        <stp>DAT</stp>
        <stp>3</stp>
        <tr r="A6" s="2"/>
      </tp>
      <tp t="s">
        <v>-</v>
        <stp/>
        <stp>T&amp;T1</stp>
        <stp>DAT</stp>
        <stp>0</stp>
        <tr r="A3" s="2"/>
      </tp>
      <tp t="s">
        <v>-</v>
        <stp/>
        <stp>T&amp;T1</stp>
        <stp>DAT</stp>
        <stp>1</stp>
        <tr r="A4" s="2"/>
      </tp>
      <tp t="s">
        <v>-</v>
        <stp/>
        <stp>T&amp;T0</stp>
        <stp>ACP</stp>
        <stp>9</stp>
        <tr r="J12" s="2"/>
      </tp>
      <tp t="s">
        <v>-</v>
        <stp/>
        <stp>T&amp;T0</stp>
        <stp>ACP</stp>
        <stp>8</stp>
        <tr r="J11" s="2"/>
      </tp>
      <tp t="s">
        <v>-</v>
        <stp/>
        <stp>T&amp;T0</stp>
        <stp>ACP</stp>
        <stp>3</stp>
        <tr r="J6" s="2"/>
      </tp>
      <tp t="s">
        <v>-</v>
        <stp/>
        <stp>T&amp;T0</stp>
        <stp>ACP</stp>
        <stp>2</stp>
        <tr r="J5" s="2"/>
      </tp>
      <tp t="s">
        <v>-</v>
        <stp/>
        <stp>T&amp;T0</stp>
        <stp>ACP</stp>
        <stp>1</stp>
        <tr r="J4" s="2"/>
      </tp>
      <tp t="s">
        <v>-</v>
        <stp/>
        <stp>T&amp;T0</stp>
        <stp>ACP</stp>
        <stp>0</stp>
        <tr r="J3" s="2"/>
      </tp>
      <tp t="s">
        <v>-</v>
        <stp/>
        <stp>T&amp;T0</stp>
        <stp>ACP</stp>
        <stp>7</stp>
        <tr r="J10" s="2"/>
      </tp>
      <tp t="s">
        <v>-</v>
        <stp/>
        <stp>T&amp;T0</stp>
        <stp>ACP</stp>
        <stp>6</stp>
        <tr r="J9" s="2"/>
      </tp>
      <tp t="s">
        <v>-</v>
        <stp/>
        <stp>T&amp;T0</stp>
        <stp>ACP</stp>
        <stp>5</stp>
        <tr r="J8" s="2"/>
      </tp>
      <tp t="s">
        <v>-</v>
        <stp/>
        <stp>T&amp;T0</stp>
        <stp>ACP</stp>
        <stp>4</stp>
        <tr r="J7" s="2"/>
      </tp>
      <tp t="s">
        <v>-</v>
        <stp/>
        <stp>T&amp;T1</stp>
        <stp>ACP</stp>
        <stp>9</stp>
        <tr r="B12" s="2"/>
      </tp>
      <tp t="s">
        <v>-</v>
        <stp/>
        <stp>T&amp;T1</stp>
        <stp>ACP</stp>
        <stp>8</stp>
        <tr r="B11" s="2"/>
      </tp>
      <tp t="s">
        <v>-</v>
        <stp/>
        <stp>T&amp;T1</stp>
        <stp>ACP</stp>
        <stp>3</stp>
        <tr r="B6" s="2"/>
      </tp>
      <tp t="s">
        <v>-</v>
        <stp/>
        <stp>T&amp;T1</stp>
        <stp>ACP</stp>
        <stp>2</stp>
        <tr r="B5" s="2"/>
      </tp>
      <tp t="s">
        <v>-</v>
        <stp/>
        <stp>T&amp;T1</stp>
        <stp>ACP</stp>
        <stp>1</stp>
        <tr r="B4" s="2"/>
      </tp>
      <tp t="s">
        <v>-</v>
        <stp/>
        <stp>T&amp;T1</stp>
        <stp>ACP</stp>
        <stp>0</stp>
        <tr r="B3" s="2"/>
      </tp>
      <tp t="s">
        <v>-</v>
        <stp/>
        <stp>T&amp;T1</stp>
        <stp>ACP</stp>
        <stp>7</stp>
        <tr r="B10" s="2"/>
      </tp>
      <tp t="s">
        <v>-</v>
        <stp/>
        <stp>T&amp;T1</stp>
        <stp>ACP</stp>
        <stp>6</stp>
        <tr r="B9" s="2"/>
      </tp>
      <tp t="s">
        <v>-</v>
        <stp/>
        <stp>T&amp;T1</stp>
        <stp>ACP</stp>
        <stp>5</stp>
        <tr r="B8" s="2"/>
      </tp>
      <tp t="s">
        <v>-</v>
        <stp/>
        <stp>T&amp;T1</stp>
        <stp>ACP</stp>
        <stp>4</stp>
        <tr r="B7" s="2"/>
      </tp>
      <tp t="s">
        <v>-</v>
        <stp/>
        <stp>T&amp;T0</stp>
        <stp>AGR</stp>
        <stp>9</stp>
        <tr r="N12" s="2"/>
      </tp>
      <tp t="s">
        <v>-</v>
        <stp/>
        <stp>T&amp;T0</stp>
        <stp>AGR</stp>
        <stp>8</stp>
        <tr r="N11" s="2"/>
      </tp>
      <tp t="s">
        <v>-</v>
        <stp/>
        <stp>T&amp;T0</stp>
        <stp>AGR</stp>
        <stp>3</stp>
        <tr r="N6" s="2"/>
      </tp>
      <tp t="s">
        <v>-</v>
        <stp/>
        <stp>T&amp;T0</stp>
        <stp>AGR</stp>
        <stp>2</stp>
        <tr r="N5" s="2"/>
      </tp>
      <tp t="s">
        <v>-</v>
        <stp/>
        <stp>T&amp;T0</stp>
        <stp>AGR</stp>
        <stp>1</stp>
        <tr r="N4" s="2"/>
      </tp>
      <tp t="s">
        <v>-</v>
        <stp/>
        <stp>T&amp;T0</stp>
        <stp>AGR</stp>
        <stp>0</stp>
        <tr r="N3" s="2"/>
      </tp>
      <tp t="s">
        <v>-</v>
        <stp/>
        <stp>T&amp;T0</stp>
        <stp>AGR</stp>
        <stp>7</stp>
        <tr r="N10" s="2"/>
      </tp>
      <tp t="s">
        <v>-</v>
        <stp/>
        <stp>T&amp;T0</stp>
        <stp>AGR</stp>
        <stp>6</stp>
        <tr r="N9" s="2"/>
      </tp>
      <tp t="s">
        <v>-</v>
        <stp/>
        <stp>T&amp;T0</stp>
        <stp>AGR</stp>
        <stp>5</stp>
        <tr r="N8" s="2"/>
      </tp>
      <tp t="s">
        <v>-</v>
        <stp/>
        <stp>T&amp;T0</stp>
        <stp>AGR</stp>
        <stp>4</stp>
        <tr r="N7" s="2"/>
      </tp>
      <tp t="s">
        <v>-</v>
        <stp/>
        <stp>T&amp;T1</stp>
        <stp>AGR</stp>
        <stp>9</stp>
        <tr r="F12" s="2"/>
      </tp>
      <tp t="s">
        <v>-</v>
        <stp/>
        <stp>T&amp;T1</stp>
        <stp>AGR</stp>
        <stp>8</stp>
        <tr r="F11" s="2"/>
      </tp>
      <tp t="s">
        <v>-</v>
        <stp/>
        <stp>T&amp;T1</stp>
        <stp>AGR</stp>
        <stp>3</stp>
        <tr r="F6" s="2"/>
      </tp>
      <tp t="s">
        <v>-</v>
        <stp/>
        <stp>T&amp;T1</stp>
        <stp>AGR</stp>
        <stp>2</stp>
        <tr r="F5" s="2"/>
      </tp>
      <tp t="s">
        <v>-</v>
        <stp/>
        <stp>T&amp;T1</stp>
        <stp>AGR</stp>
        <stp>1</stp>
        <tr r="F4" s="2"/>
      </tp>
      <tp t="s">
        <v>-</v>
        <stp/>
        <stp>T&amp;T1</stp>
        <stp>AGR</stp>
        <stp>0</stp>
        <tr r="F3" s="2"/>
      </tp>
      <tp t="s">
        <v>-</v>
        <stp/>
        <stp>T&amp;T1</stp>
        <stp>AGR</stp>
        <stp>7</stp>
        <tr r="F10" s="2"/>
      </tp>
      <tp t="s">
        <v>-</v>
        <stp/>
        <stp>T&amp;T1</stp>
        <stp>AGR</stp>
        <stp>6</stp>
        <tr r="F9" s="2"/>
      </tp>
      <tp t="s">
        <v>-</v>
        <stp/>
        <stp>T&amp;T1</stp>
        <stp>AGR</stp>
        <stp>5</stp>
        <tr r="F8" s="2"/>
      </tp>
      <tp t="s">
        <v>-</v>
        <stp/>
        <stp>T&amp;T1</stp>
        <stp>AGR</stp>
        <stp>4</stp>
        <tr r="F7" s="2"/>
      </tp>
      <tp t="s">
        <v>-</v>
        <stp/>
        <stp>T&amp;T0</stp>
        <stp>AGAG</stp>
        <stp>95</stp>
        <tr r="O98" s="2"/>
      </tp>
      <tp t="s">
        <v>-</v>
        <stp/>
        <stp>T&amp;T1</stp>
        <stp>AGAG</stp>
        <stp>94</stp>
        <tr r="G97" s="2"/>
      </tp>
      <tp t="s">
        <v>-</v>
        <stp/>
        <stp>T&amp;T0</stp>
        <stp>AGAG</stp>
        <stp>94</stp>
        <tr r="O97" s="2"/>
      </tp>
      <tp t="s">
        <v>-</v>
        <stp/>
        <stp>T&amp;T1</stp>
        <stp>AGAG</stp>
        <stp>95</stp>
        <tr r="G98" s="2"/>
      </tp>
      <tp t="s">
        <v>-</v>
        <stp/>
        <stp>T&amp;T0</stp>
        <stp>AGAG</stp>
        <stp>97</stp>
        <tr r="O100" s="2"/>
      </tp>
      <tp t="s">
        <v>-</v>
        <stp/>
        <stp>T&amp;T1</stp>
        <stp>AGAG</stp>
        <stp>96</stp>
        <tr r="G99" s="2"/>
      </tp>
      <tp t="s">
        <v>-</v>
        <stp/>
        <stp>T&amp;T0</stp>
        <stp>AGAG</stp>
        <stp>96</stp>
        <tr r="O99" s="2"/>
      </tp>
      <tp t="s">
        <v>-</v>
        <stp/>
        <stp>T&amp;T1</stp>
        <stp>AGAG</stp>
        <stp>97</stp>
        <tr r="G100" s="2"/>
      </tp>
      <tp t="s">
        <v>-</v>
        <stp/>
        <stp>T&amp;T0</stp>
        <stp>AGAG</stp>
        <stp>91</stp>
        <tr r="O94" s="2"/>
      </tp>
      <tp t="s">
        <v>-</v>
        <stp/>
        <stp>T&amp;T1</stp>
        <stp>AGAG</stp>
        <stp>90</stp>
        <tr r="G93" s="2"/>
      </tp>
      <tp t="s">
        <v>-</v>
        <stp/>
        <stp>T&amp;T0</stp>
        <stp>AGAG</stp>
        <stp>90</stp>
        <tr r="O93" s="2"/>
      </tp>
      <tp t="s">
        <v>-</v>
        <stp/>
        <stp>T&amp;T1</stp>
        <stp>AGAG</stp>
        <stp>91</stp>
        <tr r="G94" s="2"/>
      </tp>
      <tp t="s">
        <v>-</v>
        <stp/>
        <stp>T&amp;T0</stp>
        <stp>AGAG</stp>
        <stp>93</stp>
        <tr r="O96" s="2"/>
      </tp>
      <tp t="s">
        <v>-</v>
        <stp/>
        <stp>T&amp;T1</stp>
        <stp>AGAG</stp>
        <stp>92</stp>
        <tr r="G95" s="2"/>
      </tp>
      <tp t="s">
        <v>-</v>
        <stp/>
        <stp>T&amp;T0</stp>
        <stp>AGAG</stp>
        <stp>92</stp>
        <tr r="O95" s="2"/>
      </tp>
      <tp t="s">
        <v>-</v>
        <stp/>
        <stp>T&amp;T1</stp>
        <stp>AGAG</stp>
        <stp>93</stp>
        <tr r="G96" s="2"/>
      </tp>
      <tp t="s">
        <v>-</v>
        <stp/>
        <stp>T&amp;T0</stp>
        <stp>AGAG</stp>
        <stp>99</stp>
        <tr r="O102" s="2"/>
      </tp>
      <tp t="s">
        <v>-</v>
        <stp/>
        <stp>T&amp;T1</stp>
        <stp>AGAG</stp>
        <stp>98</stp>
        <tr r="G101" s="2"/>
      </tp>
      <tp t="s">
        <v>-</v>
        <stp/>
        <stp>T&amp;T0</stp>
        <stp>AGAG</stp>
        <stp>98</stp>
        <tr r="O101" s="2"/>
      </tp>
      <tp t="s">
        <v>-</v>
        <stp/>
        <stp>T&amp;T1</stp>
        <stp>AGAG</stp>
        <stp>99</stp>
        <tr r="G102" s="2"/>
      </tp>
      <tp t="s">
        <v>-</v>
        <stp/>
        <stp>T&amp;T0</stp>
        <stp>AGAG</stp>
        <stp>85</stp>
        <tr r="O88" s="2"/>
      </tp>
      <tp t="s">
        <v>-</v>
        <stp/>
        <stp>T&amp;T1</stp>
        <stp>AGAG</stp>
        <stp>84</stp>
        <tr r="G87" s="2"/>
      </tp>
      <tp t="s">
        <v>-</v>
        <stp/>
        <stp>T&amp;T0</stp>
        <stp>AGAG</stp>
        <stp>84</stp>
        <tr r="O87" s="2"/>
      </tp>
      <tp t="s">
        <v>-</v>
        <stp/>
        <stp>T&amp;T1</stp>
        <stp>AGAG</stp>
        <stp>85</stp>
        <tr r="G88" s="2"/>
      </tp>
      <tp t="s">
        <v>-</v>
        <stp/>
        <stp>T&amp;T0</stp>
        <stp>AGAG</stp>
        <stp>87</stp>
        <tr r="O90" s="2"/>
      </tp>
      <tp t="s">
        <v>-</v>
        <stp/>
        <stp>T&amp;T1</stp>
        <stp>AGAG</stp>
        <stp>86</stp>
        <tr r="G89" s="2"/>
      </tp>
      <tp t="s">
        <v>-</v>
        <stp/>
        <stp>T&amp;T0</stp>
        <stp>AGAG</stp>
        <stp>86</stp>
        <tr r="O89" s="2"/>
      </tp>
      <tp t="s">
        <v>-</v>
        <stp/>
        <stp>T&amp;T1</stp>
        <stp>AGAG</stp>
        <stp>87</stp>
        <tr r="G90" s="2"/>
      </tp>
      <tp t="s">
        <v>-</v>
        <stp/>
        <stp>T&amp;T0</stp>
        <stp>AGAG</stp>
        <stp>81</stp>
        <tr r="O84" s="2"/>
      </tp>
      <tp t="s">
        <v>-</v>
        <stp/>
        <stp>T&amp;T1</stp>
        <stp>AGAG</stp>
        <stp>80</stp>
        <tr r="G83" s="2"/>
      </tp>
      <tp t="s">
        <v>-</v>
        <stp/>
        <stp>T&amp;T0</stp>
        <stp>AGAG</stp>
        <stp>80</stp>
        <tr r="O83" s="2"/>
      </tp>
      <tp t="s">
        <v>-</v>
        <stp/>
        <stp>T&amp;T1</stp>
        <stp>AGAG</stp>
        <stp>81</stp>
        <tr r="G84" s="2"/>
      </tp>
      <tp t="s">
        <v>-</v>
        <stp/>
        <stp>T&amp;T0</stp>
        <stp>AGAG</stp>
        <stp>83</stp>
        <tr r="O86" s="2"/>
      </tp>
      <tp t="s">
        <v>-</v>
        <stp/>
        <stp>T&amp;T1</stp>
        <stp>AGAG</stp>
        <stp>82</stp>
        <tr r="G85" s="2"/>
      </tp>
      <tp t="s">
        <v>-</v>
        <stp/>
        <stp>T&amp;T0</stp>
        <stp>AGAG</stp>
        <stp>82</stp>
        <tr r="O85" s="2"/>
      </tp>
      <tp t="s">
        <v>-</v>
        <stp/>
        <stp>T&amp;T1</stp>
        <stp>AGAG</stp>
        <stp>83</stp>
        <tr r="G86" s="2"/>
      </tp>
      <tp t="s">
        <v>-</v>
        <stp/>
        <stp>T&amp;T0</stp>
        <stp>AGAG</stp>
        <stp>89</stp>
        <tr r="O92" s="2"/>
      </tp>
      <tp t="s">
        <v>-</v>
        <stp/>
        <stp>T&amp;T1</stp>
        <stp>AGAG</stp>
        <stp>88</stp>
        <tr r="G91" s="2"/>
      </tp>
      <tp t="s">
        <v>-</v>
        <stp/>
        <stp>T&amp;T0</stp>
        <stp>AGAG</stp>
        <stp>88</stp>
        <tr r="O91" s="2"/>
      </tp>
      <tp t="s">
        <v>-</v>
        <stp/>
        <stp>T&amp;T1</stp>
        <stp>AGAG</stp>
        <stp>89</stp>
        <tr r="G92" s="2"/>
      </tp>
      <tp t="s">
        <v>-</v>
        <stp/>
        <stp>T&amp;T0</stp>
        <stp>AGAG</stp>
        <stp>35</stp>
        <tr r="O38" s="2"/>
      </tp>
      <tp t="s">
        <v>-</v>
        <stp/>
        <stp>T&amp;T1</stp>
        <stp>AGAG</stp>
        <stp>34</stp>
        <tr r="G37" s="2"/>
      </tp>
      <tp t="s">
        <v>-</v>
        <stp/>
        <stp>T&amp;T0</stp>
        <stp>AGAG</stp>
        <stp>34</stp>
        <tr r="O37" s="2"/>
      </tp>
      <tp t="s">
        <v>-</v>
        <stp/>
        <stp>T&amp;T1</stp>
        <stp>AGAG</stp>
        <stp>35</stp>
        <tr r="G38" s="2"/>
      </tp>
      <tp t="s">
        <v>-</v>
        <stp/>
        <stp>T&amp;T0</stp>
        <stp>AGAG</stp>
        <stp>37</stp>
        <tr r="O40" s="2"/>
      </tp>
      <tp t="s">
        <v>-</v>
        <stp/>
        <stp>T&amp;T1</stp>
        <stp>AGAG</stp>
        <stp>36</stp>
        <tr r="G39" s="2"/>
      </tp>
      <tp t="s">
        <v>-</v>
        <stp/>
        <stp>T&amp;T0</stp>
        <stp>AGAG</stp>
        <stp>36</stp>
        <tr r="O39" s="2"/>
      </tp>
      <tp t="s">
        <v>-</v>
        <stp/>
        <stp>T&amp;T1</stp>
        <stp>AGAG</stp>
        <stp>37</stp>
        <tr r="G40" s="2"/>
      </tp>
      <tp t="s">
        <v>-</v>
        <stp/>
        <stp>T&amp;T0</stp>
        <stp>AGAG</stp>
        <stp>31</stp>
        <tr r="O34" s="2"/>
      </tp>
      <tp t="s">
        <v>-</v>
        <stp/>
        <stp>T&amp;T1</stp>
        <stp>AGAG</stp>
        <stp>30</stp>
        <tr r="G33" s="2"/>
      </tp>
      <tp t="s">
        <v>-</v>
        <stp/>
        <stp>T&amp;T0</stp>
        <stp>AGAG</stp>
        <stp>30</stp>
        <tr r="O33" s="2"/>
      </tp>
      <tp t="s">
        <v>-</v>
        <stp/>
        <stp>T&amp;T1</stp>
        <stp>AGAG</stp>
        <stp>31</stp>
        <tr r="G34" s="2"/>
      </tp>
      <tp t="s">
        <v>-</v>
        <stp/>
        <stp>T&amp;T0</stp>
        <stp>AGAG</stp>
        <stp>33</stp>
        <tr r="O36" s="2"/>
      </tp>
      <tp t="s">
        <v>-</v>
        <stp/>
        <stp>T&amp;T1</stp>
        <stp>AGAG</stp>
        <stp>32</stp>
        <tr r="G35" s="2"/>
      </tp>
      <tp t="s">
        <v>-</v>
        <stp/>
        <stp>T&amp;T0</stp>
        <stp>AGAG</stp>
        <stp>32</stp>
        <tr r="O35" s="2"/>
      </tp>
      <tp t="s">
        <v>-</v>
        <stp/>
        <stp>T&amp;T1</stp>
        <stp>AGAG</stp>
        <stp>33</stp>
        <tr r="G36" s="2"/>
      </tp>
      <tp t="s">
        <v>-</v>
        <stp/>
        <stp>T&amp;T0</stp>
        <stp>AGAG</stp>
        <stp>39</stp>
        <tr r="O42" s="2"/>
      </tp>
      <tp t="s">
        <v>-</v>
        <stp/>
        <stp>T&amp;T1</stp>
        <stp>AGAG</stp>
        <stp>38</stp>
        <tr r="G41" s="2"/>
      </tp>
      <tp t="s">
        <v>-</v>
        <stp/>
        <stp>T&amp;T0</stp>
        <stp>AGAG</stp>
        <stp>38</stp>
        <tr r="O41" s="2"/>
      </tp>
      <tp t="s">
        <v>-</v>
        <stp/>
        <stp>T&amp;T1</stp>
        <stp>AGAG</stp>
        <stp>39</stp>
        <tr r="G42" s="2"/>
      </tp>
      <tp t="s">
        <v>-</v>
        <stp/>
        <stp>T&amp;T0</stp>
        <stp>AGAG</stp>
        <stp>25</stp>
        <tr r="O28" s="2"/>
      </tp>
      <tp t="s">
        <v>-</v>
        <stp/>
        <stp>T&amp;T1</stp>
        <stp>AGAG</stp>
        <stp>24</stp>
        <tr r="G27" s="2"/>
      </tp>
      <tp t="s">
        <v>-</v>
        <stp/>
        <stp>T&amp;T0</stp>
        <stp>AGAG</stp>
        <stp>24</stp>
        <tr r="O27" s="2"/>
      </tp>
      <tp t="s">
        <v>-</v>
        <stp/>
        <stp>T&amp;T1</stp>
        <stp>AGAG</stp>
        <stp>25</stp>
        <tr r="G28" s="2"/>
      </tp>
      <tp t="s">
        <v>-</v>
        <stp/>
        <stp>T&amp;T0</stp>
        <stp>AGAG</stp>
        <stp>27</stp>
        <tr r="O30" s="2"/>
      </tp>
      <tp t="s">
        <v>-</v>
        <stp/>
        <stp>T&amp;T1</stp>
        <stp>AGAG</stp>
        <stp>26</stp>
        <tr r="G29" s="2"/>
      </tp>
      <tp t="s">
        <v>-</v>
        <stp/>
        <stp>T&amp;T0</stp>
        <stp>AGAG</stp>
        <stp>26</stp>
        <tr r="O29" s="2"/>
      </tp>
      <tp t="s">
        <v>-</v>
        <stp/>
        <stp>T&amp;T1</stp>
        <stp>AGAG</stp>
        <stp>27</stp>
        <tr r="G30" s="2"/>
      </tp>
      <tp t="s">
        <v>-</v>
        <stp/>
        <stp>T&amp;T0</stp>
        <stp>AGAG</stp>
        <stp>21</stp>
        <tr r="O24" s="2"/>
      </tp>
      <tp t="s">
        <v>-</v>
        <stp/>
        <stp>T&amp;T1</stp>
        <stp>AGAG</stp>
        <stp>20</stp>
        <tr r="G23" s="2"/>
      </tp>
      <tp t="s">
        <v>-</v>
        <stp/>
        <stp>T&amp;T0</stp>
        <stp>AGAG</stp>
        <stp>20</stp>
        <tr r="O23" s="2"/>
      </tp>
      <tp t="s">
        <v>-</v>
        <stp/>
        <stp>T&amp;T1</stp>
        <stp>AGAG</stp>
        <stp>21</stp>
        <tr r="G24" s="2"/>
      </tp>
      <tp t="s">
        <v>-</v>
        <stp/>
        <stp>T&amp;T0</stp>
        <stp>AGAG</stp>
        <stp>23</stp>
        <tr r="O26" s="2"/>
      </tp>
      <tp t="s">
        <v>-</v>
        <stp/>
        <stp>T&amp;T1</stp>
        <stp>AGAG</stp>
        <stp>22</stp>
        <tr r="G25" s="2"/>
      </tp>
      <tp t="s">
        <v>-</v>
        <stp/>
        <stp>T&amp;T0</stp>
        <stp>AGAG</stp>
        <stp>22</stp>
        <tr r="O25" s="2"/>
      </tp>
      <tp t="s">
        <v>-</v>
        <stp/>
        <stp>T&amp;T1</stp>
        <stp>AGAG</stp>
        <stp>23</stp>
        <tr r="G26" s="2"/>
      </tp>
      <tp t="s">
        <v>-</v>
        <stp/>
        <stp>T&amp;T0</stp>
        <stp>AGAG</stp>
        <stp>29</stp>
        <tr r="O32" s="2"/>
      </tp>
      <tp t="s">
        <v>-</v>
        <stp/>
        <stp>T&amp;T1</stp>
        <stp>AGAG</stp>
        <stp>28</stp>
        <tr r="G31" s="2"/>
      </tp>
      <tp t="s">
        <v>-</v>
        <stp/>
        <stp>T&amp;T0</stp>
        <stp>AGAG</stp>
        <stp>28</stp>
        <tr r="O31" s="2"/>
      </tp>
      <tp t="s">
        <v>-</v>
        <stp/>
        <stp>T&amp;T1</stp>
        <stp>AGAG</stp>
        <stp>29</stp>
        <tr r="G32" s="2"/>
      </tp>
      <tp t="s">
        <v>-</v>
        <stp/>
        <stp>T&amp;T0</stp>
        <stp>AGAG</stp>
        <stp>15</stp>
        <tr r="O18" s="2"/>
      </tp>
      <tp t="s">
        <v>-</v>
        <stp/>
        <stp>T&amp;T1</stp>
        <stp>AGAG</stp>
        <stp>14</stp>
        <tr r="G17" s="2"/>
      </tp>
      <tp t="s">
        <v>-</v>
        <stp/>
        <stp>T&amp;T0</stp>
        <stp>AGAG</stp>
        <stp>14</stp>
        <tr r="O17" s="2"/>
      </tp>
      <tp t="s">
        <v>-</v>
        <stp/>
        <stp>T&amp;T1</stp>
        <stp>AGAG</stp>
        <stp>15</stp>
        <tr r="G18" s="2"/>
      </tp>
      <tp t="s">
        <v>-</v>
        <stp/>
        <stp>T&amp;T0</stp>
        <stp>AGAG</stp>
        <stp>17</stp>
        <tr r="O20" s="2"/>
      </tp>
      <tp t="s">
        <v>-</v>
        <stp/>
        <stp>T&amp;T1</stp>
        <stp>AGAG</stp>
        <stp>16</stp>
        <tr r="G19" s="2"/>
      </tp>
      <tp t="s">
        <v>-</v>
        <stp/>
        <stp>T&amp;T0</stp>
        <stp>AGAG</stp>
        <stp>16</stp>
        <tr r="O19" s="2"/>
      </tp>
      <tp t="s">
        <v>-</v>
        <stp/>
        <stp>T&amp;T1</stp>
        <stp>AGAG</stp>
        <stp>17</stp>
        <tr r="G20" s="2"/>
      </tp>
      <tp t="s">
        <v>-</v>
        <stp/>
        <stp>T&amp;T0</stp>
        <stp>AGAG</stp>
        <stp>11</stp>
        <tr r="O14" s="2"/>
      </tp>
      <tp t="s">
        <v>-</v>
        <stp/>
        <stp>T&amp;T1</stp>
        <stp>AGAG</stp>
        <stp>10</stp>
        <tr r="G13" s="2"/>
      </tp>
      <tp t="s">
        <v>-</v>
        <stp/>
        <stp>T&amp;T0</stp>
        <stp>AGAG</stp>
        <stp>10</stp>
        <tr r="O13" s="2"/>
      </tp>
      <tp t="s">
        <v>-</v>
        <stp/>
        <stp>T&amp;T1</stp>
        <stp>AGAG</stp>
        <stp>11</stp>
        <tr r="G14" s="2"/>
      </tp>
      <tp t="s">
        <v>-</v>
        <stp/>
        <stp>T&amp;T0</stp>
        <stp>AGAG</stp>
        <stp>13</stp>
        <tr r="O16" s="2"/>
      </tp>
      <tp t="s">
        <v>-</v>
        <stp/>
        <stp>T&amp;T1</stp>
        <stp>AGAG</stp>
        <stp>12</stp>
        <tr r="G15" s="2"/>
      </tp>
      <tp t="s">
        <v>-</v>
        <stp/>
        <stp>T&amp;T0</stp>
        <stp>AGAG</stp>
        <stp>12</stp>
        <tr r="O15" s="2"/>
      </tp>
      <tp t="s">
        <v>-</v>
        <stp/>
        <stp>T&amp;T1</stp>
        <stp>AGAG</stp>
        <stp>13</stp>
        <tr r="G16" s="2"/>
      </tp>
      <tp t="s">
        <v>-</v>
        <stp/>
        <stp>T&amp;T0</stp>
        <stp>AGAG</stp>
        <stp>19</stp>
        <tr r="O22" s="2"/>
      </tp>
      <tp t="s">
        <v>-</v>
        <stp/>
        <stp>T&amp;T1</stp>
        <stp>AGAG</stp>
        <stp>18</stp>
        <tr r="G21" s="2"/>
      </tp>
      <tp t="s">
        <v>-</v>
        <stp/>
        <stp>T&amp;T0</stp>
        <stp>AGAG</stp>
        <stp>18</stp>
        <tr r="O21" s="2"/>
      </tp>
      <tp t="s">
        <v>-</v>
        <stp/>
        <stp>T&amp;T1</stp>
        <stp>AGAG</stp>
        <stp>19</stp>
        <tr r="G22" s="2"/>
      </tp>
      <tp t="s">
        <v>-</v>
        <stp/>
        <stp>T&amp;T0</stp>
        <stp>AGAG</stp>
        <stp>75</stp>
        <tr r="O78" s="2"/>
      </tp>
      <tp t="s">
        <v>-</v>
        <stp/>
        <stp>T&amp;T1</stp>
        <stp>AGAG</stp>
        <stp>74</stp>
        <tr r="G77" s="2"/>
      </tp>
      <tp t="s">
        <v>-</v>
        <stp/>
        <stp>T&amp;T0</stp>
        <stp>AGAG</stp>
        <stp>74</stp>
        <tr r="O77" s="2"/>
      </tp>
      <tp t="s">
        <v>-</v>
        <stp/>
        <stp>T&amp;T1</stp>
        <stp>AGAG</stp>
        <stp>75</stp>
        <tr r="G78" s="2"/>
      </tp>
      <tp t="s">
        <v>-</v>
        <stp/>
        <stp>T&amp;T0</stp>
        <stp>AGAG</stp>
        <stp>77</stp>
        <tr r="O80" s="2"/>
      </tp>
      <tp t="s">
        <v>-</v>
        <stp/>
        <stp>T&amp;T1</stp>
        <stp>AGAG</stp>
        <stp>76</stp>
        <tr r="G79" s="2"/>
      </tp>
      <tp t="s">
        <v>-</v>
        <stp/>
        <stp>T&amp;T0</stp>
        <stp>AGAG</stp>
        <stp>76</stp>
        <tr r="O79" s="2"/>
      </tp>
      <tp t="s">
        <v>-</v>
        <stp/>
        <stp>T&amp;T1</stp>
        <stp>AGAG</stp>
        <stp>77</stp>
        <tr r="G80" s="2"/>
      </tp>
      <tp t="s">
        <v>-</v>
        <stp/>
        <stp>T&amp;T0</stp>
        <stp>AGAG</stp>
        <stp>71</stp>
        <tr r="O74" s="2"/>
      </tp>
      <tp t="s">
        <v>-</v>
        <stp/>
        <stp>T&amp;T1</stp>
        <stp>AGAG</stp>
        <stp>70</stp>
        <tr r="G73" s="2"/>
      </tp>
      <tp t="s">
        <v>-</v>
        <stp/>
        <stp>T&amp;T0</stp>
        <stp>AGAG</stp>
        <stp>70</stp>
        <tr r="O73" s="2"/>
      </tp>
      <tp t="s">
        <v>-</v>
        <stp/>
        <stp>T&amp;T1</stp>
        <stp>AGAG</stp>
        <stp>71</stp>
        <tr r="G74" s="2"/>
      </tp>
      <tp t="s">
        <v>-</v>
        <stp/>
        <stp>T&amp;T0</stp>
        <stp>AGAG</stp>
        <stp>73</stp>
        <tr r="O76" s="2"/>
      </tp>
      <tp t="s">
        <v>-</v>
        <stp/>
        <stp>T&amp;T1</stp>
        <stp>AGAG</stp>
        <stp>72</stp>
        <tr r="G75" s="2"/>
      </tp>
      <tp t="s">
        <v>-</v>
        <stp/>
        <stp>T&amp;T0</stp>
        <stp>AGAG</stp>
        <stp>72</stp>
        <tr r="O75" s="2"/>
      </tp>
      <tp t="s">
        <v>-</v>
        <stp/>
        <stp>T&amp;T1</stp>
        <stp>AGAG</stp>
        <stp>73</stp>
        <tr r="G76" s="2"/>
      </tp>
      <tp t="s">
        <v>-</v>
        <stp/>
        <stp>T&amp;T0</stp>
        <stp>AGAG</stp>
        <stp>79</stp>
        <tr r="O82" s="2"/>
      </tp>
      <tp t="s">
        <v>-</v>
        <stp/>
        <stp>T&amp;T1</stp>
        <stp>AGAG</stp>
        <stp>78</stp>
        <tr r="G81" s="2"/>
      </tp>
      <tp t="s">
        <v>-</v>
        <stp/>
        <stp>T&amp;T0</stp>
        <stp>AGAG</stp>
        <stp>78</stp>
        <tr r="O81" s="2"/>
      </tp>
      <tp t="s">
        <v>-</v>
        <stp/>
        <stp>T&amp;T1</stp>
        <stp>AGAG</stp>
        <stp>79</stp>
        <tr r="G82" s="2"/>
      </tp>
      <tp t="s">
        <v>-</v>
        <stp/>
        <stp>T&amp;T0</stp>
        <stp>AGAG</stp>
        <stp>65</stp>
        <tr r="O68" s="2"/>
      </tp>
      <tp t="s">
        <v>-</v>
        <stp/>
        <stp>T&amp;T1</stp>
        <stp>AGAG</stp>
        <stp>64</stp>
        <tr r="G67" s="2"/>
      </tp>
      <tp t="s">
        <v>-</v>
        <stp/>
        <stp>T&amp;T0</stp>
        <stp>AGAG</stp>
        <stp>64</stp>
        <tr r="O67" s="2"/>
      </tp>
      <tp t="s">
        <v>-</v>
        <stp/>
        <stp>T&amp;T1</stp>
        <stp>AGAG</stp>
        <stp>65</stp>
        <tr r="G68" s="2"/>
      </tp>
      <tp t="s">
        <v>-</v>
        <stp/>
        <stp>T&amp;T0</stp>
        <stp>AGAG</stp>
        <stp>67</stp>
        <tr r="O70" s="2"/>
      </tp>
      <tp t="s">
        <v>-</v>
        <stp/>
        <stp>T&amp;T1</stp>
        <stp>AGAG</stp>
        <stp>66</stp>
        <tr r="G69" s="2"/>
      </tp>
      <tp t="s">
        <v>-</v>
        <stp/>
        <stp>T&amp;T0</stp>
        <stp>AGAG</stp>
        <stp>66</stp>
        <tr r="O69" s="2"/>
      </tp>
      <tp t="s">
        <v>-</v>
        <stp/>
        <stp>T&amp;T1</stp>
        <stp>AGAG</stp>
        <stp>67</stp>
        <tr r="G70" s="2"/>
      </tp>
      <tp t="s">
        <v>-</v>
        <stp/>
        <stp>T&amp;T0</stp>
        <stp>AGAG</stp>
        <stp>61</stp>
        <tr r="O64" s="2"/>
      </tp>
      <tp t="s">
        <v>-</v>
        <stp/>
        <stp>T&amp;T1</stp>
        <stp>AGAG</stp>
        <stp>60</stp>
        <tr r="G63" s="2"/>
      </tp>
      <tp t="s">
        <v>-</v>
        <stp/>
        <stp>T&amp;T0</stp>
        <stp>AGAG</stp>
        <stp>60</stp>
        <tr r="O63" s="2"/>
      </tp>
      <tp t="s">
        <v>-</v>
        <stp/>
        <stp>T&amp;T1</stp>
        <stp>AGAG</stp>
        <stp>61</stp>
        <tr r="G64" s="2"/>
      </tp>
      <tp t="s">
        <v>-</v>
        <stp/>
        <stp>T&amp;T0</stp>
        <stp>AGAG</stp>
        <stp>63</stp>
        <tr r="O66" s="2"/>
      </tp>
      <tp t="s">
        <v>-</v>
        <stp/>
        <stp>T&amp;T1</stp>
        <stp>AGAG</stp>
        <stp>62</stp>
        <tr r="G65" s="2"/>
      </tp>
      <tp t="s">
        <v>-</v>
        <stp/>
        <stp>T&amp;T0</stp>
        <stp>AGAG</stp>
        <stp>62</stp>
        <tr r="O65" s="2"/>
      </tp>
      <tp t="s">
        <v>-</v>
        <stp/>
        <stp>T&amp;T1</stp>
        <stp>AGAG</stp>
        <stp>63</stp>
        <tr r="G66" s="2"/>
      </tp>
      <tp t="s">
        <v>-</v>
        <stp/>
        <stp>T&amp;T0</stp>
        <stp>AGAG</stp>
        <stp>69</stp>
        <tr r="O72" s="2"/>
      </tp>
      <tp t="s">
        <v>-</v>
        <stp/>
        <stp>T&amp;T1</stp>
        <stp>AGAG</stp>
        <stp>68</stp>
        <tr r="G71" s="2"/>
      </tp>
      <tp t="s">
        <v>-</v>
        <stp/>
        <stp>T&amp;T0</stp>
        <stp>AGAG</stp>
        <stp>68</stp>
        <tr r="O71" s="2"/>
      </tp>
      <tp t="s">
        <v>-</v>
        <stp/>
        <stp>T&amp;T1</stp>
        <stp>AGAG</stp>
        <stp>69</stp>
        <tr r="G72" s="2"/>
      </tp>
      <tp t="s">
        <v>-</v>
        <stp/>
        <stp>T&amp;T0</stp>
        <stp>AGAG</stp>
        <stp>55</stp>
        <tr r="O58" s="2"/>
      </tp>
      <tp t="s">
        <v>-</v>
        <stp/>
        <stp>T&amp;T1</stp>
        <stp>AGAG</stp>
        <stp>54</stp>
        <tr r="G57" s="2"/>
      </tp>
      <tp t="s">
        <v>-</v>
        <stp/>
        <stp>T&amp;T0</stp>
        <stp>AGAG</stp>
        <stp>54</stp>
        <tr r="O57" s="2"/>
      </tp>
      <tp t="s">
        <v>-</v>
        <stp/>
        <stp>T&amp;T1</stp>
        <stp>AGAG</stp>
        <stp>55</stp>
        <tr r="G58" s="2"/>
      </tp>
      <tp t="s">
        <v>-</v>
        <stp/>
        <stp>T&amp;T0</stp>
        <stp>AGAG</stp>
        <stp>57</stp>
        <tr r="O60" s="2"/>
      </tp>
      <tp t="s">
        <v>-</v>
        <stp/>
        <stp>T&amp;T1</stp>
        <stp>AGAG</stp>
        <stp>56</stp>
        <tr r="G59" s="2"/>
      </tp>
      <tp t="s">
        <v>-</v>
        <stp/>
        <stp>T&amp;T0</stp>
        <stp>AGAG</stp>
        <stp>56</stp>
        <tr r="O59" s="2"/>
      </tp>
      <tp t="s">
        <v>-</v>
        <stp/>
        <stp>T&amp;T1</stp>
        <stp>AGAG</stp>
        <stp>57</stp>
        <tr r="G60" s="2"/>
      </tp>
      <tp t="s">
        <v>-</v>
        <stp/>
        <stp>T&amp;T0</stp>
        <stp>AGAG</stp>
        <stp>51</stp>
        <tr r="O54" s="2"/>
      </tp>
      <tp t="s">
        <v>-</v>
        <stp/>
        <stp>T&amp;T1</stp>
        <stp>AGAG</stp>
        <stp>50</stp>
        <tr r="G53" s="2"/>
      </tp>
      <tp t="s">
        <v>-</v>
        <stp/>
        <stp>T&amp;T0</stp>
        <stp>AGAG</stp>
        <stp>50</stp>
        <tr r="O53" s="2"/>
      </tp>
      <tp t="s">
        <v>-</v>
        <stp/>
        <stp>T&amp;T1</stp>
        <stp>AGAG</stp>
        <stp>51</stp>
        <tr r="G54" s="2"/>
      </tp>
      <tp t="s">
        <v>-</v>
        <stp/>
        <stp>T&amp;T0</stp>
        <stp>AGAG</stp>
        <stp>53</stp>
        <tr r="O56" s="2"/>
      </tp>
      <tp t="s">
        <v>-</v>
        <stp/>
        <stp>T&amp;T1</stp>
        <stp>AGAG</stp>
        <stp>52</stp>
        <tr r="G55" s="2"/>
      </tp>
      <tp t="s">
        <v>-</v>
        <stp/>
        <stp>T&amp;T0</stp>
        <stp>AGAG</stp>
        <stp>52</stp>
        <tr r="O55" s="2"/>
      </tp>
      <tp t="s">
        <v>-</v>
        <stp/>
        <stp>T&amp;T1</stp>
        <stp>AGAG</stp>
        <stp>53</stp>
        <tr r="G56" s="2"/>
      </tp>
      <tp t="s">
        <v>-</v>
        <stp/>
        <stp>T&amp;T0</stp>
        <stp>AGAG</stp>
        <stp>59</stp>
        <tr r="O62" s="2"/>
      </tp>
      <tp t="s">
        <v>-</v>
        <stp/>
        <stp>T&amp;T1</stp>
        <stp>AGAG</stp>
        <stp>58</stp>
        <tr r="G61" s="2"/>
      </tp>
      <tp t="s">
        <v>-</v>
        <stp/>
        <stp>T&amp;T0</stp>
        <stp>AGAG</stp>
        <stp>58</stp>
        <tr r="O61" s="2"/>
      </tp>
      <tp t="s">
        <v>-</v>
        <stp/>
        <stp>T&amp;T1</stp>
        <stp>AGAG</stp>
        <stp>59</stp>
        <tr r="G62" s="2"/>
      </tp>
      <tp t="s">
        <v>-</v>
        <stp/>
        <stp>T&amp;T0</stp>
        <stp>AGAG</stp>
        <stp>45</stp>
        <tr r="O48" s="2"/>
      </tp>
      <tp t="s">
        <v>-</v>
        <stp/>
        <stp>T&amp;T1</stp>
        <stp>AGAG</stp>
        <stp>44</stp>
        <tr r="G47" s="2"/>
      </tp>
      <tp t="s">
        <v>-</v>
        <stp/>
        <stp>T&amp;T0</stp>
        <stp>AGAG</stp>
        <stp>44</stp>
        <tr r="O47" s="2"/>
      </tp>
      <tp t="s">
        <v>-</v>
        <stp/>
        <stp>T&amp;T1</stp>
        <stp>AGAG</stp>
        <stp>45</stp>
        <tr r="G48" s="2"/>
      </tp>
      <tp t="s">
        <v>-</v>
        <stp/>
        <stp>T&amp;T0</stp>
        <stp>AGAG</stp>
        <stp>47</stp>
        <tr r="O50" s="2"/>
      </tp>
      <tp t="s">
        <v>-</v>
        <stp/>
        <stp>T&amp;T1</stp>
        <stp>AGAG</stp>
        <stp>46</stp>
        <tr r="G49" s="2"/>
      </tp>
      <tp t="s">
        <v>-</v>
        <stp/>
        <stp>T&amp;T0</stp>
        <stp>AGAG</stp>
        <stp>46</stp>
        <tr r="O49" s="2"/>
      </tp>
      <tp t="s">
        <v>-</v>
        <stp/>
        <stp>T&amp;T1</stp>
        <stp>AGAG</stp>
        <stp>47</stp>
        <tr r="G50" s="2"/>
      </tp>
      <tp t="s">
        <v>-</v>
        <stp/>
        <stp>T&amp;T0</stp>
        <stp>AGAG</stp>
        <stp>41</stp>
        <tr r="O44" s="2"/>
      </tp>
      <tp t="s">
        <v>-</v>
        <stp/>
        <stp>T&amp;T1</stp>
        <stp>AGAG</stp>
        <stp>40</stp>
        <tr r="G43" s="2"/>
      </tp>
      <tp t="s">
        <v>-</v>
        <stp/>
        <stp>T&amp;T0</stp>
        <stp>AGAG</stp>
        <stp>40</stp>
        <tr r="O43" s="2"/>
      </tp>
      <tp t="s">
        <v>-</v>
        <stp/>
        <stp>T&amp;T1</stp>
        <stp>AGAG</stp>
        <stp>41</stp>
        <tr r="G44" s="2"/>
      </tp>
      <tp t="s">
        <v>-</v>
        <stp/>
        <stp>T&amp;T0</stp>
        <stp>AGAG</stp>
        <stp>43</stp>
        <tr r="O46" s="2"/>
      </tp>
      <tp t="s">
        <v>-</v>
        <stp/>
        <stp>T&amp;T1</stp>
        <stp>AGAG</stp>
        <stp>42</stp>
        <tr r="G45" s="2"/>
      </tp>
      <tp t="s">
        <v>-</v>
        <stp/>
        <stp>T&amp;T0</stp>
        <stp>AGAG</stp>
        <stp>42</stp>
        <tr r="O45" s="2"/>
      </tp>
      <tp t="s">
        <v>-</v>
        <stp/>
        <stp>T&amp;T1</stp>
        <stp>AGAG</stp>
        <stp>43</stp>
        <tr r="G46" s="2"/>
      </tp>
      <tp t="s">
        <v>-</v>
        <stp/>
        <stp>T&amp;T0</stp>
        <stp>AGAG</stp>
        <stp>49</stp>
        <tr r="O52" s="2"/>
      </tp>
      <tp t="s">
        <v>-</v>
        <stp/>
        <stp>T&amp;T1</stp>
        <stp>AGAG</stp>
        <stp>48</stp>
        <tr r="G51" s="2"/>
      </tp>
      <tp t="s">
        <v>-</v>
        <stp/>
        <stp>T&amp;T0</stp>
        <stp>AGAG</stp>
        <stp>48</stp>
        <tr r="O51" s="2"/>
      </tp>
      <tp t="s">
        <v>-</v>
        <stp/>
        <stp>T&amp;T1</stp>
        <stp>AGAG</stp>
        <stp>49</stp>
        <tr r="G52" s="2"/>
      </tp>
      <tp>
        <v>0</v>
        <stp/>
        <stp>T&amp;T1</stp>
        <stp>PRE</stp>
        <stp>8</stp>
        <tr r="C11" s="2"/>
      </tp>
      <tp>
        <v>0</v>
        <stp/>
        <stp>T&amp;T1</stp>
        <stp>PRE</stp>
        <stp>9</stp>
        <tr r="C12" s="2"/>
      </tp>
      <tp>
        <v>0</v>
        <stp/>
        <stp>T&amp;T1</stp>
        <stp>PRE</stp>
        <stp>2</stp>
        <tr r="C5" s="2"/>
      </tp>
      <tp>
        <v>0</v>
        <stp/>
        <stp>T&amp;T1</stp>
        <stp>PRE</stp>
        <stp>3</stp>
        <tr r="C6" s="2"/>
      </tp>
      <tp>
        <v>0</v>
        <stp/>
        <stp>T&amp;T1</stp>
        <stp>PRE</stp>
        <stp>0</stp>
        <tr r="C3" s="2"/>
      </tp>
      <tp>
        <v>0</v>
        <stp/>
        <stp>T&amp;T1</stp>
        <stp>PRE</stp>
        <stp>1</stp>
        <tr r="C4" s="2"/>
      </tp>
      <tp>
        <v>0</v>
        <stp/>
        <stp>T&amp;T1</stp>
        <stp>PRE</stp>
        <stp>6</stp>
        <tr r="C9" s="2"/>
      </tp>
      <tp>
        <v>0</v>
        <stp/>
        <stp>T&amp;T1</stp>
        <stp>PRE</stp>
        <stp>7</stp>
        <tr r="C10" s="2"/>
      </tp>
      <tp>
        <v>0</v>
        <stp/>
        <stp>T&amp;T1</stp>
        <stp>PRE</stp>
        <stp>4</stp>
        <tr r="C7" s="2"/>
      </tp>
      <tp>
        <v>0</v>
        <stp/>
        <stp>T&amp;T1</stp>
        <stp>PRE</stp>
        <stp>5</stp>
        <tr r="C8" s="2"/>
      </tp>
      <tp t="s">
        <v>-</v>
        <stp/>
        <stp>T&amp;T0</stp>
        <stp>AVD</stp>
        <stp>9</stp>
        <tr r="M12" s="2"/>
      </tp>
      <tp t="s">
        <v>-</v>
        <stp/>
        <stp>T&amp;T0</stp>
        <stp>AVD</stp>
        <stp>8</stp>
        <tr r="M11" s="2"/>
      </tp>
      <tp t="s">
        <v>-</v>
        <stp/>
        <stp>T&amp;T0</stp>
        <stp>AVD</stp>
        <stp>3</stp>
        <tr r="M6" s="2"/>
      </tp>
      <tp t="s">
        <v>-</v>
        <stp/>
        <stp>T&amp;T0</stp>
        <stp>AVD</stp>
        <stp>2</stp>
        <tr r="M5" s="2"/>
      </tp>
      <tp t="s">
        <v>-</v>
        <stp/>
        <stp>T&amp;T0</stp>
        <stp>AVD</stp>
        <stp>1</stp>
        <tr r="M4" s="2"/>
      </tp>
      <tp t="s">
        <v>-</v>
        <stp/>
        <stp>T&amp;T0</stp>
        <stp>AVD</stp>
        <stp>0</stp>
        <tr r="M3" s="2"/>
      </tp>
      <tp t="s">
        <v>-</v>
        <stp/>
        <stp>T&amp;T0</stp>
        <stp>AVD</stp>
        <stp>7</stp>
        <tr r="M10" s="2"/>
      </tp>
      <tp t="s">
        <v>-</v>
        <stp/>
        <stp>T&amp;T0</stp>
        <stp>AVD</stp>
        <stp>6</stp>
        <tr r="M9" s="2"/>
      </tp>
      <tp t="s">
        <v>-</v>
        <stp/>
        <stp>T&amp;T0</stp>
        <stp>AVD</stp>
        <stp>5</stp>
        <tr r="M8" s="2"/>
      </tp>
      <tp t="s">
        <v>-</v>
        <stp/>
        <stp>T&amp;T0</stp>
        <stp>AVD</stp>
        <stp>4</stp>
        <tr r="M7" s="2"/>
      </tp>
      <tp>
        <v>0</v>
        <stp/>
        <stp>T&amp;T0</stp>
        <stp>PRE</stp>
        <stp>8</stp>
        <tr r="K11" s="2"/>
      </tp>
      <tp>
        <v>0</v>
        <stp/>
        <stp>T&amp;T0</stp>
        <stp>PRE</stp>
        <stp>9</stp>
        <tr r="K12" s="2"/>
      </tp>
      <tp>
        <v>0</v>
        <stp/>
        <stp>T&amp;T0</stp>
        <stp>PRE</stp>
        <stp>2</stp>
        <tr r="K5" s="2"/>
      </tp>
      <tp>
        <v>0</v>
        <stp/>
        <stp>T&amp;T0</stp>
        <stp>PRE</stp>
        <stp>3</stp>
        <tr r="K6" s="2"/>
      </tp>
      <tp>
        <v>0</v>
        <stp/>
        <stp>T&amp;T0</stp>
        <stp>PRE</stp>
        <stp>0</stp>
        <tr r="K3" s="2"/>
      </tp>
      <tp>
        <v>0</v>
        <stp/>
        <stp>T&amp;T0</stp>
        <stp>PRE</stp>
        <stp>1</stp>
        <tr r="K4" s="2"/>
      </tp>
      <tp>
        <v>0</v>
        <stp/>
        <stp>T&amp;T0</stp>
        <stp>PRE</stp>
        <stp>6</stp>
        <tr r="K9" s="2"/>
      </tp>
      <tp>
        <v>0</v>
        <stp/>
        <stp>T&amp;T0</stp>
        <stp>PRE</stp>
        <stp>7</stp>
        <tr r="K10" s="2"/>
      </tp>
      <tp>
        <v>0</v>
        <stp/>
        <stp>T&amp;T0</stp>
        <stp>PRE</stp>
        <stp>4</stp>
        <tr r="K7" s="2"/>
      </tp>
      <tp>
        <v>0</v>
        <stp/>
        <stp>T&amp;T0</stp>
        <stp>PRE</stp>
        <stp>5</stp>
        <tr r="K8" s="2"/>
      </tp>
      <tp t="s">
        <v>-</v>
        <stp/>
        <stp>T&amp;T1</stp>
        <stp>AVD</stp>
        <stp>9</stp>
        <tr r="E12" s="2"/>
      </tp>
      <tp t="s">
        <v>-</v>
        <stp/>
        <stp>T&amp;T1</stp>
        <stp>AVD</stp>
        <stp>8</stp>
        <tr r="E11" s="2"/>
      </tp>
      <tp t="s">
        <v>-</v>
        <stp/>
        <stp>T&amp;T1</stp>
        <stp>AVD</stp>
        <stp>3</stp>
        <tr r="E6" s="2"/>
      </tp>
      <tp t="s">
        <v>-</v>
        <stp/>
        <stp>T&amp;T1</stp>
        <stp>AVD</stp>
        <stp>2</stp>
        <tr r="E5" s="2"/>
      </tp>
      <tp t="s">
        <v>-</v>
        <stp/>
        <stp>T&amp;T1</stp>
        <stp>AVD</stp>
        <stp>1</stp>
        <tr r="E4" s="2"/>
      </tp>
      <tp t="s">
        <v>-</v>
        <stp/>
        <stp>T&amp;T1</stp>
        <stp>AVD</stp>
        <stp>0</stp>
        <tr r="E3" s="2"/>
      </tp>
      <tp t="s">
        <v>-</v>
        <stp/>
        <stp>T&amp;T1</stp>
        <stp>AVD</stp>
        <stp>7</stp>
        <tr r="E10" s="2"/>
      </tp>
      <tp t="s">
        <v>-</v>
        <stp/>
        <stp>T&amp;T1</stp>
        <stp>AVD</stp>
        <stp>6</stp>
        <tr r="E9" s="2"/>
      </tp>
      <tp t="s">
        <v>-</v>
        <stp/>
        <stp>T&amp;T1</stp>
        <stp>AVD</stp>
        <stp>5</stp>
        <tr r="E8" s="2"/>
      </tp>
      <tp t="s">
        <v>-</v>
        <stp/>
        <stp>T&amp;T1</stp>
        <stp>AVD</stp>
        <stp>4</stp>
        <tr r="E7" s="2"/>
      </tp>
      <tp>
        <v>0</v>
        <stp/>
        <stp>T&amp;T0</stp>
        <stp>QUL</stp>
        <stp>9</stp>
        <tr r="L12" s="2"/>
      </tp>
      <tp>
        <v>0</v>
        <stp/>
        <stp>T&amp;T0</stp>
        <stp>QUL</stp>
        <stp>8</stp>
        <tr r="L11" s="2"/>
      </tp>
      <tp>
        <v>0</v>
        <stp/>
        <stp>T&amp;T0</stp>
        <stp>QUL</stp>
        <stp>3</stp>
        <tr r="L6" s="2"/>
      </tp>
      <tp>
        <v>0</v>
        <stp/>
        <stp>T&amp;T0</stp>
        <stp>QUL</stp>
        <stp>2</stp>
        <tr r="L5" s="2"/>
      </tp>
      <tp>
        <v>0</v>
        <stp/>
        <stp>T&amp;T0</stp>
        <stp>QUL</stp>
        <stp>1</stp>
        <tr r="L4" s="2"/>
      </tp>
      <tp>
        <v>0</v>
        <stp/>
        <stp>T&amp;T0</stp>
        <stp>QUL</stp>
        <stp>0</stp>
        <tr r="L3" s="2"/>
      </tp>
      <tp>
        <v>0</v>
        <stp/>
        <stp>T&amp;T0</stp>
        <stp>QUL</stp>
        <stp>7</stp>
        <tr r="L10" s="2"/>
      </tp>
      <tp>
        <v>0</v>
        <stp/>
        <stp>T&amp;T0</stp>
        <stp>QUL</stp>
        <stp>6</stp>
        <tr r="L9" s="2"/>
      </tp>
      <tp>
        <v>0</v>
        <stp/>
        <stp>T&amp;T0</stp>
        <stp>QUL</stp>
        <stp>5</stp>
        <tr r="L8" s="2"/>
      </tp>
      <tp>
        <v>0</v>
        <stp/>
        <stp>T&amp;T0</stp>
        <stp>QUL</stp>
        <stp>4</stp>
        <tr r="L7" s="2"/>
      </tp>
      <tp>
        <v>0</v>
        <stp/>
        <stp>T&amp;T1</stp>
        <stp>QUL</stp>
        <stp>9</stp>
        <tr r="D12" s="2"/>
      </tp>
      <tp>
        <v>0</v>
        <stp/>
        <stp>T&amp;T1</stp>
        <stp>QUL</stp>
        <stp>8</stp>
        <tr r="D11" s="2"/>
      </tp>
      <tp>
        <v>0</v>
        <stp/>
        <stp>T&amp;T1</stp>
        <stp>QUL</stp>
        <stp>3</stp>
        <tr r="D6" s="2"/>
      </tp>
      <tp>
        <v>0</v>
        <stp/>
        <stp>T&amp;T1</stp>
        <stp>QUL</stp>
        <stp>2</stp>
        <tr r="D5" s="2"/>
      </tp>
      <tp>
        <v>0</v>
        <stp/>
        <stp>T&amp;T1</stp>
        <stp>QUL</stp>
        <stp>1</stp>
        <tr r="D4" s="2"/>
      </tp>
      <tp>
        <v>0</v>
        <stp/>
        <stp>T&amp;T1</stp>
        <stp>QUL</stp>
        <stp>0</stp>
        <tr r="D3" s="2"/>
      </tp>
      <tp>
        <v>0</v>
        <stp/>
        <stp>T&amp;T1</stp>
        <stp>QUL</stp>
        <stp>7</stp>
        <tr r="D10" s="2"/>
      </tp>
      <tp>
        <v>0</v>
        <stp/>
        <stp>T&amp;T1</stp>
        <stp>QUL</stp>
        <stp>6</stp>
        <tr r="D9" s="2"/>
      </tp>
      <tp>
        <v>0</v>
        <stp/>
        <stp>T&amp;T1</stp>
        <stp>QUL</stp>
        <stp>5</stp>
        <tr r="D8" s="2"/>
      </tp>
      <tp>
        <v>0</v>
        <stp/>
        <stp>T&amp;T1</stp>
        <stp>QUL</stp>
        <stp>4</stp>
        <tr r="D7" s="2"/>
      </tp>
      <tp t="s">
        <v>Negócios</v>
        <stp/>
        <stp>T&amp;T1</stp>
        <stp>INFO</stp>
        <stp>TAB</stp>
        <tr r="B1" s="2"/>
      </tp>
      <tp t="s">
        <v>Negócios</v>
        <stp/>
        <stp>T&amp;T0</stp>
        <stp>INFO</stp>
        <stp>TAB</stp>
        <tr r="J1" s="2"/>
      </tp>
      <tp t="s">
        <v>-</v>
        <stp/>
        <stp>T&amp;T1</stp>
        <stp>AGAG</stp>
        <stp>9</stp>
        <tr r="G12" s="2"/>
      </tp>
      <tp t="s">
        <v>-</v>
        <stp/>
        <stp>T&amp;T0</stp>
        <stp>AGAG</stp>
        <stp>9</stp>
        <tr r="O12" s="2"/>
      </tp>
      <tp t="s">
        <v>-</v>
        <stp/>
        <stp>T&amp;T1</stp>
        <stp>AGAG</stp>
        <stp>8</stp>
        <tr r="G11" s="2"/>
      </tp>
      <tp t="s">
        <v>-</v>
        <stp/>
        <stp>T&amp;T0</stp>
        <stp>AGAG</stp>
        <stp>8</stp>
        <tr r="O11" s="2"/>
      </tp>
      <tp t="s">
        <v>-</v>
        <stp/>
        <stp>T&amp;T1</stp>
        <stp>AGAG</stp>
        <stp>3</stp>
        <tr r="G6" s="2"/>
      </tp>
      <tp t="s">
        <v>-</v>
        <stp/>
        <stp>T&amp;T0</stp>
        <stp>AGAG</stp>
        <stp>3</stp>
        <tr r="O6" s="2"/>
      </tp>
      <tp t="s">
        <v>-</v>
        <stp/>
        <stp>T&amp;T1</stp>
        <stp>AGAG</stp>
        <stp>2</stp>
        <tr r="G5" s="2"/>
      </tp>
      <tp t="s">
        <v>-</v>
        <stp/>
        <stp>T&amp;T0</stp>
        <stp>AGAG</stp>
        <stp>2</stp>
        <tr r="O5" s="2"/>
      </tp>
      <tp t="s">
        <v>-</v>
        <stp/>
        <stp>T&amp;T1</stp>
        <stp>AGAG</stp>
        <stp>1</stp>
        <tr r="G4" s="2"/>
      </tp>
      <tp t="s">
        <v>-</v>
        <stp/>
        <stp>T&amp;T0</stp>
        <stp>AGAG</stp>
        <stp>1</stp>
        <tr r="O4" s="2"/>
      </tp>
      <tp t="s">
        <v>-</v>
        <stp/>
        <stp>T&amp;T1</stp>
        <stp>AGAG</stp>
        <stp>0</stp>
        <tr r="G3" s="2"/>
      </tp>
      <tp t="s">
        <v>-</v>
        <stp/>
        <stp>T&amp;T0</stp>
        <stp>AGAG</stp>
        <stp>0</stp>
        <tr r="O3" s="2"/>
      </tp>
      <tp t="s">
        <v>-</v>
        <stp/>
        <stp>T&amp;T1</stp>
        <stp>AGAG</stp>
        <stp>7</stp>
        <tr r="G10" s="2"/>
      </tp>
      <tp t="s">
        <v>-</v>
        <stp/>
        <stp>T&amp;T0</stp>
        <stp>AGAG</stp>
        <stp>7</stp>
        <tr r="O10" s="2"/>
      </tp>
      <tp t="s">
        <v>-</v>
        <stp/>
        <stp>T&amp;T1</stp>
        <stp>AGAG</stp>
        <stp>6</stp>
        <tr r="G9" s="2"/>
      </tp>
      <tp t="s">
        <v>-</v>
        <stp/>
        <stp>T&amp;T0</stp>
        <stp>AGAG</stp>
        <stp>6</stp>
        <tr r="O9" s="2"/>
      </tp>
      <tp t="s">
        <v>-</v>
        <stp/>
        <stp>T&amp;T1</stp>
        <stp>AGAG</stp>
        <stp>5</stp>
        <tr r="G8" s="2"/>
      </tp>
      <tp t="s">
        <v>-</v>
        <stp/>
        <stp>T&amp;T0</stp>
        <stp>AGAG</stp>
        <stp>5</stp>
        <tr r="O8" s="2"/>
      </tp>
      <tp t="s">
        <v>-</v>
        <stp/>
        <stp>T&amp;T1</stp>
        <stp>AGAG</stp>
        <stp>4</stp>
        <tr r="G7" s="2"/>
      </tp>
      <tp t="s">
        <v>-</v>
        <stp/>
        <stp>T&amp;T0</stp>
        <stp>AGAG</stp>
        <stp>4</stp>
        <tr r="O7" s="2"/>
      </tp>
      <tp t="s">
        <v>WINFUT</v>
        <stp/>
        <stp>T&amp;T0</stp>
        <stp>INFO</stp>
        <stp>ATV</stp>
        <tr r="I1" s="2"/>
      </tp>
      <tp t="s">
        <v>INDFUT</v>
        <stp/>
        <stp>T&amp;T1</stp>
        <stp>INFO</stp>
        <stp>ATV</stp>
        <tr r="A1" s="2"/>
      </tp>
      <tp>
        <v>0</v>
        <stp/>
        <stp>T&amp;T0</stp>
        <stp>QUL</stp>
        <stp>99</stp>
        <tr r="L102" s="2"/>
      </tp>
      <tp>
        <v>0</v>
        <stp/>
        <stp>T&amp;T1</stp>
        <stp>QUL</stp>
        <stp>99</stp>
        <tr r="D102" s="2"/>
      </tp>
      <tp>
        <v>0</v>
        <stp/>
        <stp>T&amp;T0</stp>
        <stp>QUL</stp>
        <stp>98</stp>
        <tr r="L101" s="2"/>
      </tp>
      <tp>
        <v>0</v>
        <stp/>
        <stp>T&amp;T1</stp>
        <stp>QUL</stp>
        <stp>98</stp>
        <tr r="D101" s="2"/>
      </tp>
      <tp>
        <v>0</v>
        <stp/>
        <stp>T&amp;T1</stp>
        <stp>PRE</stp>
        <stp>88</stp>
        <tr r="C91" s="2"/>
      </tp>
      <tp>
        <v>0</v>
        <stp/>
        <stp>T&amp;T0</stp>
        <stp>PRE</stp>
        <stp>88</stp>
        <tr r="K91" s="2"/>
      </tp>
      <tp>
        <v>0</v>
        <stp/>
        <stp>T&amp;T1</stp>
        <stp>PRE</stp>
        <stp>89</stp>
        <tr r="C92" s="2"/>
      </tp>
      <tp>
        <v>0</v>
        <stp/>
        <stp>T&amp;T0</stp>
        <stp>PRE</stp>
        <stp>89</stp>
        <tr r="K92" s="2"/>
      </tp>
      <tp>
        <v>0</v>
        <stp/>
        <stp>T&amp;T1</stp>
        <stp>PRE</stp>
        <stp>86</stp>
        <tr r="C89" s="2"/>
      </tp>
      <tp>
        <v>0</v>
        <stp/>
        <stp>T&amp;T0</stp>
        <stp>PRE</stp>
        <stp>86</stp>
        <tr r="K89" s="2"/>
      </tp>
      <tp>
        <v>0</v>
        <stp/>
        <stp>T&amp;T0</stp>
        <stp>QUL</stp>
        <stp>91</stp>
        <tr r="L94" s="2"/>
      </tp>
      <tp>
        <v>0</v>
        <stp/>
        <stp>T&amp;T1</stp>
        <stp>QUL</stp>
        <stp>91</stp>
        <tr r="D94" s="2"/>
      </tp>
      <tp>
        <v>0</v>
        <stp/>
        <stp>T&amp;T1</stp>
        <stp>PRE</stp>
        <stp>87</stp>
        <tr r="C90" s="2"/>
      </tp>
      <tp>
        <v>0</v>
        <stp/>
        <stp>T&amp;T0</stp>
        <stp>PRE</stp>
        <stp>87</stp>
        <tr r="K90" s="2"/>
      </tp>
      <tp>
        <v>0</v>
        <stp/>
        <stp>T&amp;T0</stp>
        <stp>QUL</stp>
        <stp>90</stp>
        <tr r="L93" s="2"/>
      </tp>
      <tp>
        <v>0</v>
        <stp/>
        <stp>T&amp;T1</stp>
        <stp>QUL</stp>
        <stp>90</stp>
        <tr r="D93" s="2"/>
      </tp>
      <tp>
        <v>0</v>
        <stp/>
        <stp>T&amp;T1</stp>
        <stp>PRE</stp>
        <stp>84</stp>
        <tr r="C87" s="2"/>
      </tp>
      <tp>
        <v>0</v>
        <stp/>
        <stp>T&amp;T0</stp>
        <stp>PRE</stp>
        <stp>84</stp>
        <tr r="K87" s="2"/>
      </tp>
      <tp>
        <v>0</v>
        <stp/>
        <stp>T&amp;T0</stp>
        <stp>QUL</stp>
        <stp>93</stp>
        <tr r="L96" s="2"/>
      </tp>
      <tp>
        <v>0</v>
        <stp/>
        <stp>T&amp;T1</stp>
        <stp>QUL</stp>
        <stp>93</stp>
        <tr r="D96" s="2"/>
      </tp>
      <tp>
        <v>0</v>
        <stp/>
        <stp>T&amp;T1</stp>
        <stp>PRE</stp>
        <stp>85</stp>
        <tr r="C88" s="2"/>
      </tp>
      <tp>
        <v>0</v>
        <stp/>
        <stp>T&amp;T0</stp>
        <stp>PRE</stp>
        <stp>85</stp>
        <tr r="K88" s="2"/>
      </tp>
      <tp>
        <v>0</v>
        <stp/>
        <stp>T&amp;T0</stp>
        <stp>QUL</stp>
        <stp>92</stp>
        <tr r="L95" s="2"/>
      </tp>
      <tp>
        <v>0</v>
        <stp/>
        <stp>T&amp;T1</stp>
        <stp>QUL</stp>
        <stp>92</stp>
        <tr r="D95" s="2"/>
      </tp>
      <tp>
        <v>0</v>
        <stp/>
        <stp>T&amp;T1</stp>
        <stp>PRE</stp>
        <stp>82</stp>
        <tr r="C85" s="2"/>
      </tp>
      <tp>
        <v>0</v>
        <stp/>
        <stp>T&amp;T0</stp>
        <stp>PRE</stp>
        <stp>82</stp>
        <tr r="K85" s="2"/>
      </tp>
      <tp>
        <v>0</v>
        <stp/>
        <stp>T&amp;T0</stp>
        <stp>QUL</stp>
        <stp>95</stp>
        <tr r="L98" s="2"/>
      </tp>
      <tp>
        <v>0</v>
        <stp/>
        <stp>T&amp;T1</stp>
        <stp>QUL</stp>
        <stp>95</stp>
        <tr r="D98" s="2"/>
      </tp>
      <tp>
        <v>0</v>
        <stp/>
        <stp>T&amp;T1</stp>
        <stp>PRE</stp>
        <stp>83</stp>
        <tr r="C86" s="2"/>
      </tp>
      <tp>
        <v>0</v>
        <stp/>
        <stp>T&amp;T0</stp>
        <stp>PRE</stp>
        <stp>83</stp>
        <tr r="K86" s="2"/>
      </tp>
      <tp>
        <v>0</v>
        <stp/>
        <stp>T&amp;T0</stp>
        <stp>QUL</stp>
        <stp>94</stp>
        <tr r="L97" s="2"/>
      </tp>
      <tp>
        <v>0</v>
        <stp/>
        <stp>T&amp;T1</stp>
        <stp>QUL</stp>
        <stp>94</stp>
        <tr r="D97" s="2"/>
      </tp>
      <tp>
        <v>0</v>
        <stp/>
        <stp>T&amp;T1</stp>
        <stp>PRE</stp>
        <stp>80</stp>
        <tr r="C83" s="2"/>
      </tp>
      <tp>
        <v>0</v>
        <stp/>
        <stp>T&amp;T0</stp>
        <stp>PRE</stp>
        <stp>80</stp>
        <tr r="K83" s="2"/>
      </tp>
      <tp>
        <v>0</v>
        <stp/>
        <stp>T&amp;T0</stp>
        <stp>QUL</stp>
        <stp>97</stp>
        <tr r="L100" s="2"/>
      </tp>
      <tp>
        <v>0</v>
        <stp/>
        <stp>T&amp;T1</stp>
        <stp>QUL</stp>
        <stp>97</stp>
        <tr r="D100" s="2"/>
      </tp>
      <tp>
        <v>0</v>
        <stp/>
        <stp>T&amp;T1</stp>
        <stp>PRE</stp>
        <stp>81</stp>
        <tr r="C84" s="2"/>
      </tp>
      <tp>
        <v>0</v>
        <stp/>
        <stp>T&amp;T0</stp>
        <stp>PRE</stp>
        <stp>81</stp>
        <tr r="K84" s="2"/>
      </tp>
      <tp>
        <v>0</v>
        <stp/>
        <stp>T&amp;T0</stp>
        <stp>QUL</stp>
        <stp>96</stp>
        <tr r="L99" s="2"/>
      </tp>
      <tp>
        <v>0</v>
        <stp/>
        <stp>T&amp;T1</stp>
        <stp>QUL</stp>
        <stp>96</stp>
        <tr r="D99" s="2"/>
      </tp>
      <tp>
        <v>0</v>
        <stp/>
        <stp>T&amp;T0</stp>
        <stp>QUL</stp>
        <stp>89</stp>
        <tr r="L92" s="2"/>
      </tp>
      <tp>
        <v>0</v>
        <stp/>
        <stp>T&amp;T1</stp>
        <stp>QUL</stp>
        <stp>89</stp>
        <tr r="D92" s="2"/>
      </tp>
      <tp>
        <v>0</v>
        <stp/>
        <stp>T&amp;T0</stp>
        <stp>QUL</stp>
        <stp>88</stp>
        <tr r="L91" s="2"/>
      </tp>
      <tp>
        <v>0</v>
        <stp/>
        <stp>T&amp;T1</stp>
        <stp>QUL</stp>
        <stp>88</stp>
        <tr r="D91" s="2"/>
      </tp>
      <tp>
        <v>0</v>
        <stp/>
        <stp>T&amp;T1</stp>
        <stp>PRE</stp>
        <stp>98</stp>
        <tr r="C101" s="2"/>
      </tp>
      <tp>
        <v>0</v>
        <stp/>
        <stp>T&amp;T0</stp>
        <stp>PRE</stp>
        <stp>98</stp>
        <tr r="K101" s="2"/>
      </tp>
      <tp>
        <v>0</v>
        <stp/>
        <stp>T&amp;T1</stp>
        <stp>PRE</stp>
        <stp>99</stp>
        <tr r="C102" s="2"/>
      </tp>
      <tp>
        <v>0</v>
        <stp/>
        <stp>T&amp;T0</stp>
        <stp>PRE</stp>
        <stp>99</stp>
        <tr r="K102" s="2"/>
      </tp>
      <tp>
        <v>0</v>
        <stp/>
        <stp>T&amp;T1</stp>
        <stp>PRE</stp>
        <stp>96</stp>
        <tr r="C99" s="2"/>
      </tp>
      <tp>
        <v>0</v>
        <stp/>
        <stp>T&amp;T0</stp>
        <stp>PRE</stp>
        <stp>96</stp>
        <tr r="K99" s="2"/>
      </tp>
      <tp>
        <v>0</v>
        <stp/>
        <stp>T&amp;T0</stp>
        <stp>QUL</stp>
        <stp>81</stp>
        <tr r="L84" s="2"/>
      </tp>
      <tp>
        <v>0</v>
        <stp/>
        <stp>T&amp;T1</stp>
        <stp>QUL</stp>
        <stp>81</stp>
        <tr r="D84" s="2"/>
      </tp>
      <tp>
        <v>0</v>
        <stp/>
        <stp>T&amp;T1</stp>
        <stp>PRE</stp>
        <stp>97</stp>
        <tr r="C100" s="2"/>
      </tp>
      <tp>
        <v>0</v>
        <stp/>
        <stp>T&amp;T0</stp>
        <stp>PRE</stp>
        <stp>97</stp>
        <tr r="K100" s="2"/>
      </tp>
      <tp>
        <v>0</v>
        <stp/>
        <stp>T&amp;T0</stp>
        <stp>QUL</stp>
        <stp>80</stp>
        <tr r="L83" s="2"/>
      </tp>
      <tp>
        <v>0</v>
        <stp/>
        <stp>T&amp;T1</stp>
        <stp>QUL</stp>
        <stp>80</stp>
        <tr r="D83" s="2"/>
      </tp>
      <tp>
        <v>0</v>
        <stp/>
        <stp>T&amp;T1</stp>
        <stp>PRE</stp>
        <stp>94</stp>
        <tr r="C97" s="2"/>
      </tp>
      <tp>
        <v>0</v>
        <stp/>
        <stp>T&amp;T0</stp>
        <stp>PRE</stp>
        <stp>94</stp>
        <tr r="K97" s="2"/>
      </tp>
      <tp>
        <v>0</v>
        <stp/>
        <stp>T&amp;T0</stp>
        <stp>QUL</stp>
        <stp>83</stp>
        <tr r="L86" s="2"/>
      </tp>
      <tp>
        <v>0</v>
        <stp/>
        <stp>T&amp;T1</stp>
        <stp>QUL</stp>
        <stp>83</stp>
        <tr r="D86" s="2"/>
      </tp>
      <tp>
        <v>0</v>
        <stp/>
        <stp>T&amp;T1</stp>
        <stp>PRE</stp>
        <stp>95</stp>
        <tr r="C98" s="2"/>
      </tp>
      <tp>
        <v>0</v>
        <stp/>
        <stp>T&amp;T0</stp>
        <stp>PRE</stp>
        <stp>95</stp>
        <tr r="K98" s="2"/>
      </tp>
      <tp>
        <v>0</v>
        <stp/>
        <stp>T&amp;T0</stp>
        <stp>QUL</stp>
        <stp>82</stp>
        <tr r="L85" s="2"/>
      </tp>
      <tp>
        <v>0</v>
        <stp/>
        <stp>T&amp;T1</stp>
        <stp>QUL</stp>
        <stp>82</stp>
        <tr r="D85" s="2"/>
      </tp>
      <tp>
        <v>0</v>
        <stp/>
        <stp>T&amp;T1</stp>
        <stp>PRE</stp>
        <stp>92</stp>
        <tr r="C95" s="2"/>
      </tp>
      <tp>
        <v>0</v>
        <stp/>
        <stp>T&amp;T0</stp>
        <stp>PRE</stp>
        <stp>92</stp>
        <tr r="K95" s="2"/>
      </tp>
      <tp>
        <v>0</v>
        <stp/>
        <stp>T&amp;T0</stp>
        <stp>QUL</stp>
        <stp>85</stp>
        <tr r="L88" s="2"/>
      </tp>
      <tp>
        <v>0</v>
        <stp/>
        <stp>T&amp;T1</stp>
        <stp>QUL</stp>
        <stp>85</stp>
        <tr r="D88" s="2"/>
      </tp>
      <tp>
        <v>0</v>
        <stp/>
        <stp>T&amp;T1</stp>
        <stp>PRE</stp>
        <stp>93</stp>
        <tr r="C96" s="2"/>
      </tp>
      <tp>
        <v>0</v>
        <stp/>
        <stp>T&amp;T0</stp>
        <stp>PRE</stp>
        <stp>93</stp>
        <tr r="K96" s="2"/>
      </tp>
      <tp>
        <v>0</v>
        <stp/>
        <stp>T&amp;T0</stp>
        <stp>QUL</stp>
        <stp>84</stp>
        <tr r="L87" s="2"/>
      </tp>
      <tp>
        <v>0</v>
        <stp/>
        <stp>T&amp;T1</stp>
        <stp>QUL</stp>
        <stp>84</stp>
        <tr r="D87" s="2"/>
      </tp>
      <tp>
        <v>0</v>
        <stp/>
        <stp>T&amp;T1</stp>
        <stp>PRE</stp>
        <stp>90</stp>
        <tr r="C93" s="2"/>
      </tp>
      <tp>
        <v>0</v>
        <stp/>
        <stp>T&amp;T0</stp>
        <stp>PRE</stp>
        <stp>90</stp>
        <tr r="K93" s="2"/>
      </tp>
      <tp>
        <v>0</v>
        <stp/>
        <stp>T&amp;T0</stp>
        <stp>QUL</stp>
        <stp>87</stp>
        <tr r="L90" s="2"/>
      </tp>
      <tp>
        <v>0</v>
        <stp/>
        <stp>T&amp;T1</stp>
        <stp>QUL</stp>
        <stp>87</stp>
        <tr r="D90" s="2"/>
      </tp>
      <tp>
        <v>0</v>
        <stp/>
        <stp>T&amp;T1</stp>
        <stp>PRE</stp>
        <stp>91</stp>
        <tr r="C94" s="2"/>
      </tp>
      <tp>
        <v>0</v>
        <stp/>
        <stp>T&amp;T0</stp>
        <stp>PRE</stp>
        <stp>91</stp>
        <tr r="K94" s="2"/>
      </tp>
      <tp>
        <v>0</v>
        <stp/>
        <stp>T&amp;T0</stp>
        <stp>QUL</stp>
        <stp>86</stp>
        <tr r="L89" s="2"/>
      </tp>
      <tp>
        <v>0</v>
        <stp/>
        <stp>T&amp;T1</stp>
        <stp>QUL</stp>
        <stp>86</stp>
        <tr r="D89" s="2"/>
      </tp>
      <tp>
        <v>0</v>
        <stp/>
        <stp>T&amp;T0</stp>
        <stp>QUL</stp>
        <stp>39</stp>
        <tr r="L42" s="2"/>
      </tp>
      <tp>
        <v>0</v>
        <stp/>
        <stp>T&amp;T1</stp>
        <stp>QUL</stp>
        <stp>39</stp>
        <tr r="D42" s="2"/>
      </tp>
      <tp>
        <v>0</v>
        <stp/>
        <stp>T&amp;T0</stp>
        <stp>QUL</stp>
        <stp>38</stp>
        <tr r="L41" s="2"/>
      </tp>
      <tp>
        <v>0</v>
        <stp/>
        <stp>T&amp;T1</stp>
        <stp>QUL</stp>
        <stp>38</stp>
        <tr r="D41" s="2"/>
      </tp>
      <tp>
        <v>0</v>
        <stp/>
        <stp>T&amp;T1</stp>
        <stp>PRE</stp>
        <stp>28</stp>
        <tr r="C31" s="2"/>
      </tp>
      <tp>
        <v>0</v>
        <stp/>
        <stp>T&amp;T0</stp>
        <stp>PRE</stp>
        <stp>28</stp>
        <tr r="K31" s="2"/>
      </tp>
      <tp>
        <v>0</v>
        <stp/>
        <stp>T&amp;T1</stp>
        <stp>PRE</stp>
        <stp>29</stp>
        <tr r="C32" s="2"/>
      </tp>
      <tp>
        <v>0</v>
        <stp/>
        <stp>T&amp;T0</stp>
        <stp>PRE</stp>
        <stp>29</stp>
        <tr r="K32" s="2"/>
      </tp>
      <tp>
        <v>0</v>
        <stp/>
        <stp>T&amp;T1</stp>
        <stp>PRE</stp>
        <stp>26</stp>
        <tr r="C29" s="2"/>
      </tp>
      <tp>
        <v>0</v>
        <stp/>
        <stp>T&amp;T0</stp>
        <stp>PRE</stp>
        <stp>26</stp>
        <tr r="K29" s="2"/>
      </tp>
      <tp>
        <v>0</v>
        <stp/>
        <stp>T&amp;T0</stp>
        <stp>QUL</stp>
        <stp>31</stp>
        <tr r="L34" s="2"/>
      </tp>
      <tp>
        <v>0</v>
        <stp/>
        <stp>T&amp;T1</stp>
        <stp>QUL</stp>
        <stp>31</stp>
        <tr r="D34" s="2"/>
      </tp>
      <tp>
        <v>0</v>
        <stp/>
        <stp>T&amp;T1</stp>
        <stp>PRE</stp>
        <stp>27</stp>
        <tr r="C30" s="2"/>
      </tp>
      <tp>
        <v>0</v>
        <stp/>
        <stp>T&amp;T0</stp>
        <stp>PRE</stp>
        <stp>27</stp>
        <tr r="K30" s="2"/>
      </tp>
      <tp>
        <v>0</v>
        <stp/>
        <stp>T&amp;T0</stp>
        <stp>QUL</stp>
        <stp>30</stp>
        <tr r="L33" s="2"/>
      </tp>
      <tp>
        <v>0</v>
        <stp/>
        <stp>T&amp;T1</stp>
        <stp>QUL</stp>
        <stp>30</stp>
        <tr r="D33" s="2"/>
      </tp>
      <tp>
        <v>0</v>
        <stp/>
        <stp>T&amp;T1</stp>
        <stp>PRE</stp>
        <stp>24</stp>
        <tr r="C27" s="2"/>
      </tp>
      <tp>
        <v>0</v>
        <stp/>
        <stp>T&amp;T0</stp>
        <stp>PRE</stp>
        <stp>24</stp>
        <tr r="K27" s="2"/>
      </tp>
      <tp>
        <v>0</v>
        <stp/>
        <stp>T&amp;T0</stp>
        <stp>QUL</stp>
        <stp>33</stp>
        <tr r="L36" s="2"/>
      </tp>
      <tp>
        <v>0</v>
        <stp/>
        <stp>T&amp;T1</stp>
        <stp>QUL</stp>
        <stp>33</stp>
        <tr r="D36" s="2"/>
      </tp>
      <tp>
        <v>0</v>
        <stp/>
        <stp>T&amp;T1</stp>
        <stp>PRE</stp>
        <stp>25</stp>
        <tr r="C28" s="2"/>
      </tp>
      <tp>
        <v>0</v>
        <stp/>
        <stp>T&amp;T0</stp>
        <stp>PRE</stp>
        <stp>25</stp>
        <tr r="K28" s="2"/>
      </tp>
      <tp>
        <v>0</v>
        <stp/>
        <stp>T&amp;T0</stp>
        <stp>QUL</stp>
        <stp>32</stp>
        <tr r="L35" s="2"/>
      </tp>
      <tp>
        <v>0</v>
        <stp/>
        <stp>T&amp;T1</stp>
        <stp>QUL</stp>
        <stp>32</stp>
        <tr r="D35" s="2"/>
      </tp>
      <tp>
        <v>0</v>
        <stp/>
        <stp>T&amp;T1</stp>
        <stp>PRE</stp>
        <stp>22</stp>
        <tr r="C25" s="2"/>
      </tp>
      <tp>
        <v>0</v>
        <stp/>
        <stp>T&amp;T0</stp>
        <stp>PRE</stp>
        <stp>22</stp>
        <tr r="K25" s="2"/>
      </tp>
      <tp>
        <v>0</v>
        <stp/>
        <stp>T&amp;T0</stp>
        <stp>QUL</stp>
        <stp>35</stp>
        <tr r="L38" s="2"/>
      </tp>
      <tp>
        <v>0</v>
        <stp/>
        <stp>T&amp;T1</stp>
        <stp>QUL</stp>
        <stp>35</stp>
        <tr r="D38" s="2"/>
      </tp>
      <tp>
        <v>0</v>
        <stp/>
        <stp>T&amp;T1</stp>
        <stp>PRE</stp>
        <stp>23</stp>
        <tr r="C26" s="2"/>
      </tp>
      <tp>
        <v>0</v>
        <stp/>
        <stp>T&amp;T0</stp>
        <stp>PRE</stp>
        <stp>23</stp>
        <tr r="K26" s="2"/>
      </tp>
      <tp>
        <v>0</v>
        <stp/>
        <stp>T&amp;T0</stp>
        <stp>QUL</stp>
        <stp>34</stp>
        <tr r="L37" s="2"/>
      </tp>
      <tp>
        <v>0</v>
        <stp/>
        <stp>T&amp;T1</stp>
        <stp>QUL</stp>
        <stp>34</stp>
        <tr r="D37" s="2"/>
      </tp>
      <tp>
        <v>0</v>
        <stp/>
        <stp>T&amp;T1</stp>
        <stp>PRE</stp>
        <stp>20</stp>
        <tr r="C23" s="2"/>
      </tp>
      <tp>
        <v>0</v>
        <stp/>
        <stp>T&amp;T0</stp>
        <stp>PRE</stp>
        <stp>20</stp>
        <tr r="K23" s="2"/>
      </tp>
      <tp>
        <v>0</v>
        <stp/>
        <stp>T&amp;T0</stp>
        <stp>QUL</stp>
        <stp>37</stp>
        <tr r="L40" s="2"/>
      </tp>
      <tp>
        <v>0</v>
        <stp/>
        <stp>T&amp;T1</stp>
        <stp>QUL</stp>
        <stp>37</stp>
        <tr r="D40" s="2"/>
      </tp>
      <tp>
        <v>0</v>
        <stp/>
        <stp>T&amp;T1</stp>
        <stp>PRE</stp>
        <stp>21</stp>
        <tr r="C24" s="2"/>
      </tp>
      <tp>
        <v>0</v>
        <stp/>
        <stp>T&amp;T0</stp>
        <stp>PRE</stp>
        <stp>21</stp>
        <tr r="K24" s="2"/>
      </tp>
      <tp>
        <v>0</v>
        <stp/>
        <stp>T&amp;T0</stp>
        <stp>QUL</stp>
        <stp>36</stp>
        <tr r="L39" s="2"/>
      </tp>
      <tp>
        <v>0</v>
        <stp/>
        <stp>T&amp;T1</stp>
        <stp>QUL</stp>
        <stp>36</stp>
        <tr r="D39" s="2"/>
      </tp>
      <tp>
        <v>0</v>
        <stp/>
        <stp>T&amp;T0</stp>
        <stp>QUL</stp>
        <stp>29</stp>
        <tr r="L32" s="2"/>
      </tp>
      <tp>
        <v>0</v>
        <stp/>
        <stp>T&amp;T1</stp>
        <stp>QUL</stp>
        <stp>29</stp>
        <tr r="D32" s="2"/>
      </tp>
      <tp>
        <v>0</v>
        <stp/>
        <stp>T&amp;T0</stp>
        <stp>QUL</stp>
        <stp>28</stp>
        <tr r="L31" s="2"/>
      </tp>
      <tp>
        <v>0</v>
        <stp/>
        <stp>T&amp;T1</stp>
        <stp>QUL</stp>
        <stp>28</stp>
        <tr r="D31" s="2"/>
      </tp>
      <tp>
        <v>0</v>
        <stp/>
        <stp>T&amp;T1</stp>
        <stp>PRE</stp>
        <stp>38</stp>
        <tr r="C41" s="2"/>
      </tp>
      <tp>
        <v>0</v>
        <stp/>
        <stp>T&amp;T0</stp>
        <stp>PRE</stp>
        <stp>38</stp>
        <tr r="K41" s="2"/>
      </tp>
      <tp>
        <v>0</v>
        <stp/>
        <stp>T&amp;T1</stp>
        <stp>PRE</stp>
        <stp>39</stp>
        <tr r="C42" s="2"/>
      </tp>
      <tp>
        <v>0</v>
        <stp/>
        <stp>T&amp;T0</stp>
        <stp>PRE</stp>
        <stp>39</stp>
        <tr r="K42" s="2"/>
      </tp>
      <tp>
        <v>0</v>
        <stp/>
        <stp>T&amp;T1</stp>
        <stp>PRE</stp>
        <stp>36</stp>
        <tr r="C39" s="2"/>
      </tp>
      <tp>
        <v>0</v>
        <stp/>
        <stp>T&amp;T0</stp>
        <stp>PRE</stp>
        <stp>36</stp>
        <tr r="K39" s="2"/>
      </tp>
      <tp>
        <v>0</v>
        <stp/>
        <stp>T&amp;T0</stp>
        <stp>QUL</stp>
        <stp>21</stp>
        <tr r="L24" s="2"/>
      </tp>
      <tp>
        <v>0</v>
        <stp/>
        <stp>T&amp;T1</stp>
        <stp>QUL</stp>
        <stp>21</stp>
        <tr r="D24" s="2"/>
      </tp>
      <tp>
        <v>0</v>
        <stp/>
        <stp>T&amp;T1</stp>
        <stp>PRE</stp>
        <stp>37</stp>
        <tr r="C40" s="2"/>
      </tp>
      <tp>
        <v>0</v>
        <stp/>
        <stp>T&amp;T0</stp>
        <stp>PRE</stp>
        <stp>37</stp>
        <tr r="K40" s="2"/>
      </tp>
      <tp>
        <v>0</v>
        <stp/>
        <stp>T&amp;T0</stp>
        <stp>QUL</stp>
        <stp>20</stp>
        <tr r="L23" s="2"/>
      </tp>
      <tp>
        <v>0</v>
        <stp/>
        <stp>T&amp;T1</stp>
        <stp>QUL</stp>
        <stp>20</stp>
        <tr r="D23" s="2"/>
      </tp>
      <tp>
        <v>0</v>
        <stp/>
        <stp>T&amp;T1</stp>
        <stp>PRE</stp>
        <stp>34</stp>
        <tr r="C37" s="2"/>
      </tp>
      <tp>
        <v>0</v>
        <stp/>
        <stp>T&amp;T0</stp>
        <stp>PRE</stp>
        <stp>34</stp>
        <tr r="K37" s="2"/>
      </tp>
      <tp>
        <v>0</v>
        <stp/>
        <stp>T&amp;T0</stp>
        <stp>QUL</stp>
        <stp>23</stp>
        <tr r="L26" s="2"/>
      </tp>
      <tp>
        <v>0</v>
        <stp/>
        <stp>T&amp;T1</stp>
        <stp>QUL</stp>
        <stp>23</stp>
        <tr r="D26" s="2"/>
      </tp>
      <tp>
        <v>0</v>
        <stp/>
        <stp>T&amp;T1</stp>
        <stp>PRE</stp>
        <stp>35</stp>
        <tr r="C38" s="2"/>
      </tp>
      <tp>
        <v>0</v>
        <stp/>
        <stp>T&amp;T0</stp>
        <stp>PRE</stp>
        <stp>35</stp>
        <tr r="K38" s="2"/>
      </tp>
      <tp>
        <v>0</v>
        <stp/>
        <stp>T&amp;T0</stp>
        <stp>QUL</stp>
        <stp>22</stp>
        <tr r="L25" s="2"/>
      </tp>
      <tp>
        <v>0</v>
        <stp/>
        <stp>T&amp;T1</stp>
        <stp>QUL</stp>
        <stp>22</stp>
        <tr r="D25" s="2"/>
      </tp>
      <tp>
        <v>0</v>
        <stp/>
        <stp>T&amp;T1</stp>
        <stp>PRE</stp>
        <stp>32</stp>
        <tr r="C35" s="2"/>
      </tp>
      <tp>
        <v>0</v>
        <stp/>
        <stp>T&amp;T0</stp>
        <stp>PRE</stp>
        <stp>32</stp>
        <tr r="K35" s="2"/>
      </tp>
      <tp>
        <v>0</v>
        <stp/>
        <stp>T&amp;T0</stp>
        <stp>QUL</stp>
        <stp>25</stp>
        <tr r="L28" s="2"/>
      </tp>
      <tp>
        <v>0</v>
        <stp/>
        <stp>T&amp;T1</stp>
        <stp>QUL</stp>
        <stp>25</stp>
        <tr r="D28" s="2"/>
      </tp>
      <tp>
        <v>0</v>
        <stp/>
        <stp>T&amp;T1</stp>
        <stp>PRE</stp>
        <stp>33</stp>
        <tr r="C36" s="2"/>
      </tp>
      <tp>
        <v>0</v>
        <stp/>
        <stp>T&amp;T0</stp>
        <stp>PRE</stp>
        <stp>33</stp>
        <tr r="K36" s="2"/>
      </tp>
      <tp>
        <v>0</v>
        <stp/>
        <stp>T&amp;T0</stp>
        <stp>QUL</stp>
        <stp>24</stp>
        <tr r="L27" s="2"/>
      </tp>
      <tp>
        <v>0</v>
        <stp/>
        <stp>T&amp;T1</stp>
        <stp>QUL</stp>
        <stp>24</stp>
        <tr r="D27" s="2"/>
      </tp>
      <tp>
        <v>0</v>
        <stp/>
        <stp>T&amp;T1</stp>
        <stp>PRE</stp>
        <stp>30</stp>
        <tr r="C33" s="2"/>
      </tp>
      <tp>
        <v>0</v>
        <stp/>
        <stp>T&amp;T0</stp>
        <stp>PRE</stp>
        <stp>30</stp>
        <tr r="K33" s="2"/>
      </tp>
      <tp>
        <v>0</v>
        <stp/>
        <stp>T&amp;T0</stp>
        <stp>QUL</stp>
        <stp>27</stp>
        <tr r="L30" s="2"/>
      </tp>
      <tp>
        <v>0</v>
        <stp/>
        <stp>T&amp;T1</stp>
        <stp>QUL</stp>
        <stp>27</stp>
        <tr r="D30" s="2"/>
      </tp>
      <tp>
        <v>0</v>
        <stp/>
        <stp>T&amp;T1</stp>
        <stp>PRE</stp>
        <stp>31</stp>
        <tr r="C34" s="2"/>
      </tp>
      <tp>
        <v>0</v>
        <stp/>
        <stp>T&amp;T0</stp>
        <stp>PRE</stp>
        <stp>31</stp>
        <tr r="K34" s="2"/>
      </tp>
      <tp>
        <v>0</v>
        <stp/>
        <stp>T&amp;T0</stp>
        <stp>QUL</stp>
        <stp>26</stp>
        <tr r="L29" s="2"/>
      </tp>
      <tp>
        <v>0</v>
        <stp/>
        <stp>T&amp;T1</stp>
        <stp>QUL</stp>
        <stp>26</stp>
        <tr r="D29" s="2"/>
      </tp>
      <tp>
        <v>0</v>
        <stp/>
        <stp>T&amp;T0</stp>
        <stp>QUL</stp>
        <stp>19</stp>
        <tr r="L22" s="2"/>
      </tp>
      <tp>
        <v>0</v>
        <stp/>
        <stp>T&amp;T1</stp>
        <stp>QUL</stp>
        <stp>19</stp>
        <tr r="D22" s="2"/>
      </tp>
      <tp>
        <v>0</v>
        <stp/>
        <stp>T&amp;T0</stp>
        <stp>QUL</stp>
        <stp>18</stp>
        <tr r="L21" s="2"/>
      </tp>
      <tp>
        <v>0</v>
        <stp/>
        <stp>T&amp;T1</stp>
        <stp>QUL</stp>
        <stp>18</stp>
        <tr r="D21" s="2"/>
      </tp>
      <tp>
        <v>0</v>
        <stp/>
        <stp>T&amp;T0</stp>
        <stp>QUL</stp>
        <stp>11</stp>
        <tr r="L14" s="2"/>
      </tp>
      <tp>
        <v>0</v>
        <stp/>
        <stp>T&amp;T1</stp>
        <stp>QUL</stp>
        <stp>11</stp>
        <tr r="D14" s="2"/>
      </tp>
      <tp>
        <v>0</v>
        <stp/>
        <stp>T&amp;T0</stp>
        <stp>QUL</stp>
        <stp>10</stp>
        <tr r="L13" s="2"/>
      </tp>
      <tp>
        <v>0</v>
        <stp/>
        <stp>T&amp;T1</stp>
        <stp>QUL</stp>
        <stp>10</stp>
        <tr r="D13" s="2"/>
      </tp>
      <tp>
        <v>0</v>
        <stp/>
        <stp>T&amp;T0</stp>
        <stp>QUL</stp>
        <stp>13</stp>
        <tr r="L16" s="2"/>
      </tp>
      <tp>
        <v>0</v>
        <stp/>
        <stp>T&amp;T1</stp>
        <stp>QUL</stp>
        <stp>13</stp>
        <tr r="D16" s="2"/>
      </tp>
      <tp>
        <v>0</v>
        <stp/>
        <stp>T&amp;T0</stp>
        <stp>QUL</stp>
        <stp>12</stp>
        <tr r="L15" s="2"/>
      </tp>
      <tp>
        <v>0</v>
        <stp/>
        <stp>T&amp;T1</stp>
        <stp>QUL</stp>
        <stp>12</stp>
        <tr r="D15" s="2"/>
      </tp>
      <tp>
        <v>0</v>
        <stp/>
        <stp>T&amp;T0</stp>
        <stp>QUL</stp>
        <stp>15</stp>
        <tr r="L18" s="2"/>
      </tp>
      <tp>
        <v>0</v>
        <stp/>
        <stp>T&amp;T1</stp>
        <stp>QUL</stp>
        <stp>15</stp>
        <tr r="D18" s="2"/>
      </tp>
      <tp>
        <v>0</v>
        <stp/>
        <stp>T&amp;T0</stp>
        <stp>QUL</stp>
        <stp>14</stp>
        <tr r="L17" s="2"/>
      </tp>
      <tp>
        <v>0</v>
        <stp/>
        <stp>T&amp;T1</stp>
        <stp>QUL</stp>
        <stp>14</stp>
        <tr r="D17" s="2"/>
      </tp>
      <tp>
        <v>0</v>
        <stp/>
        <stp>T&amp;T0</stp>
        <stp>QUL</stp>
        <stp>17</stp>
        <tr r="L20" s="2"/>
      </tp>
      <tp>
        <v>0</v>
        <stp/>
        <stp>T&amp;T1</stp>
        <stp>QUL</stp>
        <stp>17</stp>
        <tr r="D20" s="2"/>
      </tp>
      <tp>
        <v>0</v>
        <stp/>
        <stp>T&amp;T0</stp>
        <stp>QUL</stp>
        <stp>16</stp>
        <tr r="L19" s="2"/>
      </tp>
      <tp>
        <v>0</v>
        <stp/>
        <stp>T&amp;T1</stp>
        <stp>QUL</stp>
        <stp>16</stp>
        <tr r="D19" s="2"/>
      </tp>
      <tp>
        <v>0</v>
        <stp/>
        <stp>T&amp;T1</stp>
        <stp>PRE</stp>
        <stp>18</stp>
        <tr r="C21" s="2"/>
      </tp>
      <tp>
        <v>0</v>
        <stp/>
        <stp>T&amp;T0</stp>
        <stp>PRE</stp>
        <stp>18</stp>
        <tr r="K21" s="2"/>
      </tp>
      <tp>
        <v>0</v>
        <stp/>
        <stp>T&amp;T1</stp>
        <stp>PRE</stp>
        <stp>19</stp>
        <tr r="C22" s="2"/>
      </tp>
      <tp>
        <v>0</v>
        <stp/>
        <stp>T&amp;T0</stp>
        <stp>PRE</stp>
        <stp>19</stp>
        <tr r="K22" s="2"/>
      </tp>
      <tp>
        <v>0</v>
        <stp/>
        <stp>T&amp;T1</stp>
        <stp>PRE</stp>
        <stp>16</stp>
        <tr r="C19" s="2"/>
      </tp>
      <tp>
        <v>0</v>
        <stp/>
        <stp>T&amp;T0</stp>
        <stp>PRE</stp>
        <stp>16</stp>
        <tr r="K19" s="2"/>
      </tp>
      <tp>
        <v>0</v>
        <stp/>
        <stp>T&amp;T1</stp>
        <stp>PRE</stp>
        <stp>17</stp>
        <tr r="C20" s="2"/>
      </tp>
      <tp>
        <v>0</v>
        <stp/>
        <stp>T&amp;T0</stp>
        <stp>PRE</stp>
        <stp>17</stp>
        <tr r="K20" s="2"/>
      </tp>
      <tp>
        <v>0</v>
        <stp/>
        <stp>T&amp;T1</stp>
        <stp>PRE</stp>
        <stp>14</stp>
        <tr r="C17" s="2"/>
      </tp>
      <tp>
        <v>0</v>
        <stp/>
        <stp>T&amp;T0</stp>
        <stp>PRE</stp>
        <stp>14</stp>
        <tr r="K17" s="2"/>
      </tp>
      <tp>
        <v>0</v>
        <stp/>
        <stp>T&amp;T1</stp>
        <stp>PRE</stp>
        <stp>15</stp>
        <tr r="C18" s="2"/>
      </tp>
      <tp>
        <v>0</v>
        <stp/>
        <stp>T&amp;T0</stp>
        <stp>PRE</stp>
        <stp>15</stp>
        <tr r="K18" s="2"/>
      </tp>
      <tp>
        <v>0</v>
        <stp/>
        <stp>T&amp;T1</stp>
        <stp>PRE</stp>
        <stp>12</stp>
        <tr r="C15" s="2"/>
      </tp>
      <tp>
        <v>0</v>
        <stp/>
        <stp>T&amp;T0</stp>
        <stp>PRE</stp>
        <stp>12</stp>
        <tr r="K15" s="2"/>
      </tp>
      <tp>
        <v>0</v>
        <stp/>
        <stp>T&amp;T1</stp>
        <stp>PRE</stp>
        <stp>13</stp>
        <tr r="C16" s="2"/>
      </tp>
      <tp>
        <v>0</v>
        <stp/>
        <stp>T&amp;T0</stp>
        <stp>PRE</stp>
        <stp>13</stp>
        <tr r="K16" s="2"/>
      </tp>
      <tp>
        <v>0</v>
        <stp/>
        <stp>T&amp;T1</stp>
        <stp>PRE</stp>
        <stp>10</stp>
        <tr r="C13" s="2"/>
      </tp>
      <tp>
        <v>0</v>
        <stp/>
        <stp>T&amp;T0</stp>
        <stp>PRE</stp>
        <stp>10</stp>
        <tr r="K13" s="2"/>
      </tp>
      <tp>
        <v>0</v>
        <stp/>
        <stp>T&amp;T1</stp>
        <stp>PRE</stp>
        <stp>11</stp>
        <tr r="C14" s="2"/>
      </tp>
      <tp>
        <v>0</v>
        <stp/>
        <stp>T&amp;T0</stp>
        <stp>PRE</stp>
        <stp>11</stp>
        <tr r="K14" s="2"/>
      </tp>
      <tp>
        <v>0</v>
        <stp/>
        <stp>T&amp;T0</stp>
        <stp>QUL</stp>
        <stp>79</stp>
        <tr r="L82" s="2"/>
      </tp>
      <tp>
        <v>0</v>
        <stp/>
        <stp>T&amp;T1</stp>
        <stp>QUL</stp>
        <stp>79</stp>
        <tr r="D82" s="2"/>
      </tp>
      <tp>
        <v>0</v>
        <stp/>
        <stp>T&amp;T0</stp>
        <stp>QUL</stp>
        <stp>78</stp>
        <tr r="L81" s="2"/>
      </tp>
      <tp>
        <v>0</v>
        <stp/>
        <stp>T&amp;T1</stp>
        <stp>QUL</stp>
        <stp>78</stp>
        <tr r="D81" s="2"/>
      </tp>
      <tp>
        <v>0</v>
        <stp/>
        <stp>T&amp;T1</stp>
        <stp>PRE</stp>
        <stp>68</stp>
        <tr r="C71" s="2"/>
      </tp>
      <tp>
        <v>0</v>
        <stp/>
        <stp>T&amp;T0</stp>
        <stp>PRE</stp>
        <stp>68</stp>
        <tr r="K71" s="2"/>
      </tp>
      <tp>
        <v>0</v>
        <stp/>
        <stp>T&amp;T1</stp>
        <stp>PRE</stp>
        <stp>69</stp>
        <tr r="C72" s="2"/>
      </tp>
      <tp>
        <v>0</v>
        <stp/>
        <stp>T&amp;T0</stp>
        <stp>PRE</stp>
        <stp>69</stp>
        <tr r="K72" s="2"/>
      </tp>
      <tp>
        <v>0</v>
        <stp/>
        <stp>T&amp;T1</stp>
        <stp>PRE</stp>
        <stp>66</stp>
        <tr r="C69" s="2"/>
      </tp>
      <tp>
        <v>0</v>
        <stp/>
        <stp>T&amp;T0</stp>
        <stp>PRE</stp>
        <stp>66</stp>
        <tr r="K69" s="2"/>
      </tp>
      <tp>
        <v>0</v>
        <stp/>
        <stp>T&amp;T0</stp>
        <stp>QUL</stp>
        <stp>71</stp>
        <tr r="L74" s="2"/>
      </tp>
      <tp>
        <v>0</v>
        <stp/>
        <stp>T&amp;T1</stp>
        <stp>QUL</stp>
        <stp>71</stp>
        <tr r="D74" s="2"/>
      </tp>
      <tp>
        <v>0</v>
        <stp/>
        <stp>T&amp;T1</stp>
        <stp>PRE</stp>
        <stp>67</stp>
        <tr r="C70" s="2"/>
      </tp>
      <tp>
        <v>0</v>
        <stp/>
        <stp>T&amp;T0</stp>
        <stp>PRE</stp>
        <stp>67</stp>
        <tr r="K70" s="2"/>
      </tp>
      <tp>
        <v>0</v>
        <stp/>
        <stp>T&amp;T0</stp>
        <stp>QUL</stp>
        <stp>70</stp>
        <tr r="L73" s="2"/>
      </tp>
      <tp>
        <v>0</v>
        <stp/>
        <stp>T&amp;T1</stp>
        <stp>QUL</stp>
        <stp>70</stp>
        <tr r="D73" s="2"/>
      </tp>
      <tp>
        <v>0</v>
        <stp/>
        <stp>T&amp;T1</stp>
        <stp>PRE</stp>
        <stp>64</stp>
        <tr r="C67" s="2"/>
      </tp>
      <tp>
        <v>0</v>
        <stp/>
        <stp>T&amp;T0</stp>
        <stp>PRE</stp>
        <stp>64</stp>
        <tr r="K67" s="2"/>
      </tp>
      <tp>
        <v>0</v>
        <stp/>
        <stp>T&amp;T0</stp>
        <stp>QUL</stp>
        <stp>73</stp>
        <tr r="L76" s="2"/>
      </tp>
      <tp>
        <v>0</v>
        <stp/>
        <stp>T&amp;T1</stp>
        <stp>QUL</stp>
        <stp>73</stp>
        <tr r="D76" s="2"/>
      </tp>
      <tp>
        <v>0</v>
        <stp/>
        <stp>T&amp;T1</stp>
        <stp>PRE</stp>
        <stp>65</stp>
        <tr r="C68" s="2"/>
      </tp>
      <tp>
        <v>0</v>
        <stp/>
        <stp>T&amp;T0</stp>
        <stp>PRE</stp>
        <stp>65</stp>
        <tr r="K68" s="2"/>
      </tp>
      <tp>
        <v>0</v>
        <stp/>
        <stp>T&amp;T0</stp>
        <stp>QUL</stp>
        <stp>72</stp>
        <tr r="L75" s="2"/>
      </tp>
      <tp>
        <v>0</v>
        <stp/>
        <stp>T&amp;T1</stp>
        <stp>QUL</stp>
        <stp>72</stp>
        <tr r="D75" s="2"/>
      </tp>
      <tp>
        <v>0</v>
        <stp/>
        <stp>T&amp;T1</stp>
        <stp>PRE</stp>
        <stp>62</stp>
        <tr r="C65" s="2"/>
      </tp>
      <tp>
        <v>0</v>
        <stp/>
        <stp>T&amp;T0</stp>
        <stp>PRE</stp>
        <stp>62</stp>
        <tr r="K65" s="2"/>
      </tp>
      <tp>
        <v>0</v>
        <stp/>
        <stp>T&amp;T0</stp>
        <stp>QUL</stp>
        <stp>75</stp>
        <tr r="L78" s="2"/>
      </tp>
      <tp>
        <v>0</v>
        <stp/>
        <stp>T&amp;T1</stp>
        <stp>QUL</stp>
        <stp>75</stp>
        <tr r="D78" s="2"/>
      </tp>
      <tp>
        <v>0</v>
        <stp/>
        <stp>T&amp;T1</stp>
        <stp>PRE</stp>
        <stp>63</stp>
        <tr r="C66" s="2"/>
      </tp>
      <tp>
        <v>0</v>
        <stp/>
        <stp>T&amp;T0</stp>
        <stp>PRE</stp>
        <stp>63</stp>
        <tr r="K66" s="2"/>
      </tp>
      <tp>
        <v>0</v>
        <stp/>
        <stp>T&amp;T0</stp>
        <stp>QUL</stp>
        <stp>74</stp>
        <tr r="L77" s="2"/>
      </tp>
      <tp>
        <v>0</v>
        <stp/>
        <stp>T&amp;T1</stp>
        <stp>QUL</stp>
        <stp>74</stp>
        <tr r="D77" s="2"/>
      </tp>
      <tp>
        <v>0</v>
        <stp/>
        <stp>T&amp;T1</stp>
        <stp>PRE</stp>
        <stp>60</stp>
        <tr r="C63" s="2"/>
      </tp>
      <tp>
        <v>0</v>
        <stp/>
        <stp>T&amp;T0</stp>
        <stp>PRE</stp>
        <stp>60</stp>
        <tr r="K63" s="2"/>
      </tp>
      <tp>
        <v>0</v>
        <stp/>
        <stp>T&amp;T0</stp>
        <stp>QUL</stp>
        <stp>77</stp>
        <tr r="L80" s="2"/>
      </tp>
      <tp>
        <v>0</v>
        <stp/>
        <stp>T&amp;T1</stp>
        <stp>QUL</stp>
        <stp>77</stp>
        <tr r="D80" s="2"/>
      </tp>
      <tp>
        <v>0</v>
        <stp/>
        <stp>T&amp;T1</stp>
        <stp>PRE</stp>
        <stp>61</stp>
        <tr r="C64" s="2"/>
      </tp>
      <tp>
        <v>0</v>
        <stp/>
        <stp>T&amp;T0</stp>
        <stp>PRE</stp>
        <stp>61</stp>
        <tr r="K64" s="2"/>
      </tp>
      <tp>
        <v>0</v>
        <stp/>
        <stp>T&amp;T0</stp>
        <stp>QUL</stp>
        <stp>76</stp>
        <tr r="L79" s="2"/>
      </tp>
      <tp>
        <v>0</v>
        <stp/>
        <stp>T&amp;T1</stp>
        <stp>QUL</stp>
        <stp>76</stp>
        <tr r="D79" s="2"/>
      </tp>
      <tp>
        <v>0</v>
        <stp/>
        <stp>T&amp;T0</stp>
        <stp>QUL</stp>
        <stp>69</stp>
        <tr r="L72" s="2"/>
      </tp>
      <tp>
        <v>0</v>
        <stp/>
        <stp>T&amp;T1</stp>
        <stp>QUL</stp>
        <stp>69</stp>
        <tr r="D72" s="2"/>
      </tp>
      <tp>
        <v>0</v>
        <stp/>
        <stp>T&amp;T0</stp>
        <stp>QUL</stp>
        <stp>68</stp>
        <tr r="L71" s="2"/>
      </tp>
      <tp>
        <v>0</v>
        <stp/>
        <stp>T&amp;T1</stp>
        <stp>QUL</stp>
        <stp>68</stp>
        <tr r="D71" s="2"/>
      </tp>
      <tp>
        <v>0</v>
        <stp/>
        <stp>T&amp;T1</stp>
        <stp>PRE</stp>
        <stp>78</stp>
        <tr r="C81" s="2"/>
      </tp>
      <tp>
        <v>0</v>
        <stp/>
        <stp>T&amp;T0</stp>
        <stp>PRE</stp>
        <stp>78</stp>
        <tr r="K81" s="2"/>
      </tp>
      <tp>
        <v>0</v>
        <stp/>
        <stp>T&amp;T1</stp>
        <stp>PRE</stp>
        <stp>79</stp>
        <tr r="C82" s="2"/>
      </tp>
      <tp>
        <v>0</v>
        <stp/>
        <stp>T&amp;T0</stp>
        <stp>PRE</stp>
        <stp>79</stp>
        <tr r="K82" s="2"/>
      </tp>
      <tp>
        <v>0</v>
        <stp/>
        <stp>T&amp;T1</stp>
        <stp>PRE</stp>
        <stp>76</stp>
        <tr r="C79" s="2"/>
      </tp>
      <tp>
        <v>0</v>
        <stp/>
        <stp>T&amp;T0</stp>
        <stp>PRE</stp>
        <stp>76</stp>
        <tr r="K79" s="2"/>
      </tp>
      <tp>
        <v>0</v>
        <stp/>
        <stp>T&amp;T0</stp>
        <stp>QUL</stp>
        <stp>61</stp>
        <tr r="L64" s="2"/>
      </tp>
      <tp>
        <v>0</v>
        <stp/>
        <stp>T&amp;T1</stp>
        <stp>QUL</stp>
        <stp>61</stp>
        <tr r="D64" s="2"/>
      </tp>
      <tp>
        <v>0</v>
        <stp/>
        <stp>T&amp;T1</stp>
        <stp>PRE</stp>
        <stp>77</stp>
        <tr r="C80" s="2"/>
      </tp>
      <tp>
        <v>0</v>
        <stp/>
        <stp>T&amp;T0</stp>
        <stp>PRE</stp>
        <stp>77</stp>
        <tr r="K80" s="2"/>
      </tp>
      <tp>
        <v>0</v>
        <stp/>
        <stp>T&amp;T0</stp>
        <stp>QUL</stp>
        <stp>60</stp>
        <tr r="L63" s="2"/>
      </tp>
      <tp>
        <v>0</v>
        <stp/>
        <stp>T&amp;T1</stp>
        <stp>QUL</stp>
        <stp>60</stp>
        <tr r="D63" s="2"/>
      </tp>
      <tp>
        <v>0</v>
        <stp/>
        <stp>T&amp;T1</stp>
        <stp>PRE</stp>
        <stp>74</stp>
        <tr r="C77" s="2"/>
      </tp>
      <tp>
        <v>0</v>
        <stp/>
        <stp>T&amp;T0</stp>
        <stp>PRE</stp>
        <stp>74</stp>
        <tr r="K77" s="2"/>
      </tp>
      <tp>
        <v>0</v>
        <stp/>
        <stp>T&amp;T0</stp>
        <stp>QUL</stp>
        <stp>63</stp>
        <tr r="L66" s="2"/>
      </tp>
      <tp>
        <v>0</v>
        <stp/>
        <stp>T&amp;T1</stp>
        <stp>QUL</stp>
        <stp>63</stp>
        <tr r="D66" s="2"/>
      </tp>
      <tp>
        <v>0</v>
        <stp/>
        <stp>T&amp;T1</stp>
        <stp>PRE</stp>
        <stp>75</stp>
        <tr r="C78" s="2"/>
      </tp>
      <tp>
        <v>0</v>
        <stp/>
        <stp>T&amp;T0</stp>
        <stp>PRE</stp>
        <stp>75</stp>
        <tr r="K78" s="2"/>
      </tp>
      <tp>
        <v>0</v>
        <stp/>
        <stp>T&amp;T0</stp>
        <stp>QUL</stp>
        <stp>62</stp>
        <tr r="L65" s="2"/>
      </tp>
      <tp>
        <v>0</v>
        <stp/>
        <stp>T&amp;T1</stp>
        <stp>QUL</stp>
        <stp>62</stp>
        <tr r="D65" s="2"/>
      </tp>
      <tp>
        <v>0</v>
        <stp/>
        <stp>T&amp;T1</stp>
        <stp>PRE</stp>
        <stp>72</stp>
        <tr r="C75" s="2"/>
      </tp>
      <tp>
        <v>0</v>
        <stp/>
        <stp>T&amp;T0</stp>
        <stp>PRE</stp>
        <stp>72</stp>
        <tr r="K75" s="2"/>
      </tp>
      <tp>
        <v>0</v>
        <stp/>
        <stp>T&amp;T0</stp>
        <stp>QUL</stp>
        <stp>65</stp>
        <tr r="L68" s="2"/>
      </tp>
      <tp>
        <v>0</v>
        <stp/>
        <stp>T&amp;T1</stp>
        <stp>QUL</stp>
        <stp>65</stp>
        <tr r="D68" s="2"/>
      </tp>
      <tp>
        <v>0</v>
        <stp/>
        <stp>T&amp;T1</stp>
        <stp>PRE</stp>
        <stp>73</stp>
        <tr r="C76" s="2"/>
      </tp>
      <tp>
        <v>0</v>
        <stp/>
        <stp>T&amp;T0</stp>
        <stp>PRE</stp>
        <stp>73</stp>
        <tr r="K76" s="2"/>
      </tp>
      <tp>
        <v>0</v>
        <stp/>
        <stp>T&amp;T0</stp>
        <stp>QUL</stp>
        <stp>64</stp>
        <tr r="L67" s="2"/>
      </tp>
      <tp>
        <v>0</v>
        <stp/>
        <stp>T&amp;T1</stp>
        <stp>QUL</stp>
        <stp>64</stp>
        <tr r="D67" s="2"/>
      </tp>
      <tp>
        <v>0</v>
        <stp/>
        <stp>T&amp;T1</stp>
        <stp>PRE</stp>
        <stp>70</stp>
        <tr r="C73" s="2"/>
      </tp>
      <tp>
        <v>0</v>
        <stp/>
        <stp>T&amp;T0</stp>
        <stp>PRE</stp>
        <stp>70</stp>
        <tr r="K73" s="2"/>
      </tp>
      <tp>
        <v>0</v>
        <stp/>
        <stp>T&amp;T0</stp>
        <stp>QUL</stp>
        <stp>67</stp>
        <tr r="L70" s="2"/>
      </tp>
      <tp>
        <v>0</v>
        <stp/>
        <stp>T&amp;T1</stp>
        <stp>QUL</stp>
        <stp>67</stp>
        <tr r="D70" s="2"/>
      </tp>
      <tp>
        <v>0</v>
        <stp/>
        <stp>T&amp;T1</stp>
        <stp>PRE</stp>
        <stp>71</stp>
        <tr r="C74" s="2"/>
      </tp>
      <tp>
        <v>0</v>
        <stp/>
        <stp>T&amp;T0</stp>
        <stp>PRE</stp>
        <stp>71</stp>
        <tr r="K74" s="2"/>
      </tp>
      <tp>
        <v>0</v>
        <stp/>
        <stp>T&amp;T0</stp>
        <stp>QUL</stp>
        <stp>66</stp>
        <tr r="L69" s="2"/>
      </tp>
      <tp>
        <v>0</v>
        <stp/>
        <stp>T&amp;T1</stp>
        <stp>QUL</stp>
        <stp>66</stp>
        <tr r="D69" s="2"/>
      </tp>
      <tp>
        <v>0</v>
        <stp/>
        <stp>T&amp;T0</stp>
        <stp>QUL</stp>
        <stp>59</stp>
        <tr r="L62" s="2"/>
      </tp>
      <tp>
        <v>0</v>
        <stp/>
        <stp>T&amp;T1</stp>
        <stp>QUL</stp>
        <stp>59</stp>
        <tr r="D62" s="2"/>
      </tp>
      <tp>
        <v>0</v>
        <stp/>
        <stp>T&amp;T0</stp>
        <stp>QUL</stp>
        <stp>58</stp>
        <tr r="L61" s="2"/>
      </tp>
      <tp>
        <v>0</v>
        <stp/>
        <stp>T&amp;T1</stp>
        <stp>QUL</stp>
        <stp>58</stp>
        <tr r="D61" s="2"/>
      </tp>
      <tp>
        <v>0</v>
        <stp/>
        <stp>T&amp;T1</stp>
        <stp>PRE</stp>
        <stp>48</stp>
        <tr r="C51" s="2"/>
      </tp>
      <tp>
        <v>0</v>
        <stp/>
        <stp>T&amp;T0</stp>
        <stp>PRE</stp>
        <stp>48</stp>
        <tr r="K51" s="2"/>
      </tp>
      <tp>
        <v>0</v>
        <stp/>
        <stp>T&amp;T1</stp>
        <stp>PRE</stp>
        <stp>49</stp>
        <tr r="C52" s="2"/>
      </tp>
      <tp>
        <v>0</v>
        <stp/>
        <stp>T&amp;T0</stp>
        <stp>PRE</stp>
        <stp>49</stp>
        <tr r="K52" s="2"/>
      </tp>
      <tp>
        <v>0</v>
        <stp/>
        <stp>T&amp;T1</stp>
        <stp>PRE</stp>
        <stp>46</stp>
        <tr r="C49" s="2"/>
      </tp>
      <tp>
        <v>0</v>
        <stp/>
        <stp>T&amp;T0</stp>
        <stp>PRE</stp>
        <stp>46</stp>
        <tr r="K49" s="2"/>
      </tp>
      <tp>
        <v>0</v>
        <stp/>
        <stp>T&amp;T0</stp>
        <stp>QUL</stp>
        <stp>51</stp>
        <tr r="L54" s="2"/>
      </tp>
      <tp>
        <v>0</v>
        <stp/>
        <stp>T&amp;T1</stp>
        <stp>QUL</stp>
        <stp>51</stp>
        <tr r="D54" s="2"/>
      </tp>
      <tp>
        <v>0</v>
        <stp/>
        <stp>T&amp;T1</stp>
        <stp>PRE</stp>
        <stp>47</stp>
        <tr r="C50" s="2"/>
      </tp>
      <tp>
        <v>0</v>
        <stp/>
        <stp>T&amp;T0</stp>
        <stp>PRE</stp>
        <stp>47</stp>
        <tr r="K50" s="2"/>
      </tp>
      <tp>
        <v>0</v>
        <stp/>
        <stp>T&amp;T0</stp>
        <stp>QUL</stp>
        <stp>50</stp>
        <tr r="L53" s="2"/>
      </tp>
      <tp>
        <v>0</v>
        <stp/>
        <stp>T&amp;T1</stp>
        <stp>QUL</stp>
        <stp>50</stp>
        <tr r="D53" s="2"/>
      </tp>
      <tp>
        <v>0</v>
        <stp/>
        <stp>T&amp;T1</stp>
        <stp>PRE</stp>
        <stp>44</stp>
        <tr r="C47" s="2"/>
      </tp>
      <tp>
        <v>0</v>
        <stp/>
        <stp>T&amp;T0</stp>
        <stp>PRE</stp>
        <stp>44</stp>
        <tr r="K47" s="2"/>
      </tp>
      <tp>
        <v>0</v>
        <stp/>
        <stp>T&amp;T0</stp>
        <stp>QUL</stp>
        <stp>53</stp>
        <tr r="L56" s="2"/>
      </tp>
      <tp>
        <v>0</v>
        <stp/>
        <stp>T&amp;T1</stp>
        <stp>QUL</stp>
        <stp>53</stp>
        <tr r="D56" s="2"/>
      </tp>
      <tp>
        <v>0</v>
        <stp/>
        <stp>T&amp;T1</stp>
        <stp>PRE</stp>
        <stp>45</stp>
        <tr r="C48" s="2"/>
      </tp>
      <tp>
        <v>0</v>
        <stp/>
        <stp>T&amp;T0</stp>
        <stp>PRE</stp>
        <stp>45</stp>
        <tr r="K48" s="2"/>
      </tp>
      <tp>
        <v>0</v>
        <stp/>
        <stp>T&amp;T0</stp>
        <stp>QUL</stp>
        <stp>52</stp>
        <tr r="L55" s="2"/>
      </tp>
      <tp>
        <v>0</v>
        <stp/>
        <stp>T&amp;T1</stp>
        <stp>QUL</stp>
        <stp>52</stp>
        <tr r="D55" s="2"/>
      </tp>
      <tp>
        <v>0</v>
        <stp/>
        <stp>T&amp;T1</stp>
        <stp>PRE</stp>
        <stp>42</stp>
        <tr r="C45" s="2"/>
      </tp>
      <tp>
        <v>0</v>
        <stp/>
        <stp>T&amp;T0</stp>
        <stp>PRE</stp>
        <stp>42</stp>
        <tr r="K45" s="2"/>
      </tp>
      <tp>
        <v>0</v>
        <stp/>
        <stp>T&amp;T0</stp>
        <stp>QUL</stp>
        <stp>55</stp>
        <tr r="L58" s="2"/>
      </tp>
      <tp>
        <v>0</v>
        <stp/>
        <stp>T&amp;T1</stp>
        <stp>QUL</stp>
        <stp>55</stp>
        <tr r="D58" s="2"/>
      </tp>
      <tp>
        <v>0</v>
        <stp/>
        <stp>T&amp;T1</stp>
        <stp>PRE</stp>
        <stp>43</stp>
        <tr r="C46" s="2"/>
      </tp>
      <tp>
        <v>0</v>
        <stp/>
        <stp>T&amp;T0</stp>
        <stp>PRE</stp>
        <stp>43</stp>
        <tr r="K46" s="2"/>
      </tp>
      <tp>
        <v>0</v>
        <stp/>
        <stp>T&amp;T0</stp>
        <stp>QUL</stp>
        <stp>54</stp>
        <tr r="L57" s="2"/>
      </tp>
      <tp>
        <v>0</v>
        <stp/>
        <stp>T&amp;T1</stp>
        <stp>QUL</stp>
        <stp>54</stp>
        <tr r="D57" s="2"/>
      </tp>
      <tp>
        <v>0</v>
        <stp/>
        <stp>T&amp;T1</stp>
        <stp>PRE</stp>
        <stp>40</stp>
        <tr r="C43" s="2"/>
      </tp>
      <tp>
        <v>0</v>
        <stp/>
        <stp>T&amp;T0</stp>
        <stp>PRE</stp>
        <stp>40</stp>
        <tr r="K43" s="2"/>
      </tp>
      <tp>
        <v>0</v>
        <stp/>
        <stp>T&amp;T0</stp>
        <stp>QUL</stp>
        <stp>57</stp>
        <tr r="L60" s="2"/>
      </tp>
      <tp>
        <v>0</v>
        <stp/>
        <stp>T&amp;T1</stp>
        <stp>QUL</stp>
        <stp>57</stp>
        <tr r="D60" s="2"/>
      </tp>
      <tp>
        <v>0</v>
        <stp/>
        <stp>T&amp;T1</stp>
        <stp>PRE</stp>
        <stp>41</stp>
        <tr r="C44" s="2"/>
      </tp>
      <tp>
        <v>0</v>
        <stp/>
        <stp>T&amp;T0</stp>
        <stp>PRE</stp>
        <stp>41</stp>
        <tr r="K44" s="2"/>
      </tp>
      <tp>
        <v>0</v>
        <stp/>
        <stp>T&amp;T0</stp>
        <stp>QUL</stp>
        <stp>56</stp>
        <tr r="L59" s="2"/>
      </tp>
      <tp>
        <v>0</v>
        <stp/>
        <stp>T&amp;T1</stp>
        <stp>QUL</stp>
        <stp>56</stp>
        <tr r="D59" s="2"/>
      </tp>
      <tp>
        <v>0</v>
        <stp/>
        <stp>T&amp;T0</stp>
        <stp>QUL</stp>
        <stp>49</stp>
        <tr r="L52" s="2"/>
      </tp>
      <tp>
        <v>0</v>
        <stp/>
        <stp>T&amp;T1</stp>
        <stp>QUL</stp>
        <stp>49</stp>
        <tr r="D52" s="2"/>
      </tp>
      <tp>
        <v>0</v>
        <stp/>
        <stp>T&amp;T0</stp>
        <stp>QUL</stp>
        <stp>48</stp>
        <tr r="L51" s="2"/>
      </tp>
      <tp>
        <v>0</v>
        <stp/>
        <stp>T&amp;T1</stp>
        <stp>QUL</stp>
        <stp>48</stp>
        <tr r="D51" s="2"/>
      </tp>
      <tp>
        <v>0</v>
        <stp/>
        <stp>T&amp;T1</stp>
        <stp>PRE</stp>
        <stp>58</stp>
        <tr r="C61" s="2"/>
      </tp>
      <tp>
        <v>0</v>
        <stp/>
        <stp>T&amp;T0</stp>
        <stp>PRE</stp>
        <stp>58</stp>
        <tr r="K61" s="2"/>
      </tp>
      <tp>
        <v>0</v>
        <stp/>
        <stp>T&amp;T1</stp>
        <stp>PRE</stp>
        <stp>59</stp>
        <tr r="C62" s="2"/>
      </tp>
      <tp>
        <v>0</v>
        <stp/>
        <stp>T&amp;T0</stp>
        <stp>PRE</stp>
        <stp>59</stp>
        <tr r="K62" s="2"/>
      </tp>
      <tp>
        <v>0</v>
        <stp/>
        <stp>T&amp;T1</stp>
        <stp>PRE</stp>
        <stp>56</stp>
        <tr r="C59" s="2"/>
      </tp>
      <tp>
        <v>0</v>
        <stp/>
        <stp>T&amp;T0</stp>
        <stp>PRE</stp>
        <stp>56</stp>
        <tr r="K59" s="2"/>
      </tp>
      <tp>
        <v>0</v>
        <stp/>
        <stp>T&amp;T0</stp>
        <stp>QUL</stp>
        <stp>41</stp>
        <tr r="L44" s="2"/>
      </tp>
      <tp>
        <v>0</v>
        <stp/>
        <stp>T&amp;T1</stp>
        <stp>QUL</stp>
        <stp>41</stp>
        <tr r="D44" s="2"/>
      </tp>
      <tp>
        <v>0</v>
        <stp/>
        <stp>T&amp;T1</stp>
        <stp>PRE</stp>
        <stp>57</stp>
        <tr r="C60" s="2"/>
      </tp>
      <tp>
        <v>0</v>
        <stp/>
        <stp>T&amp;T0</stp>
        <stp>PRE</stp>
        <stp>57</stp>
        <tr r="K60" s="2"/>
      </tp>
      <tp>
        <v>0</v>
        <stp/>
        <stp>T&amp;T0</stp>
        <stp>QUL</stp>
        <stp>40</stp>
        <tr r="L43" s="2"/>
      </tp>
      <tp>
        <v>0</v>
        <stp/>
        <stp>T&amp;T1</stp>
        <stp>QUL</stp>
        <stp>40</stp>
        <tr r="D43" s="2"/>
      </tp>
      <tp>
        <v>0</v>
        <stp/>
        <stp>T&amp;T1</stp>
        <stp>PRE</stp>
        <stp>54</stp>
        <tr r="C57" s="2"/>
      </tp>
      <tp>
        <v>0</v>
        <stp/>
        <stp>T&amp;T0</stp>
        <stp>PRE</stp>
        <stp>54</stp>
        <tr r="K57" s="2"/>
      </tp>
      <tp>
        <v>0</v>
        <stp/>
        <stp>T&amp;T0</stp>
        <stp>QUL</stp>
        <stp>43</stp>
        <tr r="L46" s="2"/>
      </tp>
      <tp>
        <v>0</v>
        <stp/>
        <stp>T&amp;T1</stp>
        <stp>QUL</stp>
        <stp>43</stp>
        <tr r="D46" s="2"/>
      </tp>
      <tp>
        <v>0</v>
        <stp/>
        <stp>T&amp;T1</stp>
        <stp>PRE</stp>
        <stp>55</stp>
        <tr r="C58" s="2"/>
      </tp>
      <tp>
        <v>0</v>
        <stp/>
        <stp>T&amp;T0</stp>
        <stp>PRE</stp>
        <stp>55</stp>
        <tr r="K58" s="2"/>
      </tp>
      <tp>
        <v>0</v>
        <stp/>
        <stp>T&amp;T0</stp>
        <stp>QUL</stp>
        <stp>42</stp>
        <tr r="L45" s="2"/>
      </tp>
      <tp>
        <v>0</v>
        <stp/>
        <stp>T&amp;T1</stp>
        <stp>QUL</stp>
        <stp>42</stp>
        <tr r="D45" s="2"/>
      </tp>
      <tp>
        <v>0</v>
        <stp/>
        <stp>T&amp;T1</stp>
        <stp>PRE</stp>
        <stp>52</stp>
        <tr r="C55" s="2"/>
      </tp>
      <tp>
        <v>0</v>
        <stp/>
        <stp>T&amp;T0</stp>
        <stp>PRE</stp>
        <stp>52</stp>
        <tr r="K55" s="2"/>
      </tp>
      <tp>
        <v>0</v>
        <stp/>
        <stp>T&amp;T0</stp>
        <stp>QUL</stp>
        <stp>45</stp>
        <tr r="L48" s="2"/>
      </tp>
      <tp>
        <v>0</v>
        <stp/>
        <stp>T&amp;T1</stp>
        <stp>QUL</stp>
        <stp>45</stp>
        <tr r="D48" s="2"/>
      </tp>
      <tp>
        <v>0</v>
        <stp/>
        <stp>T&amp;T1</stp>
        <stp>PRE</stp>
        <stp>53</stp>
        <tr r="C56" s="2"/>
      </tp>
      <tp>
        <v>0</v>
        <stp/>
        <stp>T&amp;T0</stp>
        <stp>PRE</stp>
        <stp>53</stp>
        <tr r="K56" s="2"/>
      </tp>
      <tp>
        <v>0</v>
        <stp/>
        <stp>T&amp;T0</stp>
        <stp>QUL</stp>
        <stp>44</stp>
        <tr r="L47" s="2"/>
      </tp>
      <tp>
        <v>0</v>
        <stp/>
        <stp>T&amp;T1</stp>
        <stp>QUL</stp>
        <stp>44</stp>
        <tr r="D47" s="2"/>
      </tp>
      <tp>
        <v>0</v>
        <stp/>
        <stp>T&amp;T1</stp>
        <stp>PRE</stp>
        <stp>50</stp>
        <tr r="C53" s="2"/>
      </tp>
      <tp>
        <v>0</v>
        <stp/>
        <stp>T&amp;T0</stp>
        <stp>PRE</stp>
        <stp>50</stp>
        <tr r="K53" s="2"/>
      </tp>
      <tp>
        <v>0</v>
        <stp/>
        <stp>T&amp;T0</stp>
        <stp>QUL</stp>
        <stp>47</stp>
        <tr r="L50" s="2"/>
      </tp>
      <tp>
        <v>0</v>
        <stp/>
        <stp>T&amp;T1</stp>
        <stp>QUL</stp>
        <stp>47</stp>
        <tr r="D50" s="2"/>
      </tp>
      <tp>
        <v>0</v>
        <stp/>
        <stp>T&amp;T1</stp>
        <stp>PRE</stp>
        <stp>51</stp>
        <tr r="C54" s="2"/>
      </tp>
      <tp>
        <v>0</v>
        <stp/>
        <stp>T&amp;T0</stp>
        <stp>PRE</stp>
        <stp>51</stp>
        <tr r="K54" s="2"/>
      </tp>
      <tp>
        <v>0</v>
        <stp/>
        <stp>T&amp;T0</stp>
        <stp>QUL</stp>
        <stp>46</stp>
        <tr r="L49" s="2"/>
      </tp>
      <tp>
        <v>0</v>
        <stp/>
        <stp>T&amp;T1</stp>
        <stp>QUL</stp>
        <stp>46</stp>
        <tr r="D49" s="2"/>
      </tp>
      <tp t="s">
        <v>-</v>
        <stp/>
        <stp>T&amp;T0</stp>
        <stp>AGR</stp>
        <stp>99</stp>
        <tr r="N102" s="2"/>
      </tp>
      <tp t="s">
        <v>-</v>
        <stp/>
        <stp>T&amp;T1</stp>
        <stp>AGR</stp>
        <stp>99</stp>
        <tr r="F102" s="2"/>
      </tp>
      <tp t="s">
        <v>-</v>
        <stp/>
        <stp>T&amp;T0</stp>
        <stp>AGR</stp>
        <stp>98</stp>
        <tr r="N101" s="2"/>
      </tp>
      <tp t="s">
        <v>-</v>
        <stp/>
        <stp>T&amp;T1</stp>
        <stp>AGR</stp>
        <stp>98</stp>
        <tr r="F101" s="2"/>
      </tp>
      <tp t="s">
        <v>-</v>
        <stp/>
        <stp>T&amp;T0</stp>
        <stp>ACP</stp>
        <stp>99</stp>
        <tr r="J102" s="2"/>
      </tp>
      <tp t="s">
        <v>-</v>
        <stp/>
        <stp>T&amp;T1</stp>
        <stp>ACP</stp>
        <stp>99</stp>
        <tr r="B102" s="2"/>
      </tp>
      <tp t="s">
        <v>-</v>
        <stp/>
        <stp>T&amp;T0</stp>
        <stp>ACP</stp>
        <stp>98</stp>
        <tr r="J101" s="2"/>
      </tp>
      <tp t="s">
        <v>-</v>
        <stp/>
        <stp>T&amp;T1</stp>
        <stp>ACP</stp>
        <stp>98</stp>
        <tr r="B101" s="2"/>
      </tp>
      <tp t="s">
        <v>-</v>
        <stp/>
        <stp>T&amp;T0</stp>
        <stp>ACP</stp>
        <stp>97</stp>
        <tr r="J100" s="2"/>
      </tp>
      <tp t="s">
        <v>-</v>
        <stp/>
        <stp>T&amp;T1</stp>
        <stp>ACP</stp>
        <stp>97</stp>
        <tr r="B100" s="2"/>
      </tp>
      <tp t="s">
        <v>-</v>
        <stp/>
        <stp>T&amp;T0</stp>
        <stp>AGR</stp>
        <stp>93</stp>
        <tr r="N96" s="2"/>
      </tp>
      <tp t="s">
        <v>-</v>
        <stp/>
        <stp>T&amp;T1</stp>
        <stp>AGR</stp>
        <stp>93</stp>
        <tr r="F96" s="2"/>
      </tp>
      <tp t="s">
        <v>-</v>
        <stp/>
        <stp>T&amp;T0</stp>
        <stp>ACP</stp>
        <stp>96</stp>
        <tr r="J99" s="2"/>
      </tp>
      <tp t="s">
        <v>-</v>
        <stp/>
        <stp>T&amp;T1</stp>
        <stp>ACP</stp>
        <stp>96</stp>
        <tr r="B99" s="2"/>
      </tp>
      <tp t="s">
        <v>-</v>
        <stp/>
        <stp>T&amp;T0</stp>
        <stp>AGR</stp>
        <stp>92</stp>
        <tr r="N95" s="2"/>
      </tp>
      <tp t="s">
        <v>-</v>
        <stp/>
        <stp>T&amp;T1</stp>
        <stp>AGR</stp>
        <stp>92</stp>
        <tr r="F95" s="2"/>
      </tp>
      <tp t="s">
        <v>-</v>
        <stp/>
        <stp>T&amp;T0</stp>
        <stp>ACP</stp>
        <stp>95</stp>
        <tr r="J98" s="2"/>
      </tp>
      <tp t="s">
        <v>-</v>
        <stp/>
        <stp>T&amp;T1</stp>
        <stp>ACP</stp>
        <stp>95</stp>
        <tr r="B98" s="2"/>
      </tp>
      <tp t="s">
        <v>-</v>
        <stp/>
        <stp>T&amp;T0</stp>
        <stp>AGR</stp>
        <stp>91</stp>
        <tr r="N94" s="2"/>
      </tp>
      <tp t="s">
        <v>-</v>
        <stp/>
        <stp>T&amp;T1</stp>
        <stp>AGR</stp>
        <stp>91</stp>
        <tr r="F94" s="2"/>
      </tp>
      <tp t="s">
        <v>-</v>
        <stp/>
        <stp>T&amp;T0</stp>
        <stp>ACP</stp>
        <stp>94</stp>
        <tr r="J97" s="2"/>
      </tp>
      <tp t="s">
        <v>-</v>
        <stp/>
        <stp>T&amp;T1</stp>
        <stp>ACP</stp>
        <stp>94</stp>
        <tr r="B97" s="2"/>
      </tp>
      <tp t="s">
        <v>-</v>
        <stp/>
        <stp>T&amp;T0</stp>
        <stp>AGR</stp>
        <stp>90</stp>
        <tr r="N93" s="2"/>
      </tp>
      <tp t="s">
        <v>-</v>
        <stp/>
        <stp>T&amp;T1</stp>
        <stp>AGR</stp>
        <stp>90</stp>
        <tr r="F93" s="2"/>
      </tp>
      <tp t="s">
        <v>-</v>
        <stp/>
        <stp>T&amp;T0</stp>
        <stp>ACP</stp>
        <stp>93</stp>
        <tr r="J96" s="2"/>
      </tp>
      <tp t="s">
        <v>-</v>
        <stp/>
        <stp>T&amp;T1</stp>
        <stp>ACP</stp>
        <stp>93</stp>
        <tr r="B96" s="2"/>
      </tp>
      <tp t="s">
        <v>-</v>
        <stp/>
        <stp>T&amp;T0</stp>
        <stp>AGR</stp>
        <stp>97</stp>
        <tr r="N100" s="2"/>
      </tp>
      <tp t="s">
        <v>-</v>
        <stp/>
        <stp>T&amp;T1</stp>
        <stp>AGR</stp>
        <stp>97</stp>
        <tr r="F100" s="2"/>
      </tp>
      <tp t="s">
        <v>-</v>
        <stp/>
        <stp>T&amp;T0</stp>
        <stp>ACP</stp>
        <stp>92</stp>
        <tr r="J95" s="2"/>
      </tp>
      <tp t="s">
        <v>-</v>
        <stp/>
        <stp>T&amp;T1</stp>
        <stp>ACP</stp>
        <stp>92</stp>
        <tr r="B95" s="2"/>
      </tp>
      <tp t="s">
        <v>-</v>
        <stp/>
        <stp>T&amp;T0</stp>
        <stp>AGR</stp>
        <stp>96</stp>
        <tr r="N99" s="2"/>
      </tp>
      <tp t="s">
        <v>-</v>
        <stp/>
        <stp>T&amp;T1</stp>
        <stp>AGR</stp>
        <stp>96</stp>
        <tr r="F99" s="2"/>
      </tp>
      <tp t="s">
        <v>-</v>
        <stp/>
        <stp>T&amp;T0</stp>
        <stp>ACP</stp>
        <stp>91</stp>
        <tr r="J94" s="2"/>
      </tp>
      <tp t="s">
        <v>-</v>
        <stp/>
        <stp>T&amp;T1</stp>
        <stp>ACP</stp>
        <stp>91</stp>
        <tr r="B94" s="2"/>
      </tp>
      <tp t="s">
        <v>-</v>
        <stp/>
        <stp>T&amp;T0</stp>
        <stp>AGR</stp>
        <stp>95</stp>
        <tr r="N98" s="2"/>
      </tp>
      <tp t="s">
        <v>-</v>
        <stp/>
        <stp>T&amp;T1</stp>
        <stp>AGR</stp>
        <stp>95</stp>
        <tr r="F98" s="2"/>
      </tp>
      <tp t="s">
        <v>-</v>
        <stp/>
        <stp>T&amp;T0</stp>
        <stp>ACP</stp>
        <stp>90</stp>
        <tr r="J93" s="2"/>
      </tp>
      <tp t="s">
        <v>-</v>
        <stp/>
        <stp>T&amp;T1</stp>
        <stp>ACP</stp>
        <stp>90</stp>
        <tr r="B93" s="2"/>
      </tp>
      <tp t="s">
        <v>-</v>
        <stp/>
        <stp>T&amp;T0</stp>
        <stp>AGR</stp>
        <stp>94</stp>
        <tr r="N97" s="2"/>
      </tp>
      <tp t="s">
        <v>-</v>
        <stp/>
        <stp>T&amp;T1</stp>
        <stp>AGR</stp>
        <stp>94</stp>
        <tr r="F97" s="2"/>
      </tp>
      <tp t="s">
        <v>-</v>
        <stp/>
        <stp>T&amp;T0</stp>
        <stp>AVD</stp>
        <stp>98</stp>
        <tr r="M101" s="2"/>
      </tp>
      <tp t="s">
        <v>-</v>
        <stp/>
        <stp>T&amp;T1</stp>
        <stp>AVD</stp>
        <stp>98</stp>
        <tr r="E101" s="2"/>
      </tp>
      <tp t="s">
        <v>-</v>
        <stp/>
        <stp>T&amp;T0</stp>
        <stp>AVD</stp>
        <stp>99</stp>
        <tr r="M102" s="2"/>
      </tp>
      <tp t="s">
        <v>-</v>
        <stp/>
        <stp>T&amp;T1</stp>
        <stp>AVD</stp>
        <stp>99</stp>
        <tr r="E102" s="2"/>
      </tp>
      <tp t="s">
        <v>-</v>
        <stp/>
        <stp>T&amp;T0</stp>
        <stp>AVD</stp>
        <stp>92</stp>
        <tr r="M95" s="2"/>
      </tp>
      <tp t="s">
        <v>-</v>
        <stp/>
        <stp>T&amp;T1</stp>
        <stp>AVD</stp>
        <stp>92</stp>
        <tr r="E95" s="2"/>
      </tp>
      <tp t="s">
        <v>-</v>
        <stp/>
        <stp>T&amp;T0</stp>
        <stp>AVD</stp>
        <stp>93</stp>
        <tr r="M96" s="2"/>
      </tp>
      <tp t="s">
        <v>-</v>
        <stp/>
        <stp>T&amp;T1</stp>
        <stp>AVD</stp>
        <stp>93</stp>
        <tr r="E96" s="2"/>
      </tp>
      <tp t="s">
        <v>-</v>
        <stp/>
        <stp>T&amp;T0</stp>
        <stp>AVD</stp>
        <stp>90</stp>
        <tr r="M93" s="2"/>
      </tp>
      <tp t="s">
        <v>-</v>
        <stp/>
        <stp>T&amp;T1</stp>
        <stp>AVD</stp>
        <stp>90</stp>
        <tr r="E93" s="2"/>
      </tp>
      <tp t="s">
        <v>-</v>
        <stp/>
        <stp>T&amp;T0</stp>
        <stp>AVD</stp>
        <stp>91</stp>
        <tr r="M94" s="2"/>
      </tp>
      <tp t="s">
        <v>-</v>
        <stp/>
        <stp>T&amp;T1</stp>
        <stp>AVD</stp>
        <stp>91</stp>
        <tr r="E94" s="2"/>
      </tp>
      <tp t="s">
        <v>-</v>
        <stp/>
        <stp>T&amp;T0</stp>
        <stp>AVD</stp>
        <stp>96</stp>
        <tr r="M99" s="2"/>
      </tp>
      <tp t="s">
        <v>-</v>
        <stp/>
        <stp>T&amp;T1</stp>
        <stp>AVD</stp>
        <stp>96</stp>
        <tr r="E99" s="2"/>
      </tp>
      <tp t="s">
        <v>-</v>
        <stp/>
        <stp>T&amp;T0</stp>
        <stp>AVD</stp>
        <stp>97</stp>
        <tr r="M100" s="2"/>
      </tp>
      <tp t="s">
        <v>-</v>
        <stp/>
        <stp>T&amp;T1</stp>
        <stp>AVD</stp>
        <stp>97</stp>
        <tr r="E100" s="2"/>
      </tp>
      <tp t="s">
        <v>-</v>
        <stp/>
        <stp>T&amp;T0</stp>
        <stp>AVD</stp>
        <stp>94</stp>
        <tr r="M97" s="2"/>
      </tp>
      <tp t="s">
        <v>-</v>
        <stp/>
        <stp>T&amp;T1</stp>
        <stp>AVD</stp>
        <stp>94</stp>
        <tr r="E97" s="2"/>
      </tp>
      <tp t="s">
        <v>-</v>
        <stp/>
        <stp>T&amp;T0</stp>
        <stp>AVD</stp>
        <stp>95</stp>
        <tr r="M98" s="2"/>
      </tp>
      <tp t="s">
        <v>-</v>
        <stp/>
        <stp>T&amp;T1</stp>
        <stp>AVD</stp>
        <stp>95</stp>
        <tr r="E98" s="2"/>
      </tp>
      <tp t="s">
        <v>-</v>
        <stp/>
        <stp>T&amp;T0</stp>
        <stp>AGR</stp>
        <stp>89</stp>
        <tr r="N92" s="2"/>
      </tp>
      <tp t="s">
        <v>-</v>
        <stp/>
        <stp>T&amp;T1</stp>
        <stp>AGR</stp>
        <stp>89</stp>
        <tr r="F92" s="2"/>
      </tp>
      <tp t="s">
        <v>-</v>
        <stp/>
        <stp>T&amp;T0</stp>
        <stp>AGR</stp>
        <stp>88</stp>
        <tr r="N91" s="2"/>
      </tp>
      <tp t="s">
        <v>-</v>
        <stp/>
        <stp>T&amp;T1</stp>
        <stp>AGR</stp>
        <stp>88</stp>
        <tr r="F91" s="2"/>
      </tp>
      <tp t="s">
        <v>-</v>
        <stp/>
        <stp>T&amp;T0</stp>
        <stp>ACP</stp>
        <stp>89</stp>
        <tr r="J92" s="2"/>
      </tp>
      <tp t="s">
        <v>-</v>
        <stp/>
        <stp>T&amp;T1</stp>
        <stp>ACP</stp>
        <stp>89</stp>
        <tr r="B92" s="2"/>
      </tp>
      <tp t="s">
        <v>-</v>
        <stp/>
        <stp>T&amp;T0</stp>
        <stp>ACP</stp>
        <stp>88</stp>
        <tr r="J91" s="2"/>
      </tp>
      <tp t="s">
        <v>-</v>
        <stp/>
        <stp>T&amp;T1</stp>
        <stp>ACP</stp>
        <stp>88</stp>
        <tr r="B91" s="2"/>
      </tp>
      <tp t="s">
        <v>-</v>
        <stp/>
        <stp>T&amp;T0</stp>
        <stp>ACP</stp>
        <stp>87</stp>
        <tr r="J90" s="2"/>
      </tp>
      <tp t="s">
        <v>-</v>
        <stp/>
        <stp>T&amp;T1</stp>
        <stp>ACP</stp>
        <stp>87</stp>
        <tr r="B90" s="2"/>
      </tp>
      <tp t="s">
        <v>-</v>
        <stp/>
        <stp>T&amp;T0</stp>
        <stp>AGR</stp>
        <stp>83</stp>
        <tr r="N86" s="2"/>
      </tp>
      <tp t="s">
        <v>-</v>
        <stp/>
        <stp>T&amp;T1</stp>
        <stp>AGR</stp>
        <stp>83</stp>
        <tr r="F86" s="2"/>
      </tp>
      <tp t="s">
        <v>-</v>
        <stp/>
        <stp>T&amp;T0</stp>
        <stp>ACP</stp>
        <stp>86</stp>
        <tr r="J89" s="2"/>
      </tp>
      <tp t="s">
        <v>-</v>
        <stp/>
        <stp>T&amp;T1</stp>
        <stp>ACP</stp>
        <stp>86</stp>
        <tr r="B89" s="2"/>
      </tp>
      <tp t="s">
        <v>-</v>
        <stp/>
        <stp>T&amp;T0</stp>
        <stp>AGR</stp>
        <stp>82</stp>
        <tr r="N85" s="2"/>
      </tp>
      <tp t="s">
        <v>-</v>
        <stp/>
        <stp>T&amp;T1</stp>
        <stp>AGR</stp>
        <stp>82</stp>
        <tr r="F85" s="2"/>
      </tp>
      <tp t="s">
        <v>-</v>
        <stp/>
        <stp>T&amp;T0</stp>
        <stp>ACP</stp>
        <stp>85</stp>
        <tr r="J88" s="2"/>
      </tp>
      <tp t="s">
        <v>-</v>
        <stp/>
        <stp>T&amp;T1</stp>
        <stp>ACP</stp>
        <stp>85</stp>
        <tr r="B88" s="2"/>
      </tp>
      <tp t="s">
        <v>-</v>
        <stp/>
        <stp>T&amp;T0</stp>
        <stp>AGR</stp>
        <stp>81</stp>
        <tr r="N84" s="2"/>
      </tp>
      <tp t="s">
        <v>-</v>
        <stp/>
        <stp>T&amp;T1</stp>
        <stp>AGR</stp>
        <stp>81</stp>
        <tr r="F84" s="2"/>
      </tp>
      <tp t="s">
        <v>-</v>
        <stp/>
        <stp>T&amp;T0</stp>
        <stp>ACP</stp>
        <stp>84</stp>
        <tr r="J87" s="2"/>
      </tp>
      <tp t="s">
        <v>-</v>
        <stp/>
        <stp>T&amp;T1</stp>
        <stp>ACP</stp>
        <stp>84</stp>
        <tr r="B87" s="2"/>
      </tp>
      <tp t="s">
        <v>-</v>
        <stp/>
        <stp>T&amp;T0</stp>
        <stp>AGR</stp>
        <stp>80</stp>
        <tr r="N83" s="2"/>
      </tp>
      <tp t="s">
        <v>-</v>
        <stp/>
        <stp>T&amp;T1</stp>
        <stp>AGR</stp>
        <stp>80</stp>
        <tr r="F83" s="2"/>
      </tp>
      <tp t="s">
        <v>-</v>
        <stp/>
        <stp>T&amp;T0</stp>
        <stp>ACP</stp>
        <stp>83</stp>
        <tr r="J86" s="2"/>
      </tp>
      <tp t="s">
        <v>-</v>
        <stp/>
        <stp>T&amp;T1</stp>
        <stp>ACP</stp>
        <stp>83</stp>
        <tr r="B86" s="2"/>
      </tp>
      <tp t="s">
        <v>-</v>
        <stp/>
        <stp>T&amp;T0</stp>
        <stp>AGR</stp>
        <stp>87</stp>
        <tr r="N90" s="2"/>
      </tp>
      <tp t="s">
        <v>-</v>
        <stp/>
        <stp>T&amp;T1</stp>
        <stp>AGR</stp>
        <stp>87</stp>
        <tr r="F90" s="2"/>
      </tp>
      <tp t="s">
        <v>-</v>
        <stp/>
        <stp>T&amp;T0</stp>
        <stp>ACP</stp>
        <stp>82</stp>
        <tr r="J85" s="2"/>
      </tp>
      <tp t="s">
        <v>-</v>
        <stp/>
        <stp>T&amp;T1</stp>
        <stp>ACP</stp>
        <stp>82</stp>
        <tr r="B85" s="2"/>
      </tp>
      <tp t="s">
        <v>-</v>
        <stp/>
        <stp>T&amp;T0</stp>
        <stp>AGR</stp>
        <stp>86</stp>
        <tr r="N89" s="2"/>
      </tp>
      <tp t="s">
        <v>-</v>
        <stp/>
        <stp>T&amp;T1</stp>
        <stp>AGR</stp>
        <stp>86</stp>
        <tr r="F89" s="2"/>
      </tp>
      <tp t="s">
        <v>-</v>
        <stp/>
        <stp>T&amp;T0</stp>
        <stp>ACP</stp>
        <stp>81</stp>
        <tr r="J84" s="2"/>
      </tp>
      <tp t="s">
        <v>-</v>
        <stp/>
        <stp>T&amp;T1</stp>
        <stp>ACP</stp>
        <stp>81</stp>
        <tr r="B84" s="2"/>
      </tp>
      <tp t="s">
        <v>-</v>
        <stp/>
        <stp>T&amp;T0</stp>
        <stp>AGR</stp>
        <stp>85</stp>
        <tr r="N88" s="2"/>
      </tp>
      <tp t="s">
        <v>-</v>
        <stp/>
        <stp>T&amp;T1</stp>
        <stp>AGR</stp>
        <stp>85</stp>
        <tr r="F88" s="2"/>
      </tp>
      <tp t="s">
        <v>-</v>
        <stp/>
        <stp>T&amp;T0</stp>
        <stp>ACP</stp>
        <stp>80</stp>
        <tr r="J83" s="2"/>
      </tp>
      <tp t="s">
        <v>-</v>
        <stp/>
        <stp>T&amp;T1</stp>
        <stp>ACP</stp>
        <stp>80</stp>
        <tr r="B83" s="2"/>
      </tp>
      <tp t="s">
        <v>-</v>
        <stp/>
        <stp>T&amp;T0</stp>
        <stp>AGR</stp>
        <stp>84</stp>
        <tr r="N87" s="2"/>
      </tp>
      <tp t="s">
        <v>-</v>
        <stp/>
        <stp>T&amp;T1</stp>
        <stp>AGR</stp>
        <stp>84</stp>
        <tr r="F87" s="2"/>
      </tp>
      <tp t="s">
        <v>-</v>
        <stp/>
        <stp>T&amp;T0</stp>
        <stp>AVD</stp>
        <stp>88</stp>
        <tr r="M91" s="2"/>
      </tp>
      <tp t="s">
        <v>-</v>
        <stp/>
        <stp>T&amp;T1</stp>
        <stp>AVD</stp>
        <stp>88</stp>
        <tr r="E91" s="2"/>
      </tp>
      <tp t="s">
        <v>-</v>
        <stp/>
        <stp>T&amp;T0</stp>
        <stp>AVD</stp>
        <stp>89</stp>
        <tr r="M92" s="2"/>
      </tp>
      <tp t="s">
        <v>-</v>
        <stp/>
        <stp>T&amp;T1</stp>
        <stp>AVD</stp>
        <stp>89</stp>
        <tr r="E92" s="2"/>
      </tp>
      <tp t="s">
        <v>-</v>
        <stp/>
        <stp>T&amp;T0</stp>
        <stp>AVD</stp>
        <stp>82</stp>
        <tr r="M85" s="2"/>
      </tp>
      <tp t="s">
        <v>-</v>
        <stp/>
        <stp>T&amp;T1</stp>
        <stp>AVD</stp>
        <stp>82</stp>
        <tr r="E85" s="2"/>
      </tp>
      <tp t="s">
        <v>-</v>
        <stp/>
        <stp>T&amp;T0</stp>
        <stp>AVD</stp>
        <stp>83</stp>
        <tr r="M86" s="2"/>
      </tp>
      <tp t="s">
        <v>-</v>
        <stp/>
        <stp>T&amp;T1</stp>
        <stp>AVD</stp>
        <stp>83</stp>
        <tr r="E86" s="2"/>
      </tp>
      <tp t="s">
        <v>-</v>
        <stp/>
        <stp>T&amp;T0</stp>
        <stp>AVD</stp>
        <stp>80</stp>
        <tr r="M83" s="2"/>
      </tp>
      <tp t="s">
        <v>-</v>
        <stp/>
        <stp>T&amp;T1</stp>
        <stp>AVD</stp>
        <stp>80</stp>
        <tr r="E83" s="2"/>
      </tp>
      <tp t="s">
        <v>-</v>
        <stp/>
        <stp>T&amp;T0</stp>
        <stp>AVD</stp>
        <stp>81</stp>
        <tr r="M84" s="2"/>
      </tp>
      <tp t="s">
        <v>-</v>
        <stp/>
        <stp>T&amp;T1</stp>
        <stp>AVD</stp>
        <stp>81</stp>
        <tr r="E84" s="2"/>
      </tp>
      <tp t="s">
        <v>-</v>
        <stp/>
        <stp>T&amp;T0</stp>
        <stp>AVD</stp>
        <stp>86</stp>
        <tr r="M89" s="2"/>
      </tp>
      <tp t="s">
        <v>-</v>
        <stp/>
        <stp>T&amp;T1</stp>
        <stp>AVD</stp>
        <stp>86</stp>
        <tr r="E89" s="2"/>
      </tp>
      <tp t="s">
        <v>-</v>
        <stp/>
        <stp>T&amp;T0</stp>
        <stp>AVD</stp>
        <stp>87</stp>
        <tr r="M90" s="2"/>
      </tp>
      <tp t="s">
        <v>-</v>
        <stp/>
        <stp>T&amp;T1</stp>
        <stp>AVD</stp>
        <stp>87</stp>
        <tr r="E90" s="2"/>
      </tp>
      <tp t="s">
        <v>-</v>
        <stp/>
        <stp>T&amp;T0</stp>
        <stp>AVD</stp>
        <stp>84</stp>
        <tr r="M87" s="2"/>
      </tp>
      <tp t="s">
        <v>-</v>
        <stp/>
        <stp>T&amp;T1</stp>
        <stp>AVD</stp>
        <stp>84</stp>
        <tr r="E87" s="2"/>
      </tp>
      <tp t="s">
        <v>-</v>
        <stp/>
        <stp>T&amp;T0</stp>
        <stp>AVD</stp>
        <stp>85</stp>
        <tr r="M88" s="2"/>
      </tp>
      <tp t="s">
        <v>-</v>
        <stp/>
        <stp>T&amp;T1</stp>
        <stp>AVD</stp>
        <stp>85</stp>
        <tr r="E88" s="2"/>
      </tp>
      <tp t="s">
        <v>-</v>
        <stp/>
        <stp>T&amp;T0</stp>
        <stp>DAT</stp>
        <stp>89</stp>
        <tr r="I92" s="2"/>
      </tp>
      <tp t="s">
        <v>-</v>
        <stp/>
        <stp>T&amp;T1</stp>
        <stp>DAT</stp>
        <stp>89</stp>
        <tr r="A92" s="2"/>
      </tp>
      <tp t="s">
        <v>-</v>
        <stp/>
        <stp>T&amp;T0</stp>
        <stp>DAT</stp>
        <stp>88</stp>
        <tr r="I91" s="2"/>
      </tp>
      <tp t="s">
        <v>-</v>
        <stp/>
        <stp>T&amp;T1</stp>
        <stp>DAT</stp>
        <stp>88</stp>
        <tr r="A91" s="2"/>
      </tp>
      <tp t="s">
        <v>-</v>
        <stp/>
        <stp>T&amp;T0</stp>
        <stp>DAT</stp>
        <stp>85</stp>
        <tr r="I88" s="2"/>
      </tp>
      <tp t="s">
        <v>-</v>
        <stp/>
        <stp>T&amp;T1</stp>
        <stp>DAT</stp>
        <stp>85</stp>
        <tr r="A88" s="2"/>
      </tp>
      <tp t="s">
        <v>-</v>
        <stp/>
        <stp>T&amp;T0</stp>
        <stp>DAT</stp>
        <stp>84</stp>
        <tr r="I87" s="2"/>
      </tp>
      <tp t="s">
        <v>-</v>
        <stp/>
        <stp>T&amp;T1</stp>
        <stp>DAT</stp>
        <stp>84</stp>
        <tr r="A87" s="2"/>
      </tp>
      <tp t="s">
        <v>-</v>
        <stp/>
        <stp>T&amp;T0</stp>
        <stp>DAT</stp>
        <stp>87</stp>
        <tr r="I90" s="2"/>
      </tp>
      <tp t="s">
        <v>-</v>
        <stp/>
        <stp>T&amp;T1</stp>
        <stp>DAT</stp>
        <stp>87</stp>
        <tr r="A90" s="2"/>
      </tp>
      <tp t="s">
        <v>-</v>
        <stp/>
        <stp>T&amp;T0</stp>
        <stp>DAT</stp>
        <stp>86</stp>
        <tr r="I89" s="2"/>
      </tp>
      <tp t="s">
        <v>-</v>
        <stp/>
        <stp>T&amp;T1</stp>
        <stp>DAT</stp>
        <stp>86</stp>
        <tr r="A89" s="2"/>
      </tp>
      <tp t="s">
        <v>-</v>
        <stp/>
        <stp>T&amp;T0</stp>
        <stp>DAT</stp>
        <stp>81</stp>
        <tr r="I84" s="2"/>
      </tp>
      <tp t="s">
        <v>-</v>
        <stp/>
        <stp>T&amp;T1</stp>
        <stp>DAT</stp>
        <stp>81</stp>
        <tr r="A84" s="2"/>
      </tp>
      <tp t="s">
        <v>-</v>
        <stp/>
        <stp>T&amp;T0</stp>
        <stp>DAT</stp>
        <stp>80</stp>
        <tr r="I83" s="2"/>
      </tp>
      <tp t="s">
        <v>-</v>
        <stp/>
        <stp>T&amp;T1</stp>
        <stp>DAT</stp>
        <stp>80</stp>
        <tr r="A83" s="2"/>
      </tp>
      <tp t="s">
        <v>-</v>
        <stp/>
        <stp>T&amp;T0</stp>
        <stp>DAT</stp>
        <stp>83</stp>
        <tr r="I86" s="2"/>
      </tp>
      <tp t="s">
        <v>-</v>
        <stp/>
        <stp>T&amp;T1</stp>
        <stp>DAT</stp>
        <stp>83</stp>
        <tr r="A86" s="2"/>
      </tp>
      <tp t="s">
        <v>-</v>
        <stp/>
        <stp>T&amp;T0</stp>
        <stp>DAT</stp>
        <stp>82</stp>
        <tr r="I85" s="2"/>
      </tp>
      <tp t="s">
        <v>-</v>
        <stp/>
        <stp>T&amp;T1</stp>
        <stp>DAT</stp>
        <stp>82</stp>
        <tr r="A85" s="2"/>
      </tp>
      <tp t="s">
        <v>-</v>
        <stp/>
        <stp>T&amp;T0</stp>
        <stp>DAT</stp>
        <stp>99</stp>
        <tr r="I102" s="2"/>
      </tp>
      <tp t="s">
        <v>-</v>
        <stp/>
        <stp>T&amp;T1</stp>
        <stp>DAT</stp>
        <stp>99</stp>
        <tr r="A102" s="2"/>
      </tp>
      <tp t="s">
        <v>-</v>
        <stp/>
        <stp>T&amp;T0</stp>
        <stp>DAT</stp>
        <stp>98</stp>
        <tr r="I101" s="2"/>
      </tp>
      <tp t="s">
        <v>-</v>
        <stp/>
        <stp>T&amp;T1</stp>
        <stp>DAT</stp>
        <stp>98</stp>
        <tr r="A101" s="2"/>
      </tp>
      <tp t="s">
        <v>-</v>
        <stp/>
        <stp>T&amp;T0</stp>
        <stp>DAT</stp>
        <stp>95</stp>
        <tr r="I98" s="2"/>
      </tp>
      <tp t="s">
        <v>-</v>
        <stp/>
        <stp>T&amp;T1</stp>
        <stp>DAT</stp>
        <stp>95</stp>
        <tr r="A98" s="2"/>
      </tp>
      <tp t="s">
        <v>-</v>
        <stp/>
        <stp>T&amp;T0</stp>
        <stp>DAT</stp>
        <stp>94</stp>
        <tr r="I97" s="2"/>
      </tp>
      <tp t="s">
        <v>-</v>
        <stp/>
        <stp>T&amp;T1</stp>
        <stp>DAT</stp>
        <stp>94</stp>
        <tr r="A97" s="2"/>
      </tp>
      <tp t="s">
        <v>-</v>
        <stp/>
        <stp>T&amp;T0</stp>
        <stp>DAT</stp>
        <stp>97</stp>
        <tr r="I100" s="2"/>
      </tp>
      <tp t="s">
        <v>-</v>
        <stp/>
        <stp>T&amp;T1</stp>
        <stp>DAT</stp>
        <stp>97</stp>
        <tr r="A100" s="2"/>
      </tp>
      <tp t="s">
        <v>-</v>
        <stp/>
        <stp>T&amp;T0</stp>
        <stp>DAT</stp>
        <stp>96</stp>
        <tr r="I99" s="2"/>
      </tp>
      <tp t="s">
        <v>-</v>
        <stp/>
        <stp>T&amp;T1</stp>
        <stp>DAT</stp>
        <stp>96</stp>
        <tr r="A99" s="2"/>
      </tp>
      <tp t="s">
        <v>-</v>
        <stp/>
        <stp>T&amp;T0</stp>
        <stp>DAT</stp>
        <stp>91</stp>
        <tr r="I94" s="2"/>
      </tp>
      <tp t="s">
        <v>-</v>
        <stp/>
        <stp>T&amp;T1</stp>
        <stp>DAT</stp>
        <stp>91</stp>
        <tr r="A94" s="2"/>
      </tp>
      <tp t="s">
        <v>-</v>
        <stp/>
        <stp>T&amp;T0</stp>
        <stp>DAT</stp>
        <stp>90</stp>
        <tr r="I93" s="2"/>
      </tp>
      <tp t="s">
        <v>-</v>
        <stp/>
        <stp>T&amp;T1</stp>
        <stp>DAT</stp>
        <stp>90</stp>
        <tr r="A93" s="2"/>
      </tp>
      <tp t="s">
        <v>-</v>
        <stp/>
        <stp>T&amp;T0</stp>
        <stp>DAT</stp>
        <stp>93</stp>
        <tr r="I96" s="2"/>
      </tp>
      <tp t="s">
        <v>-</v>
        <stp/>
        <stp>T&amp;T1</stp>
        <stp>DAT</stp>
        <stp>93</stp>
        <tr r="A96" s="2"/>
      </tp>
      <tp t="s">
        <v>-</v>
        <stp/>
        <stp>T&amp;T0</stp>
        <stp>DAT</stp>
        <stp>92</stp>
        <tr r="I95" s="2"/>
      </tp>
      <tp t="s">
        <v>-</v>
        <stp/>
        <stp>T&amp;T1</stp>
        <stp>DAT</stp>
        <stp>92</stp>
        <tr r="A95" s="2"/>
      </tp>
      <tp t="s">
        <v>-</v>
        <stp/>
        <stp>T&amp;T0</stp>
        <stp>AGR</stp>
        <stp>39</stp>
        <tr r="N42" s="2"/>
      </tp>
      <tp t="s">
        <v>-</v>
        <stp/>
        <stp>T&amp;T1</stp>
        <stp>AGR</stp>
        <stp>39</stp>
        <tr r="F42" s="2"/>
      </tp>
      <tp t="s">
        <v>-</v>
        <stp/>
        <stp>T&amp;T0</stp>
        <stp>AGR</stp>
        <stp>38</stp>
        <tr r="N41" s="2"/>
      </tp>
      <tp t="s">
        <v>-</v>
        <stp/>
        <stp>T&amp;T1</stp>
        <stp>AGR</stp>
        <stp>38</stp>
        <tr r="F41" s="2"/>
      </tp>
      <tp t="s">
        <v>-</v>
        <stp/>
        <stp>T&amp;T0</stp>
        <stp>DAT</stp>
        <stp>69</stp>
        <tr r="I72" s="2"/>
      </tp>
      <tp t="s">
        <v>-</v>
        <stp/>
        <stp>T&amp;T1</stp>
        <stp>DAT</stp>
        <stp>69</stp>
        <tr r="A72" s="2"/>
      </tp>
      <tp t="s">
        <v>-</v>
        <stp/>
        <stp>T&amp;T0</stp>
        <stp>DAT</stp>
        <stp>68</stp>
        <tr r="I71" s="2"/>
      </tp>
      <tp t="s">
        <v>-</v>
        <stp/>
        <stp>T&amp;T1</stp>
        <stp>DAT</stp>
        <stp>68</stp>
        <tr r="A71" s="2"/>
      </tp>
      <tp t="s">
        <v>-</v>
        <stp/>
        <stp>T&amp;T0</stp>
        <stp>ACP</stp>
        <stp>39</stp>
        <tr r="J42" s="2"/>
      </tp>
      <tp t="s">
        <v>-</v>
        <stp/>
        <stp>T&amp;T1</stp>
        <stp>ACP</stp>
        <stp>39</stp>
        <tr r="B42" s="2"/>
      </tp>
      <tp t="s">
        <v>-</v>
        <stp/>
        <stp>T&amp;T0</stp>
        <stp>ACP</stp>
        <stp>38</stp>
        <tr r="J41" s="2"/>
      </tp>
      <tp t="s">
        <v>-</v>
        <stp/>
        <stp>T&amp;T1</stp>
        <stp>ACP</stp>
        <stp>38</stp>
        <tr r="B41" s="2"/>
      </tp>
      <tp t="s">
        <v>-</v>
        <stp/>
        <stp>T&amp;T0</stp>
        <stp>DAT</stp>
        <stp>65</stp>
        <tr r="I68" s="2"/>
      </tp>
      <tp t="s">
        <v>-</v>
        <stp/>
        <stp>T&amp;T1</stp>
        <stp>DAT</stp>
        <stp>65</stp>
        <tr r="A68" s="2"/>
      </tp>
      <tp t="s">
        <v>-</v>
        <stp/>
        <stp>T&amp;T0</stp>
        <stp>ACP</stp>
        <stp>37</stp>
        <tr r="J40" s="2"/>
      </tp>
      <tp t="s">
        <v>-</v>
        <stp/>
        <stp>T&amp;T1</stp>
        <stp>ACP</stp>
        <stp>37</stp>
        <tr r="B40" s="2"/>
      </tp>
      <tp t="s">
        <v>-</v>
        <stp/>
        <stp>T&amp;T0</stp>
        <stp>AGR</stp>
        <stp>33</stp>
        <tr r="N36" s="2"/>
      </tp>
      <tp t="s">
        <v>-</v>
        <stp/>
        <stp>T&amp;T1</stp>
        <stp>AGR</stp>
        <stp>33</stp>
        <tr r="F36" s="2"/>
      </tp>
      <tp t="s">
        <v>-</v>
        <stp/>
        <stp>T&amp;T0</stp>
        <stp>DAT</stp>
        <stp>64</stp>
        <tr r="I67" s="2"/>
      </tp>
      <tp t="s">
        <v>-</v>
        <stp/>
        <stp>T&amp;T1</stp>
        <stp>DAT</stp>
        <stp>64</stp>
        <tr r="A67" s="2"/>
      </tp>
      <tp t="s">
        <v>-</v>
        <stp/>
        <stp>T&amp;T0</stp>
        <stp>ACP</stp>
        <stp>36</stp>
        <tr r="J39" s="2"/>
      </tp>
      <tp t="s">
        <v>-</v>
        <stp/>
        <stp>T&amp;T1</stp>
        <stp>ACP</stp>
        <stp>36</stp>
        <tr r="B39" s="2"/>
      </tp>
      <tp t="s">
        <v>-</v>
        <stp/>
        <stp>T&amp;T0</stp>
        <stp>AGR</stp>
        <stp>32</stp>
        <tr r="N35" s="2"/>
      </tp>
      <tp t="s">
        <v>-</v>
        <stp/>
        <stp>T&amp;T1</stp>
        <stp>AGR</stp>
        <stp>32</stp>
        <tr r="F35" s="2"/>
      </tp>
      <tp t="s">
        <v>-</v>
        <stp/>
        <stp>T&amp;T0</stp>
        <stp>DAT</stp>
        <stp>67</stp>
        <tr r="I70" s="2"/>
      </tp>
      <tp t="s">
        <v>-</v>
        <stp/>
        <stp>T&amp;T1</stp>
        <stp>DAT</stp>
        <stp>67</stp>
        <tr r="A70" s="2"/>
      </tp>
      <tp t="s">
        <v>-</v>
        <stp/>
        <stp>T&amp;T0</stp>
        <stp>ACP</stp>
        <stp>35</stp>
        <tr r="J38" s="2"/>
      </tp>
      <tp t="s">
        <v>-</v>
        <stp/>
        <stp>T&amp;T1</stp>
        <stp>ACP</stp>
        <stp>35</stp>
        <tr r="B38" s="2"/>
      </tp>
      <tp t="s">
        <v>-</v>
        <stp/>
        <stp>T&amp;T0</stp>
        <stp>AGR</stp>
        <stp>31</stp>
        <tr r="N34" s="2"/>
      </tp>
      <tp t="s">
        <v>-</v>
        <stp/>
        <stp>T&amp;T1</stp>
        <stp>AGR</stp>
        <stp>31</stp>
        <tr r="F34" s="2"/>
      </tp>
      <tp t="s">
        <v>-</v>
        <stp/>
        <stp>T&amp;T0</stp>
        <stp>DAT</stp>
        <stp>66</stp>
        <tr r="I69" s="2"/>
      </tp>
      <tp t="s">
        <v>-</v>
        <stp/>
        <stp>T&amp;T1</stp>
        <stp>DAT</stp>
        <stp>66</stp>
        <tr r="A69" s="2"/>
      </tp>
      <tp t="s">
        <v>-</v>
        <stp/>
        <stp>T&amp;T0</stp>
        <stp>ACP</stp>
        <stp>34</stp>
        <tr r="J37" s="2"/>
      </tp>
      <tp t="s">
        <v>-</v>
        <stp/>
        <stp>T&amp;T1</stp>
        <stp>ACP</stp>
        <stp>34</stp>
        <tr r="B37" s="2"/>
      </tp>
      <tp t="s">
        <v>-</v>
        <stp/>
        <stp>T&amp;T0</stp>
        <stp>AGR</stp>
        <stp>30</stp>
        <tr r="N33" s="2"/>
      </tp>
      <tp t="s">
        <v>-</v>
        <stp/>
        <stp>T&amp;T1</stp>
        <stp>AGR</stp>
        <stp>30</stp>
        <tr r="F33" s="2"/>
      </tp>
      <tp t="s">
        <v>-</v>
        <stp/>
        <stp>T&amp;T0</stp>
        <stp>DAT</stp>
        <stp>61</stp>
        <tr r="I64" s="2"/>
      </tp>
      <tp t="s">
        <v>-</v>
        <stp/>
        <stp>T&amp;T1</stp>
        <stp>DAT</stp>
        <stp>61</stp>
        <tr r="A64" s="2"/>
      </tp>
      <tp t="s">
        <v>-</v>
        <stp/>
        <stp>T&amp;T0</stp>
        <stp>ACP</stp>
        <stp>33</stp>
        <tr r="J36" s="2"/>
      </tp>
      <tp t="s">
        <v>-</v>
        <stp/>
        <stp>T&amp;T1</stp>
        <stp>ACP</stp>
        <stp>33</stp>
        <tr r="B36" s="2"/>
      </tp>
      <tp t="s">
        <v>-</v>
        <stp/>
        <stp>T&amp;T0</stp>
        <stp>AGR</stp>
        <stp>37</stp>
        <tr r="N40" s="2"/>
      </tp>
      <tp t="s">
        <v>-</v>
        <stp/>
        <stp>T&amp;T1</stp>
        <stp>AGR</stp>
        <stp>37</stp>
        <tr r="F40" s="2"/>
      </tp>
      <tp t="s">
        <v>-</v>
        <stp/>
        <stp>T&amp;T0</stp>
        <stp>DAT</stp>
        <stp>60</stp>
        <tr r="I63" s="2"/>
      </tp>
      <tp t="s">
        <v>-</v>
        <stp/>
        <stp>T&amp;T1</stp>
        <stp>DAT</stp>
        <stp>60</stp>
        <tr r="A63" s="2"/>
      </tp>
      <tp t="s">
        <v>-</v>
        <stp/>
        <stp>T&amp;T0</stp>
        <stp>ACP</stp>
        <stp>32</stp>
        <tr r="J35" s="2"/>
      </tp>
      <tp t="s">
        <v>-</v>
        <stp/>
        <stp>T&amp;T1</stp>
        <stp>ACP</stp>
        <stp>32</stp>
        <tr r="B35" s="2"/>
      </tp>
      <tp t="s">
        <v>-</v>
        <stp/>
        <stp>T&amp;T0</stp>
        <stp>AGR</stp>
        <stp>36</stp>
        <tr r="N39" s="2"/>
      </tp>
      <tp t="s">
        <v>-</v>
        <stp/>
        <stp>T&amp;T1</stp>
        <stp>AGR</stp>
        <stp>36</stp>
        <tr r="F39" s="2"/>
      </tp>
      <tp t="s">
        <v>-</v>
        <stp/>
        <stp>T&amp;T0</stp>
        <stp>DAT</stp>
        <stp>63</stp>
        <tr r="I66" s="2"/>
      </tp>
      <tp t="s">
        <v>-</v>
        <stp/>
        <stp>T&amp;T1</stp>
        <stp>DAT</stp>
        <stp>63</stp>
        <tr r="A66" s="2"/>
      </tp>
      <tp t="s">
        <v>-</v>
        <stp/>
        <stp>T&amp;T0</stp>
        <stp>ACP</stp>
        <stp>31</stp>
        <tr r="J34" s="2"/>
      </tp>
      <tp t="s">
        <v>-</v>
        <stp/>
        <stp>T&amp;T1</stp>
        <stp>ACP</stp>
        <stp>31</stp>
        <tr r="B34" s="2"/>
      </tp>
      <tp t="s">
        <v>-</v>
        <stp/>
        <stp>T&amp;T0</stp>
        <stp>AGR</stp>
        <stp>35</stp>
        <tr r="N38" s="2"/>
      </tp>
      <tp t="s">
        <v>-</v>
        <stp/>
        <stp>T&amp;T1</stp>
        <stp>AGR</stp>
        <stp>35</stp>
        <tr r="F38" s="2"/>
      </tp>
      <tp t="s">
        <v>-</v>
        <stp/>
        <stp>T&amp;T0</stp>
        <stp>DAT</stp>
        <stp>62</stp>
        <tr r="I65" s="2"/>
      </tp>
      <tp t="s">
        <v>-</v>
        <stp/>
        <stp>T&amp;T1</stp>
        <stp>DAT</stp>
        <stp>62</stp>
        <tr r="A65" s="2"/>
      </tp>
      <tp t="s">
        <v>-</v>
        <stp/>
        <stp>T&amp;T0</stp>
        <stp>ACP</stp>
        <stp>30</stp>
        <tr r="J33" s="2"/>
      </tp>
      <tp t="s">
        <v>-</v>
        <stp/>
        <stp>T&amp;T1</stp>
        <stp>ACP</stp>
        <stp>30</stp>
        <tr r="B33" s="2"/>
      </tp>
      <tp t="s">
        <v>-</v>
        <stp/>
        <stp>T&amp;T0</stp>
        <stp>AGR</stp>
        <stp>34</stp>
        <tr r="N37" s="2"/>
      </tp>
      <tp t="s">
        <v>-</v>
        <stp/>
        <stp>T&amp;T1</stp>
        <stp>AGR</stp>
        <stp>34</stp>
        <tr r="F37" s="2"/>
      </tp>
      <tp t="s">
        <v>-</v>
        <stp/>
        <stp>T&amp;T0</stp>
        <stp>AVD</stp>
        <stp>38</stp>
        <tr r="M41" s="2"/>
      </tp>
      <tp t="s">
        <v>-</v>
        <stp/>
        <stp>T&amp;T1</stp>
        <stp>AVD</stp>
        <stp>38</stp>
        <tr r="E41" s="2"/>
      </tp>
      <tp t="s">
        <v>-</v>
        <stp/>
        <stp>T&amp;T0</stp>
        <stp>AVD</stp>
        <stp>39</stp>
        <tr r="M42" s="2"/>
      </tp>
      <tp t="s">
        <v>-</v>
        <stp/>
        <stp>T&amp;T1</stp>
        <stp>AVD</stp>
        <stp>39</stp>
        <tr r="E42" s="2"/>
      </tp>
      <tp t="s">
        <v>-</v>
        <stp/>
        <stp>T&amp;T0</stp>
        <stp>AVD</stp>
        <stp>32</stp>
        <tr r="M35" s="2"/>
      </tp>
      <tp t="s">
        <v>-</v>
        <stp/>
        <stp>T&amp;T1</stp>
        <stp>AVD</stp>
        <stp>32</stp>
        <tr r="E35" s="2"/>
      </tp>
      <tp t="s">
        <v>-</v>
        <stp/>
        <stp>T&amp;T0</stp>
        <stp>AVD</stp>
        <stp>33</stp>
        <tr r="M36" s="2"/>
      </tp>
      <tp t="s">
        <v>-</v>
        <stp/>
        <stp>T&amp;T1</stp>
        <stp>AVD</stp>
        <stp>33</stp>
        <tr r="E36" s="2"/>
      </tp>
      <tp t="s">
        <v>-</v>
        <stp/>
        <stp>T&amp;T0</stp>
        <stp>AVD</stp>
        <stp>30</stp>
        <tr r="M33" s="2"/>
      </tp>
      <tp t="s">
        <v>-</v>
        <stp/>
        <stp>T&amp;T1</stp>
        <stp>AVD</stp>
        <stp>30</stp>
        <tr r="E33" s="2"/>
      </tp>
      <tp t="s">
        <v>-</v>
        <stp/>
        <stp>T&amp;T0</stp>
        <stp>AVD</stp>
        <stp>31</stp>
        <tr r="M34" s="2"/>
      </tp>
      <tp t="s">
        <v>-</v>
        <stp/>
        <stp>T&amp;T1</stp>
        <stp>AVD</stp>
        <stp>31</stp>
        <tr r="E34" s="2"/>
      </tp>
      <tp t="s">
        <v>-</v>
        <stp/>
        <stp>T&amp;T0</stp>
        <stp>AVD</stp>
        <stp>36</stp>
        <tr r="M39" s="2"/>
      </tp>
      <tp t="s">
        <v>-</v>
        <stp/>
        <stp>T&amp;T1</stp>
        <stp>AVD</stp>
        <stp>36</stp>
        <tr r="E39" s="2"/>
      </tp>
      <tp t="s">
        <v>-</v>
        <stp/>
        <stp>T&amp;T0</stp>
        <stp>AVD</stp>
        <stp>37</stp>
        <tr r="M40" s="2"/>
      </tp>
      <tp t="s">
        <v>-</v>
        <stp/>
        <stp>T&amp;T1</stp>
        <stp>AVD</stp>
        <stp>37</stp>
        <tr r="E40" s="2"/>
      </tp>
      <tp t="s">
        <v>-</v>
        <stp/>
        <stp>T&amp;T0</stp>
        <stp>AVD</stp>
        <stp>34</stp>
        <tr r="M37" s="2"/>
      </tp>
      <tp t="s">
        <v>-</v>
        <stp/>
        <stp>T&amp;T1</stp>
        <stp>AVD</stp>
        <stp>34</stp>
        <tr r="E37" s="2"/>
      </tp>
      <tp t="s">
        <v>-</v>
        <stp/>
        <stp>T&amp;T0</stp>
        <stp>AVD</stp>
        <stp>35</stp>
        <tr r="M38" s="2"/>
      </tp>
      <tp t="s">
        <v>-</v>
        <stp/>
        <stp>T&amp;T1</stp>
        <stp>AVD</stp>
        <stp>35</stp>
        <tr r="E38" s="2"/>
      </tp>
      <tp t="s">
        <v>-</v>
        <stp/>
        <stp>T&amp;T0</stp>
        <stp>AGR</stp>
        <stp>29</stp>
        <tr r="N32" s="2"/>
      </tp>
      <tp t="s">
        <v>-</v>
        <stp/>
        <stp>T&amp;T1</stp>
        <stp>AGR</stp>
        <stp>29</stp>
        <tr r="F32" s="2"/>
      </tp>
      <tp t="s">
        <v>-</v>
        <stp/>
        <stp>T&amp;T0</stp>
        <stp>AGR</stp>
        <stp>28</stp>
        <tr r="N31" s="2"/>
      </tp>
      <tp t="s">
        <v>-</v>
        <stp/>
        <stp>T&amp;T1</stp>
        <stp>AGR</stp>
        <stp>28</stp>
        <tr r="F31" s="2"/>
      </tp>
      <tp t="s">
        <v>-</v>
        <stp/>
        <stp>T&amp;T0</stp>
        <stp>DAT</stp>
        <stp>79</stp>
        <tr r="I82" s="2"/>
      </tp>
      <tp t="s">
        <v>-</v>
        <stp/>
        <stp>T&amp;T1</stp>
        <stp>DAT</stp>
        <stp>79</stp>
        <tr r="A82" s="2"/>
      </tp>
      <tp t="s">
        <v>-</v>
        <stp/>
        <stp>T&amp;T0</stp>
        <stp>DAT</stp>
        <stp>78</stp>
        <tr r="I81" s="2"/>
      </tp>
      <tp t="s">
        <v>-</v>
        <stp/>
        <stp>T&amp;T1</stp>
        <stp>DAT</stp>
        <stp>78</stp>
        <tr r="A81" s="2"/>
      </tp>
      <tp t="s">
        <v>-</v>
        <stp/>
        <stp>T&amp;T0</stp>
        <stp>ACP</stp>
        <stp>29</stp>
        <tr r="J32" s="2"/>
      </tp>
      <tp t="s">
        <v>-</v>
        <stp/>
        <stp>T&amp;T1</stp>
        <stp>ACP</stp>
        <stp>29</stp>
        <tr r="B32" s="2"/>
      </tp>
      <tp t="s">
        <v>-</v>
        <stp/>
        <stp>T&amp;T0</stp>
        <stp>ACP</stp>
        <stp>28</stp>
        <tr r="J31" s="2"/>
      </tp>
      <tp t="s">
        <v>-</v>
        <stp/>
        <stp>T&amp;T1</stp>
        <stp>ACP</stp>
        <stp>28</stp>
        <tr r="B31" s="2"/>
      </tp>
      <tp t="s">
        <v>-</v>
        <stp/>
        <stp>T&amp;T0</stp>
        <stp>DAT</stp>
        <stp>75</stp>
        <tr r="I78" s="2"/>
      </tp>
      <tp t="s">
        <v>-</v>
        <stp/>
        <stp>T&amp;T1</stp>
        <stp>DAT</stp>
        <stp>75</stp>
        <tr r="A78" s="2"/>
      </tp>
      <tp t="s">
        <v>-</v>
        <stp/>
        <stp>T&amp;T0</stp>
        <stp>ACP</stp>
        <stp>27</stp>
        <tr r="J30" s="2"/>
      </tp>
      <tp t="s">
        <v>-</v>
        <stp/>
        <stp>T&amp;T1</stp>
        <stp>ACP</stp>
        <stp>27</stp>
        <tr r="B30" s="2"/>
      </tp>
      <tp t="s">
        <v>-</v>
        <stp/>
        <stp>T&amp;T0</stp>
        <stp>AGR</stp>
        <stp>23</stp>
        <tr r="N26" s="2"/>
      </tp>
      <tp t="s">
        <v>-</v>
        <stp/>
        <stp>T&amp;T1</stp>
        <stp>AGR</stp>
        <stp>23</stp>
        <tr r="F26" s="2"/>
      </tp>
      <tp t="s">
        <v>-</v>
        <stp/>
        <stp>T&amp;T0</stp>
        <stp>DAT</stp>
        <stp>74</stp>
        <tr r="I77" s="2"/>
      </tp>
      <tp t="s">
        <v>-</v>
        <stp/>
        <stp>T&amp;T1</stp>
        <stp>DAT</stp>
        <stp>74</stp>
        <tr r="A77" s="2"/>
      </tp>
      <tp t="s">
        <v>-</v>
        <stp/>
        <stp>T&amp;T0</stp>
        <stp>ACP</stp>
        <stp>26</stp>
        <tr r="J29" s="2"/>
      </tp>
      <tp t="s">
        <v>-</v>
        <stp/>
        <stp>T&amp;T1</stp>
        <stp>ACP</stp>
        <stp>26</stp>
        <tr r="B29" s="2"/>
      </tp>
      <tp t="s">
        <v>-</v>
        <stp/>
        <stp>T&amp;T0</stp>
        <stp>AGR</stp>
        <stp>22</stp>
        <tr r="N25" s="2"/>
      </tp>
      <tp t="s">
        <v>-</v>
        <stp/>
        <stp>T&amp;T1</stp>
        <stp>AGR</stp>
        <stp>22</stp>
        <tr r="F25" s="2"/>
      </tp>
      <tp t="s">
        <v>-</v>
        <stp/>
        <stp>T&amp;T0</stp>
        <stp>DAT</stp>
        <stp>77</stp>
        <tr r="I80" s="2"/>
      </tp>
      <tp t="s">
        <v>-</v>
        <stp/>
        <stp>T&amp;T1</stp>
        <stp>DAT</stp>
        <stp>77</stp>
        <tr r="A80" s="2"/>
      </tp>
      <tp t="s">
        <v>-</v>
        <stp/>
        <stp>T&amp;T0</stp>
        <stp>ACP</stp>
        <stp>25</stp>
        <tr r="J28" s="2"/>
      </tp>
      <tp t="s">
        <v>-</v>
        <stp/>
        <stp>T&amp;T1</stp>
        <stp>ACP</stp>
        <stp>25</stp>
        <tr r="B28" s="2"/>
      </tp>
      <tp t="s">
        <v>-</v>
        <stp/>
        <stp>T&amp;T0</stp>
        <stp>AGR</stp>
        <stp>21</stp>
        <tr r="N24" s="2"/>
      </tp>
      <tp t="s">
        <v>-</v>
        <stp/>
        <stp>T&amp;T1</stp>
        <stp>AGR</stp>
        <stp>21</stp>
        <tr r="F24" s="2"/>
      </tp>
      <tp t="s">
        <v>-</v>
        <stp/>
        <stp>T&amp;T0</stp>
        <stp>DAT</stp>
        <stp>76</stp>
        <tr r="I79" s="2"/>
      </tp>
      <tp t="s">
        <v>-</v>
        <stp/>
        <stp>T&amp;T1</stp>
        <stp>DAT</stp>
        <stp>76</stp>
        <tr r="A79" s="2"/>
      </tp>
      <tp t="s">
        <v>-</v>
        <stp/>
        <stp>T&amp;T0</stp>
        <stp>ACP</stp>
        <stp>24</stp>
        <tr r="J27" s="2"/>
      </tp>
      <tp t="s">
        <v>-</v>
        <stp/>
        <stp>T&amp;T1</stp>
        <stp>ACP</stp>
        <stp>24</stp>
        <tr r="B27" s="2"/>
      </tp>
      <tp t="s">
        <v>-</v>
        <stp/>
        <stp>T&amp;T0</stp>
        <stp>AGR</stp>
        <stp>20</stp>
        <tr r="N23" s="2"/>
      </tp>
      <tp t="s">
        <v>-</v>
        <stp/>
        <stp>T&amp;T1</stp>
        <stp>AGR</stp>
        <stp>20</stp>
        <tr r="F23" s="2"/>
      </tp>
      <tp t="s">
        <v>-</v>
        <stp/>
        <stp>T&amp;T0</stp>
        <stp>DAT</stp>
        <stp>71</stp>
        <tr r="I74" s="2"/>
      </tp>
      <tp t="s">
        <v>-</v>
        <stp/>
        <stp>T&amp;T1</stp>
        <stp>DAT</stp>
        <stp>71</stp>
        <tr r="A74" s="2"/>
      </tp>
      <tp t="s">
        <v>-</v>
        <stp/>
        <stp>T&amp;T0</stp>
        <stp>ACP</stp>
        <stp>23</stp>
        <tr r="J26" s="2"/>
      </tp>
      <tp t="s">
        <v>-</v>
        <stp/>
        <stp>T&amp;T1</stp>
        <stp>ACP</stp>
        <stp>23</stp>
        <tr r="B26" s="2"/>
      </tp>
      <tp t="s">
        <v>-</v>
        <stp/>
        <stp>T&amp;T0</stp>
        <stp>AGR</stp>
        <stp>27</stp>
        <tr r="N30" s="2"/>
      </tp>
      <tp t="s">
        <v>-</v>
        <stp/>
        <stp>T&amp;T1</stp>
        <stp>AGR</stp>
        <stp>27</stp>
        <tr r="F30" s="2"/>
      </tp>
      <tp t="s">
        <v>-</v>
        <stp/>
        <stp>T&amp;T0</stp>
        <stp>DAT</stp>
        <stp>70</stp>
        <tr r="I73" s="2"/>
      </tp>
      <tp t="s">
        <v>-</v>
        <stp/>
        <stp>T&amp;T1</stp>
        <stp>DAT</stp>
        <stp>70</stp>
        <tr r="A73" s="2"/>
      </tp>
      <tp t="s">
        <v>-</v>
        <stp/>
        <stp>T&amp;T0</stp>
        <stp>ACP</stp>
        <stp>22</stp>
        <tr r="J25" s="2"/>
      </tp>
      <tp t="s">
        <v>-</v>
        <stp/>
        <stp>T&amp;T1</stp>
        <stp>ACP</stp>
        <stp>22</stp>
        <tr r="B25" s="2"/>
      </tp>
      <tp t="s">
        <v>-</v>
        <stp/>
        <stp>T&amp;T0</stp>
        <stp>AGR</stp>
        <stp>26</stp>
        <tr r="N29" s="2"/>
      </tp>
      <tp t="s">
        <v>-</v>
        <stp/>
        <stp>T&amp;T1</stp>
        <stp>AGR</stp>
        <stp>26</stp>
        <tr r="F29" s="2"/>
      </tp>
      <tp t="s">
        <v>-</v>
        <stp/>
        <stp>T&amp;T0</stp>
        <stp>DAT</stp>
        <stp>73</stp>
        <tr r="I76" s="2"/>
      </tp>
      <tp t="s">
        <v>-</v>
        <stp/>
        <stp>T&amp;T1</stp>
        <stp>DAT</stp>
        <stp>73</stp>
        <tr r="A76" s="2"/>
      </tp>
      <tp t="s">
        <v>-</v>
        <stp/>
        <stp>T&amp;T0</stp>
        <stp>ACP</stp>
        <stp>21</stp>
        <tr r="J24" s="2"/>
      </tp>
      <tp t="s">
        <v>-</v>
        <stp/>
        <stp>T&amp;T1</stp>
        <stp>ACP</stp>
        <stp>21</stp>
        <tr r="B24" s="2"/>
      </tp>
      <tp t="s">
        <v>-</v>
        <stp/>
        <stp>T&amp;T0</stp>
        <stp>AGR</stp>
        <stp>25</stp>
        <tr r="N28" s="2"/>
      </tp>
      <tp t="s">
        <v>-</v>
        <stp/>
        <stp>T&amp;T1</stp>
        <stp>AGR</stp>
        <stp>25</stp>
        <tr r="F28" s="2"/>
      </tp>
      <tp t="s">
        <v>-</v>
        <stp/>
        <stp>T&amp;T0</stp>
        <stp>DAT</stp>
        <stp>72</stp>
        <tr r="I75" s="2"/>
      </tp>
      <tp t="s">
        <v>-</v>
        <stp/>
        <stp>T&amp;T1</stp>
        <stp>DAT</stp>
        <stp>72</stp>
        <tr r="A75" s="2"/>
      </tp>
      <tp t="s">
        <v>-</v>
        <stp/>
        <stp>T&amp;T0</stp>
        <stp>ACP</stp>
        <stp>20</stp>
        <tr r="J23" s="2"/>
      </tp>
      <tp t="s">
        <v>-</v>
        <stp/>
        <stp>T&amp;T1</stp>
        <stp>ACP</stp>
        <stp>20</stp>
        <tr r="B23" s="2"/>
      </tp>
      <tp t="s">
        <v>-</v>
        <stp/>
        <stp>T&amp;T0</stp>
        <stp>AGR</stp>
        <stp>24</stp>
        <tr r="N27" s="2"/>
      </tp>
      <tp t="s">
        <v>-</v>
        <stp/>
        <stp>T&amp;T1</stp>
        <stp>AGR</stp>
        <stp>24</stp>
        <tr r="F27" s="2"/>
      </tp>
      <tp t="s">
        <v>-</v>
        <stp/>
        <stp>T&amp;T0</stp>
        <stp>AVD</stp>
        <stp>28</stp>
        <tr r="M31" s="2"/>
      </tp>
      <tp t="s">
        <v>-</v>
        <stp/>
        <stp>T&amp;T1</stp>
        <stp>AVD</stp>
        <stp>28</stp>
        <tr r="E31" s="2"/>
      </tp>
      <tp t="s">
        <v>-</v>
        <stp/>
        <stp>T&amp;T0</stp>
        <stp>AVD</stp>
        <stp>29</stp>
        <tr r="M32" s="2"/>
      </tp>
      <tp t="s">
        <v>-</v>
        <stp/>
        <stp>T&amp;T1</stp>
        <stp>AVD</stp>
        <stp>29</stp>
        <tr r="E32" s="2"/>
      </tp>
      <tp t="s">
        <v>-</v>
        <stp/>
        <stp>T&amp;T0</stp>
        <stp>AVD</stp>
        <stp>22</stp>
        <tr r="M25" s="2"/>
      </tp>
      <tp t="s">
        <v>-</v>
        <stp/>
        <stp>T&amp;T1</stp>
        <stp>AVD</stp>
        <stp>22</stp>
        <tr r="E25" s="2"/>
      </tp>
      <tp t="s">
        <v>-</v>
        <stp/>
        <stp>T&amp;T0</stp>
        <stp>AVD</stp>
        <stp>23</stp>
        <tr r="M26" s="2"/>
      </tp>
      <tp t="s">
        <v>-</v>
        <stp/>
        <stp>T&amp;T1</stp>
        <stp>AVD</stp>
        <stp>23</stp>
        <tr r="E26" s="2"/>
      </tp>
      <tp t="s">
        <v>-</v>
        <stp/>
        <stp>T&amp;T0</stp>
        <stp>AVD</stp>
        <stp>20</stp>
        <tr r="M23" s="2"/>
      </tp>
      <tp t="s">
        <v>-</v>
        <stp/>
        <stp>T&amp;T1</stp>
        <stp>AVD</stp>
        <stp>20</stp>
        <tr r="E23" s="2"/>
      </tp>
      <tp t="s">
        <v>-</v>
        <stp/>
        <stp>T&amp;T0</stp>
        <stp>AVD</stp>
        <stp>21</stp>
        <tr r="M24" s="2"/>
      </tp>
      <tp t="s">
        <v>-</v>
        <stp/>
        <stp>T&amp;T1</stp>
        <stp>AVD</stp>
        <stp>21</stp>
        <tr r="E24" s="2"/>
      </tp>
      <tp t="s">
        <v>-</v>
        <stp/>
        <stp>T&amp;T0</stp>
        <stp>AVD</stp>
        <stp>26</stp>
        <tr r="M29" s="2"/>
      </tp>
      <tp t="s">
        <v>-</v>
        <stp/>
        <stp>T&amp;T1</stp>
        <stp>AVD</stp>
        <stp>26</stp>
        <tr r="E29" s="2"/>
      </tp>
      <tp t="s">
        <v>-</v>
        <stp/>
        <stp>T&amp;T0</stp>
        <stp>AVD</stp>
        <stp>27</stp>
        <tr r="M30" s="2"/>
      </tp>
      <tp t="s">
        <v>-</v>
        <stp/>
        <stp>T&amp;T1</stp>
        <stp>AVD</stp>
        <stp>27</stp>
        <tr r="E30" s="2"/>
      </tp>
      <tp t="s">
        <v>-</v>
        <stp/>
        <stp>T&amp;T0</stp>
        <stp>AVD</stp>
        <stp>24</stp>
        <tr r="M27" s="2"/>
      </tp>
      <tp t="s">
        <v>-</v>
        <stp/>
        <stp>T&amp;T1</stp>
        <stp>AVD</stp>
        <stp>24</stp>
        <tr r="E27" s="2"/>
      </tp>
      <tp t="s">
        <v>-</v>
        <stp/>
        <stp>T&amp;T0</stp>
        <stp>AVD</stp>
        <stp>25</stp>
        <tr r="M28" s="2"/>
      </tp>
      <tp t="s">
        <v>-</v>
        <stp/>
        <stp>T&amp;T1</stp>
        <stp>AVD</stp>
        <stp>25</stp>
        <tr r="E28" s="2"/>
      </tp>
      <tp t="s">
        <v>-</v>
        <stp/>
        <stp>T&amp;T0</stp>
        <stp>AGR</stp>
        <stp>19</stp>
        <tr r="N22" s="2"/>
      </tp>
      <tp t="s">
        <v>-</v>
        <stp/>
        <stp>T&amp;T1</stp>
        <stp>AGR</stp>
        <stp>19</stp>
        <tr r="F22" s="2"/>
      </tp>
      <tp t="s">
        <v>-</v>
        <stp/>
        <stp>T&amp;T0</stp>
        <stp>AGR</stp>
        <stp>18</stp>
        <tr r="N21" s="2"/>
      </tp>
      <tp t="s">
        <v>-</v>
        <stp/>
        <stp>T&amp;T1</stp>
        <stp>AGR</stp>
        <stp>18</stp>
        <tr r="F21" s="2"/>
      </tp>
      <tp t="s">
        <v>-</v>
        <stp/>
        <stp>T&amp;T0</stp>
        <stp>DAT</stp>
        <stp>49</stp>
        <tr r="I52" s="2"/>
      </tp>
      <tp t="s">
        <v>-</v>
        <stp/>
        <stp>T&amp;T1</stp>
        <stp>DAT</stp>
        <stp>49</stp>
        <tr r="A52" s="2"/>
      </tp>
      <tp t="s">
        <v>-</v>
        <stp/>
        <stp>T&amp;T0</stp>
        <stp>DAT</stp>
        <stp>48</stp>
        <tr r="I51" s="2"/>
      </tp>
      <tp t="s">
        <v>-</v>
        <stp/>
        <stp>T&amp;T1</stp>
        <stp>DAT</stp>
        <stp>48</stp>
        <tr r="A51" s="2"/>
      </tp>
      <tp t="s">
        <v>-</v>
        <stp/>
        <stp>T&amp;T0</stp>
        <stp>ACP</stp>
        <stp>19</stp>
        <tr r="J22" s="2"/>
      </tp>
      <tp t="s">
        <v>-</v>
        <stp/>
        <stp>T&amp;T1</stp>
        <stp>ACP</stp>
        <stp>19</stp>
        <tr r="B22" s="2"/>
      </tp>
      <tp t="s">
        <v>-</v>
        <stp/>
        <stp>T&amp;T0</stp>
        <stp>ACP</stp>
        <stp>18</stp>
        <tr r="J21" s="2"/>
      </tp>
      <tp t="s">
        <v>-</v>
        <stp/>
        <stp>T&amp;T1</stp>
        <stp>ACP</stp>
        <stp>18</stp>
        <tr r="B21" s="2"/>
      </tp>
      <tp t="s">
        <v>-</v>
        <stp/>
        <stp>T&amp;T0</stp>
        <stp>DAT</stp>
        <stp>45</stp>
        <tr r="I48" s="2"/>
      </tp>
      <tp t="s">
        <v>-</v>
        <stp/>
        <stp>T&amp;T1</stp>
        <stp>DAT</stp>
        <stp>45</stp>
        <tr r="A48" s="2"/>
      </tp>
      <tp t="s">
        <v>-</v>
        <stp/>
        <stp>T&amp;T0</stp>
        <stp>ACP</stp>
        <stp>17</stp>
        <tr r="J20" s="2"/>
      </tp>
      <tp t="s">
        <v>-</v>
        <stp/>
        <stp>T&amp;T1</stp>
        <stp>ACP</stp>
        <stp>17</stp>
        <tr r="B20" s="2"/>
      </tp>
      <tp t="s">
        <v>-</v>
        <stp/>
        <stp>T&amp;T0</stp>
        <stp>AGR</stp>
        <stp>13</stp>
        <tr r="N16" s="2"/>
      </tp>
      <tp t="s">
        <v>-</v>
        <stp/>
        <stp>T&amp;T1</stp>
        <stp>AGR</stp>
        <stp>13</stp>
        <tr r="F16" s="2"/>
      </tp>
      <tp t="s">
        <v>-</v>
        <stp/>
        <stp>T&amp;T0</stp>
        <stp>DAT</stp>
        <stp>44</stp>
        <tr r="I47" s="2"/>
      </tp>
      <tp t="s">
        <v>-</v>
        <stp/>
        <stp>T&amp;T1</stp>
        <stp>DAT</stp>
        <stp>44</stp>
        <tr r="A47" s="2"/>
      </tp>
      <tp t="s">
        <v>-</v>
        <stp/>
        <stp>T&amp;T0</stp>
        <stp>ACP</stp>
        <stp>16</stp>
        <tr r="J19" s="2"/>
      </tp>
      <tp t="s">
        <v>-</v>
        <stp/>
        <stp>T&amp;T1</stp>
        <stp>ACP</stp>
        <stp>16</stp>
        <tr r="B19" s="2"/>
      </tp>
      <tp t="s">
        <v>-</v>
        <stp/>
        <stp>T&amp;T0</stp>
        <stp>AGR</stp>
        <stp>12</stp>
        <tr r="N15" s="2"/>
      </tp>
      <tp t="s">
        <v>-</v>
        <stp/>
        <stp>T&amp;T1</stp>
        <stp>AGR</stp>
        <stp>12</stp>
        <tr r="F15" s="2"/>
      </tp>
      <tp t="s">
        <v>-</v>
        <stp/>
        <stp>T&amp;T0</stp>
        <stp>DAT</stp>
        <stp>47</stp>
        <tr r="I50" s="2"/>
      </tp>
      <tp t="s">
        <v>-</v>
        <stp/>
        <stp>T&amp;T1</stp>
        <stp>DAT</stp>
        <stp>47</stp>
        <tr r="A50" s="2"/>
      </tp>
      <tp t="s">
        <v>-</v>
        <stp/>
        <stp>T&amp;T0</stp>
        <stp>ACP</stp>
        <stp>15</stp>
        <tr r="J18" s="2"/>
      </tp>
      <tp t="s">
        <v>-</v>
        <stp/>
        <stp>T&amp;T1</stp>
        <stp>ACP</stp>
        <stp>15</stp>
        <tr r="B18" s="2"/>
      </tp>
      <tp t="s">
        <v>-</v>
        <stp/>
        <stp>T&amp;T0</stp>
        <stp>AGR</stp>
        <stp>11</stp>
        <tr r="N14" s="2"/>
      </tp>
      <tp t="s">
        <v>-</v>
        <stp/>
        <stp>T&amp;T1</stp>
        <stp>AGR</stp>
        <stp>11</stp>
        <tr r="F14" s="2"/>
      </tp>
      <tp t="s">
        <v>-</v>
        <stp/>
        <stp>T&amp;T0</stp>
        <stp>DAT</stp>
        <stp>46</stp>
        <tr r="I49" s="2"/>
      </tp>
      <tp t="s">
        <v>-</v>
        <stp/>
        <stp>T&amp;T1</stp>
        <stp>DAT</stp>
        <stp>46</stp>
        <tr r="A49" s="2"/>
      </tp>
      <tp t="s">
        <v>-</v>
        <stp/>
        <stp>T&amp;T0</stp>
        <stp>ACP</stp>
        <stp>14</stp>
        <tr r="J17" s="2"/>
      </tp>
      <tp t="s">
        <v>-</v>
        <stp/>
        <stp>T&amp;T1</stp>
        <stp>ACP</stp>
        <stp>14</stp>
        <tr r="B17" s="2"/>
      </tp>
      <tp t="s">
        <v>-</v>
        <stp/>
        <stp>T&amp;T0</stp>
        <stp>AGR</stp>
        <stp>10</stp>
        <tr r="N13" s="2"/>
      </tp>
      <tp t="s">
        <v>-</v>
        <stp/>
        <stp>T&amp;T1</stp>
        <stp>AGR</stp>
        <stp>10</stp>
        <tr r="F13" s="2"/>
      </tp>
      <tp t="s">
        <v>-</v>
        <stp/>
        <stp>T&amp;T0</stp>
        <stp>DAT</stp>
        <stp>41</stp>
        <tr r="I44" s="2"/>
      </tp>
      <tp t="s">
        <v>-</v>
        <stp/>
        <stp>T&amp;T1</stp>
        <stp>DAT</stp>
        <stp>41</stp>
        <tr r="A44" s="2"/>
      </tp>
      <tp t="s">
        <v>-</v>
        <stp/>
        <stp>T&amp;T0</stp>
        <stp>ACP</stp>
        <stp>13</stp>
        <tr r="J16" s="2"/>
      </tp>
      <tp t="s">
        <v>-</v>
        <stp/>
        <stp>T&amp;T1</stp>
        <stp>ACP</stp>
        <stp>13</stp>
        <tr r="B16" s="2"/>
      </tp>
      <tp t="s">
        <v>-</v>
        <stp/>
        <stp>T&amp;T0</stp>
        <stp>AGR</stp>
        <stp>17</stp>
        <tr r="N20" s="2"/>
      </tp>
      <tp t="s">
        <v>-</v>
        <stp/>
        <stp>T&amp;T1</stp>
        <stp>AGR</stp>
        <stp>17</stp>
        <tr r="F20" s="2"/>
      </tp>
      <tp t="s">
        <v>-</v>
        <stp/>
        <stp>T&amp;T0</stp>
        <stp>DAT</stp>
        <stp>40</stp>
        <tr r="I43" s="2"/>
      </tp>
      <tp t="s">
        <v>-</v>
        <stp/>
        <stp>T&amp;T1</stp>
        <stp>DAT</stp>
        <stp>40</stp>
        <tr r="A43" s="2"/>
      </tp>
      <tp t="s">
        <v>-</v>
        <stp/>
        <stp>T&amp;T0</stp>
        <stp>ACP</stp>
        <stp>12</stp>
        <tr r="J15" s="2"/>
      </tp>
      <tp t="s">
        <v>-</v>
        <stp/>
        <stp>T&amp;T1</stp>
        <stp>ACP</stp>
        <stp>12</stp>
        <tr r="B15" s="2"/>
      </tp>
      <tp t="s">
        <v>-</v>
        <stp/>
        <stp>T&amp;T0</stp>
        <stp>AGR</stp>
        <stp>16</stp>
        <tr r="N19" s="2"/>
      </tp>
      <tp t="s">
        <v>-</v>
        <stp/>
        <stp>T&amp;T1</stp>
        <stp>AGR</stp>
        <stp>16</stp>
        <tr r="F19" s="2"/>
      </tp>
      <tp t="s">
        <v>-</v>
        <stp/>
        <stp>T&amp;T0</stp>
        <stp>DAT</stp>
        <stp>43</stp>
        <tr r="I46" s="2"/>
      </tp>
      <tp t="s">
        <v>-</v>
        <stp/>
        <stp>T&amp;T1</stp>
        <stp>DAT</stp>
        <stp>43</stp>
        <tr r="A46" s="2"/>
      </tp>
      <tp t="s">
        <v>-</v>
        <stp/>
        <stp>T&amp;T0</stp>
        <stp>ACP</stp>
        <stp>11</stp>
        <tr r="J14" s="2"/>
      </tp>
      <tp t="s">
        <v>-</v>
        <stp/>
        <stp>T&amp;T1</stp>
        <stp>ACP</stp>
        <stp>11</stp>
        <tr r="B14" s="2"/>
      </tp>
      <tp t="s">
        <v>-</v>
        <stp/>
        <stp>T&amp;T0</stp>
        <stp>AGR</stp>
        <stp>15</stp>
        <tr r="N18" s="2"/>
      </tp>
      <tp t="s">
        <v>-</v>
        <stp/>
        <stp>T&amp;T1</stp>
        <stp>AGR</stp>
        <stp>15</stp>
        <tr r="F18" s="2"/>
      </tp>
      <tp t="s">
        <v>-</v>
        <stp/>
        <stp>T&amp;T0</stp>
        <stp>DAT</stp>
        <stp>42</stp>
        <tr r="I45" s="2"/>
      </tp>
      <tp t="s">
        <v>-</v>
        <stp/>
        <stp>T&amp;T1</stp>
        <stp>DAT</stp>
        <stp>42</stp>
        <tr r="A45" s="2"/>
      </tp>
      <tp t="s">
        <v>-</v>
        <stp/>
        <stp>T&amp;T0</stp>
        <stp>ACP</stp>
        <stp>10</stp>
        <tr r="J13" s="2"/>
      </tp>
      <tp t="s">
        <v>-</v>
        <stp/>
        <stp>T&amp;T1</stp>
        <stp>ACP</stp>
        <stp>10</stp>
        <tr r="B13" s="2"/>
      </tp>
      <tp t="s">
        <v>-</v>
        <stp/>
        <stp>T&amp;T0</stp>
        <stp>AGR</stp>
        <stp>14</stp>
        <tr r="N17" s="2"/>
      </tp>
      <tp t="s">
        <v>-</v>
        <stp/>
        <stp>T&amp;T1</stp>
        <stp>AGR</stp>
        <stp>14</stp>
        <tr r="F17" s="2"/>
      </tp>
      <tp t="s">
        <v>-</v>
        <stp/>
        <stp>T&amp;T0</stp>
        <stp>AVD</stp>
        <stp>18</stp>
        <tr r="M21" s="2"/>
      </tp>
      <tp t="s">
        <v>-</v>
        <stp/>
        <stp>T&amp;T1</stp>
        <stp>AVD</stp>
        <stp>18</stp>
        <tr r="E21" s="2"/>
      </tp>
      <tp t="s">
        <v>-</v>
        <stp/>
        <stp>T&amp;T0</stp>
        <stp>AVD</stp>
        <stp>19</stp>
        <tr r="M22" s="2"/>
      </tp>
      <tp t="s">
        <v>-</v>
        <stp/>
        <stp>T&amp;T1</stp>
        <stp>AVD</stp>
        <stp>19</stp>
        <tr r="E22" s="2"/>
      </tp>
      <tp t="s">
        <v>-</v>
        <stp/>
        <stp>T&amp;T0</stp>
        <stp>AVD</stp>
        <stp>12</stp>
        <tr r="M15" s="2"/>
      </tp>
      <tp t="s">
        <v>-</v>
        <stp/>
        <stp>T&amp;T1</stp>
        <stp>AVD</stp>
        <stp>12</stp>
        <tr r="E15" s="2"/>
      </tp>
      <tp t="s">
        <v>-</v>
        <stp/>
        <stp>T&amp;T0</stp>
        <stp>AVD</stp>
        <stp>13</stp>
        <tr r="M16" s="2"/>
      </tp>
      <tp t="s">
        <v>-</v>
        <stp/>
        <stp>T&amp;T1</stp>
        <stp>AVD</stp>
        <stp>13</stp>
        <tr r="E16" s="2"/>
      </tp>
      <tp t="s">
        <v>-</v>
        <stp/>
        <stp>T&amp;T0</stp>
        <stp>AVD</stp>
        <stp>10</stp>
        <tr r="M13" s="2"/>
      </tp>
      <tp t="s">
        <v>-</v>
        <stp/>
        <stp>T&amp;T1</stp>
        <stp>AVD</stp>
        <stp>10</stp>
        <tr r="E13" s="2"/>
      </tp>
      <tp t="s">
        <v>-</v>
        <stp/>
        <stp>T&amp;T0</stp>
        <stp>AVD</stp>
        <stp>11</stp>
        <tr r="M14" s="2"/>
      </tp>
      <tp t="s">
        <v>-</v>
        <stp/>
        <stp>T&amp;T1</stp>
        <stp>AVD</stp>
        <stp>11</stp>
        <tr r="E14" s="2"/>
      </tp>
      <tp t="s">
        <v>-</v>
        <stp/>
        <stp>T&amp;T0</stp>
        <stp>AVD</stp>
        <stp>16</stp>
        <tr r="M19" s="2"/>
      </tp>
      <tp t="s">
        <v>-</v>
        <stp/>
        <stp>T&amp;T1</stp>
        <stp>AVD</stp>
        <stp>16</stp>
        <tr r="E19" s="2"/>
      </tp>
      <tp t="s">
        <v>-</v>
        <stp/>
        <stp>T&amp;T0</stp>
        <stp>AVD</stp>
        <stp>17</stp>
        <tr r="M20" s="2"/>
      </tp>
      <tp t="s">
        <v>-</v>
        <stp/>
        <stp>T&amp;T1</stp>
        <stp>AVD</stp>
        <stp>17</stp>
        <tr r="E20" s="2"/>
      </tp>
      <tp t="s">
        <v>-</v>
        <stp/>
        <stp>T&amp;T0</stp>
        <stp>AVD</stp>
        <stp>14</stp>
        <tr r="M17" s="2"/>
      </tp>
      <tp t="s">
        <v>-</v>
        <stp/>
        <stp>T&amp;T1</stp>
        <stp>AVD</stp>
        <stp>14</stp>
        <tr r="E17" s="2"/>
      </tp>
      <tp t="s">
        <v>-</v>
        <stp/>
        <stp>T&amp;T0</stp>
        <stp>AVD</stp>
        <stp>15</stp>
        <tr r="M18" s="2"/>
      </tp>
      <tp t="s">
        <v>-</v>
        <stp/>
        <stp>T&amp;T1</stp>
        <stp>AVD</stp>
        <stp>15</stp>
        <tr r="E18" s="2"/>
      </tp>
      <tp t="s">
        <v>-</v>
        <stp/>
        <stp>T&amp;T0</stp>
        <stp>DAT</stp>
        <stp>59</stp>
        <tr r="I62" s="2"/>
      </tp>
      <tp t="s">
        <v>-</v>
        <stp/>
        <stp>T&amp;T1</stp>
        <stp>DAT</stp>
        <stp>59</stp>
        <tr r="A62" s="2"/>
      </tp>
      <tp t="s">
        <v>-</v>
        <stp/>
        <stp>T&amp;T0</stp>
        <stp>DAT</stp>
        <stp>58</stp>
        <tr r="I61" s="2"/>
      </tp>
      <tp t="s">
        <v>-</v>
        <stp/>
        <stp>T&amp;T1</stp>
        <stp>DAT</stp>
        <stp>58</stp>
        <tr r="A61" s="2"/>
      </tp>
      <tp t="s">
        <v>-</v>
        <stp/>
        <stp>T&amp;T0</stp>
        <stp>DAT</stp>
        <stp>55</stp>
        <tr r="I58" s="2"/>
      </tp>
      <tp t="s">
        <v>-</v>
        <stp/>
        <stp>T&amp;T1</stp>
        <stp>DAT</stp>
        <stp>55</stp>
        <tr r="A58" s="2"/>
      </tp>
      <tp t="s">
        <v>-</v>
        <stp/>
        <stp>T&amp;T0</stp>
        <stp>DAT</stp>
        <stp>54</stp>
        <tr r="I57" s="2"/>
      </tp>
      <tp t="s">
        <v>-</v>
        <stp/>
        <stp>T&amp;T1</stp>
        <stp>DAT</stp>
        <stp>54</stp>
        <tr r="A57" s="2"/>
      </tp>
      <tp t="s">
        <v>-</v>
        <stp/>
        <stp>T&amp;T0</stp>
        <stp>DAT</stp>
        <stp>57</stp>
        <tr r="I60" s="2"/>
      </tp>
      <tp t="s">
        <v>-</v>
        <stp/>
        <stp>T&amp;T1</stp>
        <stp>DAT</stp>
        <stp>57</stp>
        <tr r="A60" s="2"/>
      </tp>
      <tp t="s">
        <v>-</v>
        <stp/>
        <stp>T&amp;T0</stp>
        <stp>DAT</stp>
        <stp>56</stp>
        <tr r="I59" s="2"/>
      </tp>
      <tp t="s">
        <v>-</v>
        <stp/>
        <stp>T&amp;T1</stp>
        <stp>DAT</stp>
        <stp>56</stp>
        <tr r="A59" s="2"/>
      </tp>
      <tp t="s">
        <v>-</v>
        <stp/>
        <stp>T&amp;T0</stp>
        <stp>DAT</stp>
        <stp>51</stp>
        <tr r="I54" s="2"/>
      </tp>
      <tp t="s">
        <v>-</v>
        <stp/>
        <stp>T&amp;T1</stp>
        <stp>DAT</stp>
        <stp>51</stp>
        <tr r="A54" s="2"/>
      </tp>
      <tp t="s">
        <v>-</v>
        <stp/>
        <stp>T&amp;T0</stp>
        <stp>DAT</stp>
        <stp>50</stp>
        <tr r="I53" s="2"/>
      </tp>
      <tp t="s">
        <v>-</v>
        <stp/>
        <stp>T&amp;T1</stp>
        <stp>DAT</stp>
        <stp>50</stp>
        <tr r="A53" s="2"/>
      </tp>
      <tp t="s">
        <v>-</v>
        <stp/>
        <stp>T&amp;T0</stp>
        <stp>DAT</stp>
        <stp>53</stp>
        <tr r="I56" s="2"/>
      </tp>
      <tp t="s">
        <v>-</v>
        <stp/>
        <stp>T&amp;T1</stp>
        <stp>DAT</stp>
        <stp>53</stp>
        <tr r="A56" s="2"/>
      </tp>
      <tp t="s">
        <v>-</v>
        <stp/>
        <stp>T&amp;T0</stp>
        <stp>DAT</stp>
        <stp>52</stp>
        <tr r="I55" s="2"/>
      </tp>
      <tp t="s">
        <v>-</v>
        <stp/>
        <stp>T&amp;T1</stp>
        <stp>DAT</stp>
        <stp>52</stp>
        <tr r="A55" s="2"/>
      </tp>
      <tp t="s">
        <v>-</v>
        <stp/>
        <stp>T&amp;T0</stp>
        <stp>AGR</stp>
        <stp>79</stp>
        <tr r="N82" s="2"/>
      </tp>
      <tp t="s">
        <v>-</v>
        <stp/>
        <stp>T&amp;T1</stp>
        <stp>AGR</stp>
        <stp>79</stp>
        <tr r="F82" s="2"/>
      </tp>
      <tp t="s">
        <v>-</v>
        <stp/>
        <stp>T&amp;T0</stp>
        <stp>AGR</stp>
        <stp>78</stp>
        <tr r="N81" s="2"/>
      </tp>
      <tp t="s">
        <v>-</v>
        <stp/>
        <stp>T&amp;T1</stp>
        <stp>AGR</stp>
        <stp>78</stp>
        <tr r="F81" s="2"/>
      </tp>
      <tp t="s">
        <v>-</v>
        <stp/>
        <stp>T&amp;T0</stp>
        <stp>DAT</stp>
        <stp>29</stp>
        <tr r="I32" s="2"/>
      </tp>
      <tp t="s">
        <v>-</v>
        <stp/>
        <stp>T&amp;T1</stp>
        <stp>DAT</stp>
        <stp>29</stp>
        <tr r="A32" s="2"/>
      </tp>
      <tp t="s">
        <v>-</v>
        <stp/>
        <stp>T&amp;T0</stp>
        <stp>DAT</stp>
        <stp>28</stp>
        <tr r="I31" s="2"/>
      </tp>
      <tp t="s">
        <v>-</v>
        <stp/>
        <stp>T&amp;T1</stp>
        <stp>DAT</stp>
        <stp>28</stp>
        <tr r="A31" s="2"/>
      </tp>
      <tp t="s">
        <v>-</v>
        <stp/>
        <stp>T&amp;T0</stp>
        <stp>ACP</stp>
        <stp>79</stp>
        <tr r="J82" s="2"/>
      </tp>
      <tp t="s">
        <v>-</v>
        <stp/>
        <stp>T&amp;T1</stp>
        <stp>ACP</stp>
        <stp>79</stp>
        <tr r="B82" s="2"/>
      </tp>
      <tp t="s">
        <v>-</v>
        <stp/>
        <stp>T&amp;T0</stp>
        <stp>ACP</stp>
        <stp>78</stp>
        <tr r="J81" s="2"/>
      </tp>
      <tp t="s">
        <v>-</v>
        <stp/>
        <stp>T&amp;T1</stp>
        <stp>ACP</stp>
        <stp>78</stp>
        <tr r="B81" s="2"/>
      </tp>
      <tp t="s">
        <v>-</v>
        <stp/>
        <stp>T&amp;T0</stp>
        <stp>DAT</stp>
        <stp>25</stp>
        <tr r="I28" s="2"/>
      </tp>
      <tp t="s">
        <v>-</v>
        <stp/>
        <stp>T&amp;T1</stp>
        <stp>DAT</stp>
        <stp>25</stp>
        <tr r="A28" s="2"/>
      </tp>
      <tp t="s">
        <v>-</v>
        <stp/>
        <stp>T&amp;T0</stp>
        <stp>ACP</stp>
        <stp>77</stp>
        <tr r="J80" s="2"/>
      </tp>
      <tp t="s">
        <v>-</v>
        <stp/>
        <stp>T&amp;T1</stp>
        <stp>ACP</stp>
        <stp>77</stp>
        <tr r="B80" s="2"/>
      </tp>
      <tp t="s">
        <v>-</v>
        <stp/>
        <stp>T&amp;T0</stp>
        <stp>AGR</stp>
        <stp>73</stp>
        <tr r="N76" s="2"/>
      </tp>
      <tp t="s">
        <v>-</v>
        <stp/>
        <stp>T&amp;T1</stp>
        <stp>AGR</stp>
        <stp>73</stp>
        <tr r="F76" s="2"/>
      </tp>
      <tp t="s">
        <v>-</v>
        <stp/>
        <stp>T&amp;T0</stp>
        <stp>DAT</stp>
        <stp>24</stp>
        <tr r="I27" s="2"/>
      </tp>
      <tp t="s">
        <v>-</v>
        <stp/>
        <stp>T&amp;T1</stp>
        <stp>DAT</stp>
        <stp>24</stp>
        <tr r="A27" s="2"/>
      </tp>
      <tp t="s">
        <v>-</v>
        <stp/>
        <stp>T&amp;T0</stp>
        <stp>ACP</stp>
        <stp>76</stp>
        <tr r="J79" s="2"/>
      </tp>
      <tp t="s">
        <v>-</v>
        <stp/>
        <stp>T&amp;T1</stp>
        <stp>ACP</stp>
        <stp>76</stp>
        <tr r="B79" s="2"/>
      </tp>
      <tp t="s">
        <v>-</v>
        <stp/>
        <stp>T&amp;T0</stp>
        <stp>AGR</stp>
        <stp>72</stp>
        <tr r="N75" s="2"/>
      </tp>
      <tp t="s">
        <v>-</v>
        <stp/>
        <stp>T&amp;T1</stp>
        <stp>AGR</stp>
        <stp>72</stp>
        <tr r="F75" s="2"/>
      </tp>
      <tp t="s">
        <v>-</v>
        <stp/>
        <stp>T&amp;T0</stp>
        <stp>DAT</stp>
        <stp>27</stp>
        <tr r="I30" s="2"/>
      </tp>
      <tp t="s">
        <v>-</v>
        <stp/>
        <stp>T&amp;T1</stp>
        <stp>DAT</stp>
        <stp>27</stp>
        <tr r="A30" s="2"/>
      </tp>
      <tp t="s">
        <v>-</v>
        <stp/>
        <stp>T&amp;T0</stp>
        <stp>ACP</stp>
        <stp>75</stp>
        <tr r="J78" s="2"/>
      </tp>
      <tp t="s">
        <v>-</v>
        <stp/>
        <stp>T&amp;T1</stp>
        <stp>ACP</stp>
        <stp>75</stp>
        <tr r="B78" s="2"/>
      </tp>
      <tp t="s">
        <v>-</v>
        <stp/>
        <stp>T&amp;T0</stp>
        <stp>AGR</stp>
        <stp>71</stp>
        <tr r="N74" s="2"/>
      </tp>
      <tp t="s">
        <v>-</v>
        <stp/>
        <stp>T&amp;T1</stp>
        <stp>AGR</stp>
        <stp>71</stp>
        <tr r="F74" s="2"/>
      </tp>
      <tp t="s">
        <v>-</v>
        <stp/>
        <stp>T&amp;T0</stp>
        <stp>DAT</stp>
        <stp>26</stp>
        <tr r="I29" s="2"/>
      </tp>
      <tp t="s">
        <v>-</v>
        <stp/>
        <stp>T&amp;T1</stp>
        <stp>DAT</stp>
        <stp>26</stp>
        <tr r="A29" s="2"/>
      </tp>
      <tp t="s">
        <v>-</v>
        <stp/>
        <stp>T&amp;T0</stp>
        <stp>ACP</stp>
        <stp>74</stp>
        <tr r="J77" s="2"/>
      </tp>
      <tp t="s">
        <v>-</v>
        <stp/>
        <stp>T&amp;T1</stp>
        <stp>ACP</stp>
        <stp>74</stp>
        <tr r="B77" s="2"/>
      </tp>
      <tp t="s">
        <v>-</v>
        <stp/>
        <stp>T&amp;T0</stp>
        <stp>AGR</stp>
        <stp>70</stp>
        <tr r="N73" s="2"/>
      </tp>
      <tp t="s">
        <v>-</v>
        <stp/>
        <stp>T&amp;T1</stp>
        <stp>AGR</stp>
        <stp>70</stp>
        <tr r="F73" s="2"/>
      </tp>
      <tp t="s">
        <v>-</v>
        <stp/>
        <stp>T&amp;T0</stp>
        <stp>DAT</stp>
        <stp>21</stp>
        <tr r="I24" s="2"/>
      </tp>
      <tp t="s">
        <v>-</v>
        <stp/>
        <stp>T&amp;T1</stp>
        <stp>DAT</stp>
        <stp>21</stp>
        <tr r="A24" s="2"/>
      </tp>
      <tp t="s">
        <v>-</v>
        <stp/>
        <stp>T&amp;T0</stp>
        <stp>ACP</stp>
        <stp>73</stp>
        <tr r="J76" s="2"/>
      </tp>
      <tp t="s">
        <v>-</v>
        <stp/>
        <stp>T&amp;T1</stp>
        <stp>ACP</stp>
        <stp>73</stp>
        <tr r="B76" s="2"/>
      </tp>
      <tp t="s">
        <v>-</v>
        <stp/>
        <stp>T&amp;T0</stp>
        <stp>AGR</stp>
        <stp>77</stp>
        <tr r="N80" s="2"/>
      </tp>
      <tp t="s">
        <v>-</v>
        <stp/>
        <stp>T&amp;T1</stp>
        <stp>AGR</stp>
        <stp>77</stp>
        <tr r="F80" s="2"/>
      </tp>
      <tp t="s">
        <v>-</v>
        <stp/>
        <stp>T&amp;T0</stp>
        <stp>DAT</stp>
        <stp>20</stp>
        <tr r="I23" s="2"/>
      </tp>
      <tp t="s">
        <v>-</v>
        <stp/>
        <stp>T&amp;T1</stp>
        <stp>DAT</stp>
        <stp>20</stp>
        <tr r="A23" s="2"/>
      </tp>
      <tp t="s">
        <v>-</v>
        <stp/>
        <stp>T&amp;T0</stp>
        <stp>ACP</stp>
        <stp>72</stp>
        <tr r="J75" s="2"/>
      </tp>
      <tp t="s">
        <v>-</v>
        <stp/>
        <stp>T&amp;T1</stp>
        <stp>ACP</stp>
        <stp>72</stp>
        <tr r="B75" s="2"/>
      </tp>
      <tp t="s">
        <v>-</v>
        <stp/>
        <stp>T&amp;T0</stp>
        <stp>AGR</stp>
        <stp>76</stp>
        <tr r="N79" s="2"/>
      </tp>
      <tp t="s">
        <v>-</v>
        <stp/>
        <stp>T&amp;T1</stp>
        <stp>AGR</stp>
        <stp>76</stp>
        <tr r="F79" s="2"/>
      </tp>
      <tp t="s">
        <v>-</v>
        <stp/>
        <stp>T&amp;T0</stp>
        <stp>DAT</stp>
        <stp>23</stp>
        <tr r="I26" s="2"/>
      </tp>
      <tp t="s">
        <v>-</v>
        <stp/>
        <stp>T&amp;T1</stp>
        <stp>DAT</stp>
        <stp>23</stp>
        <tr r="A26" s="2"/>
      </tp>
      <tp t="s">
        <v>-</v>
        <stp/>
        <stp>T&amp;T0</stp>
        <stp>ACP</stp>
        <stp>71</stp>
        <tr r="J74" s="2"/>
      </tp>
      <tp t="s">
        <v>-</v>
        <stp/>
        <stp>T&amp;T1</stp>
        <stp>ACP</stp>
        <stp>71</stp>
        <tr r="B74" s="2"/>
      </tp>
      <tp t="s">
        <v>-</v>
        <stp/>
        <stp>T&amp;T0</stp>
        <stp>AGR</stp>
        <stp>75</stp>
        <tr r="N78" s="2"/>
      </tp>
      <tp t="s">
        <v>-</v>
        <stp/>
        <stp>T&amp;T1</stp>
        <stp>AGR</stp>
        <stp>75</stp>
        <tr r="F78" s="2"/>
      </tp>
      <tp t="s">
        <v>-</v>
        <stp/>
        <stp>T&amp;T0</stp>
        <stp>DAT</stp>
        <stp>22</stp>
        <tr r="I25" s="2"/>
      </tp>
      <tp t="s">
        <v>-</v>
        <stp/>
        <stp>T&amp;T1</stp>
        <stp>DAT</stp>
        <stp>22</stp>
        <tr r="A25" s="2"/>
      </tp>
      <tp t="s">
        <v>-</v>
        <stp/>
        <stp>T&amp;T0</stp>
        <stp>ACP</stp>
        <stp>70</stp>
        <tr r="J73" s="2"/>
      </tp>
      <tp t="s">
        <v>-</v>
        <stp/>
        <stp>T&amp;T1</stp>
        <stp>ACP</stp>
        <stp>70</stp>
        <tr r="B73" s="2"/>
      </tp>
      <tp t="s">
        <v>-</v>
        <stp/>
        <stp>T&amp;T0</stp>
        <stp>AGR</stp>
        <stp>74</stp>
        <tr r="N77" s="2"/>
      </tp>
      <tp t="s">
        <v>-</v>
        <stp/>
        <stp>T&amp;T1</stp>
        <stp>AGR</stp>
        <stp>74</stp>
        <tr r="F77" s="2"/>
      </tp>
      <tp t="s">
        <v>-</v>
        <stp/>
        <stp>T&amp;T0</stp>
        <stp>AVD</stp>
        <stp>78</stp>
        <tr r="M81" s="2"/>
      </tp>
      <tp t="s">
        <v>-</v>
        <stp/>
        <stp>T&amp;T1</stp>
        <stp>AVD</stp>
        <stp>78</stp>
        <tr r="E81" s="2"/>
      </tp>
      <tp t="s">
        <v>-</v>
        <stp/>
        <stp>T&amp;T0</stp>
        <stp>AVD</stp>
        <stp>79</stp>
        <tr r="M82" s="2"/>
      </tp>
      <tp t="s">
        <v>-</v>
        <stp/>
        <stp>T&amp;T1</stp>
        <stp>AVD</stp>
        <stp>79</stp>
        <tr r="E82" s="2"/>
      </tp>
      <tp t="s">
        <v>-</v>
        <stp/>
        <stp>T&amp;T0</stp>
        <stp>AVD</stp>
        <stp>72</stp>
        <tr r="M75" s="2"/>
      </tp>
      <tp t="s">
        <v>-</v>
        <stp/>
        <stp>T&amp;T1</stp>
        <stp>AVD</stp>
        <stp>72</stp>
        <tr r="E75" s="2"/>
      </tp>
      <tp t="s">
        <v>-</v>
        <stp/>
        <stp>T&amp;T0</stp>
        <stp>AVD</stp>
        <stp>73</stp>
        <tr r="M76" s="2"/>
      </tp>
      <tp t="s">
        <v>-</v>
        <stp/>
        <stp>T&amp;T1</stp>
        <stp>AVD</stp>
        <stp>73</stp>
        <tr r="E76" s="2"/>
      </tp>
      <tp t="s">
        <v>-</v>
        <stp/>
        <stp>T&amp;T0</stp>
        <stp>AVD</stp>
        <stp>70</stp>
        <tr r="M73" s="2"/>
      </tp>
      <tp t="s">
        <v>-</v>
        <stp/>
        <stp>T&amp;T1</stp>
        <stp>AVD</stp>
        <stp>70</stp>
        <tr r="E73" s="2"/>
      </tp>
      <tp t="s">
        <v>-</v>
        <stp/>
        <stp>T&amp;T0</stp>
        <stp>AVD</stp>
        <stp>71</stp>
        <tr r="M74" s="2"/>
      </tp>
      <tp t="s">
        <v>-</v>
        <stp/>
        <stp>T&amp;T1</stp>
        <stp>AVD</stp>
        <stp>71</stp>
        <tr r="E74" s="2"/>
      </tp>
      <tp t="s">
        <v>-</v>
        <stp/>
        <stp>T&amp;T0</stp>
        <stp>AVD</stp>
        <stp>76</stp>
        <tr r="M79" s="2"/>
      </tp>
      <tp t="s">
        <v>-</v>
        <stp/>
        <stp>T&amp;T1</stp>
        <stp>AVD</stp>
        <stp>76</stp>
        <tr r="E79" s="2"/>
      </tp>
      <tp t="s">
        <v>-</v>
        <stp/>
        <stp>T&amp;T0</stp>
        <stp>AVD</stp>
        <stp>77</stp>
        <tr r="M80" s="2"/>
      </tp>
      <tp t="s">
        <v>-</v>
        <stp/>
        <stp>T&amp;T1</stp>
        <stp>AVD</stp>
        <stp>77</stp>
        <tr r="E80" s="2"/>
      </tp>
      <tp t="s">
        <v>-</v>
        <stp/>
        <stp>T&amp;T0</stp>
        <stp>AVD</stp>
        <stp>74</stp>
        <tr r="M77" s="2"/>
      </tp>
      <tp t="s">
        <v>-</v>
        <stp/>
        <stp>T&amp;T1</stp>
        <stp>AVD</stp>
        <stp>74</stp>
        <tr r="E77" s="2"/>
      </tp>
      <tp t="s">
        <v>-</v>
        <stp/>
        <stp>T&amp;T0</stp>
        <stp>AVD</stp>
        <stp>75</stp>
        <tr r="M78" s="2"/>
      </tp>
      <tp t="s">
        <v>-</v>
        <stp/>
        <stp>T&amp;T1</stp>
        <stp>AVD</stp>
        <stp>75</stp>
        <tr r="E78" s="2"/>
      </tp>
      <tp t="s">
        <v>-</v>
        <stp/>
        <stp>T&amp;T0</stp>
        <stp>AGR</stp>
        <stp>69</stp>
        <tr r="N72" s="2"/>
      </tp>
      <tp t="s">
        <v>-</v>
        <stp/>
        <stp>T&amp;T1</stp>
        <stp>AGR</stp>
        <stp>69</stp>
        <tr r="F72" s="2"/>
      </tp>
      <tp t="s">
        <v>-</v>
        <stp/>
        <stp>T&amp;T0</stp>
        <stp>AGR</stp>
        <stp>68</stp>
        <tr r="N71" s="2"/>
      </tp>
      <tp t="s">
        <v>-</v>
        <stp/>
        <stp>T&amp;T1</stp>
        <stp>AGR</stp>
        <stp>68</stp>
        <tr r="F71" s="2"/>
      </tp>
      <tp t="s">
        <v>-</v>
        <stp/>
        <stp>T&amp;T0</stp>
        <stp>DAT</stp>
        <stp>39</stp>
        <tr r="I42" s="2"/>
      </tp>
      <tp t="s">
        <v>-</v>
        <stp/>
        <stp>T&amp;T1</stp>
        <stp>DAT</stp>
        <stp>39</stp>
        <tr r="A42" s="2"/>
      </tp>
      <tp t="s">
        <v>-</v>
        <stp/>
        <stp>T&amp;T0</stp>
        <stp>DAT</stp>
        <stp>38</stp>
        <tr r="I41" s="2"/>
      </tp>
      <tp t="s">
        <v>-</v>
        <stp/>
        <stp>T&amp;T1</stp>
        <stp>DAT</stp>
        <stp>38</stp>
        <tr r="A41" s="2"/>
      </tp>
      <tp t="s">
        <v>-</v>
        <stp/>
        <stp>T&amp;T0</stp>
        <stp>ACP</stp>
        <stp>69</stp>
        <tr r="J72" s="2"/>
      </tp>
      <tp t="s">
        <v>-</v>
        <stp/>
        <stp>T&amp;T1</stp>
        <stp>ACP</stp>
        <stp>69</stp>
        <tr r="B72" s="2"/>
      </tp>
      <tp t="s">
        <v>-</v>
        <stp/>
        <stp>T&amp;T0</stp>
        <stp>ACP</stp>
        <stp>68</stp>
        <tr r="J71" s="2"/>
      </tp>
      <tp t="s">
        <v>-</v>
        <stp/>
        <stp>T&amp;T1</stp>
        <stp>ACP</stp>
        <stp>68</stp>
        <tr r="B71" s="2"/>
      </tp>
      <tp t="s">
        <v>-</v>
        <stp/>
        <stp>T&amp;T0</stp>
        <stp>DAT</stp>
        <stp>35</stp>
        <tr r="I38" s="2"/>
      </tp>
      <tp t="s">
        <v>-</v>
        <stp/>
        <stp>T&amp;T1</stp>
        <stp>DAT</stp>
        <stp>35</stp>
        <tr r="A38" s="2"/>
      </tp>
      <tp t="s">
        <v>-</v>
        <stp/>
        <stp>T&amp;T0</stp>
        <stp>ACP</stp>
        <stp>67</stp>
        <tr r="J70" s="2"/>
      </tp>
      <tp t="s">
        <v>-</v>
        <stp/>
        <stp>T&amp;T1</stp>
        <stp>ACP</stp>
        <stp>67</stp>
        <tr r="B70" s="2"/>
      </tp>
      <tp t="s">
        <v>-</v>
        <stp/>
        <stp>T&amp;T0</stp>
        <stp>AGR</stp>
        <stp>63</stp>
        <tr r="N66" s="2"/>
      </tp>
      <tp t="s">
        <v>-</v>
        <stp/>
        <stp>T&amp;T1</stp>
        <stp>AGR</stp>
        <stp>63</stp>
        <tr r="F66" s="2"/>
      </tp>
      <tp t="s">
        <v>-</v>
        <stp/>
        <stp>T&amp;T0</stp>
        <stp>DAT</stp>
        <stp>34</stp>
        <tr r="I37" s="2"/>
      </tp>
      <tp t="s">
        <v>-</v>
        <stp/>
        <stp>T&amp;T1</stp>
        <stp>DAT</stp>
        <stp>34</stp>
        <tr r="A37" s="2"/>
      </tp>
      <tp t="s">
        <v>-</v>
        <stp/>
        <stp>T&amp;T0</stp>
        <stp>ACP</stp>
        <stp>66</stp>
        <tr r="J69" s="2"/>
      </tp>
      <tp t="s">
        <v>-</v>
        <stp/>
        <stp>T&amp;T1</stp>
        <stp>ACP</stp>
        <stp>66</stp>
        <tr r="B69" s="2"/>
      </tp>
      <tp t="s">
        <v>-</v>
        <stp/>
        <stp>T&amp;T0</stp>
        <stp>AGR</stp>
        <stp>62</stp>
        <tr r="N65" s="2"/>
      </tp>
      <tp t="s">
        <v>-</v>
        <stp/>
        <stp>T&amp;T1</stp>
        <stp>AGR</stp>
        <stp>62</stp>
        <tr r="F65" s="2"/>
      </tp>
      <tp t="s">
        <v>-</v>
        <stp/>
        <stp>T&amp;T0</stp>
        <stp>DAT</stp>
        <stp>37</stp>
        <tr r="I40" s="2"/>
      </tp>
      <tp t="s">
        <v>-</v>
        <stp/>
        <stp>T&amp;T1</stp>
        <stp>DAT</stp>
        <stp>37</stp>
        <tr r="A40" s="2"/>
      </tp>
      <tp t="s">
        <v>-</v>
        <stp/>
        <stp>T&amp;T0</stp>
        <stp>ACP</stp>
        <stp>65</stp>
        <tr r="J68" s="2"/>
      </tp>
      <tp t="s">
        <v>-</v>
        <stp/>
        <stp>T&amp;T1</stp>
        <stp>ACP</stp>
        <stp>65</stp>
        <tr r="B68" s="2"/>
      </tp>
      <tp t="s">
        <v>-</v>
        <stp/>
        <stp>T&amp;T0</stp>
        <stp>AGR</stp>
        <stp>61</stp>
        <tr r="N64" s="2"/>
      </tp>
      <tp t="s">
        <v>-</v>
        <stp/>
        <stp>T&amp;T1</stp>
        <stp>AGR</stp>
        <stp>61</stp>
        <tr r="F64" s="2"/>
      </tp>
      <tp t="s">
        <v>-</v>
        <stp/>
        <stp>T&amp;T0</stp>
        <stp>DAT</stp>
        <stp>36</stp>
        <tr r="I39" s="2"/>
      </tp>
      <tp t="s">
        <v>-</v>
        <stp/>
        <stp>T&amp;T1</stp>
        <stp>DAT</stp>
        <stp>36</stp>
        <tr r="A39" s="2"/>
      </tp>
      <tp t="s">
        <v>-</v>
        <stp/>
        <stp>T&amp;T0</stp>
        <stp>ACP</stp>
        <stp>64</stp>
        <tr r="J67" s="2"/>
      </tp>
      <tp t="s">
        <v>-</v>
        <stp/>
        <stp>T&amp;T1</stp>
        <stp>ACP</stp>
        <stp>64</stp>
        <tr r="B67" s="2"/>
      </tp>
      <tp t="s">
        <v>-</v>
        <stp/>
        <stp>T&amp;T0</stp>
        <stp>AGR</stp>
        <stp>60</stp>
        <tr r="N63" s="2"/>
      </tp>
      <tp t="s">
        <v>-</v>
        <stp/>
        <stp>T&amp;T1</stp>
        <stp>AGR</stp>
        <stp>60</stp>
        <tr r="F63" s="2"/>
      </tp>
      <tp t="s">
        <v>-</v>
        <stp/>
        <stp>T&amp;T0</stp>
        <stp>DAT</stp>
        <stp>31</stp>
        <tr r="I34" s="2"/>
      </tp>
      <tp t="s">
        <v>-</v>
        <stp/>
        <stp>T&amp;T1</stp>
        <stp>DAT</stp>
        <stp>31</stp>
        <tr r="A34" s="2"/>
      </tp>
      <tp t="s">
        <v>-</v>
        <stp/>
        <stp>T&amp;T0</stp>
        <stp>ACP</stp>
        <stp>63</stp>
        <tr r="J66" s="2"/>
      </tp>
      <tp t="s">
        <v>-</v>
        <stp/>
        <stp>T&amp;T1</stp>
        <stp>ACP</stp>
        <stp>63</stp>
        <tr r="B66" s="2"/>
      </tp>
      <tp t="s">
        <v>-</v>
        <stp/>
        <stp>T&amp;T0</stp>
        <stp>AGR</stp>
        <stp>67</stp>
        <tr r="N70" s="2"/>
      </tp>
      <tp t="s">
        <v>-</v>
        <stp/>
        <stp>T&amp;T1</stp>
        <stp>AGR</stp>
        <stp>67</stp>
        <tr r="F70" s="2"/>
      </tp>
      <tp t="s">
        <v>-</v>
        <stp/>
        <stp>T&amp;T0</stp>
        <stp>DAT</stp>
        <stp>30</stp>
        <tr r="I33" s="2"/>
      </tp>
      <tp t="s">
        <v>-</v>
        <stp/>
        <stp>T&amp;T1</stp>
        <stp>DAT</stp>
        <stp>30</stp>
        <tr r="A33" s="2"/>
      </tp>
      <tp t="s">
        <v>-</v>
        <stp/>
        <stp>T&amp;T0</stp>
        <stp>ACP</stp>
        <stp>62</stp>
        <tr r="J65" s="2"/>
      </tp>
      <tp t="s">
        <v>-</v>
        <stp/>
        <stp>T&amp;T1</stp>
        <stp>ACP</stp>
        <stp>62</stp>
        <tr r="B65" s="2"/>
      </tp>
      <tp t="s">
        <v>-</v>
        <stp/>
        <stp>T&amp;T0</stp>
        <stp>AGR</stp>
        <stp>66</stp>
        <tr r="N69" s="2"/>
      </tp>
      <tp t="s">
        <v>-</v>
        <stp/>
        <stp>T&amp;T1</stp>
        <stp>AGR</stp>
        <stp>66</stp>
        <tr r="F69" s="2"/>
      </tp>
      <tp t="s">
        <v>-</v>
        <stp/>
        <stp>T&amp;T0</stp>
        <stp>DAT</stp>
        <stp>33</stp>
        <tr r="I36" s="2"/>
      </tp>
      <tp t="s">
        <v>-</v>
        <stp/>
        <stp>T&amp;T1</stp>
        <stp>DAT</stp>
        <stp>33</stp>
        <tr r="A36" s="2"/>
      </tp>
      <tp t="s">
        <v>-</v>
        <stp/>
        <stp>T&amp;T0</stp>
        <stp>ACP</stp>
        <stp>61</stp>
        <tr r="J64" s="2"/>
      </tp>
      <tp t="s">
        <v>-</v>
        <stp/>
        <stp>T&amp;T1</stp>
        <stp>ACP</stp>
        <stp>61</stp>
        <tr r="B64" s="2"/>
      </tp>
      <tp t="s">
        <v>-</v>
        <stp/>
        <stp>T&amp;T0</stp>
        <stp>AGR</stp>
        <stp>65</stp>
        <tr r="N68" s="2"/>
      </tp>
      <tp t="s">
        <v>-</v>
        <stp/>
        <stp>T&amp;T1</stp>
        <stp>AGR</stp>
        <stp>65</stp>
        <tr r="F68" s="2"/>
      </tp>
      <tp t="s">
        <v>-</v>
        <stp/>
        <stp>T&amp;T0</stp>
        <stp>DAT</stp>
        <stp>32</stp>
        <tr r="I35" s="2"/>
      </tp>
      <tp t="s">
        <v>-</v>
        <stp/>
        <stp>T&amp;T1</stp>
        <stp>DAT</stp>
        <stp>32</stp>
        <tr r="A35" s="2"/>
      </tp>
      <tp t="s">
        <v>-</v>
        <stp/>
        <stp>T&amp;T0</stp>
        <stp>ACP</stp>
        <stp>60</stp>
        <tr r="J63" s="2"/>
      </tp>
      <tp t="s">
        <v>-</v>
        <stp/>
        <stp>T&amp;T1</stp>
        <stp>ACP</stp>
        <stp>60</stp>
        <tr r="B63" s="2"/>
      </tp>
      <tp t="s">
        <v>-</v>
        <stp/>
        <stp>T&amp;T0</stp>
        <stp>AGR</stp>
        <stp>64</stp>
        <tr r="N67" s="2"/>
      </tp>
      <tp t="s">
        <v>-</v>
        <stp/>
        <stp>T&amp;T1</stp>
        <stp>AGR</stp>
        <stp>64</stp>
        <tr r="F67" s="2"/>
      </tp>
      <tp t="s">
        <v>-</v>
        <stp/>
        <stp>T&amp;T0</stp>
        <stp>AVD</stp>
        <stp>68</stp>
        <tr r="M71" s="2"/>
      </tp>
      <tp t="s">
        <v>-</v>
        <stp/>
        <stp>T&amp;T1</stp>
        <stp>AVD</stp>
        <stp>68</stp>
        <tr r="E71" s="2"/>
      </tp>
      <tp t="s">
        <v>-</v>
        <stp/>
        <stp>T&amp;T0</stp>
        <stp>AVD</stp>
        <stp>69</stp>
        <tr r="M72" s="2"/>
      </tp>
      <tp t="s">
        <v>-</v>
        <stp/>
        <stp>T&amp;T1</stp>
        <stp>AVD</stp>
        <stp>69</stp>
        <tr r="E72" s="2"/>
      </tp>
      <tp t="s">
        <v>-</v>
        <stp/>
        <stp>T&amp;T0</stp>
        <stp>AVD</stp>
        <stp>62</stp>
        <tr r="M65" s="2"/>
      </tp>
      <tp t="s">
        <v>-</v>
        <stp/>
        <stp>T&amp;T1</stp>
        <stp>AVD</stp>
        <stp>62</stp>
        <tr r="E65" s="2"/>
      </tp>
      <tp t="s">
        <v>-</v>
        <stp/>
        <stp>T&amp;T0</stp>
        <stp>AVD</stp>
        <stp>63</stp>
        <tr r="M66" s="2"/>
      </tp>
      <tp t="s">
        <v>-</v>
        <stp/>
        <stp>T&amp;T1</stp>
        <stp>AVD</stp>
        <stp>63</stp>
        <tr r="E66" s="2"/>
      </tp>
      <tp t="s">
        <v>-</v>
        <stp/>
        <stp>T&amp;T0</stp>
        <stp>AVD</stp>
        <stp>60</stp>
        <tr r="M63" s="2"/>
      </tp>
      <tp t="s">
        <v>-</v>
        <stp/>
        <stp>T&amp;T1</stp>
        <stp>AVD</stp>
        <stp>60</stp>
        <tr r="E63" s="2"/>
      </tp>
      <tp t="s">
        <v>-</v>
        <stp/>
        <stp>T&amp;T0</stp>
        <stp>AVD</stp>
        <stp>61</stp>
        <tr r="M64" s="2"/>
      </tp>
      <tp t="s">
        <v>-</v>
        <stp/>
        <stp>T&amp;T1</stp>
        <stp>AVD</stp>
        <stp>61</stp>
        <tr r="E64" s="2"/>
      </tp>
      <tp t="s">
        <v>-</v>
        <stp/>
        <stp>T&amp;T0</stp>
        <stp>AVD</stp>
        <stp>66</stp>
        <tr r="M69" s="2"/>
      </tp>
      <tp t="s">
        <v>-</v>
        <stp/>
        <stp>T&amp;T1</stp>
        <stp>AVD</stp>
        <stp>66</stp>
        <tr r="E69" s="2"/>
      </tp>
      <tp t="s">
        <v>-</v>
        <stp/>
        <stp>T&amp;T0</stp>
        <stp>AVD</stp>
        <stp>67</stp>
        <tr r="M70" s="2"/>
      </tp>
      <tp t="s">
        <v>-</v>
        <stp/>
        <stp>T&amp;T1</stp>
        <stp>AVD</stp>
        <stp>67</stp>
        <tr r="E70" s="2"/>
      </tp>
      <tp t="s">
        <v>-</v>
        <stp/>
        <stp>T&amp;T0</stp>
        <stp>AVD</stp>
        <stp>64</stp>
        <tr r="M67" s="2"/>
      </tp>
      <tp t="s">
        <v>-</v>
        <stp/>
        <stp>T&amp;T1</stp>
        <stp>AVD</stp>
        <stp>64</stp>
        <tr r="E67" s="2"/>
      </tp>
      <tp t="s">
        <v>-</v>
        <stp/>
        <stp>T&amp;T0</stp>
        <stp>AVD</stp>
        <stp>65</stp>
        <tr r="M68" s="2"/>
      </tp>
      <tp t="s">
        <v>-</v>
        <stp/>
        <stp>T&amp;T1</stp>
        <stp>AVD</stp>
        <stp>65</stp>
        <tr r="E68" s="2"/>
      </tp>
      <tp t="s">
        <v>-</v>
        <stp/>
        <stp>T&amp;T0</stp>
        <stp>AGR</stp>
        <stp>59</stp>
        <tr r="N62" s="2"/>
      </tp>
      <tp t="s">
        <v>-</v>
        <stp/>
        <stp>T&amp;T1</stp>
        <stp>AGR</stp>
        <stp>59</stp>
        <tr r="F62" s="2"/>
      </tp>
      <tp t="s">
        <v>-</v>
        <stp/>
        <stp>T&amp;T0</stp>
        <stp>AGR</stp>
        <stp>58</stp>
        <tr r="N61" s="2"/>
      </tp>
      <tp t="s">
        <v>-</v>
        <stp/>
        <stp>T&amp;T1</stp>
        <stp>AGR</stp>
        <stp>58</stp>
        <tr r="F61" s="2"/>
      </tp>
      <tp t="s">
        <v>-</v>
        <stp/>
        <stp>T&amp;T0</stp>
        <stp>ACP</stp>
        <stp>59</stp>
        <tr r="J62" s="2"/>
      </tp>
      <tp t="s">
        <v>-</v>
        <stp/>
        <stp>T&amp;T1</stp>
        <stp>ACP</stp>
        <stp>59</stp>
        <tr r="B62" s="2"/>
      </tp>
      <tp t="s">
        <v>-</v>
        <stp/>
        <stp>T&amp;T0</stp>
        <stp>ACP</stp>
        <stp>58</stp>
        <tr r="J61" s="2"/>
      </tp>
      <tp t="s">
        <v>-</v>
        <stp/>
        <stp>T&amp;T1</stp>
        <stp>ACP</stp>
        <stp>58</stp>
        <tr r="B61" s="2"/>
      </tp>
      <tp t="s">
        <v>-</v>
        <stp/>
        <stp>T&amp;T0</stp>
        <stp>ACP</stp>
        <stp>57</stp>
        <tr r="J60" s="2"/>
      </tp>
      <tp t="s">
        <v>-</v>
        <stp/>
        <stp>T&amp;T1</stp>
        <stp>ACP</stp>
        <stp>57</stp>
        <tr r="B60" s="2"/>
      </tp>
      <tp t="s">
        <v>-</v>
        <stp/>
        <stp>T&amp;T0</stp>
        <stp>AGR</stp>
        <stp>53</stp>
        <tr r="N56" s="2"/>
      </tp>
      <tp t="s">
        <v>-</v>
        <stp/>
        <stp>T&amp;T1</stp>
        <stp>AGR</stp>
        <stp>53</stp>
        <tr r="F56" s="2"/>
      </tp>
      <tp t="s">
        <v>-</v>
        <stp/>
        <stp>T&amp;T0</stp>
        <stp>ACP</stp>
        <stp>56</stp>
        <tr r="J59" s="2"/>
      </tp>
      <tp t="s">
        <v>-</v>
        <stp/>
        <stp>T&amp;T1</stp>
        <stp>ACP</stp>
        <stp>56</stp>
        <tr r="B59" s="2"/>
      </tp>
      <tp t="s">
        <v>-</v>
        <stp/>
        <stp>T&amp;T0</stp>
        <stp>AGR</stp>
        <stp>52</stp>
        <tr r="N55" s="2"/>
      </tp>
      <tp t="s">
        <v>-</v>
        <stp/>
        <stp>T&amp;T1</stp>
        <stp>AGR</stp>
        <stp>52</stp>
        <tr r="F55" s="2"/>
      </tp>
      <tp t="s">
        <v>-</v>
        <stp/>
        <stp>T&amp;T0</stp>
        <stp>ACP</stp>
        <stp>55</stp>
        <tr r="J58" s="2"/>
      </tp>
      <tp t="s">
        <v>-</v>
        <stp/>
        <stp>T&amp;T1</stp>
        <stp>ACP</stp>
        <stp>55</stp>
        <tr r="B58" s="2"/>
      </tp>
      <tp t="s">
        <v>-</v>
        <stp/>
        <stp>T&amp;T0</stp>
        <stp>AGR</stp>
        <stp>51</stp>
        <tr r="N54" s="2"/>
      </tp>
      <tp t="s">
        <v>-</v>
        <stp/>
        <stp>T&amp;T1</stp>
        <stp>AGR</stp>
        <stp>51</stp>
        <tr r="F54" s="2"/>
      </tp>
      <tp t="s">
        <v>-</v>
        <stp/>
        <stp>T&amp;T0</stp>
        <stp>ACP</stp>
        <stp>54</stp>
        <tr r="J57" s="2"/>
      </tp>
      <tp t="s">
        <v>-</v>
        <stp/>
        <stp>T&amp;T1</stp>
        <stp>ACP</stp>
        <stp>54</stp>
        <tr r="B57" s="2"/>
      </tp>
      <tp t="s">
        <v>-</v>
        <stp/>
        <stp>T&amp;T0</stp>
        <stp>AGR</stp>
        <stp>50</stp>
        <tr r="N53" s="2"/>
      </tp>
      <tp t="s">
        <v>-</v>
        <stp/>
        <stp>T&amp;T1</stp>
        <stp>AGR</stp>
        <stp>50</stp>
        <tr r="F53" s="2"/>
      </tp>
      <tp t="s">
        <v>-</v>
        <stp/>
        <stp>T&amp;T0</stp>
        <stp>ACP</stp>
        <stp>53</stp>
        <tr r="J56" s="2"/>
      </tp>
      <tp t="s">
        <v>-</v>
        <stp/>
        <stp>T&amp;T1</stp>
        <stp>ACP</stp>
        <stp>53</stp>
        <tr r="B56" s="2"/>
      </tp>
      <tp t="s">
        <v>-</v>
        <stp/>
        <stp>T&amp;T0</stp>
        <stp>AGR</stp>
        <stp>57</stp>
        <tr r="N60" s="2"/>
      </tp>
      <tp t="s">
        <v>-</v>
        <stp/>
        <stp>T&amp;T1</stp>
        <stp>AGR</stp>
        <stp>57</stp>
        <tr r="F60" s="2"/>
      </tp>
      <tp t="s">
        <v>-</v>
        <stp/>
        <stp>T&amp;T0</stp>
        <stp>ACP</stp>
        <stp>52</stp>
        <tr r="J55" s="2"/>
      </tp>
      <tp t="s">
        <v>-</v>
        <stp/>
        <stp>T&amp;T1</stp>
        <stp>ACP</stp>
        <stp>52</stp>
        <tr r="B55" s="2"/>
      </tp>
      <tp t="s">
        <v>-</v>
        <stp/>
        <stp>T&amp;T0</stp>
        <stp>AGR</stp>
        <stp>56</stp>
        <tr r="N59" s="2"/>
      </tp>
      <tp t="s">
        <v>-</v>
        <stp/>
        <stp>T&amp;T1</stp>
        <stp>AGR</stp>
        <stp>56</stp>
        <tr r="F59" s="2"/>
      </tp>
      <tp t="s">
        <v>-</v>
        <stp/>
        <stp>T&amp;T0</stp>
        <stp>ACP</stp>
        <stp>51</stp>
        <tr r="J54" s="2"/>
      </tp>
      <tp t="s">
        <v>-</v>
        <stp/>
        <stp>T&amp;T1</stp>
        <stp>ACP</stp>
        <stp>51</stp>
        <tr r="B54" s="2"/>
      </tp>
      <tp t="s">
        <v>-</v>
        <stp/>
        <stp>T&amp;T0</stp>
        <stp>AGR</stp>
        <stp>55</stp>
        <tr r="N58" s="2"/>
      </tp>
      <tp t="s">
        <v>-</v>
        <stp/>
        <stp>T&amp;T1</stp>
        <stp>AGR</stp>
        <stp>55</stp>
        <tr r="F58" s="2"/>
      </tp>
      <tp t="s">
        <v>-</v>
        <stp/>
        <stp>T&amp;T0</stp>
        <stp>ACP</stp>
        <stp>50</stp>
        <tr r="J53" s="2"/>
      </tp>
      <tp t="s">
        <v>-</v>
        <stp/>
        <stp>T&amp;T1</stp>
        <stp>ACP</stp>
        <stp>50</stp>
        <tr r="B53" s="2"/>
      </tp>
      <tp t="s">
        <v>-</v>
        <stp/>
        <stp>T&amp;T0</stp>
        <stp>AGR</stp>
        <stp>54</stp>
        <tr r="N57" s="2"/>
      </tp>
      <tp t="s">
        <v>-</v>
        <stp/>
        <stp>T&amp;T1</stp>
        <stp>AGR</stp>
        <stp>54</stp>
        <tr r="F57" s="2"/>
      </tp>
      <tp t="s">
        <v>-</v>
        <stp/>
        <stp>T&amp;T0</stp>
        <stp>AVD</stp>
        <stp>58</stp>
        <tr r="M61" s="2"/>
      </tp>
      <tp t="s">
        <v>-</v>
        <stp/>
        <stp>T&amp;T1</stp>
        <stp>AVD</stp>
        <stp>58</stp>
        <tr r="E61" s="2"/>
      </tp>
      <tp t="s">
        <v>-</v>
        <stp/>
        <stp>T&amp;T0</stp>
        <stp>AVD</stp>
        <stp>59</stp>
        <tr r="M62" s="2"/>
      </tp>
      <tp t="s">
        <v>-</v>
        <stp/>
        <stp>T&amp;T1</stp>
        <stp>AVD</stp>
        <stp>59</stp>
        <tr r="E62" s="2"/>
      </tp>
      <tp t="s">
        <v>-</v>
        <stp/>
        <stp>T&amp;T0</stp>
        <stp>AVD</stp>
        <stp>52</stp>
        <tr r="M55" s="2"/>
      </tp>
      <tp t="s">
        <v>-</v>
        <stp/>
        <stp>T&amp;T1</stp>
        <stp>AVD</stp>
        <stp>52</stp>
        <tr r="E55" s="2"/>
      </tp>
      <tp t="s">
        <v>-</v>
        <stp/>
        <stp>T&amp;T0</stp>
        <stp>AVD</stp>
        <stp>53</stp>
        <tr r="M56" s="2"/>
      </tp>
      <tp t="s">
        <v>-</v>
        <stp/>
        <stp>T&amp;T1</stp>
        <stp>AVD</stp>
        <stp>53</stp>
        <tr r="E56" s="2"/>
      </tp>
      <tp t="s">
        <v>-</v>
        <stp/>
        <stp>T&amp;T0</stp>
        <stp>AVD</stp>
        <stp>50</stp>
        <tr r="M53" s="2"/>
      </tp>
      <tp t="s">
        <v>-</v>
        <stp/>
        <stp>T&amp;T1</stp>
        <stp>AVD</stp>
        <stp>50</stp>
        <tr r="E53" s="2"/>
      </tp>
      <tp t="s">
        <v>-</v>
        <stp/>
        <stp>T&amp;T0</stp>
        <stp>AVD</stp>
        <stp>51</stp>
        <tr r="M54" s="2"/>
      </tp>
      <tp t="s">
        <v>-</v>
        <stp/>
        <stp>T&amp;T1</stp>
        <stp>AVD</stp>
        <stp>51</stp>
        <tr r="E54" s="2"/>
      </tp>
      <tp t="s">
        <v>-</v>
        <stp/>
        <stp>T&amp;T0</stp>
        <stp>AVD</stp>
        <stp>56</stp>
        <tr r="M59" s="2"/>
      </tp>
      <tp t="s">
        <v>-</v>
        <stp/>
        <stp>T&amp;T1</stp>
        <stp>AVD</stp>
        <stp>56</stp>
        <tr r="E59" s="2"/>
      </tp>
      <tp t="s">
        <v>-</v>
        <stp/>
        <stp>T&amp;T0</stp>
        <stp>AVD</stp>
        <stp>57</stp>
        <tr r="M60" s="2"/>
      </tp>
      <tp t="s">
        <v>-</v>
        <stp/>
        <stp>T&amp;T1</stp>
        <stp>AVD</stp>
        <stp>57</stp>
        <tr r="E60" s="2"/>
      </tp>
      <tp t="s">
        <v>-</v>
        <stp/>
        <stp>T&amp;T0</stp>
        <stp>AVD</stp>
        <stp>54</stp>
        <tr r="M57" s="2"/>
      </tp>
      <tp t="s">
        <v>-</v>
        <stp/>
        <stp>T&amp;T1</stp>
        <stp>AVD</stp>
        <stp>54</stp>
        <tr r="E57" s="2"/>
      </tp>
      <tp t="s">
        <v>-</v>
        <stp/>
        <stp>T&amp;T0</stp>
        <stp>AVD</stp>
        <stp>55</stp>
        <tr r="M58" s="2"/>
      </tp>
      <tp t="s">
        <v>-</v>
        <stp/>
        <stp>T&amp;T1</stp>
        <stp>AVD</stp>
        <stp>55</stp>
        <tr r="E58" s="2"/>
      </tp>
      <tp t="s">
        <v>-</v>
        <stp/>
        <stp>T&amp;T0</stp>
        <stp>AGR</stp>
        <stp>49</stp>
        <tr r="N52" s="2"/>
      </tp>
      <tp t="s">
        <v>-</v>
        <stp/>
        <stp>T&amp;T1</stp>
        <stp>AGR</stp>
        <stp>49</stp>
        <tr r="F52" s="2"/>
      </tp>
      <tp t="s">
        <v>-</v>
        <stp/>
        <stp>T&amp;T0</stp>
        <stp>AGR</stp>
        <stp>48</stp>
        <tr r="N51" s="2"/>
      </tp>
      <tp t="s">
        <v>-</v>
        <stp/>
        <stp>T&amp;T1</stp>
        <stp>AGR</stp>
        <stp>48</stp>
        <tr r="F51" s="2"/>
      </tp>
      <tp t="s">
        <v>-</v>
        <stp/>
        <stp>T&amp;T0</stp>
        <stp>DAT</stp>
        <stp>19</stp>
        <tr r="I22" s="2"/>
      </tp>
      <tp t="s">
        <v>-</v>
        <stp/>
        <stp>T&amp;T1</stp>
        <stp>DAT</stp>
        <stp>19</stp>
        <tr r="A22" s="2"/>
      </tp>
      <tp t="s">
        <v>-</v>
        <stp/>
        <stp>T&amp;T0</stp>
        <stp>DAT</stp>
        <stp>18</stp>
        <tr r="I21" s="2"/>
      </tp>
      <tp t="s">
        <v>-</v>
        <stp/>
        <stp>T&amp;T1</stp>
        <stp>DAT</stp>
        <stp>18</stp>
        <tr r="A21" s="2"/>
      </tp>
      <tp t="s">
        <v>-</v>
        <stp/>
        <stp>T&amp;T0</stp>
        <stp>ACP</stp>
        <stp>49</stp>
        <tr r="J52" s="2"/>
      </tp>
      <tp t="s">
        <v>-</v>
        <stp/>
        <stp>T&amp;T1</stp>
        <stp>ACP</stp>
        <stp>49</stp>
        <tr r="B52" s="2"/>
      </tp>
      <tp t="s">
        <v>-</v>
        <stp/>
        <stp>T&amp;T0</stp>
        <stp>ACP</stp>
        <stp>48</stp>
        <tr r="J51" s="2"/>
      </tp>
      <tp t="s">
        <v>-</v>
        <stp/>
        <stp>T&amp;T1</stp>
        <stp>ACP</stp>
        <stp>48</stp>
        <tr r="B51" s="2"/>
      </tp>
      <tp t="s">
        <v>-</v>
        <stp/>
        <stp>T&amp;T0</stp>
        <stp>DAT</stp>
        <stp>15</stp>
        <tr r="I18" s="2"/>
      </tp>
      <tp t="s">
        <v>-</v>
        <stp/>
        <stp>T&amp;T1</stp>
        <stp>DAT</stp>
        <stp>15</stp>
        <tr r="A18" s="2"/>
      </tp>
      <tp t="s">
        <v>-</v>
        <stp/>
        <stp>T&amp;T0</stp>
        <stp>ACP</stp>
        <stp>47</stp>
        <tr r="J50" s="2"/>
      </tp>
      <tp t="s">
        <v>-</v>
        <stp/>
        <stp>T&amp;T1</stp>
        <stp>ACP</stp>
        <stp>47</stp>
        <tr r="B50" s="2"/>
      </tp>
      <tp t="s">
        <v>-</v>
        <stp/>
        <stp>T&amp;T0</stp>
        <stp>AGR</stp>
        <stp>43</stp>
        <tr r="N46" s="2"/>
      </tp>
      <tp t="s">
        <v>-</v>
        <stp/>
        <stp>T&amp;T1</stp>
        <stp>AGR</stp>
        <stp>43</stp>
        <tr r="F46" s="2"/>
      </tp>
      <tp t="s">
        <v>-</v>
        <stp/>
        <stp>T&amp;T0</stp>
        <stp>DAT</stp>
        <stp>14</stp>
        <tr r="I17" s="2"/>
      </tp>
      <tp t="s">
        <v>-</v>
        <stp/>
        <stp>T&amp;T1</stp>
        <stp>DAT</stp>
        <stp>14</stp>
        <tr r="A17" s="2"/>
      </tp>
      <tp t="s">
        <v>-</v>
        <stp/>
        <stp>T&amp;T0</stp>
        <stp>ACP</stp>
        <stp>46</stp>
        <tr r="J49" s="2"/>
      </tp>
      <tp t="s">
        <v>-</v>
        <stp/>
        <stp>T&amp;T1</stp>
        <stp>ACP</stp>
        <stp>46</stp>
        <tr r="B49" s="2"/>
      </tp>
      <tp t="s">
        <v>-</v>
        <stp/>
        <stp>T&amp;T0</stp>
        <stp>AGR</stp>
        <stp>42</stp>
        <tr r="N45" s="2"/>
      </tp>
      <tp t="s">
        <v>-</v>
        <stp/>
        <stp>T&amp;T1</stp>
        <stp>AGR</stp>
        <stp>42</stp>
        <tr r="F45" s="2"/>
      </tp>
      <tp t="s">
        <v>-</v>
        <stp/>
        <stp>T&amp;T0</stp>
        <stp>DAT</stp>
        <stp>17</stp>
        <tr r="I20" s="2"/>
      </tp>
      <tp t="s">
        <v>-</v>
        <stp/>
        <stp>T&amp;T1</stp>
        <stp>DAT</stp>
        <stp>17</stp>
        <tr r="A20" s="2"/>
      </tp>
      <tp t="s">
        <v>-</v>
        <stp/>
        <stp>T&amp;T0</stp>
        <stp>ACP</stp>
        <stp>45</stp>
        <tr r="J48" s="2"/>
      </tp>
      <tp t="s">
        <v>-</v>
        <stp/>
        <stp>T&amp;T1</stp>
        <stp>ACP</stp>
        <stp>45</stp>
        <tr r="B48" s="2"/>
      </tp>
      <tp t="s">
        <v>-</v>
        <stp/>
        <stp>T&amp;T0</stp>
        <stp>AGR</stp>
        <stp>41</stp>
        <tr r="N44" s="2"/>
      </tp>
      <tp t="s">
        <v>-</v>
        <stp/>
        <stp>T&amp;T1</stp>
        <stp>AGR</stp>
        <stp>41</stp>
        <tr r="F44" s="2"/>
      </tp>
      <tp t="s">
        <v>-</v>
        <stp/>
        <stp>T&amp;T0</stp>
        <stp>DAT</stp>
        <stp>16</stp>
        <tr r="I19" s="2"/>
      </tp>
      <tp t="s">
        <v>-</v>
        <stp/>
        <stp>T&amp;T1</stp>
        <stp>DAT</stp>
        <stp>16</stp>
        <tr r="A19" s="2"/>
      </tp>
      <tp t="s">
        <v>-</v>
        <stp/>
        <stp>T&amp;T0</stp>
        <stp>ACP</stp>
        <stp>44</stp>
        <tr r="J47" s="2"/>
      </tp>
      <tp t="s">
        <v>-</v>
        <stp/>
        <stp>T&amp;T1</stp>
        <stp>ACP</stp>
        <stp>44</stp>
        <tr r="B47" s="2"/>
      </tp>
      <tp t="s">
        <v>-</v>
        <stp/>
        <stp>T&amp;T0</stp>
        <stp>AGR</stp>
        <stp>40</stp>
        <tr r="N43" s="2"/>
      </tp>
      <tp t="s">
        <v>-</v>
        <stp/>
        <stp>T&amp;T1</stp>
        <stp>AGR</stp>
        <stp>40</stp>
        <tr r="F43" s="2"/>
      </tp>
      <tp t="s">
        <v>-</v>
        <stp/>
        <stp>T&amp;T0</stp>
        <stp>DAT</stp>
        <stp>11</stp>
        <tr r="I14" s="2"/>
      </tp>
      <tp t="s">
        <v>-</v>
        <stp/>
        <stp>T&amp;T1</stp>
        <stp>DAT</stp>
        <stp>11</stp>
        <tr r="A14" s="2"/>
      </tp>
      <tp t="s">
        <v>-</v>
        <stp/>
        <stp>T&amp;T0</stp>
        <stp>ACP</stp>
        <stp>43</stp>
        <tr r="J46" s="2"/>
      </tp>
      <tp t="s">
        <v>-</v>
        <stp/>
        <stp>T&amp;T1</stp>
        <stp>ACP</stp>
        <stp>43</stp>
        <tr r="B46" s="2"/>
      </tp>
      <tp t="s">
        <v>-</v>
        <stp/>
        <stp>T&amp;T0</stp>
        <stp>AGR</stp>
        <stp>47</stp>
        <tr r="N50" s="2"/>
      </tp>
      <tp t="s">
        <v>-</v>
        <stp/>
        <stp>T&amp;T1</stp>
        <stp>AGR</stp>
        <stp>47</stp>
        <tr r="F50" s="2"/>
      </tp>
      <tp t="s">
        <v>-</v>
        <stp/>
        <stp>T&amp;T0</stp>
        <stp>DAT</stp>
        <stp>10</stp>
        <tr r="I13" s="2"/>
      </tp>
      <tp t="s">
        <v>-</v>
        <stp/>
        <stp>T&amp;T1</stp>
        <stp>DAT</stp>
        <stp>10</stp>
        <tr r="A13" s="2"/>
      </tp>
      <tp t="s">
        <v>-</v>
        <stp/>
        <stp>T&amp;T0</stp>
        <stp>ACP</stp>
        <stp>42</stp>
        <tr r="J45" s="2"/>
      </tp>
      <tp t="s">
        <v>-</v>
        <stp/>
        <stp>T&amp;T1</stp>
        <stp>ACP</stp>
        <stp>42</stp>
        <tr r="B45" s="2"/>
      </tp>
      <tp t="s">
        <v>-</v>
        <stp/>
        <stp>T&amp;T0</stp>
        <stp>AGR</stp>
        <stp>46</stp>
        <tr r="N49" s="2"/>
      </tp>
      <tp t="s">
        <v>-</v>
        <stp/>
        <stp>T&amp;T1</stp>
        <stp>AGR</stp>
        <stp>46</stp>
        <tr r="F49" s="2"/>
      </tp>
      <tp t="s">
        <v>-</v>
        <stp/>
        <stp>T&amp;T0</stp>
        <stp>DAT</stp>
        <stp>13</stp>
        <tr r="I16" s="2"/>
      </tp>
      <tp t="s">
        <v>-</v>
        <stp/>
        <stp>T&amp;T1</stp>
        <stp>DAT</stp>
        <stp>13</stp>
        <tr r="A16" s="2"/>
      </tp>
      <tp t="s">
        <v>-</v>
        <stp/>
        <stp>T&amp;T0</stp>
        <stp>ACP</stp>
        <stp>41</stp>
        <tr r="J44" s="2"/>
      </tp>
      <tp t="s">
        <v>-</v>
        <stp/>
        <stp>T&amp;T1</stp>
        <stp>ACP</stp>
        <stp>41</stp>
        <tr r="B44" s="2"/>
      </tp>
      <tp t="s">
        <v>-</v>
        <stp/>
        <stp>T&amp;T0</stp>
        <stp>AGR</stp>
        <stp>45</stp>
        <tr r="N48" s="2"/>
      </tp>
      <tp t="s">
        <v>-</v>
        <stp/>
        <stp>T&amp;T1</stp>
        <stp>AGR</stp>
        <stp>45</stp>
        <tr r="F48" s="2"/>
      </tp>
      <tp t="s">
        <v>-</v>
        <stp/>
        <stp>T&amp;T0</stp>
        <stp>DAT</stp>
        <stp>12</stp>
        <tr r="I15" s="2"/>
      </tp>
      <tp t="s">
        <v>-</v>
        <stp/>
        <stp>T&amp;T1</stp>
        <stp>DAT</stp>
        <stp>12</stp>
        <tr r="A15" s="2"/>
      </tp>
      <tp t="s">
        <v>-</v>
        <stp/>
        <stp>T&amp;T0</stp>
        <stp>ACP</stp>
        <stp>40</stp>
        <tr r="J43" s="2"/>
      </tp>
      <tp t="s">
        <v>-</v>
        <stp/>
        <stp>T&amp;T1</stp>
        <stp>ACP</stp>
        <stp>40</stp>
        <tr r="B43" s="2"/>
      </tp>
      <tp t="s">
        <v>-</v>
        <stp/>
        <stp>T&amp;T0</stp>
        <stp>AGR</stp>
        <stp>44</stp>
        <tr r="N47" s="2"/>
      </tp>
      <tp t="s">
        <v>-</v>
        <stp/>
        <stp>T&amp;T1</stp>
        <stp>AGR</stp>
        <stp>44</stp>
        <tr r="F47" s="2"/>
      </tp>
      <tp t="s">
        <v>-</v>
        <stp/>
        <stp>T&amp;T0</stp>
        <stp>AVD</stp>
        <stp>48</stp>
        <tr r="M51" s="2"/>
      </tp>
      <tp t="s">
        <v>-</v>
        <stp/>
        <stp>T&amp;T1</stp>
        <stp>AVD</stp>
        <stp>48</stp>
        <tr r="E51" s="2"/>
      </tp>
      <tp t="s">
        <v>-</v>
        <stp/>
        <stp>T&amp;T0</stp>
        <stp>AVD</stp>
        <stp>49</stp>
        <tr r="M52" s="2"/>
      </tp>
      <tp t="s">
        <v>-</v>
        <stp/>
        <stp>T&amp;T1</stp>
        <stp>AVD</stp>
        <stp>49</stp>
        <tr r="E52" s="2"/>
      </tp>
      <tp t="s">
        <v>-</v>
        <stp/>
        <stp>T&amp;T0</stp>
        <stp>AVD</stp>
        <stp>42</stp>
        <tr r="M45" s="2"/>
      </tp>
      <tp t="s">
        <v>-</v>
        <stp/>
        <stp>T&amp;T1</stp>
        <stp>AVD</stp>
        <stp>42</stp>
        <tr r="E45" s="2"/>
      </tp>
      <tp t="s">
        <v>-</v>
        <stp/>
        <stp>T&amp;T0</stp>
        <stp>AVD</stp>
        <stp>43</stp>
        <tr r="M46" s="2"/>
      </tp>
      <tp t="s">
        <v>-</v>
        <stp/>
        <stp>T&amp;T1</stp>
        <stp>AVD</stp>
        <stp>43</stp>
        <tr r="E46" s="2"/>
      </tp>
      <tp t="s">
        <v>-</v>
        <stp/>
        <stp>T&amp;T0</stp>
        <stp>AVD</stp>
        <stp>40</stp>
        <tr r="M43" s="2"/>
      </tp>
      <tp t="s">
        <v>-</v>
        <stp/>
        <stp>T&amp;T1</stp>
        <stp>AVD</stp>
        <stp>40</stp>
        <tr r="E43" s="2"/>
      </tp>
      <tp t="s">
        <v>-</v>
        <stp/>
        <stp>T&amp;T0</stp>
        <stp>AVD</stp>
        <stp>41</stp>
        <tr r="M44" s="2"/>
      </tp>
      <tp t="s">
        <v>-</v>
        <stp/>
        <stp>T&amp;T1</stp>
        <stp>AVD</stp>
        <stp>41</stp>
        <tr r="E44" s="2"/>
      </tp>
      <tp t="s">
        <v>-</v>
        <stp/>
        <stp>T&amp;T0</stp>
        <stp>AVD</stp>
        <stp>46</stp>
        <tr r="M49" s="2"/>
      </tp>
      <tp t="s">
        <v>-</v>
        <stp/>
        <stp>T&amp;T1</stp>
        <stp>AVD</stp>
        <stp>46</stp>
        <tr r="E49" s="2"/>
      </tp>
      <tp t="s">
        <v>-</v>
        <stp/>
        <stp>T&amp;T0</stp>
        <stp>AVD</stp>
        <stp>47</stp>
        <tr r="M50" s="2"/>
      </tp>
      <tp t="s">
        <v>-</v>
        <stp/>
        <stp>T&amp;T1</stp>
        <stp>AVD</stp>
        <stp>47</stp>
        <tr r="E50" s="2"/>
      </tp>
      <tp t="s">
        <v>-</v>
        <stp/>
        <stp>T&amp;T0</stp>
        <stp>AVD</stp>
        <stp>44</stp>
        <tr r="M47" s="2"/>
      </tp>
      <tp t="s">
        <v>-</v>
        <stp/>
        <stp>T&amp;T1</stp>
        <stp>AVD</stp>
        <stp>44</stp>
        <tr r="E47" s="2"/>
      </tp>
      <tp t="s">
        <v>-</v>
        <stp/>
        <stp>T&amp;T0</stp>
        <stp>AVD</stp>
        <stp>45</stp>
        <tr r="M48" s="2"/>
      </tp>
      <tp t="s">
        <v>-</v>
        <stp/>
        <stp>T&amp;T1</stp>
        <stp>AVD</stp>
        <stp>45</stp>
        <tr r="E4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93"/>
  <sheetViews>
    <sheetView tabSelected="1" workbookViewId="0">
      <selection sqref="A1:U1"/>
    </sheetView>
  </sheetViews>
  <sheetFormatPr defaultRowHeight="12.75" customHeight="1" x14ac:dyDescent="0.25"/>
  <cols>
    <col min="1" max="1" width="11" style="21" customWidth="1"/>
    <col min="2" max="2" width="10.28515625" style="3" customWidth="1"/>
    <col min="3" max="3" width="17.140625" style="3" customWidth="1"/>
    <col min="4" max="4" width="1.7109375" style="3" customWidth="1"/>
    <col min="5" max="5" width="17.5703125" style="3" customWidth="1"/>
    <col min="6" max="6" width="2" style="3" customWidth="1"/>
    <col min="7" max="7" width="11" style="21" customWidth="1"/>
    <col min="8" max="8" width="10.28515625" style="3" customWidth="1"/>
    <col min="9" max="9" width="17.140625" style="3" customWidth="1"/>
    <col min="10" max="10" width="1.5703125" style="3" customWidth="1"/>
    <col min="11" max="11" width="17.5703125" style="3" customWidth="1"/>
    <col min="12" max="13" width="2" style="3" customWidth="1"/>
    <col min="14" max="14" width="18.140625" style="3" bestFit="1" customWidth="1"/>
    <col min="15" max="15" width="12.42578125" style="21" bestFit="1" customWidth="1"/>
    <col min="16" max="16" width="14.7109375" style="3" customWidth="1"/>
    <col min="17" max="17" width="15.140625" style="3" customWidth="1"/>
    <col min="18" max="18" width="2" style="3" customWidth="1"/>
    <col min="19" max="19" width="15.140625" style="3" bestFit="1" customWidth="1"/>
    <col min="20" max="20" width="18.42578125" style="21" customWidth="1"/>
    <col min="21" max="21" width="2" style="3" customWidth="1"/>
    <col min="22" max="22" width="20.7109375" style="3" customWidth="1"/>
    <col min="23" max="23" width="9.140625" style="3" customWidth="1"/>
    <col min="24" max="16384" width="9.140625" style="3"/>
  </cols>
  <sheetData>
    <row r="1" spans="1:42" ht="12.75" customHeight="1" x14ac:dyDescent="0.25">
      <c r="A1" s="78" t="s">
        <v>48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80"/>
    </row>
    <row r="2" spans="1:42" ht="12.75" customHeight="1" x14ac:dyDescent="0.25">
      <c r="A2" s="75" t="s">
        <v>45</v>
      </c>
      <c r="B2" s="76"/>
      <c r="C2" s="76"/>
      <c r="D2" s="76"/>
      <c r="E2" s="77"/>
      <c r="F2" s="58"/>
      <c r="G2" s="72" t="s">
        <v>44</v>
      </c>
      <c r="H2" s="73"/>
      <c r="I2" s="73"/>
      <c r="J2" s="73"/>
      <c r="K2" s="74"/>
      <c r="L2" s="57"/>
      <c r="M2" s="28"/>
      <c r="N2" s="60"/>
      <c r="O2" s="65"/>
      <c r="P2" s="22" t="s">
        <v>0</v>
      </c>
      <c r="Q2" s="23" t="s">
        <v>1</v>
      </c>
      <c r="R2" s="57"/>
      <c r="S2" s="60"/>
      <c r="T2" s="61"/>
      <c r="U2" s="2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2.75" customHeight="1" x14ac:dyDescent="0.2">
      <c r="A3" s="48" t="s">
        <v>2</v>
      </c>
      <c r="B3" s="49" t="s">
        <v>3</v>
      </c>
      <c r="C3" s="49" t="s">
        <v>4</v>
      </c>
      <c r="D3" s="49"/>
      <c r="E3" s="50" t="s">
        <v>46</v>
      </c>
      <c r="F3" s="58"/>
      <c r="G3" s="48" t="s">
        <v>2</v>
      </c>
      <c r="H3" s="49" t="s">
        <v>3</v>
      </c>
      <c r="I3" s="49" t="s">
        <v>4</v>
      </c>
      <c r="J3" s="49"/>
      <c r="K3" s="50" t="s">
        <v>46</v>
      </c>
      <c r="L3" s="57"/>
      <c r="M3" s="59"/>
      <c r="N3" s="69" t="s">
        <v>6</v>
      </c>
      <c r="O3" s="35" t="s">
        <v>5</v>
      </c>
      <c r="P3" s="36" t="str">
        <f t="shared" ref="P3:P24" si="0">IFERROR(VLOOKUP(O3,$A$4:$E$43,5,FALSE),"")</f>
        <v/>
      </c>
      <c r="Q3" s="37" t="str">
        <f t="shared" ref="Q3:Q24" si="1">IFERROR(VLOOKUP(O3,$G$4:$K$43,5,FALSE),"")</f>
        <v/>
      </c>
      <c r="R3" s="58"/>
      <c r="S3" s="25" t="s">
        <v>6</v>
      </c>
      <c r="T3" s="43">
        <f>SUM(P3:Q24)</f>
        <v>0</v>
      </c>
      <c r="U3" s="62"/>
      <c r="W3" s="8"/>
      <c r="X3" s="8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2.75" customHeight="1" x14ac:dyDescent="0.2">
      <c r="A4" s="44" t="str">
        <f>IF(ISBLANK(fluxortd!B6), "", fluxortd!B6)</f>
        <v>-</v>
      </c>
      <c r="B4" s="45">
        <f>IF(ISBLANK(A4), "", SUMIF(fluxortd!B:B, A4, fluxortd!D:D) - SUMIF(fluxortd!E:E, A4, fluxortd!D:D))</f>
        <v>0</v>
      </c>
      <c r="C4" s="46" t="str">
        <f>IF(B4=0, "", (SUMIF(fluxortd!B:B, A4, fluxortd!C:C) - SUMIF(fluxortd!E:E, A4, fluxortd!C:C)) / B4 )</f>
        <v/>
      </c>
      <c r="D4" s="14"/>
      <c r="E4" s="20" t="str">
        <f>IF(AND(ISNUMBER(B4),ISNUMBER(C4)),IF((B4*C4)*5=0,"",(B4*C4)*5),"")</f>
        <v/>
      </c>
      <c r="F4" s="58"/>
      <c r="G4" s="44" t="str">
        <f>IF(ISBLANK(fluxortd!J6), "", fluxortd!J6)</f>
        <v>-</v>
      </c>
      <c r="H4" s="45">
        <f>IF(ISBLANK(G4), "", SUMIF(fluxortd!J:J, G4, fluxortd!L:L) - SUMIF(fluxortd!M:M, G4, fluxortd!L:L))</f>
        <v>0</v>
      </c>
      <c r="I4" s="46" t="str">
        <f>IF(H4=0, "", (SUMIF(fluxortd!B:B, G4, fluxortd!C:C) - SUMIF(fluxortd!E:E, G4, fluxortd!C:C)) / H4 )</f>
        <v/>
      </c>
      <c r="J4" s="14"/>
      <c r="K4" s="20" t="str">
        <f>IF(AND(ISNUMBER(H4),ISNUMBER(I4)),IF(H4*I4=0,"",H4*I4),"")</f>
        <v/>
      </c>
      <c r="L4" s="57"/>
      <c r="M4" s="59"/>
      <c r="N4" s="70"/>
      <c r="O4" s="12" t="s">
        <v>7</v>
      </c>
      <c r="P4" s="13" t="str">
        <f t="shared" si="0"/>
        <v/>
      </c>
      <c r="Q4" s="11" t="str">
        <f t="shared" si="1"/>
        <v/>
      </c>
      <c r="R4" s="57"/>
      <c r="S4" s="24" t="s">
        <v>9</v>
      </c>
      <c r="T4" s="7">
        <f>SUM(P26:Q38)</f>
        <v>0</v>
      </c>
      <c r="U4" s="53"/>
      <c r="W4" s="8"/>
      <c r="X4" s="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2.75" customHeight="1" x14ac:dyDescent="0.25">
      <c r="A5" s="27" t="str">
        <f>IF(ISBLANK(fluxortd!B7), "", fluxortd!B7)</f>
        <v>-</v>
      </c>
      <c r="B5" s="28">
        <f>IF(ISBLANK(A5), "", SUMIF(fluxortd!B:B, A5, fluxortd!D:D) - SUMIF(fluxortd!E:E, A5, fluxortd!D:D))</f>
        <v>0</v>
      </c>
      <c r="C5" s="87" t="str">
        <f>IF(B5=0, "", (SUMIF(fluxortd!B:B, A5, fluxortd!C:C) - SUMIF(fluxortd!E:E, A5, fluxortd!C:C)) / B5 )</f>
        <v/>
      </c>
      <c r="D5" s="28"/>
      <c r="E5" s="90" t="str">
        <f>IF(AND(ISNUMBER(B5),ISNUMBER(C5)),IF((B5*C5)*5=0,"",(B5*C5)*5),"")</f>
        <v/>
      </c>
      <c r="F5" s="58"/>
      <c r="G5" s="27" t="str">
        <f>IF(ISBLANK(fluxortd!J7), "", fluxortd!J7)</f>
        <v>-</v>
      </c>
      <c r="H5" s="33">
        <f>IF(ISBLANK(G5), "", SUMIF(fluxortd!J:J, G5, fluxortd!L:L) - SUMIF(fluxortd!M:M, G5, fluxortd!L:L))</f>
        <v>0</v>
      </c>
      <c r="I5" s="87" t="str">
        <f>IF(H5=0, "", (SUMIF(fluxortd!B:B, G5, fluxortd!C:C) - SUMIF(fluxortd!E:E, G5, fluxortd!C:C)) / H5 )</f>
        <v/>
      </c>
      <c r="J5" s="28"/>
      <c r="K5" s="90" t="str">
        <f>IF(AND(ISNUMBER(H5),ISNUMBER(I5)),IF(H5*I5=0,"",H5*I5),"")</f>
        <v/>
      </c>
      <c r="L5" s="57"/>
      <c r="M5" s="59"/>
      <c r="N5" s="70"/>
      <c r="O5" s="38" t="s">
        <v>8</v>
      </c>
      <c r="P5" s="39" t="str">
        <f t="shared" si="0"/>
        <v/>
      </c>
      <c r="Q5" s="29" t="str">
        <f t="shared" si="1"/>
        <v/>
      </c>
      <c r="R5" s="58"/>
      <c r="S5" s="26" t="s">
        <v>12</v>
      </c>
      <c r="T5" s="43">
        <f>SUM(P40:Q43)</f>
        <v>0</v>
      </c>
      <c r="U5" s="57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2.75" customHeight="1" x14ac:dyDescent="0.25">
      <c r="A6" s="9" t="str">
        <f>IF(ISBLANK(fluxortd!B8), "", fluxortd!B8)</f>
        <v>-</v>
      </c>
      <c r="B6" s="66">
        <f>IF(ISBLANK(A6), "", SUMIF(fluxortd!B:B, A6, fluxortd!D:D) - SUMIF(fluxortd!E:E, A6, fluxortd!D:D))</f>
        <v>0</v>
      </c>
      <c r="C6" s="46" t="str">
        <f>IF(B6=0, "", (SUMIF(fluxortd!B:B, A6, fluxortd!C:C) - SUMIF(fluxortd!E:E, A6, fluxortd!C:C)) / B6 )</f>
        <v/>
      </c>
      <c r="D6" s="66"/>
      <c r="E6" s="47" t="str">
        <f t="shared" ref="E6:E43" si="2">IF(AND(ISNUMBER(B6),ISNUMBER(C6)),IF((B6*C6)*5=0,"",(B6*C6)*5),"")</f>
        <v/>
      </c>
      <c r="F6" s="58"/>
      <c r="G6" s="9" t="str">
        <f>IF(ISBLANK(fluxortd!J8), "", fluxortd!J8)</f>
        <v>-</v>
      </c>
      <c r="H6" s="10">
        <f>IF(ISBLANK(G6), "", SUMIF(fluxortd!J:J, G6, fluxortd!L:L) - SUMIF(fluxortd!M:M, G6, fluxortd!L:L))</f>
        <v>0</v>
      </c>
      <c r="I6" s="46" t="str">
        <f>IF(H6=0, "", (SUMIF(fluxortd!B:B, G6, fluxortd!C:C) - SUMIF(fluxortd!E:E, G6, fluxortd!C:C)) / H6 )</f>
        <v/>
      </c>
      <c r="J6" s="1"/>
      <c r="K6" s="47" t="str">
        <f t="shared" ref="K6:K43" si="3">IF(AND(ISNUMBER(H6),ISNUMBER(I6)),IF(H6*I6=0,"",H6*I6),"")</f>
        <v/>
      </c>
      <c r="L6" s="57"/>
      <c r="M6" s="59"/>
      <c r="N6" s="70"/>
      <c r="O6" s="12" t="s">
        <v>10</v>
      </c>
      <c r="P6" s="13" t="str">
        <f t="shared" si="0"/>
        <v/>
      </c>
      <c r="Q6" s="11" t="str">
        <f t="shared" si="1"/>
        <v/>
      </c>
      <c r="R6" s="57"/>
      <c r="S6" s="63"/>
      <c r="T6" s="64"/>
      <c r="U6" s="5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2.75" customHeight="1" x14ac:dyDescent="0.25">
      <c r="A7" s="27" t="str">
        <f>IF(ISBLANK(fluxortd!B9), "", fluxortd!B9)</f>
        <v>-</v>
      </c>
      <c r="B7" s="28">
        <f>IF(ISBLANK(A7), "", SUMIF(fluxortd!B:B, A7, fluxortd!D:D) - SUMIF(fluxortd!E:E, A7, fluxortd!D:D))</f>
        <v>0</v>
      </c>
      <c r="C7" s="87" t="str">
        <f>IF(B7=0, "", (SUMIF(fluxortd!B:B, A7, fluxortd!C:C) - SUMIF(fluxortd!E:E, A7, fluxortd!C:C)) / B7 )</f>
        <v/>
      </c>
      <c r="D7" s="28"/>
      <c r="E7" s="90" t="str">
        <f t="shared" si="2"/>
        <v/>
      </c>
      <c r="F7" s="58"/>
      <c r="G7" s="27" t="str">
        <f>IF(ISBLANK(fluxortd!J9), "", fluxortd!J9)</f>
        <v>-</v>
      </c>
      <c r="H7" s="33">
        <f>IF(ISBLANK(G7), "", SUMIF(fluxortd!J:J, G7, fluxortd!L:L) - SUMIF(fluxortd!M:M, G7, fluxortd!L:L))</f>
        <v>0</v>
      </c>
      <c r="I7" s="87" t="str">
        <f>IF(H7=0, "", (SUMIF(fluxortd!B:B, G7, fluxortd!C:C) - SUMIF(fluxortd!E:E, G7, fluxortd!C:C)) / H7 )</f>
        <v/>
      </c>
      <c r="J7" s="28"/>
      <c r="K7" s="90" t="str">
        <f t="shared" si="3"/>
        <v/>
      </c>
      <c r="L7" s="57"/>
      <c r="M7" s="59"/>
      <c r="N7" s="70"/>
      <c r="O7" s="38" t="s">
        <v>11</v>
      </c>
      <c r="P7" s="39" t="str">
        <f t="shared" si="0"/>
        <v/>
      </c>
      <c r="Q7" s="29" t="str">
        <f t="shared" si="1"/>
        <v/>
      </c>
      <c r="R7" s="58"/>
      <c r="S7" s="6" t="s">
        <v>47</v>
      </c>
      <c r="T7" s="7">
        <f>SUM(T3,T4,T5)</f>
        <v>0</v>
      </c>
      <c r="U7" s="6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2.75" customHeight="1" x14ac:dyDescent="0.25">
      <c r="A8" s="9" t="str">
        <f>IF(ISBLANK(fluxortd!B10), "", fluxortd!B10)</f>
        <v>-</v>
      </c>
      <c r="B8" s="66">
        <f>IF(ISBLANK(A8), "", SUMIF(fluxortd!B:B, A8, fluxortd!D:D) - SUMIF(fluxortd!E:E, A8, fluxortd!D:D))</f>
        <v>0</v>
      </c>
      <c r="C8" s="46" t="str">
        <f>IF(B8=0, "", (SUMIF(fluxortd!B:B, A8, fluxortd!C:C) - SUMIF(fluxortd!E:E, A8, fluxortd!C:C)) / B8 )</f>
        <v/>
      </c>
      <c r="D8" s="66"/>
      <c r="E8" s="47" t="str">
        <f t="shared" si="2"/>
        <v/>
      </c>
      <c r="F8" s="58"/>
      <c r="G8" s="9" t="str">
        <f>IF(ISBLANK(fluxortd!J10), "", fluxortd!J10)</f>
        <v>-</v>
      </c>
      <c r="H8" s="10">
        <f>IF(ISBLANK(G8), "", SUMIF(fluxortd!J:J, G8, fluxortd!L:L) - SUMIF(fluxortd!M:M, G8, fluxortd!L:L))</f>
        <v>0</v>
      </c>
      <c r="I8" s="46" t="str">
        <f>IF(H8=0, "", (SUMIF(fluxortd!B:B, G8, fluxortd!C:C) - SUMIF(fluxortd!E:E, G8, fluxortd!C:C)) / H8 )</f>
        <v/>
      </c>
      <c r="J8" s="1"/>
      <c r="K8" s="47" t="str">
        <f t="shared" si="3"/>
        <v/>
      </c>
      <c r="L8" s="57"/>
      <c r="M8" s="59"/>
      <c r="N8" s="70"/>
      <c r="O8" s="12" t="s">
        <v>13</v>
      </c>
      <c r="P8" s="13" t="str">
        <f t="shared" si="0"/>
        <v/>
      </c>
      <c r="Q8" s="11" t="str">
        <f t="shared" si="1"/>
        <v/>
      </c>
      <c r="R8" s="57"/>
      <c r="S8" s="55"/>
      <c r="T8" s="54"/>
      <c r="U8" s="2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2.75" customHeight="1" x14ac:dyDescent="0.25">
      <c r="A9" s="27" t="str">
        <f>IF(ISBLANK(fluxortd!B11), "", fluxortd!B11)</f>
        <v>-</v>
      </c>
      <c r="B9" s="28">
        <f>IF(ISBLANK(A9), "", SUMIF(fluxortd!B:B, A9, fluxortd!D:D) - SUMIF(fluxortd!E:E, A9, fluxortd!D:D))</f>
        <v>0</v>
      </c>
      <c r="C9" s="87" t="str">
        <f>IF(B9=0, "", (SUMIF(fluxortd!B:B, A9, fluxortd!C:C) - SUMIF(fluxortd!E:E, A9, fluxortd!C:C)) / B9 )</f>
        <v/>
      </c>
      <c r="D9" s="28"/>
      <c r="E9" s="90" t="str">
        <f t="shared" si="2"/>
        <v/>
      </c>
      <c r="F9" s="58"/>
      <c r="G9" s="27" t="str">
        <f>IF(ISBLANK(fluxortd!J11), "", fluxortd!J11)</f>
        <v>-</v>
      </c>
      <c r="H9" s="33">
        <f>IF(ISBLANK(G9), "", SUMIF(fluxortd!J:J, G9, fluxortd!L:L) - SUMIF(fluxortd!M:M, G9, fluxortd!L:L))</f>
        <v>0</v>
      </c>
      <c r="I9" s="87" t="str">
        <f>IF(H9=0, "", (SUMIF(fluxortd!B:B, G9, fluxortd!C:C) - SUMIF(fluxortd!E:E, G9, fluxortd!C:C)) / H9 )</f>
        <v/>
      </c>
      <c r="J9" s="28"/>
      <c r="K9" s="90" t="str">
        <f t="shared" si="3"/>
        <v/>
      </c>
      <c r="L9" s="57"/>
      <c r="M9" s="59"/>
      <c r="N9" s="70"/>
      <c r="O9" s="38" t="s">
        <v>14</v>
      </c>
      <c r="P9" s="39" t="str">
        <f t="shared" si="0"/>
        <v/>
      </c>
      <c r="Q9" s="29" t="str">
        <f t="shared" si="1"/>
        <v/>
      </c>
      <c r="R9" s="58"/>
      <c r="S9" s="28"/>
      <c r="T9" s="56"/>
      <c r="U9" s="6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2.75" customHeight="1" x14ac:dyDescent="0.25">
      <c r="A10" s="9" t="str">
        <f>IF(ISBLANK(fluxortd!B12), "", fluxortd!B12)</f>
        <v>-</v>
      </c>
      <c r="B10" s="66">
        <f>IF(ISBLANK(A10), "", SUMIF(fluxortd!B:B, A10, fluxortd!D:D) - SUMIF(fluxortd!E:E, A10, fluxortd!D:D))</f>
        <v>0</v>
      </c>
      <c r="C10" s="46" t="str">
        <f>IF(B10=0, "", (SUMIF(fluxortd!B:B, A10, fluxortd!C:C) - SUMIF(fluxortd!E:E, A10, fluxortd!C:C)) / B10 )</f>
        <v/>
      </c>
      <c r="D10" s="66"/>
      <c r="E10" s="47" t="str">
        <f t="shared" si="2"/>
        <v/>
      </c>
      <c r="F10" s="58"/>
      <c r="G10" s="9" t="str">
        <f>IF(ISBLANK(fluxortd!J12), "", fluxortd!J12)</f>
        <v>-</v>
      </c>
      <c r="H10" s="10">
        <f>IF(ISBLANK(G10), "", SUMIF(fluxortd!J:J, G10, fluxortd!L:L) - SUMIF(fluxortd!M:M, G10, fluxortd!L:L))</f>
        <v>0</v>
      </c>
      <c r="I10" s="46" t="str">
        <f>IF(H10=0, "", (SUMIF(fluxortd!B:B, G10, fluxortd!C:C) - SUMIF(fluxortd!E:E, G10, fluxortd!C:C)) / H10 )</f>
        <v/>
      </c>
      <c r="J10" s="1"/>
      <c r="K10" s="47" t="str">
        <f t="shared" si="3"/>
        <v/>
      </c>
      <c r="L10" s="57"/>
      <c r="M10" s="59"/>
      <c r="N10" s="70"/>
      <c r="O10" s="12" t="s">
        <v>15</v>
      </c>
      <c r="P10" s="13" t="str">
        <f t="shared" si="0"/>
        <v/>
      </c>
      <c r="Q10" s="11" t="str">
        <f t="shared" si="1"/>
        <v/>
      </c>
      <c r="R10" s="57"/>
      <c r="S10" s="28"/>
      <c r="T10" s="56"/>
      <c r="U10" s="5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2.75" customHeight="1" x14ac:dyDescent="0.25">
      <c r="A11" s="27" t="str">
        <f>IF(ISBLANK(fluxortd!B13), "", fluxortd!B13)</f>
        <v>-</v>
      </c>
      <c r="B11" s="28">
        <f>IF(ISBLANK(A11), "", SUMIF(fluxortd!B:B, A11, fluxortd!D:D) - SUMIF(fluxortd!E:E, A11, fluxortd!D:D))</f>
        <v>0</v>
      </c>
      <c r="C11" s="87" t="str">
        <f>IF(B11=0, "", (SUMIF(fluxortd!B:B, A11, fluxortd!C:C) - SUMIF(fluxortd!E:E, A11, fluxortd!C:C)) / B11 )</f>
        <v/>
      </c>
      <c r="D11" s="28"/>
      <c r="E11" s="90" t="str">
        <f t="shared" si="2"/>
        <v/>
      </c>
      <c r="F11" s="58"/>
      <c r="G11" s="27" t="str">
        <f>IF(ISBLANK(fluxortd!J13), "", fluxortd!J13)</f>
        <v>-</v>
      </c>
      <c r="H11" s="33">
        <f>IF(ISBLANK(G11), "", SUMIF(fluxortd!J:J, G11, fluxortd!L:L) - SUMIF(fluxortd!M:M, G11, fluxortd!L:L))</f>
        <v>0</v>
      </c>
      <c r="I11" s="87" t="str">
        <f>IF(H11=0, "", (SUMIF(fluxortd!B:B, G11, fluxortd!C:C) - SUMIF(fluxortd!E:E, G11, fluxortd!C:C)) / H11 )</f>
        <v/>
      </c>
      <c r="J11" s="28"/>
      <c r="K11" s="90" t="str">
        <f t="shared" si="3"/>
        <v/>
      </c>
      <c r="L11" s="57"/>
      <c r="M11" s="59"/>
      <c r="N11" s="70"/>
      <c r="O11" s="38" t="s">
        <v>16</v>
      </c>
      <c r="P11" s="39" t="str">
        <f t="shared" si="0"/>
        <v/>
      </c>
      <c r="Q11" s="29" t="str">
        <f t="shared" si="1"/>
        <v/>
      </c>
      <c r="R11" s="57"/>
      <c r="S11" s="28"/>
      <c r="T11" s="56"/>
      <c r="U11" s="28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2.75" customHeight="1" x14ac:dyDescent="0.25">
      <c r="A12" s="9" t="str">
        <f>IF(ISBLANK(fluxortd!B14), "", fluxortd!B14)</f>
        <v>-</v>
      </c>
      <c r="B12" s="66">
        <f>IF(ISBLANK(A12), "", SUMIF(fluxortd!B:B, A12, fluxortd!D:D) - SUMIF(fluxortd!E:E, A12, fluxortd!D:D))</f>
        <v>0</v>
      </c>
      <c r="C12" s="46" t="str">
        <f>IF(B12=0, "", (SUMIF(fluxortd!B:B, A12, fluxortd!C:C) - SUMIF(fluxortd!E:E, A12, fluxortd!C:C)) / B12 )</f>
        <v/>
      </c>
      <c r="D12" s="66"/>
      <c r="E12" s="47" t="str">
        <f t="shared" si="2"/>
        <v/>
      </c>
      <c r="F12" s="58"/>
      <c r="G12" s="9" t="str">
        <f>IF(ISBLANK(fluxortd!J14), "", fluxortd!J14)</f>
        <v>-</v>
      </c>
      <c r="H12" s="10">
        <f>IF(ISBLANK(G12), "", SUMIF(fluxortd!J:J, G12, fluxortd!L:L) - SUMIF(fluxortd!M:M, G12, fluxortd!L:L))</f>
        <v>0</v>
      </c>
      <c r="I12" s="46" t="str">
        <f>IF(H12=0, "", (SUMIF(fluxortd!B:B, G12, fluxortd!C:C) - SUMIF(fluxortd!E:E, G12, fluxortd!C:C)) / H12 )</f>
        <v/>
      </c>
      <c r="J12" s="1"/>
      <c r="K12" s="47" t="str">
        <f t="shared" si="3"/>
        <v/>
      </c>
      <c r="L12" s="57"/>
      <c r="M12" s="59"/>
      <c r="N12" s="70"/>
      <c r="O12" s="12" t="s">
        <v>17</v>
      </c>
      <c r="P12" s="13" t="str">
        <f t="shared" si="0"/>
        <v/>
      </c>
      <c r="Q12" s="11" t="str">
        <f t="shared" si="1"/>
        <v/>
      </c>
      <c r="R12" s="57"/>
      <c r="S12" s="28"/>
      <c r="T12" s="56"/>
      <c r="U12" s="53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2.75" customHeight="1" x14ac:dyDescent="0.25">
      <c r="A13" s="27" t="str">
        <f>IF(ISBLANK(fluxortd!B15), "", fluxortd!B15)</f>
        <v>-</v>
      </c>
      <c r="B13" s="28">
        <f>IF(ISBLANK(A13), "", SUMIF(fluxortd!B:B, A13, fluxortd!D:D) - SUMIF(fluxortd!E:E, A13, fluxortd!D:D))</f>
        <v>0</v>
      </c>
      <c r="C13" s="87" t="str">
        <f>IF(B13=0, "", (SUMIF(fluxortd!B:B, A13, fluxortd!C:C) - SUMIF(fluxortd!E:E, A13, fluxortd!C:C)) / B13 )</f>
        <v/>
      </c>
      <c r="D13" s="28"/>
      <c r="E13" s="90" t="str">
        <f t="shared" si="2"/>
        <v/>
      </c>
      <c r="F13" s="58"/>
      <c r="G13" s="27" t="str">
        <f>IF(ISBLANK(fluxortd!J15), "", fluxortd!J15)</f>
        <v>-</v>
      </c>
      <c r="H13" s="33">
        <f>IF(ISBLANK(G13), "", SUMIF(fluxortd!J:J, G13, fluxortd!L:L) - SUMIF(fluxortd!M:M, G13, fluxortd!L:L))</f>
        <v>0</v>
      </c>
      <c r="I13" s="87" t="str">
        <f>IF(H13=0, "", (SUMIF(fluxortd!B:B, G13, fluxortd!C:C) - SUMIF(fluxortd!E:E, G13, fluxortd!C:C)) / H13 )</f>
        <v/>
      </c>
      <c r="J13" s="28"/>
      <c r="K13" s="90" t="str">
        <f t="shared" si="3"/>
        <v/>
      </c>
      <c r="L13" s="57"/>
      <c r="M13" s="59"/>
      <c r="N13" s="70"/>
      <c r="O13" s="38" t="s">
        <v>18</v>
      </c>
      <c r="P13" s="39" t="str">
        <f t="shared" si="0"/>
        <v/>
      </c>
      <c r="Q13" s="29" t="str">
        <f t="shared" si="1"/>
        <v/>
      </c>
      <c r="R13" s="57"/>
      <c r="S13" s="28"/>
      <c r="T13" s="56"/>
      <c r="U13" s="2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2.75" customHeight="1" x14ac:dyDescent="0.25">
      <c r="A14" s="9" t="str">
        <f>IF(ISBLANK(fluxortd!B16), "", fluxortd!B16)</f>
        <v>-</v>
      </c>
      <c r="B14" s="66">
        <f>IF(ISBLANK(A14), "", SUMIF(fluxortd!B:B, A14, fluxortd!D:D) - SUMIF(fluxortd!E:E, A14, fluxortd!D:D))</f>
        <v>0</v>
      </c>
      <c r="C14" s="46" t="str">
        <f>IF(B14=0, "", (SUMIF(fluxortd!B:B, A14, fluxortd!C:C) - SUMIF(fluxortd!E:E, A14, fluxortd!C:C)) / B14 )</f>
        <v/>
      </c>
      <c r="D14" s="66"/>
      <c r="E14" s="47" t="str">
        <f t="shared" si="2"/>
        <v/>
      </c>
      <c r="F14" s="58"/>
      <c r="G14" s="9" t="str">
        <f>IF(ISBLANK(fluxortd!J16), "", fluxortd!J16)</f>
        <v>-</v>
      </c>
      <c r="H14" s="10">
        <f>IF(ISBLANK(G14), "", SUMIF(fluxortd!J:J, G14, fluxortd!L:L) - SUMIF(fluxortd!M:M, G14, fluxortd!L:L))</f>
        <v>0</v>
      </c>
      <c r="I14" s="46" t="str">
        <f>IF(H14=0, "", (SUMIF(fluxortd!B:B, G14, fluxortd!C:C) - SUMIF(fluxortd!E:E, G14, fluxortd!C:C)) / H14 )</f>
        <v/>
      </c>
      <c r="J14" s="1"/>
      <c r="K14" s="47" t="str">
        <f t="shared" si="3"/>
        <v/>
      </c>
      <c r="L14" s="57"/>
      <c r="M14" s="59"/>
      <c r="N14" s="70"/>
      <c r="O14" s="12" t="s">
        <v>19</v>
      </c>
      <c r="P14" s="13" t="str">
        <f t="shared" si="0"/>
        <v/>
      </c>
      <c r="Q14" s="11" t="str">
        <f t="shared" si="1"/>
        <v/>
      </c>
      <c r="R14" s="57"/>
      <c r="S14" s="28"/>
      <c r="T14" s="56"/>
      <c r="U14" s="2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2.75" customHeight="1" x14ac:dyDescent="0.25">
      <c r="A15" s="27" t="str">
        <f>IF(ISBLANK(fluxortd!B17), "", fluxortd!B17)</f>
        <v>-</v>
      </c>
      <c r="B15" s="28">
        <f>IF(ISBLANK(A15), "", SUMIF(fluxortd!B:B, A15, fluxortd!D:D) - SUMIF(fluxortd!E:E, A15, fluxortd!D:D))</f>
        <v>0</v>
      </c>
      <c r="C15" s="87" t="str">
        <f>IF(B15=0, "", (SUMIF(fluxortd!B:B, A15, fluxortd!C:C) - SUMIF(fluxortd!E:E, A15, fluxortd!C:C)) / B15 )</f>
        <v/>
      </c>
      <c r="D15" s="28"/>
      <c r="E15" s="90" t="str">
        <f t="shared" si="2"/>
        <v/>
      </c>
      <c r="F15" s="58"/>
      <c r="G15" s="27" t="str">
        <f>IF(ISBLANK(fluxortd!J17), "", fluxortd!J17)</f>
        <v>-</v>
      </c>
      <c r="H15" s="28">
        <f>IF(ISBLANK(G15), "", SUMIF(fluxortd!J:J, G15, fluxortd!L:L) - SUMIF(fluxortd!M:M, G15, fluxortd!L:L))</f>
        <v>0</v>
      </c>
      <c r="I15" s="87" t="str">
        <f>IF(H15=0, "", (SUMIF(fluxortd!B:B, G15, fluxortd!C:C) - SUMIF(fluxortd!E:E, G15, fluxortd!C:C)) / H15 )</f>
        <v/>
      </c>
      <c r="J15" s="28"/>
      <c r="K15" s="90" t="str">
        <f t="shared" si="3"/>
        <v/>
      </c>
      <c r="L15" s="57"/>
      <c r="M15" s="59"/>
      <c r="N15" s="70"/>
      <c r="O15" s="38" t="s">
        <v>20</v>
      </c>
      <c r="P15" s="39" t="str">
        <f t="shared" si="0"/>
        <v/>
      </c>
      <c r="Q15" s="29" t="str">
        <f t="shared" si="1"/>
        <v/>
      </c>
      <c r="R15" s="57"/>
      <c r="S15" s="28"/>
      <c r="T15" s="56"/>
      <c r="U15" s="2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2.75" customHeight="1" x14ac:dyDescent="0.25">
      <c r="A16" s="9" t="str">
        <f>IF(ISBLANK(fluxortd!B18), "", fluxortd!B18)</f>
        <v>-</v>
      </c>
      <c r="B16" s="66">
        <f>IF(ISBLANK(A16), "", SUMIF(fluxortd!B:B, A16, fluxortd!D:D) - SUMIF(fluxortd!E:E, A16, fluxortd!D:D))</f>
        <v>0</v>
      </c>
      <c r="C16" s="46" t="str">
        <f>IF(B16=0, "", (SUMIF(fluxortd!B:B, A16, fluxortd!C:C) - SUMIF(fluxortd!E:E, A16, fluxortd!C:C)) / B16 )</f>
        <v/>
      </c>
      <c r="D16" s="66"/>
      <c r="E16" s="47" t="str">
        <f t="shared" si="2"/>
        <v/>
      </c>
      <c r="F16" s="58"/>
      <c r="G16" s="9" t="str">
        <f>IF(ISBLANK(fluxortd!J18), "", fluxortd!J18)</f>
        <v>-</v>
      </c>
      <c r="H16" s="1">
        <f>IF(ISBLANK(G16), "", SUMIF(fluxortd!J:J, G16, fluxortd!L:L) - SUMIF(fluxortd!M:M, G16, fluxortd!L:L))</f>
        <v>0</v>
      </c>
      <c r="I16" s="46" t="str">
        <f>IF(H16=0, "", (SUMIF(fluxortd!B:B, G16, fluxortd!C:C) - SUMIF(fluxortd!E:E, G16, fluxortd!C:C)) / H16 )</f>
        <v/>
      </c>
      <c r="J16" s="1"/>
      <c r="K16" s="47" t="str">
        <f t="shared" si="3"/>
        <v/>
      </c>
      <c r="L16" s="57"/>
      <c r="M16" s="59"/>
      <c r="N16" s="70"/>
      <c r="O16" s="12" t="s">
        <v>21</v>
      </c>
      <c r="P16" s="13" t="str">
        <f t="shared" si="0"/>
        <v/>
      </c>
      <c r="Q16" s="11" t="str">
        <f t="shared" si="1"/>
        <v/>
      </c>
      <c r="R16" s="57"/>
      <c r="S16" s="28"/>
      <c r="T16" s="56"/>
      <c r="U16" s="2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2.75" customHeight="1" x14ac:dyDescent="0.25">
      <c r="A17" s="27" t="str">
        <f>IF(ISBLANK(fluxortd!B19), "", fluxortd!B19)</f>
        <v>-</v>
      </c>
      <c r="B17" s="28">
        <f>IF(ISBLANK(A17), "", SUMIF(fluxortd!B:B, A17, fluxortd!D:D) - SUMIF(fluxortd!E:E, A17, fluxortd!D:D))</f>
        <v>0</v>
      </c>
      <c r="C17" s="87" t="str">
        <f>IF(B17=0, "", (SUMIF(fluxortd!B:B, A17, fluxortd!C:C) - SUMIF(fluxortd!E:E, A17, fluxortd!C:C)) / B17 )</f>
        <v/>
      </c>
      <c r="D17" s="28"/>
      <c r="E17" s="90" t="str">
        <f t="shared" si="2"/>
        <v/>
      </c>
      <c r="F17" s="58"/>
      <c r="G17" s="27" t="str">
        <f>IF(ISBLANK(fluxortd!J19), "", fluxortd!J19)</f>
        <v>-</v>
      </c>
      <c r="H17" s="28">
        <f>IF(ISBLANK(G17), "", SUMIF(fluxortd!J:J, G17, fluxortd!L:L) - SUMIF(fluxortd!M:M, G17, fluxortd!L:L))</f>
        <v>0</v>
      </c>
      <c r="I17" s="87" t="str">
        <f>IF(H17=0, "", (SUMIF(fluxortd!B:B, G17, fluxortd!C:C) - SUMIF(fluxortd!E:E, G17, fluxortd!C:C)) / H17 )</f>
        <v/>
      </c>
      <c r="J17" s="28"/>
      <c r="K17" s="90" t="str">
        <f t="shared" si="3"/>
        <v/>
      </c>
      <c r="L17" s="57"/>
      <c r="M17" s="59"/>
      <c r="N17" s="70"/>
      <c r="O17" s="38" t="s">
        <v>22</v>
      </c>
      <c r="P17" s="39" t="str">
        <f t="shared" si="0"/>
        <v/>
      </c>
      <c r="Q17" s="29" t="str">
        <f t="shared" si="1"/>
        <v/>
      </c>
      <c r="R17" s="57"/>
      <c r="S17" s="28"/>
      <c r="T17" s="56"/>
      <c r="U17" s="2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2.75" customHeight="1" x14ac:dyDescent="0.25">
      <c r="A18" s="9" t="str">
        <f>IF(ISBLANK(fluxortd!B20), "", fluxortd!B20)</f>
        <v>-</v>
      </c>
      <c r="B18" s="66">
        <f>IF(ISBLANK(A18), "", SUMIF(fluxortd!B:B, A18, fluxortd!D:D) - SUMIF(fluxortd!E:E, A18, fluxortd!D:D))</f>
        <v>0</v>
      </c>
      <c r="C18" s="46" t="str">
        <f>IF(B18=0, "", (SUMIF(fluxortd!B:B, A18, fluxortd!C:C) - SUMIF(fluxortd!E:E, A18, fluxortd!C:C)) / B18 )</f>
        <v/>
      </c>
      <c r="D18" s="66"/>
      <c r="E18" s="47" t="str">
        <f t="shared" si="2"/>
        <v/>
      </c>
      <c r="F18" s="58"/>
      <c r="G18" s="9" t="str">
        <f>IF(ISBLANK(fluxortd!J20), "", fluxortd!J20)</f>
        <v>-</v>
      </c>
      <c r="H18" s="1">
        <f>IF(ISBLANK(G18), "", SUMIF(fluxortd!J:J, G18, fluxortd!L:L) - SUMIF(fluxortd!M:M, G18, fluxortd!L:L))</f>
        <v>0</v>
      </c>
      <c r="I18" s="46" t="str">
        <f>IF(H18=0, "", (SUMIF(fluxortd!B:B, G18, fluxortd!C:C) - SUMIF(fluxortd!E:E, G18, fluxortd!C:C)) / H18 )</f>
        <v/>
      </c>
      <c r="J18" s="1"/>
      <c r="K18" s="47" t="str">
        <f t="shared" si="3"/>
        <v/>
      </c>
      <c r="L18" s="57"/>
      <c r="M18" s="59"/>
      <c r="N18" s="70"/>
      <c r="O18" s="12" t="s">
        <v>23</v>
      </c>
      <c r="P18" s="13" t="str">
        <f t="shared" si="0"/>
        <v/>
      </c>
      <c r="Q18" s="11" t="str">
        <f t="shared" si="1"/>
        <v/>
      </c>
      <c r="R18" s="57"/>
      <c r="S18" s="28"/>
      <c r="T18" s="56"/>
      <c r="U18" s="2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2.75" customHeight="1" x14ac:dyDescent="0.25">
      <c r="A19" s="27" t="str">
        <f>IF(ISBLANK(fluxortd!B21), "", fluxortd!B21)</f>
        <v>-</v>
      </c>
      <c r="B19" s="28">
        <f>IF(ISBLANK(A19), "", SUMIF(fluxortd!B:B, A19, fluxortd!D:D) - SUMIF(fluxortd!E:E, A19, fluxortd!D:D))</f>
        <v>0</v>
      </c>
      <c r="C19" s="87" t="str">
        <f>IF(B19=0, "", (SUMIF(fluxortd!B:B, A19, fluxortd!C:C) - SUMIF(fluxortd!E:E, A19, fluxortd!C:C)) / B19 )</f>
        <v/>
      </c>
      <c r="D19" s="28"/>
      <c r="E19" s="90" t="str">
        <f t="shared" si="2"/>
        <v/>
      </c>
      <c r="F19" s="58"/>
      <c r="G19" s="27" t="str">
        <f>IF(ISBLANK(fluxortd!J21), "", fluxortd!J21)</f>
        <v>-</v>
      </c>
      <c r="H19" s="28">
        <f>IF(ISBLANK(G19), "", SUMIF(fluxortd!J:J, G19, fluxortd!L:L) - SUMIF(fluxortd!M:M, G19, fluxortd!L:L))</f>
        <v>0</v>
      </c>
      <c r="I19" s="87" t="str">
        <f>IF(H19=0, "", (SUMIF(fluxortd!B:B, G19, fluxortd!C:C) - SUMIF(fluxortd!E:E, G19, fluxortd!C:C)) / H19 )</f>
        <v/>
      </c>
      <c r="J19" s="28"/>
      <c r="K19" s="90" t="str">
        <f t="shared" si="3"/>
        <v/>
      </c>
      <c r="L19" s="57"/>
      <c r="M19" s="59"/>
      <c r="N19" s="70"/>
      <c r="O19" s="38" t="s">
        <v>24</v>
      </c>
      <c r="P19" s="39" t="str">
        <f t="shared" si="0"/>
        <v/>
      </c>
      <c r="Q19" s="29" t="str">
        <f t="shared" si="1"/>
        <v/>
      </c>
      <c r="R19" s="57"/>
      <c r="S19" s="28"/>
      <c r="T19" s="56"/>
      <c r="U19" s="2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t="12.75" customHeight="1" x14ac:dyDescent="0.25">
      <c r="A20" s="9" t="str">
        <f>IF(ISBLANK(fluxortd!B22), "", fluxortd!B22)</f>
        <v>-</v>
      </c>
      <c r="B20" s="66">
        <f>IF(ISBLANK(A20), "", SUMIF(fluxortd!B:B, A20, fluxortd!D:D) - SUMIF(fluxortd!E:E, A20, fluxortd!D:D))</f>
        <v>0</v>
      </c>
      <c r="C20" s="46" t="str">
        <f>IF(B20=0, "", (SUMIF(fluxortd!B:B, A20, fluxortd!C:C) - SUMIF(fluxortd!E:E, A20, fluxortd!C:C)) / B20 )</f>
        <v/>
      </c>
      <c r="D20" s="66"/>
      <c r="E20" s="47" t="str">
        <f t="shared" si="2"/>
        <v/>
      </c>
      <c r="F20" s="58"/>
      <c r="G20" s="9" t="str">
        <f>IF(ISBLANK(fluxortd!J22), "", fluxortd!J22)</f>
        <v>-</v>
      </c>
      <c r="H20" s="1">
        <f>IF(ISBLANK(G20), "", SUMIF(fluxortd!J:J, G20, fluxortd!L:L) - SUMIF(fluxortd!M:M, G20, fluxortd!L:L))</f>
        <v>0</v>
      </c>
      <c r="I20" s="46" t="str">
        <f>IF(H20=0, "", (SUMIF(fluxortd!B:B, G20, fluxortd!C:C) - SUMIF(fluxortd!E:E, G20, fluxortd!C:C)) / H20 )</f>
        <v/>
      </c>
      <c r="J20" s="1"/>
      <c r="K20" s="47" t="str">
        <f t="shared" si="3"/>
        <v/>
      </c>
      <c r="L20" s="57"/>
      <c r="M20" s="59"/>
      <c r="N20" s="70"/>
      <c r="O20" s="12" t="s">
        <v>25</v>
      </c>
      <c r="P20" s="13" t="str">
        <f t="shared" si="0"/>
        <v/>
      </c>
      <c r="Q20" s="11" t="str">
        <f t="shared" si="1"/>
        <v/>
      </c>
      <c r="R20" s="57"/>
      <c r="S20" s="28"/>
      <c r="T20" s="56"/>
      <c r="U20" s="2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2.75" customHeight="1" x14ac:dyDescent="0.25">
      <c r="A21" s="27" t="str">
        <f>IF(ISBLANK(fluxortd!B23), "", fluxortd!B23)</f>
        <v>-</v>
      </c>
      <c r="B21" s="28">
        <f>IF(ISBLANK(A21), "", SUMIF(fluxortd!B:B, A21, fluxortd!D:D) - SUMIF(fluxortd!E:E, A21, fluxortd!D:D))</f>
        <v>0</v>
      </c>
      <c r="C21" s="87" t="str">
        <f>IF(B21=0, "", (SUMIF(fluxortd!B:B, A21, fluxortd!C:C) - SUMIF(fluxortd!E:E, A21, fluxortd!C:C)) / B21 )</f>
        <v/>
      </c>
      <c r="D21" s="28"/>
      <c r="E21" s="90" t="str">
        <f t="shared" si="2"/>
        <v/>
      </c>
      <c r="F21" s="58"/>
      <c r="G21" s="27" t="str">
        <f>IF(ISBLANK(fluxortd!J23), "", fluxortd!J23)</f>
        <v>-</v>
      </c>
      <c r="H21" s="28">
        <f>IF(ISBLANK(G21), "", SUMIF(fluxortd!J:J, G21, fluxortd!L:L) - SUMIF(fluxortd!M:M, G21, fluxortd!L:L))</f>
        <v>0</v>
      </c>
      <c r="I21" s="87" t="str">
        <f>IF(H21=0, "", (SUMIF(fluxortd!B:B, G21, fluxortd!C:C) - SUMIF(fluxortd!E:E, G21, fluxortd!C:C)) / H21 )</f>
        <v/>
      </c>
      <c r="J21" s="28"/>
      <c r="K21" s="90" t="str">
        <f t="shared" si="3"/>
        <v/>
      </c>
      <c r="L21" s="57"/>
      <c r="M21" s="59"/>
      <c r="N21" s="70"/>
      <c r="O21" s="38" t="s">
        <v>26</v>
      </c>
      <c r="P21" s="39" t="str">
        <f t="shared" si="0"/>
        <v/>
      </c>
      <c r="Q21" s="29" t="str">
        <f t="shared" si="1"/>
        <v/>
      </c>
      <c r="R21" s="57"/>
      <c r="S21" s="28"/>
      <c r="T21" s="56"/>
      <c r="U21" s="2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2.75" customHeight="1" x14ac:dyDescent="0.25">
      <c r="A22" s="9" t="str">
        <f>IF(ISBLANK(fluxortd!B24), "", fluxortd!B24)</f>
        <v>-</v>
      </c>
      <c r="B22" s="66">
        <f>IF(ISBLANK(A22), "", SUMIF(fluxortd!B:B, A22, fluxortd!D:D) - SUMIF(fluxortd!E:E, A22, fluxortd!D:D))</f>
        <v>0</v>
      </c>
      <c r="C22" s="46" t="str">
        <f>IF(B22=0, "", (SUMIF(fluxortd!B:B, A22, fluxortd!C:C) - SUMIF(fluxortd!E:E, A22, fluxortd!C:C)) / B22 )</f>
        <v/>
      </c>
      <c r="D22" s="66"/>
      <c r="E22" s="47" t="str">
        <f t="shared" si="2"/>
        <v/>
      </c>
      <c r="F22" s="58"/>
      <c r="G22" s="9" t="str">
        <f>IF(ISBLANK(fluxortd!J24), "", fluxortd!J24)</f>
        <v>-</v>
      </c>
      <c r="H22" s="1">
        <f>IF(ISBLANK(G22), "", SUMIF(fluxortd!J:J, G22, fluxortd!L:L) - SUMIF(fluxortd!M:M, G22, fluxortd!L:L))</f>
        <v>0</v>
      </c>
      <c r="I22" s="46" t="str">
        <f>IF(H22=0, "", (SUMIF(fluxortd!B:B, G22, fluxortd!C:C) - SUMIF(fluxortd!E:E, G22, fluxortd!C:C)) / H22 )</f>
        <v/>
      </c>
      <c r="J22" s="1"/>
      <c r="K22" s="47" t="str">
        <f t="shared" si="3"/>
        <v/>
      </c>
      <c r="L22" s="57"/>
      <c r="M22" s="59"/>
      <c r="N22" s="70"/>
      <c r="O22" s="12" t="s">
        <v>27</v>
      </c>
      <c r="P22" s="13" t="str">
        <f t="shared" si="0"/>
        <v/>
      </c>
      <c r="Q22" s="11" t="str">
        <f t="shared" si="1"/>
        <v/>
      </c>
      <c r="R22" s="57"/>
      <c r="S22" s="28"/>
      <c r="T22" s="56"/>
      <c r="U22" s="2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2.75" customHeight="1" x14ac:dyDescent="0.25">
      <c r="A23" s="27" t="str">
        <f>IF(ISBLANK(fluxortd!B25), "", fluxortd!B25)</f>
        <v>-</v>
      </c>
      <c r="B23" s="28">
        <f>IF(ISBLANK(A23), "", SUMIF(fluxortd!B:B, A23, fluxortd!D:D) - SUMIF(fluxortd!E:E, A23, fluxortd!D:D))</f>
        <v>0</v>
      </c>
      <c r="C23" s="87" t="str">
        <f>IF(B23=0, "", (SUMIF(fluxortd!B:B, A23, fluxortd!C:C) - SUMIF(fluxortd!E:E, A23, fluxortd!C:C)) / B23 )</f>
        <v/>
      </c>
      <c r="D23" s="28"/>
      <c r="E23" s="90" t="str">
        <f t="shared" si="2"/>
        <v/>
      </c>
      <c r="F23" s="58"/>
      <c r="G23" s="27" t="str">
        <f>IF(ISBLANK(fluxortd!J25), "", fluxortd!J25)</f>
        <v>-</v>
      </c>
      <c r="H23" s="28">
        <f>IF(ISBLANK(G23), "", SUMIF(fluxortd!J:J, G23, fluxortd!L:L) - SUMIF(fluxortd!M:M, G23, fluxortd!L:L))</f>
        <v>0</v>
      </c>
      <c r="I23" s="87" t="str">
        <f>IF(H23=0, "", (SUMIF(fluxortd!B:B, G23, fluxortd!C:C) - SUMIF(fluxortd!E:E, G23, fluxortd!C:C)) / H23 )</f>
        <v/>
      </c>
      <c r="J23" s="28"/>
      <c r="K23" s="90" t="str">
        <f t="shared" si="3"/>
        <v/>
      </c>
      <c r="L23" s="57"/>
      <c r="M23" s="59"/>
      <c r="N23" s="70"/>
      <c r="O23" s="38" t="s">
        <v>28</v>
      </c>
      <c r="P23" s="39" t="str">
        <f t="shared" si="0"/>
        <v/>
      </c>
      <c r="Q23" s="29" t="str">
        <f t="shared" si="1"/>
        <v/>
      </c>
      <c r="R23" s="57"/>
      <c r="S23" s="28"/>
      <c r="T23" s="56"/>
      <c r="U23" s="2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2.75" customHeight="1" x14ac:dyDescent="0.25">
      <c r="A24" s="9" t="str">
        <f>IF(ISBLANK(fluxortd!B26), "", fluxortd!B26)</f>
        <v>-</v>
      </c>
      <c r="B24" s="66">
        <f>IF(ISBLANK(A24), "", SUMIF(fluxortd!B:B, A24, fluxortd!D:D) - SUMIF(fluxortd!E:E, A24, fluxortd!D:D))</f>
        <v>0</v>
      </c>
      <c r="C24" s="46" t="str">
        <f>IF(B24=0, "", (SUMIF(fluxortd!B:B, A24, fluxortd!C:C) - SUMIF(fluxortd!E:E, A24, fluxortd!C:C)) / B24 )</f>
        <v/>
      </c>
      <c r="D24" s="66"/>
      <c r="E24" s="47" t="str">
        <f t="shared" si="2"/>
        <v/>
      </c>
      <c r="F24" s="58"/>
      <c r="G24" s="9" t="str">
        <f>IF(ISBLANK(fluxortd!J26), "", fluxortd!J26)</f>
        <v>-</v>
      </c>
      <c r="H24" s="1">
        <f>IF(ISBLANK(G24), "", SUMIF(fluxortd!J:J, G24, fluxortd!L:L) - SUMIF(fluxortd!M:M, G24, fluxortd!L:L))</f>
        <v>0</v>
      </c>
      <c r="I24" s="46" t="str">
        <f>IF(H24=0, "", (SUMIF(fluxortd!B:B, G24, fluxortd!C:C) - SUMIF(fluxortd!E:E, G24, fluxortd!C:C)) / H24 )</f>
        <v/>
      </c>
      <c r="J24" s="1"/>
      <c r="K24" s="47" t="str">
        <f t="shared" si="3"/>
        <v/>
      </c>
      <c r="L24" s="57"/>
      <c r="M24" s="59"/>
      <c r="N24" s="71"/>
      <c r="O24" s="15" t="s">
        <v>29</v>
      </c>
      <c r="P24" s="16" t="str">
        <f t="shared" si="0"/>
        <v/>
      </c>
      <c r="Q24" s="17" t="str">
        <f t="shared" si="1"/>
        <v/>
      </c>
      <c r="R24" s="57"/>
      <c r="S24" s="28"/>
      <c r="T24" s="56"/>
      <c r="U24" s="2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2.75" customHeight="1" x14ac:dyDescent="0.25">
      <c r="A25" s="27" t="str">
        <f>IF(ISBLANK(fluxortd!B27), "", fluxortd!B27)</f>
        <v>-</v>
      </c>
      <c r="B25" s="28">
        <f>IF(ISBLANK(A25), "", SUMIF(fluxortd!B:B, A25, fluxortd!D:D) - SUMIF(fluxortd!E:E, A25, fluxortd!D:D))</f>
        <v>0</v>
      </c>
      <c r="C25" s="87" t="str">
        <f>IF(B25=0, "", (SUMIF(fluxortd!B:B, A25, fluxortd!C:C) - SUMIF(fluxortd!E:E, A25, fluxortd!C:C)) / B25 )</f>
        <v/>
      </c>
      <c r="D25" s="28"/>
      <c r="E25" s="90" t="str">
        <f t="shared" si="2"/>
        <v/>
      </c>
      <c r="F25" s="58"/>
      <c r="G25" s="27" t="str">
        <f>IF(ISBLANK(fluxortd!J27), "", fluxortd!J27)</f>
        <v>-</v>
      </c>
      <c r="H25" s="28">
        <f>IF(ISBLANK(G25), "", SUMIF(fluxortd!J:J, G25, fluxortd!L:L) - SUMIF(fluxortd!M:M, G25, fluxortd!L:L))</f>
        <v>0</v>
      </c>
      <c r="I25" s="87" t="str">
        <f>IF(H25=0, "", (SUMIF(fluxortd!B:B, G25, fluxortd!C:C) - SUMIF(fluxortd!E:E, G25, fluxortd!C:C)) / H25 )</f>
        <v/>
      </c>
      <c r="J25" s="28"/>
      <c r="K25" s="90" t="str">
        <f t="shared" si="3"/>
        <v/>
      </c>
      <c r="L25" s="57"/>
      <c r="M25" s="28"/>
      <c r="N25" s="18"/>
      <c r="O25" s="19"/>
      <c r="P25" s="18"/>
      <c r="Q25" s="18"/>
      <c r="R25" s="28"/>
      <c r="S25" s="28"/>
      <c r="T25" s="56"/>
      <c r="U25" s="2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2.75" customHeight="1" x14ac:dyDescent="0.25">
      <c r="A26" s="9" t="str">
        <f>IF(ISBLANK(fluxortd!B28), "", fluxortd!B28)</f>
        <v>-</v>
      </c>
      <c r="B26" s="66">
        <f>IF(ISBLANK(A26), "", SUMIF(fluxortd!B:B, A26, fluxortd!D:D) - SUMIF(fluxortd!E:E, A26, fluxortd!D:D))</f>
        <v>0</v>
      </c>
      <c r="C26" s="46" t="str">
        <f>IF(B26=0, "", (SUMIF(fluxortd!B:B, A26, fluxortd!C:C) - SUMIF(fluxortd!E:E, A26, fluxortd!C:C)) / B26 )</f>
        <v/>
      </c>
      <c r="D26" s="66"/>
      <c r="E26" s="47" t="str">
        <f t="shared" si="2"/>
        <v/>
      </c>
      <c r="F26" s="58"/>
      <c r="G26" s="9" t="str">
        <f>IF(ISBLANK(fluxortd!J28), "", fluxortd!J28)</f>
        <v>-</v>
      </c>
      <c r="H26" s="10">
        <f>IF(ISBLANK(G26), "", SUMIF(fluxortd!J:J, G26, fluxortd!L:L) - SUMIF(fluxortd!M:M, G26, fluxortd!L:L))</f>
        <v>0</v>
      </c>
      <c r="I26" s="46" t="str">
        <f>IF(H26=0, "", (SUMIF(fluxortd!B:B, G26, fluxortd!C:C) - SUMIF(fluxortd!E:E, G26, fluxortd!C:C)) / H26 )</f>
        <v/>
      </c>
      <c r="J26" s="1"/>
      <c r="K26" s="47" t="str">
        <f t="shared" si="3"/>
        <v/>
      </c>
      <c r="L26" s="57"/>
      <c r="M26" s="59"/>
      <c r="N26" s="84" t="s">
        <v>9</v>
      </c>
      <c r="O26" s="35" t="s">
        <v>27</v>
      </c>
      <c r="P26" s="36" t="str">
        <f t="shared" ref="P26:P38" si="4">IFERROR(VLOOKUP(O26,$A$4:$E$43,5,FALSE),"")</f>
        <v/>
      </c>
      <c r="Q26" s="40" t="str">
        <f t="shared" ref="Q26:Q38" si="5">IFERROR(VLOOKUP(O26,$G$4:$K$43,5,FALSE),"")</f>
        <v/>
      </c>
      <c r="R26" s="57"/>
      <c r="S26" s="28"/>
      <c r="T26" s="56"/>
      <c r="U26" s="2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2.75" customHeight="1" x14ac:dyDescent="0.25">
      <c r="A27" s="27" t="str">
        <f>IF(ISBLANK(fluxortd!B29), "", fluxortd!B29)</f>
        <v>-</v>
      </c>
      <c r="B27" s="28">
        <f>IF(ISBLANK(A27), "", SUMIF(fluxortd!B:B, A27, fluxortd!D:D) - SUMIF(fluxortd!E:E, A27, fluxortd!D:D))</f>
        <v>0</v>
      </c>
      <c r="C27" s="87" t="str">
        <f>IF(B27=0, "", (SUMIF(fluxortd!B:B, A27, fluxortd!C:C) - SUMIF(fluxortd!E:E, A27, fluxortd!C:C)) / B27 )</f>
        <v/>
      </c>
      <c r="D27" s="28"/>
      <c r="E27" s="90" t="str">
        <f t="shared" si="2"/>
        <v/>
      </c>
      <c r="F27" s="58"/>
      <c r="G27" s="27" t="str">
        <f>IF(ISBLANK(fluxortd!J29), "", fluxortd!J29)</f>
        <v>-</v>
      </c>
      <c r="H27" s="33">
        <f>IF(ISBLANK(G27), "", SUMIF(fluxortd!J:J, G27, fluxortd!L:L) - SUMIF(fluxortd!M:M, G27, fluxortd!L:L))</f>
        <v>0</v>
      </c>
      <c r="I27" s="87" t="str">
        <f>IF(H27=0, "", (SUMIF(fluxortd!B:B, G27, fluxortd!C:C) - SUMIF(fluxortd!E:E, G27, fluxortd!C:C)) / H27 )</f>
        <v/>
      </c>
      <c r="J27" s="28"/>
      <c r="K27" s="90" t="str">
        <f t="shared" si="3"/>
        <v/>
      </c>
      <c r="L27" s="57"/>
      <c r="M27" s="59"/>
      <c r="N27" s="85"/>
      <c r="O27" s="12" t="s">
        <v>30</v>
      </c>
      <c r="P27" s="13" t="str">
        <f t="shared" si="4"/>
        <v/>
      </c>
      <c r="Q27" s="11" t="str">
        <f t="shared" si="5"/>
        <v/>
      </c>
      <c r="R27" s="57"/>
      <c r="S27" s="28"/>
      <c r="T27" s="56"/>
      <c r="U27" s="2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2.75" customHeight="1" x14ac:dyDescent="0.25">
      <c r="A28" s="9" t="str">
        <f>IF(ISBLANK(fluxortd!B30), "", fluxortd!B30)</f>
        <v>-</v>
      </c>
      <c r="B28" s="10">
        <f>IF(ISBLANK(A28), "", SUMIF(fluxortd!B:B, A28, fluxortd!D:D) - SUMIF(fluxortd!E:E, A28, fluxortd!D:D))</f>
        <v>0</v>
      </c>
      <c r="C28" s="46" t="str">
        <f>IF(B28=0, "", (SUMIF(fluxortd!B:B, A28, fluxortd!C:C) - SUMIF(fluxortd!E:E, A28, fluxortd!C:C)) / B28 )</f>
        <v/>
      </c>
      <c r="D28" s="66"/>
      <c r="E28" s="47" t="str">
        <f t="shared" si="2"/>
        <v/>
      </c>
      <c r="F28" s="58"/>
      <c r="G28" s="9" t="str">
        <f>IF(ISBLANK(fluxortd!J30), "", fluxortd!J30)</f>
        <v>-</v>
      </c>
      <c r="H28" s="10">
        <f>IF(ISBLANK(G28), "", SUMIF(fluxortd!J:J, G28, fluxortd!L:L) - SUMIF(fluxortd!M:M, G28, fluxortd!L:L))</f>
        <v>0</v>
      </c>
      <c r="I28" s="46" t="str">
        <f>IF(H28=0, "", (SUMIF(fluxortd!B:B, G28, fluxortd!C:C) - SUMIF(fluxortd!E:E, G28, fluxortd!C:C)) / H28 )</f>
        <v/>
      </c>
      <c r="J28" s="1"/>
      <c r="K28" s="47" t="str">
        <f t="shared" si="3"/>
        <v/>
      </c>
      <c r="L28" s="57"/>
      <c r="M28" s="59"/>
      <c r="N28" s="85"/>
      <c r="O28" s="38" t="s">
        <v>19</v>
      </c>
      <c r="P28" s="39" t="str">
        <f t="shared" si="4"/>
        <v/>
      </c>
      <c r="Q28" s="29" t="str">
        <f t="shared" si="5"/>
        <v/>
      </c>
      <c r="R28" s="57"/>
      <c r="S28" s="28"/>
      <c r="T28" s="56"/>
      <c r="U28" s="2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2.75" customHeight="1" x14ac:dyDescent="0.25">
      <c r="A29" s="27" t="str">
        <f>IF(ISBLANK(fluxortd!B31), "", fluxortd!B31)</f>
        <v>-</v>
      </c>
      <c r="B29" s="28">
        <f>IF(ISBLANK(A29), "", SUMIF(fluxortd!B:B, A29, fluxortd!D:D) - SUMIF(fluxortd!E:E, A29, fluxortd!D:D))</f>
        <v>0</v>
      </c>
      <c r="C29" s="87" t="str">
        <f>IF(B29=0, "", (SUMIF(fluxortd!B:B, A29, fluxortd!C:C) - SUMIF(fluxortd!E:E, A29, fluxortd!C:C)) / B29 )</f>
        <v/>
      </c>
      <c r="D29" s="28"/>
      <c r="E29" s="90" t="str">
        <f t="shared" si="2"/>
        <v/>
      </c>
      <c r="F29" s="58"/>
      <c r="G29" s="27" t="str">
        <f>IF(ISBLANK(fluxortd!J31), "", fluxortd!J31)</f>
        <v>-</v>
      </c>
      <c r="H29" s="33">
        <f>IF(ISBLANK(G29), "", SUMIF(fluxortd!J:J, G29, fluxortd!L:L) - SUMIF(fluxortd!M:M, G29, fluxortd!L:L))</f>
        <v>0</v>
      </c>
      <c r="I29" s="87" t="str">
        <f>IF(H29=0, "", (SUMIF(fluxortd!B:B, G29, fluxortd!C:C) - SUMIF(fluxortd!E:E, G29, fluxortd!C:C)) / H29 )</f>
        <v/>
      </c>
      <c r="J29" s="28"/>
      <c r="K29" s="90" t="str">
        <f t="shared" si="3"/>
        <v/>
      </c>
      <c r="L29" s="57"/>
      <c r="M29" s="59"/>
      <c r="N29" s="85"/>
      <c r="O29" s="12" t="s">
        <v>26</v>
      </c>
      <c r="P29" s="13" t="str">
        <f t="shared" si="4"/>
        <v/>
      </c>
      <c r="Q29" s="11" t="str">
        <f t="shared" si="5"/>
        <v/>
      </c>
      <c r="R29" s="57"/>
      <c r="S29" s="28"/>
      <c r="T29" s="56"/>
      <c r="U29" s="2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2.75" customHeight="1" x14ac:dyDescent="0.25">
      <c r="A30" s="9" t="str">
        <f>IF(ISBLANK(fluxortd!B32), "", fluxortd!B32)</f>
        <v>-</v>
      </c>
      <c r="B30" s="66">
        <f>IF(ISBLANK(A30), "", SUMIF(fluxortd!B:B, A30, fluxortd!D:D) - SUMIF(fluxortd!E:E, A30, fluxortd!D:D))</f>
        <v>0</v>
      </c>
      <c r="C30" s="46" t="str">
        <f>IF(B30=0, "", (SUMIF(fluxortd!B:B, A30, fluxortd!C:C) - SUMIF(fluxortd!E:E, A30, fluxortd!C:C)) / B30 )</f>
        <v/>
      </c>
      <c r="D30" s="66"/>
      <c r="E30" s="47" t="str">
        <f t="shared" si="2"/>
        <v/>
      </c>
      <c r="F30" s="58"/>
      <c r="G30" s="9" t="str">
        <f>IF(ISBLANK(fluxortd!J32), "", fluxortd!J32)</f>
        <v>-</v>
      </c>
      <c r="H30" s="10">
        <f>IF(ISBLANK(G30), "", SUMIF(fluxortd!J:J, G30, fluxortd!L:L) - SUMIF(fluxortd!M:M, G30, fluxortd!L:L))</f>
        <v>0</v>
      </c>
      <c r="I30" s="46" t="str">
        <f>IF(H30=0, "", (SUMIF(fluxortd!B:B, G30, fluxortd!C:C) - SUMIF(fluxortd!E:E, G30, fluxortd!C:C)) / H30 )</f>
        <v/>
      </c>
      <c r="J30" s="1"/>
      <c r="K30" s="47" t="str">
        <f t="shared" si="3"/>
        <v/>
      </c>
      <c r="L30" s="57"/>
      <c r="M30" s="59"/>
      <c r="N30" s="85"/>
      <c r="O30" s="38" t="s">
        <v>20</v>
      </c>
      <c r="P30" s="39" t="str">
        <f t="shared" si="4"/>
        <v/>
      </c>
      <c r="Q30" s="29" t="str">
        <f t="shared" si="5"/>
        <v/>
      </c>
      <c r="R30" s="57"/>
      <c r="S30" s="28"/>
      <c r="T30" s="56"/>
      <c r="U30" s="2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2.75" customHeight="1" x14ac:dyDescent="0.25">
      <c r="A31" s="27" t="str">
        <f>IF(ISBLANK(fluxortd!B33), "", fluxortd!B33)</f>
        <v>-</v>
      </c>
      <c r="B31" s="28">
        <f>IF(ISBLANK(A31), "", SUMIF(fluxortd!B:B, A31, fluxortd!D:D) - SUMIF(fluxortd!E:E, A31, fluxortd!D:D))</f>
        <v>0</v>
      </c>
      <c r="C31" s="87" t="str">
        <f>IF(B31=0, "", (SUMIF(fluxortd!B:B, A31, fluxortd!C:C) - SUMIF(fluxortd!E:E, A31, fluxortd!C:C)) / B31 )</f>
        <v/>
      </c>
      <c r="D31" s="28"/>
      <c r="E31" s="90" t="str">
        <f t="shared" si="2"/>
        <v/>
      </c>
      <c r="F31" s="58"/>
      <c r="G31" s="27" t="str">
        <f>IF(ISBLANK(fluxortd!J33), "", fluxortd!J33)</f>
        <v>-</v>
      </c>
      <c r="H31" s="33">
        <f>IF(ISBLANK(G31), "", SUMIF(fluxortd!J:J, G31, fluxortd!L:L) - SUMIF(fluxortd!M:M, G31, fluxortd!L:L))</f>
        <v>0</v>
      </c>
      <c r="I31" s="87" t="str">
        <f>IF(H31=0, "", (SUMIF(fluxortd!B:B, G31, fluxortd!C:C) - SUMIF(fluxortd!E:E, G31, fluxortd!C:C)) / H31 )</f>
        <v/>
      </c>
      <c r="J31" s="28"/>
      <c r="K31" s="90" t="str">
        <f t="shared" si="3"/>
        <v/>
      </c>
      <c r="L31" s="57"/>
      <c r="M31" s="59"/>
      <c r="N31" s="85"/>
      <c r="O31" s="12" t="s">
        <v>8</v>
      </c>
      <c r="P31" s="13" t="str">
        <f t="shared" si="4"/>
        <v/>
      </c>
      <c r="Q31" s="11" t="str">
        <f t="shared" si="5"/>
        <v/>
      </c>
      <c r="R31" s="57"/>
      <c r="S31" s="28"/>
      <c r="T31" s="56"/>
      <c r="U31" s="2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2.75" customHeight="1" x14ac:dyDescent="0.25">
      <c r="A32" s="9" t="str">
        <f>IF(ISBLANK(fluxortd!B34), "", fluxortd!B34)</f>
        <v>-</v>
      </c>
      <c r="B32" s="66">
        <f>IF(ISBLANK(A32), "", SUMIF(fluxortd!B:B, A32, fluxortd!D:D) - SUMIF(fluxortd!E:E, A32, fluxortd!D:D))</f>
        <v>0</v>
      </c>
      <c r="C32" s="46" t="str">
        <f>IF(B32=0, "", (SUMIF(fluxortd!B:B, A32, fluxortd!C:C) - SUMIF(fluxortd!E:E, A32, fluxortd!C:C)) / B32 )</f>
        <v/>
      </c>
      <c r="D32" s="66"/>
      <c r="E32" s="47" t="str">
        <f t="shared" si="2"/>
        <v/>
      </c>
      <c r="F32" s="58"/>
      <c r="G32" s="9" t="str">
        <f>IF(ISBLANK(fluxortd!J34), "", fluxortd!J34)</f>
        <v>-</v>
      </c>
      <c r="H32" s="10">
        <f>IF(ISBLANK(G32), "", SUMIF(fluxortd!J:J, G32, fluxortd!L:L) - SUMIF(fluxortd!M:M, G32, fluxortd!L:L))</f>
        <v>0</v>
      </c>
      <c r="I32" s="46" t="str">
        <f>IF(H32=0, "", (SUMIF(fluxortd!B:B, G32, fluxortd!C:C) - SUMIF(fluxortd!E:E, G32, fluxortd!C:C)) / H32 )</f>
        <v/>
      </c>
      <c r="J32" s="1"/>
      <c r="K32" s="47" t="str">
        <f t="shared" si="3"/>
        <v/>
      </c>
      <c r="L32" s="57"/>
      <c r="M32" s="59"/>
      <c r="N32" s="85"/>
      <c r="O32" s="38" t="s">
        <v>10</v>
      </c>
      <c r="P32" s="39" t="str">
        <f t="shared" si="4"/>
        <v/>
      </c>
      <c r="Q32" s="29" t="str">
        <f t="shared" si="5"/>
        <v/>
      </c>
      <c r="R32" s="57"/>
      <c r="S32" s="28"/>
      <c r="T32" s="56"/>
      <c r="U32" s="2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2.75" customHeight="1" x14ac:dyDescent="0.25">
      <c r="A33" s="27" t="str">
        <f>IF(ISBLANK(fluxortd!B35), "", fluxortd!B35)</f>
        <v>-</v>
      </c>
      <c r="B33" s="28">
        <f>IF(ISBLANK(A33), "", SUMIF(fluxortd!B:B, A33, fluxortd!D:D) - SUMIF(fluxortd!E:E, A33, fluxortd!D:D))</f>
        <v>0</v>
      </c>
      <c r="C33" s="87" t="str">
        <f>IF(B33=0, "", (SUMIF(fluxortd!B:B, A33, fluxortd!C:C) - SUMIF(fluxortd!E:E, A33, fluxortd!C:C)) / B33 )</f>
        <v/>
      </c>
      <c r="D33" s="28"/>
      <c r="E33" s="90" t="str">
        <f t="shared" si="2"/>
        <v/>
      </c>
      <c r="F33" s="58"/>
      <c r="G33" s="27" t="str">
        <f>IF(ISBLANK(fluxortd!J35), "", fluxortd!J35)</f>
        <v>-</v>
      </c>
      <c r="H33" s="33">
        <f>IF(ISBLANK(G33), "", SUMIF(fluxortd!J:J, G33, fluxortd!L:L) - SUMIF(fluxortd!M:M, G33, fluxortd!L:L))</f>
        <v>0</v>
      </c>
      <c r="I33" s="87" t="str">
        <f>IF(H33=0, "", (SUMIF(fluxortd!B:B, G33, fluxortd!C:C) - SUMIF(fluxortd!E:E, G33, fluxortd!C:C)) / H33 )</f>
        <v/>
      </c>
      <c r="J33" s="28"/>
      <c r="K33" s="90" t="str">
        <f t="shared" si="3"/>
        <v/>
      </c>
      <c r="L33" s="57"/>
      <c r="M33" s="59"/>
      <c r="N33" s="85"/>
      <c r="O33" s="12" t="s">
        <v>31</v>
      </c>
      <c r="P33" s="13" t="str">
        <f t="shared" si="4"/>
        <v/>
      </c>
      <c r="Q33" s="11" t="str">
        <f t="shared" si="5"/>
        <v/>
      </c>
      <c r="R33" s="57"/>
      <c r="S33" s="28"/>
      <c r="T33" s="56"/>
      <c r="U33" s="2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2.75" customHeight="1" x14ac:dyDescent="0.25">
      <c r="A34" s="9" t="str">
        <f>IF(ISBLANK(fluxortd!B36), "", fluxortd!B36)</f>
        <v>-</v>
      </c>
      <c r="B34" s="66">
        <f>IF(ISBLANK(A34), "", SUMIF(fluxortd!B:B, A34, fluxortd!D:D) - SUMIF(fluxortd!E:E, A34, fluxortd!D:D))</f>
        <v>0</v>
      </c>
      <c r="C34" s="46" t="str">
        <f>IF(B34=0, "", (SUMIF(fluxortd!B:B, A34, fluxortd!C:C) - SUMIF(fluxortd!E:E, A34, fluxortd!C:C)) / B34 )</f>
        <v/>
      </c>
      <c r="D34" s="66"/>
      <c r="E34" s="47" t="str">
        <f t="shared" si="2"/>
        <v/>
      </c>
      <c r="F34" s="58"/>
      <c r="G34" s="9" t="str">
        <f>IF(ISBLANK(fluxortd!J36), "", fluxortd!J36)</f>
        <v>-</v>
      </c>
      <c r="H34" s="10">
        <f>IF(ISBLANK(G34), "", SUMIF(fluxortd!J:J, G34, fluxortd!L:L) - SUMIF(fluxortd!M:M, G34, fluxortd!L:L))</f>
        <v>0</v>
      </c>
      <c r="I34" s="46" t="str">
        <f>IF(H34=0, "", (SUMIF(fluxortd!B:B, G34, fluxortd!C:C) - SUMIF(fluxortd!E:E, G34, fluxortd!C:C)) / H34 )</f>
        <v/>
      </c>
      <c r="J34" s="1"/>
      <c r="K34" s="47" t="str">
        <f t="shared" si="3"/>
        <v/>
      </c>
      <c r="L34" s="57"/>
      <c r="M34" s="59"/>
      <c r="N34" s="85"/>
      <c r="O34" s="38" t="s">
        <v>21</v>
      </c>
      <c r="P34" s="39" t="str">
        <f t="shared" si="4"/>
        <v/>
      </c>
      <c r="Q34" s="29" t="str">
        <f t="shared" si="5"/>
        <v/>
      </c>
      <c r="R34" s="57"/>
      <c r="S34" s="28"/>
      <c r="T34" s="56"/>
      <c r="U34" s="2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2.75" customHeight="1" x14ac:dyDescent="0.25">
      <c r="A35" s="27" t="str">
        <f>IF(ISBLANK(fluxortd!B37), "", fluxortd!B37)</f>
        <v>-</v>
      </c>
      <c r="B35" s="28">
        <f>IF(ISBLANK(A35), "", SUMIF(fluxortd!B:B, A35, fluxortd!D:D) - SUMIF(fluxortd!E:E, A35, fluxortd!D:D))</f>
        <v>0</v>
      </c>
      <c r="C35" s="87" t="str">
        <f>IF(B35=0, "", (SUMIF(fluxortd!B:B, A35, fluxortd!C:C) - SUMIF(fluxortd!E:E, A35, fluxortd!C:C)) / B35 )</f>
        <v/>
      </c>
      <c r="D35" s="28"/>
      <c r="E35" s="90" t="str">
        <f t="shared" si="2"/>
        <v/>
      </c>
      <c r="F35" s="58"/>
      <c r="G35" s="27" t="str">
        <f>IF(ISBLANK(fluxortd!J37), "", fluxortd!J37)</f>
        <v>-</v>
      </c>
      <c r="H35" s="33">
        <f>IF(ISBLANK(G35), "", SUMIF(fluxortd!J:J, G35, fluxortd!L:L) - SUMIF(fluxortd!M:M, G35, fluxortd!L:L))</f>
        <v>0</v>
      </c>
      <c r="I35" s="87" t="str">
        <f>IF(H35=0, "", (SUMIF(fluxortd!B:B, G35, fluxortd!C:C) - SUMIF(fluxortd!E:E, G35, fluxortd!C:C)) / H35 )</f>
        <v/>
      </c>
      <c r="J35" s="28"/>
      <c r="K35" s="90" t="str">
        <f t="shared" si="3"/>
        <v/>
      </c>
      <c r="L35" s="57"/>
      <c r="M35" s="59"/>
      <c r="N35" s="85"/>
      <c r="O35" s="12" t="s">
        <v>32</v>
      </c>
      <c r="P35" s="13" t="str">
        <f t="shared" si="4"/>
        <v/>
      </c>
      <c r="Q35" s="11" t="str">
        <f t="shared" si="5"/>
        <v/>
      </c>
      <c r="R35" s="57"/>
      <c r="S35" s="28"/>
      <c r="T35" s="56"/>
      <c r="U35" s="2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2.75" customHeight="1" x14ac:dyDescent="0.25">
      <c r="A36" s="9" t="str">
        <f>IF(ISBLANK(fluxortd!B38), "", fluxortd!B38)</f>
        <v>-</v>
      </c>
      <c r="B36" s="66">
        <f>IF(ISBLANK(A36), "", SUMIF(fluxortd!B:B, A36, fluxortd!D:D) - SUMIF(fluxortd!E:E, A36, fluxortd!D:D))</f>
        <v>0</v>
      </c>
      <c r="C36" s="46" t="str">
        <f>IF(B36=0, "", (SUMIF(fluxortd!B:B, A36, fluxortd!C:C) - SUMIF(fluxortd!E:E, A36, fluxortd!C:C)) / B36 )</f>
        <v/>
      </c>
      <c r="D36" s="66"/>
      <c r="E36" s="47" t="str">
        <f t="shared" si="2"/>
        <v/>
      </c>
      <c r="F36" s="58"/>
      <c r="G36" s="9" t="str">
        <f>IF(ISBLANK(fluxortd!J38), "", fluxortd!J38)</f>
        <v>-</v>
      </c>
      <c r="H36" s="10">
        <f>IF(ISBLANK(G36), "", SUMIF(fluxortd!J:J, G36, fluxortd!L:L) - SUMIF(fluxortd!M:M, G36, fluxortd!L:L))</f>
        <v>0</v>
      </c>
      <c r="I36" s="46" t="str">
        <f>IF(H36=0, "", (SUMIF(fluxortd!B:B, G36, fluxortd!C:C) - SUMIF(fluxortd!E:E, G36, fluxortd!C:C)) / H36 )</f>
        <v/>
      </c>
      <c r="J36" s="1"/>
      <c r="K36" s="47" t="str">
        <f t="shared" si="3"/>
        <v/>
      </c>
      <c r="L36" s="57"/>
      <c r="M36" s="59"/>
      <c r="N36" s="85"/>
      <c r="O36" s="38" t="s">
        <v>16</v>
      </c>
      <c r="P36" s="39" t="str">
        <f t="shared" si="4"/>
        <v/>
      </c>
      <c r="Q36" s="29" t="str">
        <f t="shared" si="5"/>
        <v/>
      </c>
      <c r="R36" s="57"/>
      <c r="S36" s="28"/>
      <c r="T36" s="56"/>
      <c r="U36" s="2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2.75" customHeight="1" x14ac:dyDescent="0.25">
      <c r="A37" s="27" t="str">
        <f>IF(ISBLANK(fluxortd!B39), "", fluxortd!B39)</f>
        <v>-</v>
      </c>
      <c r="B37" s="28">
        <f>IF(ISBLANK(A37), "", SUMIF(fluxortd!B:B, A37, fluxortd!D:D) - SUMIF(fluxortd!E:E, A37, fluxortd!D:D))</f>
        <v>0</v>
      </c>
      <c r="C37" s="87" t="str">
        <f>IF(B37=0, "", (SUMIF(fluxortd!B:B, A37, fluxortd!C:C) - SUMIF(fluxortd!E:E, A37, fluxortd!C:C)) / B37 )</f>
        <v/>
      </c>
      <c r="D37" s="28"/>
      <c r="E37" s="90" t="str">
        <f t="shared" si="2"/>
        <v/>
      </c>
      <c r="F37" s="58"/>
      <c r="G37" s="27" t="str">
        <f>IF(ISBLANK(fluxortd!J39), "", fluxortd!J39)</f>
        <v>-</v>
      </c>
      <c r="H37" s="33">
        <f>IF(ISBLANK(G37), "", SUMIF(fluxortd!J:J, G37, fluxortd!L:L) - SUMIF(fluxortd!M:M, G37, fluxortd!L:L))</f>
        <v>0</v>
      </c>
      <c r="I37" s="87" t="str">
        <f>IF(H37=0, "", (SUMIF(fluxortd!B:B, G37, fluxortd!C:C) - SUMIF(fluxortd!E:E, G37, fluxortd!C:C)) / H37 )</f>
        <v/>
      </c>
      <c r="J37" s="28"/>
      <c r="K37" s="90" t="str">
        <f t="shared" si="3"/>
        <v/>
      </c>
      <c r="L37" s="57"/>
      <c r="M37" s="59"/>
      <c r="N37" s="85"/>
      <c r="O37" s="12" t="s">
        <v>22</v>
      </c>
      <c r="P37" s="13" t="str">
        <f t="shared" si="4"/>
        <v/>
      </c>
      <c r="Q37" s="11" t="str">
        <f t="shared" si="5"/>
        <v/>
      </c>
      <c r="R37" s="57"/>
      <c r="S37" s="28"/>
      <c r="T37" s="56"/>
      <c r="U37" s="2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2.75" customHeight="1" x14ac:dyDescent="0.25">
      <c r="A38" s="9" t="str">
        <f>IF(ISBLANK(fluxortd!B40), "", fluxortd!B40)</f>
        <v>-</v>
      </c>
      <c r="B38" s="66">
        <f>IF(ISBLANK(A38), "", SUMIF(fluxortd!B:B, A38, fluxortd!D:D) - SUMIF(fluxortd!E:E, A38, fluxortd!D:D))</f>
        <v>0</v>
      </c>
      <c r="C38" s="46" t="str">
        <f>IF(B38=0, "", (SUMIF(fluxortd!B:B, A38, fluxortd!C:C) - SUMIF(fluxortd!E:E, A38, fluxortd!C:C)) / B38 )</f>
        <v/>
      </c>
      <c r="D38" s="66"/>
      <c r="E38" s="47" t="str">
        <f t="shared" si="2"/>
        <v/>
      </c>
      <c r="F38" s="58"/>
      <c r="G38" s="9" t="str">
        <f>IF(ISBLANK(fluxortd!J40), "", fluxortd!J40)</f>
        <v>-</v>
      </c>
      <c r="H38" s="10">
        <f>IF(ISBLANK(G38), "", SUMIF(fluxortd!J:J, G38, fluxortd!L:L) - SUMIF(fluxortd!M:M, G38, fluxortd!L:L))</f>
        <v>0</v>
      </c>
      <c r="I38" s="46" t="str">
        <f>IF(H38=0, "", (SUMIF(fluxortd!B:B, G38, fluxortd!C:C) - SUMIF(fluxortd!E:E, G38, fluxortd!C:C)) / H38 )</f>
        <v/>
      </c>
      <c r="J38" s="1"/>
      <c r="K38" s="47" t="str">
        <f t="shared" si="3"/>
        <v/>
      </c>
      <c r="L38" s="57"/>
      <c r="M38" s="59"/>
      <c r="N38" s="86"/>
      <c r="O38" s="41" t="s">
        <v>14</v>
      </c>
      <c r="P38" s="42" t="str">
        <f t="shared" si="4"/>
        <v/>
      </c>
      <c r="Q38" s="32" t="str">
        <f t="shared" si="5"/>
        <v/>
      </c>
      <c r="R38" s="57"/>
      <c r="S38" s="28"/>
      <c r="T38" s="56"/>
      <c r="U38" s="2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2.75" customHeight="1" x14ac:dyDescent="0.25">
      <c r="A39" s="27" t="str">
        <f>IF(ISBLANK(fluxortd!B41), "", fluxortd!B41)</f>
        <v>-</v>
      </c>
      <c r="B39" s="28">
        <f>IF(ISBLANK(A39), "", SUMIF(fluxortd!B:B, A39, fluxortd!D:D) - SUMIF(fluxortd!E:E, A39, fluxortd!D:D))</f>
        <v>0</v>
      </c>
      <c r="C39" s="87" t="str">
        <f>IF(B39=0, "", (SUMIF(fluxortd!B:B, A39, fluxortd!C:C) - SUMIF(fluxortd!E:E, A39, fluxortd!C:C)) / B39 )</f>
        <v/>
      </c>
      <c r="D39" s="28"/>
      <c r="E39" s="90" t="str">
        <f t="shared" si="2"/>
        <v/>
      </c>
      <c r="F39" s="58"/>
      <c r="G39" s="27" t="str">
        <f>IF(ISBLANK(fluxortd!J41), "", fluxortd!J41)</f>
        <v>-</v>
      </c>
      <c r="H39" s="33">
        <f>IF(ISBLANK(G39), "", SUMIF(fluxortd!J:J, G39, fluxortd!L:L) - SUMIF(fluxortd!M:M, G39, fluxortd!L:L))</f>
        <v>0</v>
      </c>
      <c r="I39" s="87" t="str">
        <f>IF(H39=0, "", (SUMIF(fluxortd!B:B, G39, fluxortd!C:C) - SUMIF(fluxortd!E:E, G39, fluxortd!C:C)) / H39 )</f>
        <v/>
      </c>
      <c r="J39" s="28"/>
      <c r="K39" s="90" t="str">
        <f t="shared" si="3"/>
        <v/>
      </c>
      <c r="L39" s="57"/>
      <c r="M39" s="28"/>
      <c r="N39" s="18"/>
      <c r="O39" s="19"/>
      <c r="P39" s="18"/>
      <c r="Q39" s="18"/>
      <c r="R39" s="28"/>
      <c r="S39" s="28"/>
      <c r="T39" s="56"/>
      <c r="U39" s="2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2.75" customHeight="1" x14ac:dyDescent="0.25">
      <c r="A40" s="9" t="str">
        <f>IF(ISBLANK(fluxortd!B42), "", fluxortd!B42)</f>
        <v>-</v>
      </c>
      <c r="B40" s="66">
        <f>IF(ISBLANK(A40), "", SUMIF(fluxortd!B:B, A40, fluxortd!D:D) - SUMIF(fluxortd!E:E, A40, fluxortd!D:D))</f>
        <v>0</v>
      </c>
      <c r="C40" s="46" t="str">
        <f>IF(B40=0, "", (SUMIF(fluxortd!B:B, A40, fluxortd!C:C) - SUMIF(fluxortd!E:E, A40, fluxortd!C:C)) / B40 )</f>
        <v/>
      </c>
      <c r="D40" s="66"/>
      <c r="E40" s="47" t="str">
        <f t="shared" si="2"/>
        <v/>
      </c>
      <c r="F40" s="58"/>
      <c r="G40" s="9" t="str">
        <f>IF(ISBLANK(fluxortd!J42), "", fluxortd!J42)</f>
        <v>-</v>
      </c>
      <c r="H40" s="10">
        <f>IF(ISBLANK(G40), "", SUMIF(fluxortd!J:J, G40, fluxortd!L:L) - SUMIF(fluxortd!M:M, G40, fluxortd!L:L))</f>
        <v>0</v>
      </c>
      <c r="I40" s="46" t="str">
        <f>IF(H40=0, "", (SUMIF(fluxortd!B:B, G40, fluxortd!C:C) - SUMIF(fluxortd!E:E, G40, fluxortd!C:C)) / H40 )</f>
        <v/>
      </c>
      <c r="J40" s="1"/>
      <c r="K40" s="47" t="str">
        <f t="shared" si="3"/>
        <v/>
      </c>
      <c r="L40" s="57"/>
      <c r="M40" s="59"/>
      <c r="N40" s="81" t="s">
        <v>12</v>
      </c>
      <c r="O40" s="4" t="s">
        <v>33</v>
      </c>
      <c r="P40" s="5" t="str">
        <f>IFERROR(VLOOKUP(O40,$A$4:$E$43,5,FALSE),"")</f>
        <v/>
      </c>
      <c r="Q40" s="20" t="str">
        <f>IFERROR(VLOOKUP(O40,$G$4:$K$43,5,FALSE),"")</f>
        <v/>
      </c>
      <c r="R40" s="57"/>
      <c r="S40" s="28"/>
      <c r="T40" s="56"/>
      <c r="U40" s="2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2.75" customHeight="1" x14ac:dyDescent="0.25">
      <c r="A41" s="27" t="str">
        <f>IF(ISBLANK(fluxortd!B43), "", fluxortd!B43)</f>
        <v>-</v>
      </c>
      <c r="B41" s="28">
        <f>IF(ISBLANK(A41), "", SUMIF(fluxortd!B:B, A41, fluxortd!D:D) - SUMIF(fluxortd!E:E, A41, fluxortd!D:D))</f>
        <v>0</v>
      </c>
      <c r="C41" s="87" t="str">
        <f>IF(B41=0, "", (SUMIF(fluxortd!B:B, A41, fluxortd!C:C) - SUMIF(fluxortd!E:E, A41, fluxortd!C:C)) / B41 )</f>
        <v/>
      </c>
      <c r="D41" s="28"/>
      <c r="E41" s="90" t="str">
        <f t="shared" si="2"/>
        <v/>
      </c>
      <c r="F41" s="58"/>
      <c r="G41" s="27" t="str">
        <f>IF(ISBLANK(fluxortd!J43), "", fluxortd!J43)</f>
        <v>-</v>
      </c>
      <c r="H41" s="33">
        <f>IF(ISBLANK(G41), "", SUMIF(fluxortd!J:J, G41, fluxortd!L:L) - SUMIF(fluxortd!M:M, G41, fluxortd!L:L))</f>
        <v>0</v>
      </c>
      <c r="I41" s="87" t="str">
        <f>IF(H41=0, "", (SUMIF(fluxortd!B:B, G41, fluxortd!C:C) - SUMIF(fluxortd!E:E, G41, fluxortd!C:C)) / H41 )</f>
        <v/>
      </c>
      <c r="J41" s="28"/>
      <c r="K41" s="90" t="str">
        <f t="shared" si="3"/>
        <v/>
      </c>
      <c r="L41" s="57"/>
      <c r="M41" s="59"/>
      <c r="N41" s="82"/>
      <c r="O41" s="38" t="s">
        <v>34</v>
      </c>
      <c r="P41" s="39" t="str">
        <f>IFERROR(VLOOKUP(O41,$A$4:$E$43,5,FALSE),"")</f>
        <v/>
      </c>
      <c r="Q41" s="29" t="str">
        <f>IFERROR(VLOOKUP(O41,$G$4:$K$43,5,FALSE),"")</f>
        <v/>
      </c>
      <c r="R41" s="57"/>
      <c r="S41" s="28"/>
      <c r="T41" s="56"/>
      <c r="U41" s="2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2.75" customHeight="1" x14ac:dyDescent="0.25">
      <c r="A42" s="9" t="str">
        <f>IF(ISBLANK(fluxortd!B44), "", fluxortd!B44)</f>
        <v>-</v>
      </c>
      <c r="B42" s="66">
        <f>IF(ISBLANK(A42), "", SUMIF(fluxortd!B:B, A42, fluxortd!D:D) - SUMIF(fluxortd!E:E, A42, fluxortd!D:D))</f>
        <v>0</v>
      </c>
      <c r="C42" s="46" t="str">
        <f>IF(B42=0, "", (SUMIF(fluxortd!B:B, A42, fluxortd!C:C) - SUMIF(fluxortd!E:E, A42, fluxortd!C:C)) / B42 )</f>
        <v/>
      </c>
      <c r="D42" s="66"/>
      <c r="E42" s="47" t="str">
        <f t="shared" si="2"/>
        <v/>
      </c>
      <c r="F42" s="58"/>
      <c r="G42" s="9" t="str">
        <f>IF(ISBLANK(fluxortd!J44), "", fluxortd!J44)</f>
        <v>-</v>
      </c>
      <c r="H42" s="10">
        <f>IF(ISBLANK(G42), "", SUMIF(fluxortd!J:J, G42, fluxortd!L:L) - SUMIF(fluxortd!M:M, G42, fluxortd!L:L))</f>
        <v>0</v>
      </c>
      <c r="I42" s="46" t="str">
        <f>IF(H42=0, "", (SUMIF(fluxortd!B:B, G42, fluxortd!C:C) - SUMIF(fluxortd!E:E, G42, fluxortd!C:C)) / H42 )</f>
        <v/>
      </c>
      <c r="J42" s="1"/>
      <c r="K42" s="47" t="str">
        <f t="shared" si="3"/>
        <v/>
      </c>
      <c r="L42" s="57"/>
      <c r="M42" s="59"/>
      <c r="N42" s="82"/>
      <c r="O42" s="12" t="s">
        <v>35</v>
      </c>
      <c r="P42" s="13" t="str">
        <f>IFERROR(VLOOKUP(O42,$A$4:$E$43,5,FALSE),"")</f>
        <v/>
      </c>
      <c r="Q42" s="11" t="str">
        <f>IFERROR(VLOOKUP(O42,$G$4:$K$43,5,FALSE),"")</f>
        <v/>
      </c>
      <c r="R42" s="57"/>
      <c r="S42" s="28"/>
      <c r="T42" s="56"/>
      <c r="U42" s="2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2.75" customHeight="1" x14ac:dyDescent="0.25">
      <c r="A43" s="30" t="str">
        <f>IF(ISBLANK(fluxortd!B45), "", fluxortd!B45)</f>
        <v>-</v>
      </c>
      <c r="B43" s="31">
        <f>IF(ISBLANK(A43), "", SUMIF(fluxortd!B:B, A43, fluxortd!D:D) - SUMIF(fluxortd!E:E, A43, fluxortd!D:D))</f>
        <v>0</v>
      </c>
      <c r="C43" s="88" t="str">
        <f>IF(B43=0, "", (SUMIF(fluxortd!B:B, A43, fluxortd!C:C) - SUMIF(fluxortd!E:E, A43, fluxortd!C:C)) / B43 )</f>
        <v/>
      </c>
      <c r="D43" s="31"/>
      <c r="E43" s="91" t="str">
        <f t="shared" si="2"/>
        <v/>
      </c>
      <c r="F43" s="58"/>
      <c r="G43" s="30" t="str">
        <f>IF(ISBLANK(fluxortd!J45), "", fluxortd!J45)</f>
        <v>-</v>
      </c>
      <c r="H43" s="34">
        <f>IF(ISBLANK(G43), "", SUMIF(fluxortd!J:J, G43, fluxortd!L:L) - SUMIF(fluxortd!M:M, G43, fluxortd!L:L))</f>
        <v>0</v>
      </c>
      <c r="I43" s="89" t="str">
        <f>IF(H43=0, "", (SUMIF(fluxortd!B:B, G43, fluxortd!C:C) - SUMIF(fluxortd!E:E, G43, fluxortd!C:C)) / H43 )</f>
        <v/>
      </c>
      <c r="J43" s="31"/>
      <c r="K43" s="91" t="str">
        <f t="shared" si="3"/>
        <v/>
      </c>
      <c r="L43" s="57"/>
      <c r="M43" s="59"/>
      <c r="N43" s="83"/>
      <c r="O43" s="41" t="s">
        <v>36</v>
      </c>
      <c r="P43" s="42" t="str">
        <f>IFERROR(VLOOKUP(O43,$A$4:$E$43,5,FALSE),"")</f>
        <v/>
      </c>
      <c r="Q43" s="32" t="str">
        <f>IFERROR(VLOOKUP(O43,$G$4:$K$43,5,FALSE),"")</f>
        <v/>
      </c>
      <c r="R43" s="57"/>
      <c r="S43" s="28"/>
      <c r="T43" s="56"/>
      <c r="U43" s="2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2.75" customHeight="1" x14ac:dyDescent="0.25">
      <c r="A44" s="51"/>
      <c r="B44" s="52"/>
      <c r="C44" s="52"/>
      <c r="D44" s="52"/>
      <c r="E44" s="52"/>
      <c r="F44" s="53"/>
      <c r="G44" s="54"/>
      <c r="H44" s="55"/>
      <c r="I44" s="55"/>
      <c r="J44" s="55"/>
      <c r="K44" s="55"/>
      <c r="L44" s="28"/>
      <c r="M44" s="28"/>
      <c r="N44" s="28"/>
      <c r="O44" s="56"/>
      <c r="P44" s="28"/>
      <c r="Q44" s="28"/>
      <c r="R44" s="28"/>
      <c r="S44" s="28"/>
      <c r="T44" s="56"/>
      <c r="U44" s="2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2.75" customHeight="1" x14ac:dyDescent="0.25">
      <c r="G45" s="2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2.75" customHeight="1" x14ac:dyDescent="0.25">
      <c r="G46" s="2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2.75" customHeight="1" x14ac:dyDescent="0.25">
      <c r="G47" s="2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2.75" customHeight="1" x14ac:dyDescent="0.25">
      <c r="A48" s="2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2.75" customHeight="1" x14ac:dyDescent="0.25">
      <c r="A49" s="2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2.75" customHeight="1" x14ac:dyDescent="0.25">
      <c r="A50" s="2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2.75" customHeight="1" x14ac:dyDescent="0.25">
      <c r="A51" s="2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2.75" customHeight="1" x14ac:dyDescent="0.25">
      <c r="A52" s="2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2.75" customHeight="1" x14ac:dyDescent="0.2">
      <c r="A53" s="67"/>
      <c r="B53" s="68"/>
      <c r="C53" s="68"/>
      <c r="D53" s="68"/>
      <c r="E53" s="68"/>
      <c r="F53" s="68"/>
      <c r="G53" s="2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2.75" customHeight="1" x14ac:dyDescent="0.2">
      <c r="A54" s="67"/>
      <c r="B54" s="68"/>
      <c r="C54" s="68"/>
      <c r="D54" s="68"/>
      <c r="E54" s="68"/>
      <c r="F54" s="68"/>
      <c r="G54" s="2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2.75" customHeight="1" x14ac:dyDescent="0.25">
      <c r="A55" s="2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2.75" customHeight="1" x14ac:dyDescent="0.25">
      <c r="A56" s="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2.75" customHeight="1" x14ac:dyDescent="0.25">
      <c r="A57" s="2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2.75" customHeight="1" x14ac:dyDescent="0.25">
      <c r="A58" s="2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2.75" customHeight="1" x14ac:dyDescent="0.25">
      <c r="A59" s="2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2.75" customHeight="1" x14ac:dyDescent="0.25">
      <c r="A60" s="2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2.75" customHeight="1" x14ac:dyDescent="0.25">
      <c r="A61" s="2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2.75" customHeight="1" x14ac:dyDescent="0.25">
      <c r="A62" s="2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2.75" customHeight="1" x14ac:dyDescent="0.25">
      <c r="A63" s="2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2.75" customHeight="1" x14ac:dyDescent="0.25">
      <c r="A64" s="2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2.75" customHeight="1" x14ac:dyDescent="0.25">
      <c r="A65" s="2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2.75" customHeight="1" x14ac:dyDescent="0.25">
      <c r="A66" s="2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2"/>
      <c r="P66" s="1"/>
      <c r="Q66" s="1"/>
      <c r="R66" s="1"/>
      <c r="S66" s="1"/>
      <c r="T66" s="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2.75" customHeight="1" x14ac:dyDescent="0.25">
      <c r="A67" s="2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2.75" customHeight="1" x14ac:dyDescent="0.25">
      <c r="A68" s="2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2.75" customHeight="1" x14ac:dyDescent="0.25">
      <c r="A69" s="2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2.75" customHeight="1" x14ac:dyDescent="0.25">
      <c r="A70" s="2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2.75" customHeight="1" x14ac:dyDescent="0.25">
      <c r="A71" s="2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2.75" customHeight="1" x14ac:dyDescent="0.25">
      <c r="A72" s="2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2.75" customHeight="1" x14ac:dyDescent="0.25">
      <c r="A73" s="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2.75" customHeight="1" x14ac:dyDescent="0.25">
      <c r="A74" s="2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2.75" customHeight="1" x14ac:dyDescent="0.25">
      <c r="A75" s="2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2.75" customHeight="1" x14ac:dyDescent="0.25">
      <c r="A76" s="2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2.75" customHeight="1" x14ac:dyDescent="0.25">
      <c r="A77" s="2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2.75" customHeight="1" x14ac:dyDescent="0.25">
      <c r="A78" s="2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2.75" customHeight="1" x14ac:dyDescent="0.25">
      <c r="A79" s="2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2.75" customHeight="1" x14ac:dyDescent="0.25">
      <c r="A80" s="2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2.75" customHeight="1" x14ac:dyDescent="0.25">
      <c r="A81" s="2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2.75" customHeight="1" x14ac:dyDescent="0.25">
      <c r="A82" s="2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2.75" customHeight="1" x14ac:dyDescent="0.25">
      <c r="A83" s="2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2.75" customHeight="1" x14ac:dyDescent="0.25">
      <c r="A84" s="2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2.75" customHeight="1" x14ac:dyDescent="0.25">
      <c r="A85" s="2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2.75" customHeight="1" x14ac:dyDescent="0.25">
      <c r="A86" s="2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2.75" customHeight="1" x14ac:dyDescent="0.25">
      <c r="A87" s="2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2.75" customHeight="1" x14ac:dyDescent="0.25">
      <c r="A88" s="2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2.75" customHeight="1" x14ac:dyDescent="0.25">
      <c r="A89" s="2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2.75" customHeight="1" x14ac:dyDescent="0.25">
      <c r="A90" s="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2.75" customHeight="1" x14ac:dyDescent="0.25">
      <c r="A91" s="2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2.75" customHeight="1" x14ac:dyDescent="0.25">
      <c r="A92" s="2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2.75" customHeight="1" x14ac:dyDescent="0.25">
      <c r="A93" s="2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2.75" customHeight="1" x14ac:dyDescent="0.25">
      <c r="A94" s="2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2.75" customHeight="1" x14ac:dyDescent="0.25">
      <c r="A95" s="2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2.75" customHeight="1" x14ac:dyDescent="0.25">
      <c r="A96" s="2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2.75" customHeight="1" x14ac:dyDescent="0.25">
      <c r="A97" s="2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2.75" customHeight="1" x14ac:dyDescent="0.25">
      <c r="A98" s="2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2.75" customHeight="1" x14ac:dyDescent="0.25">
      <c r="A99" s="2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2.75" customHeight="1" x14ac:dyDescent="0.25">
      <c r="A100" s="2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2.75" customHeight="1" x14ac:dyDescent="0.25">
      <c r="A101" s="2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2.75" customHeight="1" x14ac:dyDescent="0.25">
      <c r="A102" s="2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2.75" customHeight="1" x14ac:dyDescent="0.25">
      <c r="A103" s="2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2.75" customHeight="1" x14ac:dyDescent="0.25">
      <c r="A104" s="2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2.75" customHeight="1" x14ac:dyDescent="0.25">
      <c r="A105" s="2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2.75" customHeight="1" x14ac:dyDescent="0.25">
      <c r="A106" s="2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2.75" customHeight="1" x14ac:dyDescent="0.25">
      <c r="A107" s="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2.75" customHeight="1" x14ac:dyDescent="0.25">
      <c r="A108" s="2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2.75" customHeight="1" x14ac:dyDescent="0.25">
      <c r="A109" s="2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2.75" customHeight="1" x14ac:dyDescent="0.25">
      <c r="A110" s="2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2.75" customHeight="1" x14ac:dyDescent="0.25">
      <c r="A111" s="2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2.75" customHeight="1" x14ac:dyDescent="0.25">
      <c r="A112" s="2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2.75" customHeight="1" x14ac:dyDescent="0.25">
      <c r="A113" s="2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2.75" customHeight="1" x14ac:dyDescent="0.25">
      <c r="A114" s="2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2.75" customHeight="1" x14ac:dyDescent="0.25">
      <c r="A115" s="2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2.75" customHeight="1" x14ac:dyDescent="0.25">
      <c r="A116" s="2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2.75" customHeight="1" x14ac:dyDescent="0.25">
      <c r="A117" s="2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2.75" customHeight="1" x14ac:dyDescent="0.25">
      <c r="A118" s="2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2.75" customHeight="1" x14ac:dyDescent="0.25">
      <c r="A119" s="2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2.75" customHeight="1" x14ac:dyDescent="0.25">
      <c r="A120" s="2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2.75" customHeight="1" x14ac:dyDescent="0.25">
      <c r="A121" s="2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2.75" customHeight="1" x14ac:dyDescent="0.25">
      <c r="A122" s="2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2.75" customHeight="1" x14ac:dyDescent="0.25">
      <c r="A123" s="2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2.75" customHeight="1" x14ac:dyDescent="0.25">
      <c r="A124" s="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2.75" customHeight="1" x14ac:dyDescent="0.25">
      <c r="A125" s="2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2.75" customHeight="1" x14ac:dyDescent="0.25">
      <c r="A126" s="2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2.75" customHeight="1" x14ac:dyDescent="0.25">
      <c r="A127" s="2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2.75" customHeight="1" x14ac:dyDescent="0.25">
      <c r="A128" s="2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2.75" customHeight="1" x14ac:dyDescent="0.25">
      <c r="A129" s="2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2.75" customHeight="1" x14ac:dyDescent="0.25">
      <c r="A130" s="2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2.75" customHeight="1" x14ac:dyDescent="0.25">
      <c r="A131" s="2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2.75" customHeight="1" x14ac:dyDescent="0.25">
      <c r="A132" s="2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2.75" customHeight="1" x14ac:dyDescent="0.25">
      <c r="A133" s="2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2.75" customHeight="1" x14ac:dyDescent="0.25">
      <c r="A134" s="2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2.75" customHeight="1" x14ac:dyDescent="0.25">
      <c r="A135" s="2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2.75" customHeight="1" x14ac:dyDescent="0.25">
      <c r="A136" s="2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2.75" customHeight="1" x14ac:dyDescent="0.25">
      <c r="A137" s="2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2.75" customHeight="1" x14ac:dyDescent="0.25">
      <c r="A138" s="2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2.75" customHeight="1" x14ac:dyDescent="0.25">
      <c r="A139" s="2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2.75" customHeight="1" x14ac:dyDescent="0.25">
      <c r="A140" s="2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2.75" customHeight="1" x14ac:dyDescent="0.25">
      <c r="A141" s="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2.75" customHeight="1" x14ac:dyDescent="0.25">
      <c r="A142" s="2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2.75" customHeight="1" x14ac:dyDescent="0.25">
      <c r="A143" s="2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2.75" customHeight="1" x14ac:dyDescent="0.25">
      <c r="A144" s="2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2.75" customHeight="1" x14ac:dyDescent="0.25">
      <c r="A145" s="2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2.75" customHeight="1" x14ac:dyDescent="0.25">
      <c r="A146" s="2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2.75" customHeight="1" x14ac:dyDescent="0.25">
      <c r="A147" s="2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2.75" customHeight="1" x14ac:dyDescent="0.25">
      <c r="A148" s="2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2.75" customHeight="1" x14ac:dyDescent="0.25">
      <c r="A149" s="2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2.75" customHeight="1" x14ac:dyDescent="0.25">
      <c r="A150" s="2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2.75" customHeight="1" x14ac:dyDescent="0.25">
      <c r="A151" s="2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2.75" customHeight="1" x14ac:dyDescent="0.25">
      <c r="A152" s="2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2.75" customHeight="1" x14ac:dyDescent="0.25">
      <c r="A153" s="2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2.75" customHeight="1" x14ac:dyDescent="0.25">
      <c r="A154" s="2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2.75" customHeight="1" x14ac:dyDescent="0.25">
      <c r="A155" s="2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2.75" customHeight="1" x14ac:dyDescent="0.25">
      <c r="A156" s="2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2"/>
      <c r="P156" s="1"/>
      <c r="Q156" s="1"/>
      <c r="R156" s="1"/>
      <c r="S156" s="1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2.75" customHeight="1" x14ac:dyDescent="0.25">
      <c r="A157" s="2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2"/>
      <c r="P157" s="1"/>
      <c r="Q157" s="1"/>
      <c r="R157" s="1"/>
      <c r="S157" s="1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2.75" customHeight="1" x14ac:dyDescent="0.25">
      <c r="A158" s="2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2"/>
      <c r="P158" s="1"/>
      <c r="Q158" s="1"/>
      <c r="R158" s="1"/>
      <c r="S158" s="1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2.75" customHeight="1" x14ac:dyDescent="0.25">
      <c r="A159" s="2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2"/>
      <c r="P159" s="1"/>
      <c r="Q159" s="1"/>
      <c r="R159" s="1"/>
      <c r="S159" s="1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2.75" customHeight="1" x14ac:dyDescent="0.25">
      <c r="A160" s="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/>
      <c r="P160" s="1"/>
      <c r="Q160" s="1"/>
      <c r="R160" s="1"/>
      <c r="S160" s="1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2.75" customHeight="1" x14ac:dyDescent="0.25">
      <c r="A161" s="2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2"/>
      <c r="P161" s="1"/>
      <c r="Q161" s="1"/>
      <c r="R161" s="1"/>
      <c r="S161" s="1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2.75" customHeight="1" x14ac:dyDescent="0.25">
      <c r="A162" s="2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2"/>
      <c r="P162" s="1"/>
      <c r="Q162" s="1"/>
      <c r="R162" s="1"/>
      <c r="S162" s="1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2.75" customHeight="1" x14ac:dyDescent="0.25">
      <c r="A163" s="2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2"/>
      <c r="P163" s="1"/>
      <c r="Q163" s="1"/>
      <c r="R163" s="1"/>
      <c r="S163" s="1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2.75" customHeight="1" x14ac:dyDescent="0.25">
      <c r="A164" s="2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2"/>
      <c r="P164" s="1"/>
      <c r="Q164" s="1"/>
      <c r="R164" s="1"/>
      <c r="S164" s="1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2.75" customHeight="1" x14ac:dyDescent="0.25">
      <c r="A165" s="2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2"/>
      <c r="P165" s="1"/>
      <c r="Q165" s="1"/>
      <c r="R165" s="1"/>
      <c r="S165" s="1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2.75" customHeight="1" x14ac:dyDescent="0.25">
      <c r="A166" s="2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2"/>
      <c r="P166" s="1"/>
      <c r="Q166" s="1"/>
      <c r="R166" s="1"/>
      <c r="S166" s="1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2.75" customHeight="1" x14ac:dyDescent="0.25">
      <c r="A167" s="2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2"/>
      <c r="P167" s="1"/>
      <c r="Q167" s="1"/>
      <c r="R167" s="1"/>
      <c r="S167" s="1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2.75" customHeight="1" x14ac:dyDescent="0.25">
      <c r="A168" s="2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2"/>
      <c r="P168" s="1"/>
      <c r="Q168" s="1"/>
      <c r="R168" s="1"/>
      <c r="S168" s="1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2.75" customHeight="1" x14ac:dyDescent="0.25">
      <c r="A169" s="2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2"/>
      <c r="P169" s="1"/>
      <c r="Q169" s="1"/>
      <c r="R169" s="1"/>
      <c r="S169" s="1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2.75" customHeight="1" x14ac:dyDescent="0.25">
      <c r="A170" s="2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2"/>
      <c r="P170" s="1"/>
      <c r="Q170" s="1"/>
      <c r="R170" s="1"/>
      <c r="S170" s="1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2.75" customHeight="1" x14ac:dyDescent="0.25">
      <c r="A171" s="2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2"/>
      <c r="P171" s="1"/>
      <c r="Q171" s="1"/>
      <c r="R171" s="1"/>
      <c r="S171" s="1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2.75" customHeight="1" x14ac:dyDescent="0.25">
      <c r="A172" s="2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2"/>
      <c r="P172" s="1"/>
      <c r="Q172" s="1"/>
      <c r="R172" s="1"/>
      <c r="S172" s="1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2.75" customHeight="1" x14ac:dyDescent="0.25">
      <c r="A173" s="2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2"/>
      <c r="P173" s="1"/>
      <c r="Q173" s="1"/>
      <c r="R173" s="1"/>
      <c r="S173" s="1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2.75" customHeight="1" x14ac:dyDescent="0.25">
      <c r="A174" s="2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2"/>
      <c r="P174" s="1"/>
      <c r="Q174" s="1"/>
      <c r="R174" s="1"/>
      <c r="S174" s="1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2.75" customHeight="1" x14ac:dyDescent="0.25">
      <c r="A175" s="2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2"/>
      <c r="P175" s="1"/>
      <c r="Q175" s="1"/>
      <c r="R175" s="1"/>
      <c r="S175" s="1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2.75" customHeight="1" x14ac:dyDescent="0.25">
      <c r="A176" s="2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2"/>
      <c r="P176" s="1"/>
      <c r="Q176" s="1"/>
      <c r="R176" s="1"/>
      <c r="S176" s="1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2.75" customHeight="1" x14ac:dyDescent="0.25">
      <c r="A177" s="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/>
      <c r="P177" s="1"/>
      <c r="Q177" s="1"/>
      <c r="R177" s="1"/>
      <c r="S177" s="1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2.75" customHeight="1" x14ac:dyDescent="0.25">
      <c r="A178" s="2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2"/>
      <c r="P178" s="1"/>
      <c r="Q178" s="1"/>
      <c r="R178" s="1"/>
      <c r="S178" s="1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2.75" customHeight="1" x14ac:dyDescent="0.25">
      <c r="A179" s="2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2"/>
      <c r="P179" s="1"/>
      <c r="Q179" s="1"/>
      <c r="R179" s="1"/>
      <c r="S179" s="1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2.75" customHeight="1" x14ac:dyDescent="0.25">
      <c r="A180" s="2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2"/>
      <c r="P180" s="1"/>
      <c r="Q180" s="1"/>
      <c r="R180" s="1"/>
      <c r="S180" s="1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2.75" customHeight="1" x14ac:dyDescent="0.25">
      <c r="A181" s="2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2"/>
      <c r="P181" s="1"/>
      <c r="Q181" s="1"/>
      <c r="R181" s="1"/>
      <c r="S181" s="1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2.75" customHeight="1" x14ac:dyDescent="0.25">
      <c r="A182" s="2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2"/>
      <c r="P182" s="1"/>
      <c r="Q182" s="1"/>
      <c r="R182" s="1"/>
      <c r="S182" s="1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2.75" customHeight="1" x14ac:dyDescent="0.25">
      <c r="A183" s="2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2"/>
      <c r="P183" s="1"/>
      <c r="Q183" s="1"/>
      <c r="R183" s="1"/>
      <c r="S183" s="1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2.75" customHeight="1" x14ac:dyDescent="0.25">
      <c r="A184" s="2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2"/>
      <c r="P184" s="1"/>
      <c r="Q184" s="1"/>
      <c r="R184" s="1"/>
      <c r="S184" s="1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2.75" customHeight="1" x14ac:dyDescent="0.25">
      <c r="A185" s="2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2"/>
      <c r="P185" s="1"/>
      <c r="Q185" s="1"/>
      <c r="R185" s="1"/>
      <c r="S185" s="1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2.75" customHeight="1" x14ac:dyDescent="0.25">
      <c r="A186" s="2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2"/>
      <c r="P186" s="1"/>
      <c r="Q186" s="1"/>
      <c r="R186" s="1"/>
      <c r="S186" s="1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2.75" customHeight="1" x14ac:dyDescent="0.25">
      <c r="A187" s="2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2"/>
      <c r="P187" s="1"/>
      <c r="Q187" s="1"/>
      <c r="R187" s="1"/>
      <c r="S187" s="1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2.75" customHeight="1" x14ac:dyDescent="0.25">
      <c r="A188" s="2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2"/>
      <c r="P188" s="1"/>
      <c r="Q188" s="1"/>
      <c r="R188" s="1"/>
      <c r="S188" s="1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2.75" customHeight="1" x14ac:dyDescent="0.25">
      <c r="A189" s="2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2"/>
      <c r="P189" s="1"/>
      <c r="Q189" s="1"/>
      <c r="R189" s="1"/>
      <c r="S189" s="1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2.75" customHeight="1" x14ac:dyDescent="0.25">
      <c r="A190" s="2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2"/>
      <c r="P190" s="1"/>
      <c r="Q190" s="1"/>
      <c r="R190" s="1"/>
      <c r="S190" s="1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2.75" customHeight="1" x14ac:dyDescent="0.25">
      <c r="A191" s="2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2"/>
      <c r="P191" s="1"/>
      <c r="Q191" s="1"/>
      <c r="R191" s="1"/>
      <c r="S191" s="1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2.75" customHeight="1" x14ac:dyDescent="0.25">
      <c r="A192" s="2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2"/>
      <c r="P192" s="1"/>
      <c r="Q192" s="1"/>
      <c r="R192" s="1"/>
      <c r="S192" s="1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2.75" customHeight="1" x14ac:dyDescent="0.25">
      <c r="A193" s="2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2"/>
      <c r="P193" s="1"/>
      <c r="Q193" s="1"/>
      <c r="R193" s="1"/>
      <c r="S193" s="1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2.75" customHeight="1" x14ac:dyDescent="0.25">
      <c r="A194" s="2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2"/>
      <c r="P194" s="1"/>
      <c r="Q194" s="1"/>
      <c r="R194" s="1"/>
      <c r="S194" s="1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2.75" customHeight="1" x14ac:dyDescent="0.25">
      <c r="A195" s="2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2"/>
      <c r="P195" s="1"/>
      <c r="Q195" s="1"/>
      <c r="R195" s="1"/>
      <c r="S195" s="1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2.75" customHeight="1" x14ac:dyDescent="0.25">
      <c r="A196" s="2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2"/>
      <c r="P196" s="1"/>
      <c r="Q196" s="1"/>
      <c r="R196" s="1"/>
      <c r="S196" s="1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2.75" customHeight="1" x14ac:dyDescent="0.25">
      <c r="A197" s="2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2"/>
      <c r="P197" s="1"/>
      <c r="Q197" s="1"/>
      <c r="R197" s="1"/>
      <c r="S197" s="1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2.75" customHeight="1" x14ac:dyDescent="0.25">
      <c r="A198" s="2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2"/>
      <c r="P198" s="1"/>
      <c r="Q198" s="1"/>
      <c r="R198" s="1"/>
      <c r="S198" s="1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2.75" customHeight="1" x14ac:dyDescent="0.25">
      <c r="A199" s="2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2"/>
      <c r="P199" s="1"/>
      <c r="Q199" s="1"/>
      <c r="R199" s="1"/>
      <c r="S199" s="1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2.75" customHeight="1" x14ac:dyDescent="0.25">
      <c r="A200" s="2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2"/>
      <c r="P200" s="1"/>
      <c r="Q200" s="1"/>
      <c r="R200" s="1"/>
      <c r="S200" s="1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2.75" customHeight="1" x14ac:dyDescent="0.25">
      <c r="A201" s="2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2"/>
      <c r="P201" s="1"/>
      <c r="Q201" s="1"/>
      <c r="R201" s="1"/>
      <c r="S201" s="1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2.75" customHeight="1" x14ac:dyDescent="0.25">
      <c r="A202" s="2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2"/>
      <c r="P202" s="1"/>
      <c r="Q202" s="1"/>
      <c r="R202" s="1"/>
      <c r="S202" s="1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2.75" customHeight="1" x14ac:dyDescent="0.25">
      <c r="A203" s="2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2"/>
      <c r="P203" s="1"/>
      <c r="Q203" s="1"/>
      <c r="R203" s="1"/>
      <c r="S203" s="1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2.75" customHeight="1" x14ac:dyDescent="0.25">
      <c r="A204" s="2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2"/>
      <c r="P204" s="1"/>
      <c r="Q204" s="1"/>
      <c r="R204" s="1"/>
      <c r="S204" s="1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2.75" customHeight="1" x14ac:dyDescent="0.25">
      <c r="A205" s="2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2"/>
      <c r="P205" s="1"/>
      <c r="Q205" s="1"/>
      <c r="R205" s="1"/>
      <c r="S205" s="1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2.75" customHeight="1" x14ac:dyDescent="0.25">
      <c r="A206" s="2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2"/>
      <c r="P206" s="1"/>
      <c r="Q206" s="1"/>
      <c r="R206" s="1"/>
      <c r="S206" s="1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2.75" customHeight="1" x14ac:dyDescent="0.25">
      <c r="A207" s="2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2"/>
      <c r="P207" s="1"/>
      <c r="Q207" s="1"/>
      <c r="R207" s="1"/>
      <c r="S207" s="1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2.75" customHeight="1" x14ac:dyDescent="0.25">
      <c r="A208" s="2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2"/>
      <c r="P208" s="1"/>
      <c r="Q208" s="1"/>
      <c r="R208" s="1"/>
      <c r="S208" s="1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2.75" customHeight="1" x14ac:dyDescent="0.25">
      <c r="A209" s="2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2"/>
      <c r="P209" s="1"/>
      <c r="Q209" s="1"/>
      <c r="R209" s="1"/>
      <c r="S209" s="1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2.75" customHeight="1" x14ac:dyDescent="0.25">
      <c r="A210" s="2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2"/>
      <c r="P210" s="1"/>
      <c r="Q210" s="1"/>
      <c r="R210" s="1"/>
      <c r="S210" s="1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2.75" customHeight="1" x14ac:dyDescent="0.25">
      <c r="A211" s="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/>
      <c r="P211" s="1"/>
      <c r="Q211" s="1"/>
      <c r="R211" s="1"/>
      <c r="S211" s="1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2.75" customHeight="1" x14ac:dyDescent="0.25">
      <c r="A212" s="2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2"/>
      <c r="P212" s="1"/>
      <c r="Q212" s="1"/>
      <c r="R212" s="1"/>
      <c r="S212" s="1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2.75" customHeight="1" x14ac:dyDescent="0.25">
      <c r="A213" s="2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2"/>
      <c r="P213" s="1"/>
      <c r="Q213" s="1"/>
      <c r="R213" s="1"/>
      <c r="S213" s="1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2.75" customHeight="1" x14ac:dyDescent="0.25">
      <c r="A214" s="2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2"/>
      <c r="P214" s="1"/>
      <c r="Q214" s="1"/>
      <c r="R214" s="1"/>
      <c r="S214" s="1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2.75" customHeight="1" x14ac:dyDescent="0.25">
      <c r="A215" s="2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2"/>
      <c r="P215" s="1"/>
      <c r="Q215" s="1"/>
      <c r="R215" s="1"/>
      <c r="S215" s="1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2.75" customHeight="1" x14ac:dyDescent="0.25">
      <c r="A216" s="2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2"/>
      <c r="P216" s="1"/>
      <c r="Q216" s="1"/>
      <c r="R216" s="1"/>
      <c r="S216" s="1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2.75" customHeight="1" x14ac:dyDescent="0.25">
      <c r="A217" s="2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2"/>
      <c r="P217" s="1"/>
      <c r="Q217" s="1"/>
      <c r="R217" s="1"/>
      <c r="S217" s="1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2.75" customHeight="1" x14ac:dyDescent="0.25">
      <c r="A218" s="2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2"/>
      <c r="P218" s="1"/>
      <c r="Q218" s="1"/>
      <c r="R218" s="1"/>
      <c r="S218" s="1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2.75" customHeight="1" x14ac:dyDescent="0.25">
      <c r="A219" s="2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2"/>
      <c r="P219" s="1"/>
      <c r="Q219" s="1"/>
      <c r="R219" s="1"/>
      <c r="S219" s="1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2.75" customHeight="1" x14ac:dyDescent="0.25">
      <c r="A220" s="2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2"/>
      <c r="P220" s="1"/>
      <c r="Q220" s="1"/>
      <c r="R220" s="1"/>
      <c r="S220" s="1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2.75" customHeight="1" x14ac:dyDescent="0.25">
      <c r="A221" s="2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2"/>
      <c r="P221" s="1"/>
      <c r="Q221" s="1"/>
      <c r="R221" s="1"/>
      <c r="S221" s="1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2.75" customHeight="1" x14ac:dyDescent="0.25">
      <c r="A222" s="2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2"/>
      <c r="P222" s="1"/>
      <c r="Q222" s="1"/>
      <c r="R222" s="1"/>
      <c r="S222" s="1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2.75" customHeight="1" x14ac:dyDescent="0.25">
      <c r="A223" s="2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2"/>
      <c r="P223" s="1"/>
      <c r="Q223" s="1"/>
      <c r="R223" s="1"/>
      <c r="S223" s="1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2.75" customHeight="1" x14ac:dyDescent="0.25">
      <c r="A224" s="2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2"/>
      <c r="P224" s="1"/>
      <c r="Q224" s="1"/>
      <c r="R224" s="1"/>
      <c r="S224" s="1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2.75" customHeight="1" x14ac:dyDescent="0.25">
      <c r="A225" s="2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2"/>
      <c r="P225" s="1"/>
      <c r="Q225" s="1"/>
      <c r="R225" s="1"/>
      <c r="S225" s="1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2.75" customHeight="1" x14ac:dyDescent="0.25">
      <c r="A226" s="2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2"/>
      <c r="P226" s="1"/>
      <c r="Q226" s="1"/>
      <c r="R226" s="1"/>
      <c r="S226" s="1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2.75" customHeight="1" x14ac:dyDescent="0.25">
      <c r="A227" s="2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2"/>
      <c r="P227" s="1"/>
      <c r="Q227" s="1"/>
      <c r="R227" s="1"/>
      <c r="S227" s="1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2.75" customHeight="1" x14ac:dyDescent="0.25">
      <c r="A228" s="2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2"/>
      <c r="P228" s="1"/>
      <c r="Q228" s="1"/>
      <c r="R228" s="1"/>
      <c r="S228" s="1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2.75" customHeight="1" x14ac:dyDescent="0.25">
      <c r="A229" s="2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2"/>
      <c r="P229" s="1"/>
      <c r="Q229" s="1"/>
      <c r="R229" s="1"/>
      <c r="S229" s="1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2.75" customHeight="1" x14ac:dyDescent="0.25">
      <c r="A230" s="2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2"/>
      <c r="P230" s="1"/>
      <c r="Q230" s="1"/>
      <c r="R230" s="1"/>
      <c r="S230" s="1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2.75" customHeight="1" x14ac:dyDescent="0.25">
      <c r="A231" s="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/>
      <c r="P231" s="1"/>
      <c r="Q231" s="1"/>
      <c r="R231" s="1"/>
      <c r="S231" s="1"/>
      <c r="T231" s="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2.75" customHeight="1" x14ac:dyDescent="0.25">
      <c r="A232" s="2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2"/>
      <c r="P232" s="1"/>
      <c r="Q232" s="1"/>
      <c r="R232" s="1"/>
      <c r="S232" s="1"/>
      <c r="T232" s="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2.75" customHeight="1" x14ac:dyDescent="0.25">
      <c r="A233" s="2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2"/>
      <c r="P233" s="1"/>
      <c r="Q233" s="1"/>
      <c r="R233" s="1"/>
      <c r="S233" s="1"/>
      <c r="T233" s="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2.75" customHeight="1" x14ac:dyDescent="0.25">
      <c r="A234" s="2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2"/>
      <c r="P234" s="1"/>
      <c r="Q234" s="1"/>
      <c r="R234" s="1"/>
      <c r="S234" s="1"/>
      <c r="T234" s="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2.75" customHeight="1" x14ac:dyDescent="0.25">
      <c r="A235" s="2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2"/>
      <c r="P235" s="1"/>
      <c r="Q235" s="1"/>
      <c r="R235" s="1"/>
      <c r="S235" s="1"/>
      <c r="T235" s="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2.75" customHeight="1" x14ac:dyDescent="0.25">
      <c r="A236" s="2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2"/>
      <c r="P236" s="1"/>
      <c r="Q236" s="1"/>
      <c r="R236" s="1"/>
      <c r="S236" s="1"/>
      <c r="T236" s="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2.75" customHeight="1" x14ac:dyDescent="0.25">
      <c r="A237" s="2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2"/>
      <c r="P237" s="1"/>
      <c r="Q237" s="1"/>
      <c r="R237" s="1"/>
      <c r="S237" s="1"/>
      <c r="T237" s="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2.75" customHeight="1" x14ac:dyDescent="0.25">
      <c r="A238" s="2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2"/>
      <c r="P238" s="1"/>
      <c r="Q238" s="1"/>
      <c r="R238" s="1"/>
      <c r="S238" s="1"/>
      <c r="T238" s="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2.75" customHeight="1" x14ac:dyDescent="0.25">
      <c r="A239" s="2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2"/>
      <c r="P239" s="1"/>
      <c r="Q239" s="1"/>
      <c r="R239" s="1"/>
      <c r="S239" s="1"/>
      <c r="T239" s="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2.75" customHeight="1" x14ac:dyDescent="0.25">
      <c r="A240" s="2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2"/>
      <c r="P240" s="1"/>
      <c r="Q240" s="1"/>
      <c r="R240" s="1"/>
      <c r="S240" s="1"/>
      <c r="T240" s="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2.75" customHeight="1" x14ac:dyDescent="0.25">
      <c r="A241" s="2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2"/>
      <c r="P241" s="1"/>
      <c r="Q241" s="1"/>
      <c r="R241" s="1"/>
      <c r="S241" s="1"/>
      <c r="T241" s="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2.75" customHeight="1" x14ac:dyDescent="0.25">
      <c r="A242" s="2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2"/>
      <c r="P242" s="1"/>
      <c r="Q242" s="1"/>
      <c r="R242" s="1"/>
      <c r="S242" s="1"/>
      <c r="T242" s="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2.75" customHeight="1" x14ac:dyDescent="0.25">
      <c r="A243" s="2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2"/>
      <c r="P243" s="1"/>
      <c r="Q243" s="1"/>
      <c r="R243" s="1"/>
      <c r="S243" s="1"/>
      <c r="T243" s="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2.75" customHeight="1" x14ac:dyDescent="0.25">
      <c r="A244" s="2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2"/>
      <c r="P244" s="1"/>
      <c r="Q244" s="1"/>
      <c r="R244" s="1"/>
      <c r="S244" s="1"/>
      <c r="T244" s="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2.75" customHeight="1" x14ac:dyDescent="0.25">
      <c r="A245" s="2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2"/>
      <c r="P245" s="1"/>
      <c r="Q245" s="1"/>
      <c r="R245" s="1"/>
      <c r="S245" s="1"/>
      <c r="T245" s="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2.75" customHeight="1" x14ac:dyDescent="0.25">
      <c r="A246" s="2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2"/>
      <c r="P246" s="1"/>
      <c r="Q246" s="1"/>
      <c r="R246" s="1"/>
      <c r="S246" s="1"/>
      <c r="T246" s="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2.75" customHeight="1" x14ac:dyDescent="0.25">
      <c r="A247" s="2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2"/>
      <c r="P247" s="1"/>
      <c r="Q247" s="1"/>
      <c r="R247" s="1"/>
      <c r="S247" s="1"/>
      <c r="T247" s="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2.75" customHeight="1" x14ac:dyDescent="0.25">
      <c r="A248" s="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/>
      <c r="P248" s="1"/>
      <c r="Q248" s="1"/>
      <c r="R248" s="1"/>
      <c r="S248" s="1"/>
      <c r="T248" s="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2.75" customHeight="1" x14ac:dyDescent="0.25">
      <c r="A249" s="2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2"/>
      <c r="P249" s="1"/>
      <c r="Q249" s="1"/>
      <c r="R249" s="1"/>
      <c r="S249" s="1"/>
      <c r="T249" s="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2.75" customHeight="1" x14ac:dyDescent="0.25">
      <c r="A250" s="2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2"/>
      <c r="P250" s="1"/>
      <c r="Q250" s="1"/>
      <c r="R250" s="1"/>
      <c r="S250" s="1"/>
      <c r="T250" s="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2.75" customHeight="1" x14ac:dyDescent="0.25">
      <c r="A251" s="2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2"/>
      <c r="P251" s="1"/>
      <c r="Q251" s="1"/>
      <c r="R251" s="1"/>
      <c r="S251" s="1"/>
      <c r="T251" s="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2.75" customHeight="1" x14ac:dyDescent="0.25">
      <c r="A252" s="2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2"/>
      <c r="P252" s="1"/>
      <c r="Q252" s="1"/>
      <c r="R252" s="1"/>
      <c r="S252" s="1"/>
      <c r="T252" s="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2.75" customHeight="1" x14ac:dyDescent="0.25">
      <c r="A253" s="2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2"/>
      <c r="P253" s="1"/>
      <c r="Q253" s="1"/>
      <c r="R253" s="1"/>
      <c r="S253" s="1"/>
      <c r="T253" s="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2.75" customHeight="1" x14ac:dyDescent="0.25">
      <c r="A254" s="2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2"/>
      <c r="P254" s="1"/>
      <c r="Q254" s="1"/>
      <c r="R254" s="1"/>
      <c r="S254" s="1"/>
      <c r="T254" s="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2.75" customHeight="1" x14ac:dyDescent="0.25">
      <c r="A255" s="2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2"/>
      <c r="P255" s="1"/>
      <c r="Q255" s="1"/>
      <c r="R255" s="1"/>
      <c r="S255" s="1"/>
      <c r="T255" s="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2.75" customHeight="1" x14ac:dyDescent="0.25">
      <c r="A256" s="2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2"/>
      <c r="P256" s="1"/>
      <c r="Q256" s="1"/>
      <c r="R256" s="1"/>
      <c r="S256" s="1"/>
      <c r="T256" s="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2.75" customHeight="1" x14ac:dyDescent="0.25">
      <c r="A257" s="2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2"/>
      <c r="P257" s="1"/>
      <c r="Q257" s="1"/>
      <c r="R257" s="1"/>
      <c r="S257" s="1"/>
      <c r="T257" s="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2.75" customHeight="1" x14ac:dyDescent="0.25">
      <c r="A258" s="2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2"/>
      <c r="P258" s="1"/>
      <c r="Q258" s="1"/>
      <c r="R258" s="1"/>
      <c r="S258" s="1"/>
      <c r="T258" s="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2.75" customHeight="1" x14ac:dyDescent="0.25">
      <c r="A259" s="2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2"/>
      <c r="P259" s="1"/>
      <c r="Q259" s="1"/>
      <c r="R259" s="1"/>
      <c r="S259" s="1"/>
      <c r="T259" s="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2.75" customHeight="1" x14ac:dyDescent="0.25">
      <c r="A260" s="2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2"/>
      <c r="P260" s="1"/>
      <c r="Q260" s="1"/>
      <c r="R260" s="1"/>
      <c r="S260" s="1"/>
      <c r="T260" s="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2.75" customHeight="1" x14ac:dyDescent="0.25">
      <c r="A261" s="2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2"/>
      <c r="P261" s="1"/>
      <c r="Q261" s="1"/>
      <c r="R261" s="1"/>
      <c r="S261" s="1"/>
      <c r="T261" s="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2.75" customHeight="1" x14ac:dyDescent="0.25">
      <c r="A262" s="2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2"/>
      <c r="P262" s="1"/>
      <c r="Q262" s="1"/>
      <c r="R262" s="1"/>
      <c r="S262" s="1"/>
      <c r="T262" s="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2.75" customHeight="1" x14ac:dyDescent="0.25">
      <c r="A263" s="2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2"/>
      <c r="P263" s="1"/>
      <c r="Q263" s="1"/>
      <c r="R263" s="1"/>
      <c r="S263" s="1"/>
      <c r="T263" s="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2.75" customHeight="1" x14ac:dyDescent="0.25">
      <c r="A264" s="2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2"/>
      <c r="P264" s="1"/>
      <c r="Q264" s="1"/>
      <c r="R264" s="1"/>
      <c r="S264" s="1"/>
      <c r="T264" s="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2.75" customHeight="1" x14ac:dyDescent="0.25">
      <c r="A265" s="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/>
      <c r="P265" s="1"/>
      <c r="Q265" s="1"/>
      <c r="R265" s="1"/>
      <c r="S265" s="1"/>
      <c r="T265" s="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2.75" customHeight="1" x14ac:dyDescent="0.25">
      <c r="A266" s="2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/>
      <c r="P266" s="1"/>
      <c r="Q266" s="1"/>
      <c r="R266" s="1"/>
      <c r="S266" s="1"/>
      <c r="T266" s="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2.75" customHeight="1" x14ac:dyDescent="0.25">
      <c r="A267" s="2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2"/>
      <c r="P267" s="1"/>
      <c r="Q267" s="1"/>
      <c r="R267" s="1"/>
      <c r="S267" s="1"/>
      <c r="T267" s="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2.75" customHeight="1" x14ac:dyDescent="0.25">
      <c r="A268" s="2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2"/>
      <c r="P268" s="1"/>
      <c r="Q268" s="1"/>
      <c r="R268" s="1"/>
      <c r="S268" s="1"/>
      <c r="T268" s="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2.75" customHeight="1" x14ac:dyDescent="0.25">
      <c r="A269" s="2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2"/>
      <c r="P269" s="1"/>
      <c r="Q269" s="1"/>
      <c r="R269" s="1"/>
      <c r="S269" s="1"/>
      <c r="T269" s="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2.75" customHeight="1" x14ac:dyDescent="0.25">
      <c r="A270" s="2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2"/>
      <c r="P270" s="1"/>
      <c r="Q270" s="1"/>
      <c r="R270" s="1"/>
      <c r="S270" s="1"/>
      <c r="T270" s="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2.75" customHeight="1" x14ac:dyDescent="0.25">
      <c r="A271" s="2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2"/>
      <c r="P271" s="1"/>
      <c r="Q271" s="1"/>
      <c r="R271" s="1"/>
      <c r="S271" s="1"/>
      <c r="T271" s="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2.75" customHeight="1" x14ac:dyDescent="0.25">
      <c r="A272" s="2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2"/>
      <c r="P272" s="1"/>
      <c r="Q272" s="1"/>
      <c r="R272" s="1"/>
      <c r="S272" s="1"/>
      <c r="T272" s="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2.75" customHeight="1" x14ac:dyDescent="0.25">
      <c r="A273" s="2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2"/>
      <c r="P273" s="1"/>
      <c r="Q273" s="1"/>
      <c r="R273" s="1"/>
      <c r="S273" s="1"/>
      <c r="T273" s="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2.75" customHeight="1" x14ac:dyDescent="0.25">
      <c r="A274" s="2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2"/>
      <c r="P274" s="1"/>
      <c r="Q274" s="1"/>
      <c r="R274" s="1"/>
      <c r="S274" s="1"/>
      <c r="T274" s="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2.75" customHeight="1" x14ac:dyDescent="0.25">
      <c r="A275" s="2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2"/>
      <c r="P275" s="1"/>
      <c r="Q275" s="1"/>
      <c r="R275" s="1"/>
      <c r="S275" s="1"/>
      <c r="T275" s="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2.75" customHeight="1" x14ac:dyDescent="0.25">
      <c r="A276" s="2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2"/>
      <c r="P276" s="1"/>
      <c r="Q276" s="1"/>
      <c r="R276" s="1"/>
      <c r="S276" s="1"/>
      <c r="T276" s="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2.75" customHeight="1" x14ac:dyDescent="0.25">
      <c r="A277" s="2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2"/>
      <c r="P277" s="1"/>
      <c r="Q277" s="1"/>
      <c r="R277" s="1"/>
      <c r="S277" s="1"/>
      <c r="T277" s="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2.75" customHeight="1" x14ac:dyDescent="0.25">
      <c r="A278" s="2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2"/>
      <c r="P278" s="1"/>
      <c r="Q278" s="1"/>
      <c r="R278" s="1"/>
      <c r="S278" s="1"/>
      <c r="T278" s="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2.75" customHeight="1" x14ac:dyDescent="0.25">
      <c r="A279" s="2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2"/>
      <c r="P279" s="1"/>
      <c r="Q279" s="1"/>
      <c r="R279" s="1"/>
      <c r="S279" s="1"/>
      <c r="T279" s="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2.75" customHeight="1" x14ac:dyDescent="0.25">
      <c r="A280" s="2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2"/>
      <c r="P280" s="1"/>
      <c r="Q280" s="1"/>
      <c r="R280" s="1"/>
      <c r="S280" s="1"/>
      <c r="T280" s="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2.75" customHeight="1" x14ac:dyDescent="0.25">
      <c r="A281" s="2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2"/>
      <c r="P281" s="1"/>
      <c r="Q281" s="1"/>
      <c r="R281" s="1"/>
      <c r="S281" s="1"/>
      <c r="T281" s="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2.75" customHeight="1" x14ac:dyDescent="0.25">
      <c r="A282" s="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/>
      <c r="P282" s="1"/>
      <c r="Q282" s="1"/>
      <c r="R282" s="1"/>
      <c r="S282" s="1"/>
      <c r="T282" s="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2.75" customHeight="1" x14ac:dyDescent="0.25">
      <c r="A283" s="2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2"/>
      <c r="P283" s="1"/>
      <c r="Q283" s="1"/>
      <c r="R283" s="1"/>
      <c r="S283" s="1"/>
      <c r="T283" s="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2.75" customHeight="1" x14ac:dyDescent="0.25">
      <c r="A284" s="2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2"/>
      <c r="P284" s="1"/>
      <c r="Q284" s="1"/>
      <c r="R284" s="1"/>
      <c r="S284" s="1"/>
      <c r="T284" s="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2.75" customHeight="1" x14ac:dyDescent="0.25">
      <c r="A285" s="2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2"/>
      <c r="P285" s="1"/>
      <c r="Q285" s="1"/>
      <c r="R285" s="1"/>
      <c r="S285" s="1"/>
      <c r="T285" s="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2.75" customHeight="1" x14ac:dyDescent="0.25">
      <c r="A286" s="2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2"/>
      <c r="P286" s="1"/>
      <c r="Q286" s="1"/>
      <c r="R286" s="1"/>
      <c r="S286" s="1"/>
      <c r="T286" s="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2.75" customHeight="1" x14ac:dyDescent="0.25">
      <c r="A287" s="2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2"/>
      <c r="P287" s="1"/>
      <c r="Q287" s="1"/>
      <c r="R287" s="1"/>
      <c r="S287" s="1"/>
      <c r="T287" s="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2.75" customHeight="1" x14ac:dyDescent="0.25">
      <c r="A288" s="2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2"/>
      <c r="P288" s="1"/>
      <c r="Q288" s="1"/>
      <c r="R288" s="1"/>
      <c r="S288" s="1"/>
      <c r="T288" s="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2.75" customHeight="1" x14ac:dyDescent="0.25">
      <c r="A289" s="2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2"/>
      <c r="P289" s="1"/>
      <c r="Q289" s="1"/>
      <c r="R289" s="1"/>
      <c r="S289" s="1"/>
      <c r="T289" s="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2.75" customHeight="1" x14ac:dyDescent="0.25">
      <c r="A290" s="2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2"/>
      <c r="P290" s="1"/>
      <c r="Q290" s="1"/>
      <c r="R290" s="1"/>
      <c r="S290" s="1"/>
      <c r="T290" s="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2.75" customHeight="1" x14ac:dyDescent="0.25">
      <c r="A291" s="2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2"/>
      <c r="P291" s="1"/>
      <c r="Q291" s="1"/>
      <c r="R291" s="1"/>
      <c r="S291" s="1"/>
      <c r="T291" s="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2.75" customHeight="1" x14ac:dyDescent="0.25">
      <c r="A292" s="2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2"/>
      <c r="P292" s="1"/>
      <c r="Q292" s="1"/>
      <c r="R292" s="1"/>
      <c r="S292" s="1"/>
      <c r="T292" s="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2.75" customHeight="1" x14ac:dyDescent="0.25">
      <c r="A293" s="2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2"/>
      <c r="P293" s="1"/>
      <c r="Q293" s="1"/>
      <c r="R293" s="1"/>
      <c r="S293" s="1"/>
      <c r="T293" s="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2.75" customHeight="1" x14ac:dyDescent="0.25">
      <c r="A294" s="2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2"/>
      <c r="P294" s="1"/>
      <c r="Q294" s="1"/>
      <c r="R294" s="1"/>
      <c r="S294" s="1"/>
      <c r="T294" s="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2.75" customHeight="1" x14ac:dyDescent="0.25">
      <c r="A295" s="2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2"/>
      <c r="P295" s="1"/>
      <c r="Q295" s="1"/>
      <c r="R295" s="1"/>
      <c r="S295" s="1"/>
      <c r="T295" s="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2.75" customHeight="1" x14ac:dyDescent="0.25">
      <c r="A296" s="2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2"/>
      <c r="P296" s="1"/>
      <c r="Q296" s="1"/>
      <c r="R296" s="1"/>
      <c r="S296" s="1"/>
      <c r="T296" s="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2.75" customHeight="1" x14ac:dyDescent="0.25">
      <c r="A297" s="2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2"/>
      <c r="P297" s="1"/>
      <c r="Q297" s="1"/>
      <c r="R297" s="1"/>
      <c r="S297" s="1"/>
      <c r="T297" s="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2.75" customHeight="1" x14ac:dyDescent="0.25">
      <c r="A298" s="2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2"/>
      <c r="P298" s="1"/>
      <c r="Q298" s="1"/>
      <c r="R298" s="1"/>
      <c r="S298" s="1"/>
      <c r="T298" s="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2.75" customHeight="1" x14ac:dyDescent="0.25">
      <c r="A299" s="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/>
      <c r="P299" s="1"/>
      <c r="Q299" s="1"/>
      <c r="R299" s="1"/>
      <c r="S299" s="1"/>
      <c r="T299" s="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2.75" customHeight="1" x14ac:dyDescent="0.25">
      <c r="A300" s="2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2"/>
      <c r="P300" s="1"/>
      <c r="Q300" s="1"/>
      <c r="R300" s="1"/>
      <c r="S300" s="1"/>
      <c r="T300" s="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2.75" customHeight="1" x14ac:dyDescent="0.25">
      <c r="A301" s="2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2"/>
      <c r="P301" s="1"/>
      <c r="Q301" s="1"/>
      <c r="R301" s="1"/>
      <c r="S301" s="1"/>
      <c r="T301" s="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2.75" customHeight="1" x14ac:dyDescent="0.25">
      <c r="A302" s="2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2"/>
      <c r="P302" s="1"/>
      <c r="Q302" s="1"/>
      <c r="R302" s="1"/>
      <c r="S302" s="1"/>
      <c r="T302" s="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2.75" customHeight="1" x14ac:dyDescent="0.25">
      <c r="A303" s="2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2"/>
      <c r="P303" s="1"/>
      <c r="Q303" s="1"/>
      <c r="R303" s="1"/>
      <c r="S303" s="1"/>
      <c r="T303" s="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2.75" customHeight="1" x14ac:dyDescent="0.25">
      <c r="A304" s="2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2"/>
      <c r="P304" s="1"/>
      <c r="Q304" s="1"/>
      <c r="R304" s="1"/>
      <c r="S304" s="1"/>
      <c r="T304" s="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2.75" customHeight="1" x14ac:dyDescent="0.25">
      <c r="A305" s="2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2"/>
      <c r="P305" s="1"/>
      <c r="Q305" s="1"/>
      <c r="R305" s="1"/>
      <c r="S305" s="1"/>
      <c r="T305" s="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2.75" customHeight="1" x14ac:dyDescent="0.25">
      <c r="A306" s="2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2"/>
      <c r="P306" s="1"/>
      <c r="Q306" s="1"/>
      <c r="R306" s="1"/>
      <c r="S306" s="1"/>
      <c r="T306" s="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2.75" customHeight="1" x14ac:dyDescent="0.25">
      <c r="A307" s="2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2"/>
      <c r="P307" s="1"/>
      <c r="Q307" s="1"/>
      <c r="R307" s="1"/>
      <c r="S307" s="1"/>
      <c r="T307" s="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2.75" customHeight="1" x14ac:dyDescent="0.25">
      <c r="A308" s="2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2"/>
      <c r="P308" s="1"/>
      <c r="Q308" s="1"/>
      <c r="R308" s="1"/>
      <c r="S308" s="1"/>
      <c r="T308" s="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2.75" customHeight="1" x14ac:dyDescent="0.25">
      <c r="A309" s="2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2"/>
      <c r="P309" s="1"/>
      <c r="Q309" s="1"/>
      <c r="R309" s="1"/>
      <c r="S309" s="1"/>
      <c r="T309" s="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2.75" customHeight="1" x14ac:dyDescent="0.25">
      <c r="A310" s="2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2"/>
      <c r="P310" s="1"/>
      <c r="Q310" s="1"/>
      <c r="R310" s="1"/>
      <c r="S310" s="1"/>
      <c r="T310" s="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2.75" customHeight="1" x14ac:dyDescent="0.25">
      <c r="A311" s="2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2"/>
      <c r="P311" s="1"/>
      <c r="Q311" s="1"/>
      <c r="R311" s="1"/>
      <c r="S311" s="1"/>
      <c r="T311" s="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2.75" customHeight="1" x14ac:dyDescent="0.25">
      <c r="A312" s="2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2"/>
      <c r="P312" s="1"/>
      <c r="Q312" s="1"/>
      <c r="R312" s="1"/>
      <c r="S312" s="1"/>
      <c r="T312" s="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2.75" customHeight="1" x14ac:dyDescent="0.25">
      <c r="A313" s="2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2"/>
      <c r="P313" s="1"/>
      <c r="Q313" s="1"/>
      <c r="R313" s="1"/>
      <c r="S313" s="1"/>
      <c r="T313" s="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2.75" customHeight="1" x14ac:dyDescent="0.25">
      <c r="A314" s="2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2"/>
      <c r="P314" s="1"/>
      <c r="Q314" s="1"/>
      <c r="R314" s="1"/>
      <c r="S314" s="1"/>
      <c r="T314" s="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2.75" customHeight="1" x14ac:dyDescent="0.25">
      <c r="A315" s="2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2"/>
      <c r="P315" s="1"/>
      <c r="Q315" s="1"/>
      <c r="R315" s="1"/>
      <c r="S315" s="1"/>
      <c r="T315" s="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2.75" customHeight="1" x14ac:dyDescent="0.25">
      <c r="A316" s="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/>
      <c r="P316" s="1"/>
      <c r="Q316" s="1"/>
      <c r="R316" s="1"/>
      <c r="S316" s="1"/>
      <c r="T316" s="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2.75" customHeight="1" x14ac:dyDescent="0.25">
      <c r="A317" s="2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2"/>
      <c r="P317" s="1"/>
      <c r="Q317" s="1"/>
      <c r="R317" s="1"/>
      <c r="S317" s="1"/>
      <c r="T317" s="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2.75" customHeight="1" x14ac:dyDescent="0.25">
      <c r="A318" s="2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2"/>
      <c r="P318" s="1"/>
      <c r="Q318" s="1"/>
      <c r="R318" s="1"/>
      <c r="S318" s="1"/>
      <c r="T318" s="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2.75" customHeight="1" x14ac:dyDescent="0.25">
      <c r="A319" s="2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2"/>
      <c r="P319" s="1"/>
      <c r="Q319" s="1"/>
      <c r="R319" s="1"/>
      <c r="S319" s="1"/>
      <c r="T319" s="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2.75" customHeight="1" x14ac:dyDescent="0.25">
      <c r="A320" s="2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2"/>
      <c r="P320" s="1"/>
      <c r="Q320" s="1"/>
      <c r="R320" s="1"/>
      <c r="S320" s="1"/>
      <c r="T320" s="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2.75" customHeight="1" x14ac:dyDescent="0.25">
      <c r="A321" s="2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2"/>
      <c r="P321" s="1"/>
      <c r="Q321" s="1"/>
      <c r="R321" s="1"/>
      <c r="S321" s="1"/>
      <c r="T321" s="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2.75" customHeight="1" x14ac:dyDescent="0.25">
      <c r="A322" s="2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2"/>
      <c r="P322" s="1"/>
      <c r="Q322" s="1"/>
      <c r="R322" s="1"/>
      <c r="S322" s="1"/>
      <c r="T322" s="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2.75" customHeight="1" x14ac:dyDescent="0.25">
      <c r="A323" s="2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2"/>
      <c r="P323" s="1"/>
      <c r="Q323" s="1"/>
      <c r="R323" s="1"/>
      <c r="S323" s="1"/>
      <c r="T323" s="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2.75" customHeight="1" x14ac:dyDescent="0.25">
      <c r="A324" s="2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2"/>
      <c r="P324" s="1"/>
      <c r="Q324" s="1"/>
      <c r="R324" s="1"/>
      <c r="S324" s="1"/>
      <c r="T324" s="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2.75" customHeight="1" x14ac:dyDescent="0.25">
      <c r="A325" s="2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2"/>
      <c r="P325" s="1"/>
      <c r="Q325" s="1"/>
      <c r="R325" s="1"/>
      <c r="S325" s="1"/>
      <c r="T325" s="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2.75" customHeight="1" x14ac:dyDescent="0.25">
      <c r="A326" s="2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2"/>
      <c r="P326" s="1"/>
      <c r="Q326" s="1"/>
      <c r="R326" s="1"/>
      <c r="S326" s="1"/>
      <c r="T326" s="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2.75" customHeight="1" x14ac:dyDescent="0.25">
      <c r="A327" s="2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2"/>
      <c r="P327" s="1"/>
      <c r="Q327" s="1"/>
      <c r="R327" s="1"/>
      <c r="S327" s="1"/>
      <c r="T327" s="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2.75" customHeight="1" x14ac:dyDescent="0.25">
      <c r="A328" s="2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2"/>
      <c r="P328" s="1"/>
      <c r="Q328" s="1"/>
      <c r="R328" s="1"/>
      <c r="S328" s="1"/>
      <c r="T328" s="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2.75" customHeight="1" x14ac:dyDescent="0.25">
      <c r="A329" s="2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2"/>
      <c r="P329" s="1"/>
      <c r="Q329" s="1"/>
      <c r="R329" s="1"/>
      <c r="S329" s="1"/>
      <c r="T329" s="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2.75" customHeight="1" x14ac:dyDescent="0.25">
      <c r="A330" s="2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2"/>
      <c r="P330" s="1"/>
      <c r="Q330" s="1"/>
      <c r="R330" s="1"/>
      <c r="S330" s="1"/>
      <c r="T330" s="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2.75" customHeight="1" x14ac:dyDescent="0.25">
      <c r="A331" s="2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2"/>
      <c r="P331" s="1"/>
      <c r="Q331" s="1"/>
      <c r="R331" s="1"/>
      <c r="S331" s="1"/>
      <c r="T331" s="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2.75" customHeight="1" x14ac:dyDescent="0.25">
      <c r="A332" s="2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2"/>
      <c r="P332" s="1"/>
      <c r="Q332" s="1"/>
      <c r="R332" s="1"/>
      <c r="S332" s="1"/>
      <c r="T332" s="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2.75" customHeight="1" x14ac:dyDescent="0.25">
      <c r="A333" s="2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2"/>
      <c r="P333" s="1"/>
      <c r="Q333" s="1"/>
      <c r="R333" s="1"/>
      <c r="S333" s="1"/>
      <c r="T333" s="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2.75" customHeight="1" x14ac:dyDescent="0.25">
      <c r="A334" s="2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2"/>
      <c r="P334" s="1"/>
      <c r="Q334" s="1"/>
      <c r="R334" s="1"/>
      <c r="S334" s="1"/>
      <c r="T334" s="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2.75" customHeight="1" x14ac:dyDescent="0.25">
      <c r="A335" s="2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2"/>
      <c r="P335" s="1"/>
      <c r="Q335" s="1"/>
      <c r="R335" s="1"/>
      <c r="S335" s="1"/>
      <c r="T335" s="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2.75" customHeight="1" x14ac:dyDescent="0.25">
      <c r="A336" s="2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2"/>
      <c r="P336" s="1"/>
      <c r="Q336" s="1"/>
      <c r="R336" s="1"/>
      <c r="S336" s="1"/>
      <c r="T336" s="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2.75" customHeight="1" x14ac:dyDescent="0.25">
      <c r="A337" s="2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2"/>
      <c r="P337" s="1"/>
      <c r="Q337" s="1"/>
      <c r="R337" s="1"/>
      <c r="S337" s="1"/>
      <c r="T337" s="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2.75" customHeight="1" x14ac:dyDescent="0.25">
      <c r="A338" s="2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2"/>
      <c r="P338" s="1"/>
      <c r="Q338" s="1"/>
      <c r="R338" s="1"/>
      <c r="S338" s="1"/>
      <c r="T338" s="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2.75" customHeight="1" x14ac:dyDescent="0.25">
      <c r="A339" s="2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2"/>
      <c r="P339" s="1"/>
      <c r="Q339" s="1"/>
      <c r="R339" s="1"/>
      <c r="S339" s="1"/>
      <c r="T339" s="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2.75" customHeight="1" x14ac:dyDescent="0.25">
      <c r="A340" s="2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2"/>
      <c r="P340" s="1"/>
      <c r="Q340" s="1"/>
      <c r="R340" s="1"/>
      <c r="S340" s="1"/>
      <c r="T340" s="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2.75" customHeight="1" x14ac:dyDescent="0.25">
      <c r="A341" s="2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2"/>
      <c r="P341" s="1"/>
      <c r="Q341" s="1"/>
      <c r="R341" s="1"/>
      <c r="S341" s="1"/>
      <c r="T341" s="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2.75" customHeight="1" x14ac:dyDescent="0.25">
      <c r="A342" s="2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2"/>
      <c r="P342" s="1"/>
      <c r="Q342" s="1"/>
      <c r="R342" s="1"/>
      <c r="S342" s="1"/>
      <c r="T342" s="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2.75" customHeight="1" x14ac:dyDescent="0.25">
      <c r="A343" s="2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2"/>
      <c r="P343" s="1"/>
      <c r="Q343" s="1"/>
      <c r="R343" s="1"/>
      <c r="S343" s="1"/>
      <c r="T343" s="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2.75" customHeight="1" x14ac:dyDescent="0.25">
      <c r="A344" s="2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2"/>
      <c r="P344" s="1"/>
      <c r="Q344" s="1"/>
      <c r="R344" s="1"/>
      <c r="S344" s="1"/>
      <c r="T344" s="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2.75" customHeight="1" x14ac:dyDescent="0.25">
      <c r="A345" s="2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2"/>
      <c r="P345" s="1"/>
      <c r="Q345" s="1"/>
      <c r="R345" s="1"/>
      <c r="S345" s="1"/>
      <c r="T345" s="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2.75" customHeight="1" x14ac:dyDescent="0.25">
      <c r="A346" s="2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2"/>
      <c r="P346" s="1"/>
      <c r="Q346" s="1"/>
      <c r="R346" s="1"/>
      <c r="S346" s="1"/>
      <c r="T346" s="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2.75" customHeight="1" x14ac:dyDescent="0.25">
      <c r="A347" s="2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2"/>
      <c r="P347" s="1"/>
      <c r="Q347" s="1"/>
      <c r="R347" s="1"/>
      <c r="S347" s="1"/>
      <c r="T347" s="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2.75" customHeight="1" x14ac:dyDescent="0.25">
      <c r="A348" s="2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2"/>
      <c r="P348" s="1"/>
      <c r="Q348" s="1"/>
      <c r="R348" s="1"/>
      <c r="S348" s="1"/>
      <c r="T348" s="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2.75" customHeight="1" x14ac:dyDescent="0.25">
      <c r="A349" s="2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2"/>
      <c r="P349" s="1"/>
      <c r="Q349" s="1"/>
      <c r="R349" s="1"/>
      <c r="S349" s="1"/>
      <c r="T349" s="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2.75" customHeight="1" x14ac:dyDescent="0.25">
      <c r="A350" s="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/>
      <c r="P350" s="1"/>
      <c r="Q350" s="1"/>
      <c r="R350" s="1"/>
      <c r="S350" s="1"/>
      <c r="T350" s="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2.75" customHeight="1" x14ac:dyDescent="0.25">
      <c r="A351" s="2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2"/>
      <c r="P351" s="1"/>
      <c r="Q351" s="1"/>
      <c r="R351" s="1"/>
      <c r="S351" s="1"/>
      <c r="T351" s="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2.75" customHeight="1" x14ac:dyDescent="0.25">
      <c r="A352" s="2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2"/>
      <c r="P352" s="1"/>
      <c r="Q352" s="1"/>
      <c r="R352" s="1"/>
      <c r="S352" s="1"/>
      <c r="T352" s="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2.75" customHeight="1" x14ac:dyDescent="0.25">
      <c r="A353" s="2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2"/>
      <c r="P353" s="1"/>
      <c r="Q353" s="1"/>
      <c r="R353" s="1"/>
      <c r="S353" s="1"/>
      <c r="T353" s="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2.75" customHeight="1" x14ac:dyDescent="0.25">
      <c r="A354" s="2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2"/>
      <c r="P354" s="1"/>
      <c r="Q354" s="1"/>
      <c r="R354" s="1"/>
      <c r="S354" s="1"/>
      <c r="T354" s="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2.75" customHeight="1" x14ac:dyDescent="0.25">
      <c r="A355" s="2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2"/>
      <c r="P355" s="1"/>
      <c r="Q355" s="1"/>
      <c r="R355" s="1"/>
      <c r="S355" s="1"/>
      <c r="T355" s="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2.75" customHeight="1" x14ac:dyDescent="0.25">
      <c r="A356" s="2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2"/>
      <c r="P356" s="1"/>
      <c r="Q356" s="1"/>
      <c r="R356" s="1"/>
      <c r="S356" s="1"/>
      <c r="T356" s="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2.75" customHeight="1" x14ac:dyDescent="0.25">
      <c r="A357" s="2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2"/>
      <c r="P357" s="1"/>
      <c r="Q357" s="1"/>
      <c r="R357" s="1"/>
      <c r="S357" s="1"/>
      <c r="T357" s="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2.75" customHeight="1" x14ac:dyDescent="0.25">
      <c r="A358" s="2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2"/>
      <c r="P358" s="1"/>
      <c r="Q358" s="1"/>
      <c r="R358" s="1"/>
      <c r="S358" s="1"/>
      <c r="T358" s="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2.75" customHeight="1" x14ac:dyDescent="0.25">
      <c r="A359" s="2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2"/>
      <c r="P359" s="1"/>
      <c r="Q359" s="1"/>
      <c r="R359" s="1"/>
      <c r="S359" s="1"/>
      <c r="T359" s="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2.75" customHeight="1" x14ac:dyDescent="0.25">
      <c r="A360" s="2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2"/>
      <c r="P360" s="1"/>
      <c r="Q360" s="1"/>
      <c r="R360" s="1"/>
      <c r="S360" s="1"/>
      <c r="T360" s="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2.75" customHeight="1" x14ac:dyDescent="0.25">
      <c r="A361" s="2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2"/>
      <c r="P361" s="1"/>
      <c r="Q361" s="1"/>
      <c r="R361" s="1"/>
      <c r="S361" s="1"/>
      <c r="T361" s="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2.75" customHeight="1" x14ac:dyDescent="0.25">
      <c r="A362" s="2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2"/>
      <c r="P362" s="1"/>
      <c r="Q362" s="1"/>
      <c r="R362" s="1"/>
      <c r="S362" s="1"/>
      <c r="T362" s="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2.75" customHeight="1" x14ac:dyDescent="0.25">
      <c r="A363" s="2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2"/>
      <c r="P363" s="1"/>
      <c r="Q363" s="1"/>
      <c r="R363" s="1"/>
      <c r="S363" s="1"/>
      <c r="T363" s="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2.75" customHeight="1" x14ac:dyDescent="0.25">
      <c r="A364" s="2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2"/>
      <c r="P364" s="1"/>
      <c r="Q364" s="1"/>
      <c r="R364" s="1"/>
      <c r="S364" s="1"/>
      <c r="T364" s="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2.75" customHeight="1" x14ac:dyDescent="0.25">
      <c r="A365" s="2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2"/>
      <c r="P365" s="1"/>
      <c r="Q365" s="1"/>
      <c r="R365" s="1"/>
      <c r="S365" s="1"/>
      <c r="T365" s="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2.75" customHeight="1" x14ac:dyDescent="0.25">
      <c r="A366" s="2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2"/>
      <c r="P366" s="1"/>
      <c r="Q366" s="1"/>
      <c r="R366" s="1"/>
      <c r="S366" s="1"/>
      <c r="T366" s="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2.75" customHeight="1" x14ac:dyDescent="0.25">
      <c r="A367" s="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/>
      <c r="P367" s="1"/>
      <c r="Q367" s="1"/>
      <c r="R367" s="1"/>
      <c r="S367" s="1"/>
      <c r="T367" s="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2.75" customHeight="1" x14ac:dyDescent="0.25">
      <c r="A368" s="2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2"/>
      <c r="P368" s="1"/>
      <c r="Q368" s="1"/>
      <c r="R368" s="1"/>
      <c r="S368" s="1"/>
      <c r="T368" s="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2.75" customHeight="1" x14ac:dyDescent="0.25">
      <c r="A369" s="2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2"/>
      <c r="P369" s="1"/>
      <c r="Q369" s="1"/>
      <c r="R369" s="1"/>
      <c r="S369" s="1"/>
      <c r="T369" s="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2.75" customHeight="1" x14ac:dyDescent="0.25">
      <c r="A370" s="2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2"/>
      <c r="P370" s="1"/>
      <c r="Q370" s="1"/>
      <c r="R370" s="1"/>
      <c r="S370" s="1"/>
      <c r="T370" s="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2.75" customHeight="1" x14ac:dyDescent="0.25">
      <c r="A371" s="2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2"/>
      <c r="P371" s="1"/>
      <c r="Q371" s="1"/>
      <c r="R371" s="1"/>
      <c r="S371" s="1"/>
      <c r="T371" s="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2.75" customHeight="1" x14ac:dyDescent="0.25">
      <c r="A372" s="2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2"/>
      <c r="P372" s="1"/>
      <c r="Q372" s="1"/>
      <c r="R372" s="1"/>
      <c r="S372" s="1"/>
      <c r="T372" s="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2.75" customHeight="1" x14ac:dyDescent="0.25">
      <c r="A373" s="2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2"/>
      <c r="P373" s="1"/>
      <c r="Q373" s="1"/>
      <c r="R373" s="1"/>
      <c r="S373" s="1"/>
      <c r="T373" s="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2.75" customHeight="1" x14ac:dyDescent="0.25">
      <c r="A374" s="2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2"/>
      <c r="P374" s="1"/>
      <c r="Q374" s="1"/>
      <c r="R374" s="1"/>
      <c r="S374" s="1"/>
      <c r="T374" s="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2.75" customHeight="1" x14ac:dyDescent="0.25">
      <c r="A375" s="2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2"/>
      <c r="P375" s="1"/>
      <c r="Q375" s="1"/>
      <c r="R375" s="1"/>
      <c r="S375" s="1"/>
      <c r="T375" s="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2.75" customHeight="1" x14ac:dyDescent="0.25">
      <c r="A376" s="2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2"/>
      <c r="P376" s="1"/>
      <c r="Q376" s="1"/>
      <c r="R376" s="1"/>
      <c r="S376" s="1"/>
      <c r="T376" s="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2.75" customHeight="1" x14ac:dyDescent="0.25">
      <c r="A377" s="2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2"/>
      <c r="P377" s="1"/>
      <c r="Q377" s="1"/>
      <c r="R377" s="1"/>
      <c r="S377" s="1"/>
      <c r="T377" s="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2.75" customHeight="1" x14ac:dyDescent="0.25">
      <c r="A378" s="2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2"/>
      <c r="P378" s="1"/>
      <c r="Q378" s="1"/>
      <c r="R378" s="1"/>
      <c r="S378" s="1"/>
      <c r="T378" s="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2.75" customHeight="1" x14ac:dyDescent="0.25">
      <c r="A379" s="2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2"/>
      <c r="P379" s="1"/>
      <c r="Q379" s="1"/>
      <c r="R379" s="1"/>
      <c r="S379" s="1"/>
      <c r="T379" s="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2.75" customHeight="1" x14ac:dyDescent="0.25">
      <c r="A380" s="2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2"/>
      <c r="P380" s="1"/>
      <c r="Q380" s="1"/>
      <c r="R380" s="1"/>
      <c r="S380" s="1"/>
      <c r="T380" s="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2.75" customHeight="1" x14ac:dyDescent="0.25">
      <c r="A381" s="2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2"/>
      <c r="P381" s="1"/>
      <c r="Q381" s="1"/>
      <c r="R381" s="1"/>
      <c r="S381" s="1"/>
      <c r="T381" s="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2.75" customHeight="1" x14ac:dyDescent="0.25">
      <c r="A382" s="2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2"/>
      <c r="P382" s="1"/>
      <c r="Q382" s="1"/>
      <c r="R382" s="1"/>
      <c r="S382" s="1"/>
      <c r="T382" s="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2.75" customHeight="1" x14ac:dyDescent="0.25">
      <c r="A383" s="2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2"/>
      <c r="P383" s="1"/>
      <c r="Q383" s="1"/>
      <c r="R383" s="1"/>
      <c r="S383" s="1"/>
      <c r="T383" s="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2.75" customHeight="1" x14ac:dyDescent="0.25">
      <c r="A384" s="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/>
      <c r="P384" s="1"/>
      <c r="Q384" s="1"/>
      <c r="R384" s="1"/>
      <c r="S384" s="1"/>
      <c r="T384" s="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2.75" customHeight="1" x14ac:dyDescent="0.25">
      <c r="A385" s="2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/>
      <c r="P385" s="1"/>
      <c r="Q385" s="1"/>
      <c r="R385" s="1"/>
      <c r="S385" s="1"/>
      <c r="T385" s="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2.75" customHeight="1" x14ac:dyDescent="0.25">
      <c r="A386" s="2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2"/>
      <c r="P386" s="1"/>
      <c r="Q386" s="1"/>
      <c r="R386" s="1"/>
      <c r="S386" s="1"/>
      <c r="T386" s="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2.75" customHeight="1" x14ac:dyDescent="0.25">
      <c r="A387" s="2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2"/>
      <c r="P387" s="1"/>
      <c r="Q387" s="1"/>
      <c r="R387" s="1"/>
      <c r="S387" s="1"/>
      <c r="T387" s="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2.75" customHeight="1" x14ac:dyDescent="0.25">
      <c r="A388" s="2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2"/>
      <c r="P388" s="1"/>
      <c r="Q388" s="1"/>
      <c r="R388" s="1"/>
      <c r="S388" s="1"/>
      <c r="T388" s="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2.75" customHeight="1" x14ac:dyDescent="0.25">
      <c r="A389" s="2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2"/>
      <c r="P389" s="1"/>
      <c r="Q389" s="1"/>
      <c r="R389" s="1"/>
      <c r="S389" s="1"/>
      <c r="T389" s="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2.75" customHeight="1" x14ac:dyDescent="0.25">
      <c r="A390" s="2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2"/>
      <c r="P390" s="1"/>
      <c r="Q390" s="1"/>
      <c r="R390" s="1"/>
      <c r="S390" s="1"/>
      <c r="T390" s="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2.75" customHeight="1" x14ac:dyDescent="0.25">
      <c r="A391" s="2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2"/>
      <c r="P391" s="1"/>
      <c r="Q391" s="1"/>
      <c r="R391" s="1"/>
      <c r="S391" s="1"/>
      <c r="T391" s="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2.75" customHeight="1" x14ac:dyDescent="0.25">
      <c r="A392" s="2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2"/>
      <c r="P392" s="1"/>
      <c r="Q392" s="1"/>
      <c r="R392" s="1"/>
      <c r="S392" s="1"/>
      <c r="T392" s="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2.75" customHeight="1" x14ac:dyDescent="0.25">
      <c r="A393" s="2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2"/>
      <c r="P393" s="1"/>
      <c r="Q393" s="1"/>
      <c r="R393" s="1"/>
      <c r="S393" s="1"/>
      <c r="T393" s="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2.75" customHeight="1" x14ac:dyDescent="0.25">
      <c r="A394" s="2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2"/>
      <c r="P394" s="1"/>
      <c r="Q394" s="1"/>
      <c r="R394" s="1"/>
      <c r="S394" s="1"/>
      <c r="T394" s="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2.75" customHeight="1" x14ac:dyDescent="0.25">
      <c r="A395" s="2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2"/>
      <c r="P395" s="1"/>
      <c r="Q395" s="1"/>
      <c r="R395" s="1"/>
      <c r="S395" s="1"/>
      <c r="T395" s="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2.75" customHeight="1" x14ac:dyDescent="0.25">
      <c r="A396" s="2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2"/>
      <c r="P396" s="1"/>
      <c r="Q396" s="1"/>
      <c r="R396" s="1"/>
      <c r="S396" s="1"/>
      <c r="T396" s="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2.75" customHeight="1" x14ac:dyDescent="0.25">
      <c r="A397" s="2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2"/>
      <c r="P397" s="1"/>
      <c r="Q397" s="1"/>
      <c r="R397" s="1"/>
      <c r="S397" s="1"/>
      <c r="T397" s="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2.75" customHeight="1" x14ac:dyDescent="0.25">
      <c r="A398" s="2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2"/>
      <c r="P398" s="1"/>
      <c r="Q398" s="1"/>
      <c r="R398" s="1"/>
      <c r="S398" s="1"/>
      <c r="T398" s="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2.75" customHeight="1" x14ac:dyDescent="0.25">
      <c r="A399" s="2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2"/>
      <c r="P399" s="1"/>
      <c r="Q399" s="1"/>
      <c r="R399" s="1"/>
      <c r="S399" s="1"/>
      <c r="T399" s="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2.75" customHeight="1" x14ac:dyDescent="0.25">
      <c r="A400" s="2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2"/>
      <c r="P400" s="1"/>
      <c r="Q400" s="1"/>
      <c r="R400" s="1"/>
      <c r="S400" s="1"/>
      <c r="T400" s="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2.75" customHeight="1" x14ac:dyDescent="0.25">
      <c r="A401" s="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/>
      <c r="P401" s="1"/>
      <c r="Q401" s="1"/>
      <c r="R401" s="1"/>
      <c r="S401" s="1"/>
      <c r="T401" s="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2.75" customHeight="1" x14ac:dyDescent="0.25">
      <c r="A402" s="2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2"/>
      <c r="P402" s="1"/>
      <c r="Q402" s="1"/>
      <c r="R402" s="1"/>
      <c r="S402" s="1"/>
      <c r="T402" s="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2.75" customHeight="1" x14ac:dyDescent="0.25">
      <c r="A403" s="2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2"/>
      <c r="P403" s="1"/>
      <c r="Q403" s="1"/>
      <c r="R403" s="1"/>
      <c r="S403" s="1"/>
      <c r="T403" s="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2.75" customHeight="1" x14ac:dyDescent="0.25">
      <c r="A404" s="2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2"/>
      <c r="P404" s="1"/>
      <c r="Q404" s="1"/>
      <c r="R404" s="1"/>
      <c r="S404" s="1"/>
      <c r="T404" s="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2.75" customHeight="1" x14ac:dyDescent="0.25">
      <c r="A405" s="2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2"/>
      <c r="P405" s="1"/>
      <c r="Q405" s="1"/>
      <c r="R405" s="1"/>
      <c r="S405" s="1"/>
      <c r="T405" s="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2.75" customHeight="1" x14ac:dyDescent="0.25">
      <c r="A406" s="2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2"/>
      <c r="P406" s="1"/>
      <c r="Q406" s="1"/>
      <c r="R406" s="1"/>
      <c r="S406" s="1"/>
      <c r="T406" s="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2.75" customHeight="1" x14ac:dyDescent="0.25">
      <c r="A407" s="2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2"/>
      <c r="P407" s="1"/>
      <c r="Q407" s="1"/>
      <c r="R407" s="1"/>
      <c r="S407" s="1"/>
      <c r="T407" s="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2.75" customHeight="1" x14ac:dyDescent="0.25">
      <c r="A408" s="2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2"/>
      <c r="P408" s="1"/>
      <c r="Q408" s="1"/>
      <c r="R408" s="1"/>
      <c r="S408" s="1"/>
      <c r="T408" s="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2.75" customHeight="1" x14ac:dyDescent="0.25">
      <c r="A409" s="2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2"/>
      <c r="P409" s="1"/>
      <c r="Q409" s="1"/>
      <c r="R409" s="1"/>
      <c r="S409" s="1"/>
      <c r="T409" s="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2.75" customHeight="1" x14ac:dyDescent="0.25">
      <c r="A410" s="2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2"/>
      <c r="P410" s="1"/>
      <c r="Q410" s="1"/>
      <c r="R410" s="1"/>
      <c r="S410" s="1"/>
      <c r="T410" s="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2.75" customHeight="1" x14ac:dyDescent="0.25">
      <c r="A411" s="2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2"/>
      <c r="P411" s="1"/>
      <c r="Q411" s="1"/>
      <c r="R411" s="1"/>
      <c r="S411" s="1"/>
      <c r="T411" s="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2.75" customHeight="1" x14ac:dyDescent="0.25">
      <c r="A412" s="2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2"/>
      <c r="P412" s="1"/>
      <c r="Q412" s="1"/>
      <c r="R412" s="1"/>
      <c r="S412" s="1"/>
      <c r="T412" s="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2.75" customHeight="1" x14ac:dyDescent="0.25">
      <c r="A413" s="2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2"/>
      <c r="P413" s="1"/>
      <c r="Q413" s="1"/>
      <c r="R413" s="1"/>
      <c r="S413" s="1"/>
      <c r="T413" s="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2.75" customHeight="1" x14ac:dyDescent="0.25">
      <c r="A414" s="2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2"/>
      <c r="P414" s="1"/>
      <c r="Q414" s="1"/>
      <c r="R414" s="1"/>
      <c r="S414" s="1"/>
      <c r="T414" s="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2.75" customHeight="1" x14ac:dyDescent="0.25">
      <c r="A415" s="2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2"/>
      <c r="P415" s="1"/>
      <c r="Q415" s="1"/>
      <c r="R415" s="1"/>
      <c r="S415" s="1"/>
      <c r="T415" s="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2.75" customHeight="1" x14ac:dyDescent="0.25">
      <c r="A416" s="2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2"/>
      <c r="P416" s="1"/>
      <c r="Q416" s="1"/>
      <c r="R416" s="1"/>
      <c r="S416" s="1"/>
      <c r="T416" s="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2.75" customHeight="1" x14ac:dyDescent="0.25">
      <c r="A417" s="2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2"/>
      <c r="P417" s="1"/>
      <c r="Q417" s="1"/>
      <c r="R417" s="1"/>
      <c r="S417" s="1"/>
      <c r="T417" s="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2.75" customHeight="1" x14ac:dyDescent="0.25">
      <c r="A418" s="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/>
      <c r="P418" s="1"/>
      <c r="Q418" s="1"/>
      <c r="R418" s="1"/>
      <c r="S418" s="1"/>
      <c r="T418" s="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2.75" customHeight="1" x14ac:dyDescent="0.25">
      <c r="A419" s="2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2"/>
      <c r="P419" s="1"/>
      <c r="Q419" s="1"/>
      <c r="R419" s="1"/>
      <c r="S419" s="1"/>
      <c r="T419" s="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2.75" customHeight="1" x14ac:dyDescent="0.25">
      <c r="A420" s="2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2"/>
      <c r="P420" s="1"/>
      <c r="Q420" s="1"/>
      <c r="R420" s="1"/>
      <c r="S420" s="1"/>
      <c r="T420" s="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2.75" customHeight="1" x14ac:dyDescent="0.25">
      <c r="A421" s="2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2"/>
      <c r="P421" s="1"/>
      <c r="Q421" s="1"/>
      <c r="R421" s="1"/>
      <c r="S421" s="1"/>
      <c r="T421" s="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2.75" customHeight="1" x14ac:dyDescent="0.25">
      <c r="A422" s="2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2"/>
      <c r="P422" s="1"/>
      <c r="Q422" s="1"/>
      <c r="R422" s="1"/>
      <c r="S422" s="1"/>
      <c r="T422" s="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2.75" customHeight="1" x14ac:dyDescent="0.25">
      <c r="A423" s="2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2"/>
      <c r="P423" s="1"/>
      <c r="Q423" s="1"/>
      <c r="R423" s="1"/>
      <c r="S423" s="1"/>
      <c r="T423" s="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2.75" customHeight="1" x14ac:dyDescent="0.25">
      <c r="A424" s="2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2"/>
      <c r="P424" s="1"/>
      <c r="Q424" s="1"/>
      <c r="R424" s="1"/>
      <c r="S424" s="1"/>
      <c r="T424" s="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2.75" customHeight="1" x14ac:dyDescent="0.25">
      <c r="A425" s="2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2"/>
      <c r="P425" s="1"/>
      <c r="Q425" s="1"/>
      <c r="R425" s="1"/>
      <c r="S425" s="1"/>
      <c r="T425" s="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2.75" customHeight="1" x14ac:dyDescent="0.25">
      <c r="A426" s="2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2"/>
      <c r="P426" s="1"/>
      <c r="Q426" s="1"/>
      <c r="R426" s="1"/>
      <c r="S426" s="1"/>
      <c r="T426" s="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2.75" customHeight="1" x14ac:dyDescent="0.25">
      <c r="A427" s="2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2"/>
      <c r="P427" s="1"/>
      <c r="Q427" s="1"/>
      <c r="R427" s="1"/>
      <c r="S427" s="1"/>
      <c r="T427" s="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2.75" customHeight="1" x14ac:dyDescent="0.25">
      <c r="A428" s="2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2"/>
      <c r="P428" s="1"/>
      <c r="Q428" s="1"/>
      <c r="R428" s="1"/>
      <c r="S428" s="1"/>
      <c r="T428" s="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2.75" customHeight="1" x14ac:dyDescent="0.25">
      <c r="A429" s="2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2"/>
      <c r="P429" s="1"/>
      <c r="Q429" s="1"/>
      <c r="R429" s="1"/>
      <c r="S429" s="1"/>
      <c r="T429" s="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2.75" customHeight="1" x14ac:dyDescent="0.25">
      <c r="A430" s="2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2"/>
      <c r="P430" s="1"/>
      <c r="Q430" s="1"/>
      <c r="R430" s="1"/>
      <c r="S430" s="1"/>
      <c r="T430" s="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2.75" customHeight="1" x14ac:dyDescent="0.25">
      <c r="A431" s="2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2"/>
      <c r="P431" s="1"/>
      <c r="Q431" s="1"/>
      <c r="R431" s="1"/>
      <c r="S431" s="1"/>
      <c r="T431" s="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2.75" customHeight="1" x14ac:dyDescent="0.25">
      <c r="A432" s="2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1"/>
      <c r="T432" s="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2.75" customHeight="1" x14ac:dyDescent="0.25">
      <c r="A433" s="2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2"/>
      <c r="P433" s="1"/>
      <c r="Q433" s="1"/>
      <c r="R433" s="1"/>
      <c r="S433" s="1"/>
      <c r="T433" s="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2.75" customHeight="1" x14ac:dyDescent="0.25">
      <c r="A434" s="2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1"/>
      <c r="T434" s="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2.75" customHeight="1" x14ac:dyDescent="0.25">
      <c r="A435" s="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1"/>
      <c r="T435" s="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2.75" customHeight="1" x14ac:dyDescent="0.25">
      <c r="A436" s="2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1"/>
      <c r="T436" s="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2.75" customHeight="1" x14ac:dyDescent="0.25">
      <c r="A437" s="2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2"/>
      <c r="P437" s="1"/>
      <c r="Q437" s="1"/>
      <c r="R437" s="1"/>
      <c r="S437" s="1"/>
      <c r="T437" s="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2.75" customHeight="1" x14ac:dyDescent="0.25">
      <c r="A438" s="2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2"/>
      <c r="P438" s="1"/>
      <c r="Q438" s="1"/>
      <c r="R438" s="1"/>
      <c r="S438" s="1"/>
      <c r="T438" s="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2.75" customHeight="1" x14ac:dyDescent="0.25">
      <c r="A439" s="2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2"/>
      <c r="P439" s="1"/>
      <c r="Q439" s="1"/>
      <c r="R439" s="1"/>
      <c r="S439" s="1"/>
      <c r="T439" s="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2.75" customHeight="1" x14ac:dyDescent="0.25">
      <c r="A440" s="2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2"/>
      <c r="P440" s="1"/>
      <c r="Q440" s="1"/>
      <c r="R440" s="1"/>
      <c r="S440" s="1"/>
      <c r="T440" s="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2.75" customHeight="1" x14ac:dyDescent="0.25">
      <c r="A441" s="2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1"/>
      <c r="T441" s="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2.75" customHeight="1" x14ac:dyDescent="0.25">
      <c r="A442" s="2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1"/>
      <c r="T442" s="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2.75" customHeight="1" x14ac:dyDescent="0.25">
      <c r="A443" s="2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2"/>
      <c r="P443" s="1"/>
      <c r="Q443" s="1"/>
      <c r="R443" s="1"/>
      <c r="S443" s="1"/>
      <c r="T443" s="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2.75" customHeight="1" x14ac:dyDescent="0.25">
      <c r="A444" s="2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2"/>
      <c r="P444" s="1"/>
      <c r="Q444" s="1"/>
      <c r="R444" s="1"/>
      <c r="S444" s="1"/>
      <c r="T444" s="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2.75" customHeight="1" x14ac:dyDescent="0.25">
      <c r="A445" s="2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2"/>
      <c r="P445" s="1"/>
      <c r="Q445" s="1"/>
      <c r="R445" s="1"/>
      <c r="S445" s="1"/>
      <c r="T445" s="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2.75" customHeight="1" x14ac:dyDescent="0.25">
      <c r="A446" s="2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2"/>
      <c r="P446" s="1"/>
      <c r="Q446" s="1"/>
      <c r="R446" s="1"/>
      <c r="S446" s="1"/>
      <c r="T446" s="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2.75" customHeight="1" x14ac:dyDescent="0.25">
      <c r="A447" s="2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2"/>
      <c r="P447" s="1"/>
      <c r="Q447" s="1"/>
      <c r="R447" s="1"/>
      <c r="S447" s="1"/>
      <c r="T447" s="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2.75" customHeight="1" x14ac:dyDescent="0.25">
      <c r="A448" s="2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2"/>
      <c r="P448" s="1"/>
      <c r="Q448" s="1"/>
      <c r="R448" s="1"/>
      <c r="S448" s="1"/>
      <c r="T448" s="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2.75" customHeight="1" x14ac:dyDescent="0.25">
      <c r="A449" s="2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2"/>
      <c r="P449" s="1"/>
      <c r="Q449" s="1"/>
      <c r="R449" s="1"/>
      <c r="S449" s="1"/>
      <c r="T449" s="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2.75" customHeight="1" x14ac:dyDescent="0.25">
      <c r="A450" s="2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2"/>
      <c r="P450" s="1"/>
      <c r="Q450" s="1"/>
      <c r="R450" s="1"/>
      <c r="S450" s="1"/>
      <c r="T450" s="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2.75" customHeight="1" x14ac:dyDescent="0.25">
      <c r="A451" s="2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2"/>
      <c r="P451" s="1"/>
      <c r="Q451" s="1"/>
      <c r="R451" s="1"/>
      <c r="S451" s="1"/>
      <c r="T451" s="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2.75" customHeight="1" x14ac:dyDescent="0.25">
      <c r="A452" s="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2"/>
      <c r="P452" s="1"/>
      <c r="Q452" s="1"/>
      <c r="R452" s="1"/>
      <c r="S452" s="1"/>
      <c r="T452" s="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2.75" customHeight="1" x14ac:dyDescent="0.25">
      <c r="A453" s="2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2"/>
      <c r="P453" s="1"/>
      <c r="Q453" s="1"/>
      <c r="R453" s="1"/>
      <c r="S453" s="1"/>
      <c r="T453" s="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2.75" customHeight="1" x14ac:dyDescent="0.25">
      <c r="A454" s="2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2"/>
      <c r="P454" s="1"/>
      <c r="Q454" s="1"/>
      <c r="R454" s="1"/>
      <c r="S454" s="1"/>
      <c r="T454" s="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2.75" customHeight="1" x14ac:dyDescent="0.25">
      <c r="A455" s="2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2"/>
      <c r="P455" s="1"/>
      <c r="Q455" s="1"/>
      <c r="R455" s="1"/>
      <c r="S455" s="1"/>
      <c r="T455" s="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2.75" customHeight="1" x14ac:dyDescent="0.25">
      <c r="A456" s="2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2"/>
      <c r="P456" s="1"/>
      <c r="Q456" s="1"/>
      <c r="R456" s="1"/>
      <c r="S456" s="1"/>
      <c r="T456" s="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2.75" customHeight="1" x14ac:dyDescent="0.25">
      <c r="A457" s="2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2"/>
      <c r="P457" s="1"/>
      <c r="Q457" s="1"/>
      <c r="R457" s="1"/>
      <c r="S457" s="1"/>
      <c r="T457" s="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2.75" customHeight="1" x14ac:dyDescent="0.25">
      <c r="A458" s="2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2"/>
      <c r="P458" s="1"/>
      <c r="Q458" s="1"/>
      <c r="R458" s="1"/>
      <c r="S458" s="1"/>
      <c r="T458" s="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2.75" customHeight="1" x14ac:dyDescent="0.25">
      <c r="A459" s="2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2"/>
      <c r="P459" s="1"/>
      <c r="Q459" s="1"/>
      <c r="R459" s="1"/>
      <c r="S459" s="1"/>
      <c r="T459" s="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2.75" customHeight="1" x14ac:dyDescent="0.25">
      <c r="A460" s="2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2"/>
      <c r="P460" s="1"/>
      <c r="Q460" s="1"/>
      <c r="R460" s="1"/>
      <c r="S460" s="1"/>
      <c r="T460" s="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2.75" customHeight="1" x14ac:dyDescent="0.25">
      <c r="A461" s="2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2"/>
      <c r="P461" s="1"/>
      <c r="Q461" s="1"/>
      <c r="R461" s="1"/>
      <c r="S461" s="1"/>
      <c r="T461" s="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2.75" customHeight="1" x14ac:dyDescent="0.25">
      <c r="A462" s="2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2"/>
      <c r="P462" s="1"/>
      <c r="Q462" s="1"/>
      <c r="R462" s="1"/>
      <c r="S462" s="1"/>
      <c r="T462" s="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2.75" customHeight="1" x14ac:dyDescent="0.25">
      <c r="A463" s="2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2"/>
      <c r="P463" s="1"/>
      <c r="Q463" s="1"/>
      <c r="R463" s="1"/>
      <c r="S463" s="1"/>
      <c r="T463" s="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2.75" customHeight="1" x14ac:dyDescent="0.25">
      <c r="A464" s="2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2"/>
      <c r="P464" s="1"/>
      <c r="Q464" s="1"/>
      <c r="R464" s="1"/>
      <c r="S464" s="1"/>
      <c r="T464" s="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2.75" customHeight="1" x14ac:dyDescent="0.25">
      <c r="A465" s="2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2"/>
      <c r="P465" s="1"/>
      <c r="Q465" s="1"/>
      <c r="R465" s="1"/>
      <c r="S465" s="1"/>
      <c r="T465" s="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2.75" customHeight="1" x14ac:dyDescent="0.25">
      <c r="A466" s="2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2"/>
      <c r="P466" s="1"/>
      <c r="Q466" s="1"/>
      <c r="R466" s="1"/>
      <c r="S466" s="1"/>
      <c r="T466" s="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2.75" customHeight="1" x14ac:dyDescent="0.25">
      <c r="A467" s="2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2"/>
      <c r="P467" s="1"/>
      <c r="Q467" s="1"/>
      <c r="R467" s="1"/>
      <c r="S467" s="1"/>
      <c r="T467" s="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2.75" customHeight="1" x14ac:dyDescent="0.25">
      <c r="A468" s="2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2"/>
      <c r="P468" s="1"/>
      <c r="Q468" s="1"/>
      <c r="R468" s="1"/>
      <c r="S468" s="1"/>
      <c r="T468" s="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2.75" customHeight="1" x14ac:dyDescent="0.25">
      <c r="A469" s="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/>
      <c r="P469" s="1"/>
      <c r="Q469" s="1"/>
      <c r="R469" s="1"/>
      <c r="S469" s="1"/>
      <c r="T469" s="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2.75" customHeight="1" x14ac:dyDescent="0.25">
      <c r="A470" s="2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2"/>
      <c r="P470" s="1"/>
      <c r="Q470" s="1"/>
      <c r="R470" s="1"/>
      <c r="S470" s="1"/>
      <c r="T470" s="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2.75" customHeight="1" x14ac:dyDescent="0.25">
      <c r="A471" s="2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2"/>
      <c r="P471" s="1"/>
      <c r="Q471" s="1"/>
      <c r="R471" s="1"/>
      <c r="S471" s="1"/>
      <c r="T471" s="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2.75" customHeight="1" x14ac:dyDescent="0.25">
      <c r="A472" s="2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2"/>
      <c r="P472" s="1"/>
      <c r="Q472" s="1"/>
      <c r="R472" s="1"/>
      <c r="S472" s="1"/>
      <c r="T472" s="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2.75" customHeight="1" x14ac:dyDescent="0.25">
      <c r="A473" s="2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2"/>
      <c r="P473" s="1"/>
      <c r="Q473" s="1"/>
      <c r="R473" s="1"/>
      <c r="S473" s="1"/>
      <c r="T473" s="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2.75" customHeight="1" x14ac:dyDescent="0.25">
      <c r="A474" s="2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2"/>
      <c r="P474" s="1"/>
      <c r="Q474" s="1"/>
      <c r="R474" s="1"/>
      <c r="S474" s="1"/>
      <c r="T474" s="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2.75" customHeight="1" x14ac:dyDescent="0.25">
      <c r="A475" s="2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2"/>
      <c r="P475" s="1"/>
      <c r="Q475" s="1"/>
      <c r="R475" s="1"/>
      <c r="S475" s="1"/>
      <c r="T475" s="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2.75" customHeight="1" x14ac:dyDescent="0.25">
      <c r="A476" s="2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2"/>
      <c r="P476" s="1"/>
      <c r="Q476" s="1"/>
      <c r="R476" s="1"/>
      <c r="S476" s="1"/>
      <c r="T476" s="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2.75" customHeight="1" x14ac:dyDescent="0.25">
      <c r="A477" s="2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2"/>
      <c r="P477" s="1"/>
      <c r="Q477" s="1"/>
      <c r="R477" s="1"/>
      <c r="S477" s="1"/>
      <c r="T477" s="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2.75" customHeight="1" x14ac:dyDescent="0.25">
      <c r="A478" s="2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2"/>
      <c r="P478" s="1"/>
      <c r="Q478" s="1"/>
      <c r="R478" s="1"/>
      <c r="S478" s="1"/>
      <c r="T478" s="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2.75" customHeight="1" x14ac:dyDescent="0.25">
      <c r="A479" s="2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2"/>
      <c r="P479" s="1"/>
      <c r="Q479" s="1"/>
      <c r="R479" s="1"/>
      <c r="S479" s="1"/>
      <c r="T479" s="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2.75" customHeight="1" x14ac:dyDescent="0.25">
      <c r="A480" s="2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2"/>
      <c r="P480" s="1"/>
      <c r="Q480" s="1"/>
      <c r="R480" s="1"/>
      <c r="S480" s="1"/>
      <c r="T480" s="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2.75" customHeight="1" x14ac:dyDescent="0.25">
      <c r="A481" s="2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2"/>
      <c r="P481" s="1"/>
      <c r="Q481" s="1"/>
      <c r="R481" s="1"/>
      <c r="S481" s="1"/>
      <c r="T481" s="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2.75" customHeight="1" x14ac:dyDescent="0.25">
      <c r="A482" s="2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2"/>
      <c r="P482" s="1"/>
      <c r="Q482" s="1"/>
      <c r="R482" s="1"/>
      <c r="S482" s="1"/>
      <c r="T482" s="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2.75" customHeight="1" x14ac:dyDescent="0.25">
      <c r="A483" s="2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2"/>
      <c r="P483" s="1"/>
      <c r="Q483" s="1"/>
      <c r="R483" s="1"/>
      <c r="S483" s="1"/>
      <c r="T483" s="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2.75" customHeight="1" x14ac:dyDescent="0.25">
      <c r="A484" s="2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2"/>
      <c r="P484" s="1"/>
      <c r="Q484" s="1"/>
      <c r="R484" s="1"/>
      <c r="S484" s="1"/>
      <c r="T484" s="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2.75" customHeight="1" x14ac:dyDescent="0.25">
      <c r="A485" s="2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2"/>
      <c r="P485" s="1"/>
      <c r="Q485" s="1"/>
      <c r="R485" s="1"/>
      <c r="S485" s="1"/>
      <c r="T485" s="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2.75" customHeight="1" x14ac:dyDescent="0.25">
      <c r="A486" s="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/>
      <c r="P486" s="1"/>
      <c r="Q486" s="1"/>
      <c r="R486" s="1"/>
      <c r="S486" s="1"/>
      <c r="T486" s="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2.75" customHeight="1" x14ac:dyDescent="0.25">
      <c r="A487" s="2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2"/>
      <c r="P487" s="1"/>
      <c r="Q487" s="1"/>
      <c r="R487" s="1"/>
      <c r="S487" s="1"/>
      <c r="T487" s="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2.75" customHeight="1" x14ac:dyDescent="0.25">
      <c r="A488" s="2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2"/>
      <c r="P488" s="1"/>
      <c r="Q488" s="1"/>
      <c r="R488" s="1"/>
      <c r="S488" s="1"/>
      <c r="T488" s="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2.75" customHeight="1" x14ac:dyDescent="0.25">
      <c r="A489" s="2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2"/>
      <c r="P489" s="1"/>
      <c r="Q489" s="1"/>
      <c r="R489" s="1"/>
      <c r="S489" s="1"/>
      <c r="T489" s="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2.75" customHeight="1" x14ac:dyDescent="0.25">
      <c r="A490" s="2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2"/>
      <c r="P490" s="1"/>
      <c r="Q490" s="1"/>
      <c r="R490" s="1"/>
      <c r="S490" s="1"/>
      <c r="T490" s="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2.75" customHeight="1" x14ac:dyDescent="0.25">
      <c r="A491" s="2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2"/>
      <c r="P491" s="1"/>
      <c r="Q491" s="1"/>
      <c r="R491" s="1"/>
      <c r="S491" s="1"/>
      <c r="T491" s="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2.75" customHeight="1" x14ac:dyDescent="0.25">
      <c r="A492" s="2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2"/>
      <c r="P492" s="1"/>
      <c r="Q492" s="1"/>
      <c r="R492" s="1"/>
      <c r="S492" s="1"/>
      <c r="T492" s="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2.75" customHeight="1" x14ac:dyDescent="0.25">
      <c r="A493" s="2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2"/>
      <c r="P493" s="1"/>
      <c r="Q493" s="1"/>
      <c r="R493" s="1"/>
      <c r="S493" s="1"/>
      <c r="T493" s="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2.75" customHeight="1" x14ac:dyDescent="0.25">
      <c r="A494" s="2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2"/>
      <c r="P494" s="1"/>
      <c r="Q494" s="1"/>
      <c r="R494" s="1"/>
      <c r="S494" s="1"/>
      <c r="T494" s="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2.75" customHeight="1" x14ac:dyDescent="0.25">
      <c r="A495" s="2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2"/>
      <c r="P495" s="1"/>
      <c r="Q495" s="1"/>
      <c r="R495" s="1"/>
      <c r="S495" s="1"/>
      <c r="T495" s="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2.75" customHeight="1" x14ac:dyDescent="0.25">
      <c r="A496" s="2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2"/>
      <c r="P496" s="1"/>
      <c r="Q496" s="1"/>
      <c r="R496" s="1"/>
      <c r="S496" s="1"/>
      <c r="T496" s="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2.75" customHeight="1" x14ac:dyDescent="0.25">
      <c r="A497" s="2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2"/>
      <c r="P497" s="1"/>
      <c r="Q497" s="1"/>
      <c r="R497" s="1"/>
      <c r="S497" s="1"/>
      <c r="T497" s="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2.75" customHeight="1" x14ac:dyDescent="0.25">
      <c r="A498" s="2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2"/>
      <c r="P498" s="1"/>
      <c r="Q498" s="1"/>
      <c r="R498" s="1"/>
      <c r="S498" s="1"/>
      <c r="T498" s="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2.75" customHeight="1" x14ac:dyDescent="0.25">
      <c r="A499" s="2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2"/>
      <c r="P499" s="1"/>
      <c r="Q499" s="1"/>
      <c r="R499" s="1"/>
      <c r="S499" s="1"/>
      <c r="T499" s="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2.75" customHeight="1" x14ac:dyDescent="0.25">
      <c r="A500" s="2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2"/>
      <c r="P500" s="1"/>
      <c r="Q500" s="1"/>
      <c r="R500" s="1"/>
      <c r="S500" s="1"/>
      <c r="T500" s="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2.75" customHeight="1" x14ac:dyDescent="0.25">
      <c r="A501" s="2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2"/>
      <c r="P501" s="1"/>
      <c r="Q501" s="1"/>
      <c r="R501" s="1"/>
      <c r="S501" s="1"/>
      <c r="T501" s="2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2.75" customHeight="1" x14ac:dyDescent="0.25">
      <c r="A502" s="2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2"/>
      <c r="P502" s="1"/>
      <c r="Q502" s="1"/>
      <c r="R502" s="1"/>
      <c r="S502" s="1"/>
      <c r="T502" s="2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2.75" customHeight="1" x14ac:dyDescent="0.25">
      <c r="A503" s="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/>
      <c r="P503" s="1"/>
      <c r="Q503" s="1"/>
      <c r="R503" s="1"/>
      <c r="S503" s="1"/>
      <c r="T503" s="2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2.75" customHeight="1" x14ac:dyDescent="0.25">
      <c r="A504" s="2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/>
      <c r="P504" s="1"/>
      <c r="Q504" s="1"/>
      <c r="R504" s="1"/>
      <c r="S504" s="1"/>
      <c r="T504" s="2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2.75" customHeight="1" x14ac:dyDescent="0.25">
      <c r="A505" s="2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2"/>
      <c r="P505" s="1"/>
      <c r="Q505" s="1"/>
      <c r="R505" s="1"/>
      <c r="S505" s="1"/>
      <c r="T505" s="2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2.75" customHeight="1" x14ac:dyDescent="0.25">
      <c r="A506" s="2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2"/>
      <c r="P506" s="1"/>
      <c r="Q506" s="1"/>
      <c r="R506" s="1"/>
      <c r="S506" s="1"/>
      <c r="T506" s="2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2.75" customHeight="1" x14ac:dyDescent="0.25">
      <c r="A507" s="2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2"/>
      <c r="P507" s="1"/>
      <c r="Q507" s="1"/>
      <c r="R507" s="1"/>
      <c r="S507" s="1"/>
      <c r="T507" s="2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2.75" customHeight="1" x14ac:dyDescent="0.25">
      <c r="A508" s="2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2"/>
      <c r="P508" s="1"/>
      <c r="Q508" s="1"/>
      <c r="R508" s="1"/>
      <c r="S508" s="1"/>
      <c r="T508" s="2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2.75" customHeight="1" x14ac:dyDescent="0.25">
      <c r="A509" s="2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2"/>
      <c r="P509" s="1"/>
      <c r="Q509" s="1"/>
      <c r="R509" s="1"/>
      <c r="S509" s="1"/>
      <c r="T509" s="2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2.75" customHeight="1" x14ac:dyDescent="0.25">
      <c r="A510" s="2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2"/>
      <c r="P510" s="1"/>
      <c r="Q510" s="1"/>
      <c r="R510" s="1"/>
      <c r="S510" s="1"/>
      <c r="T510" s="2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2.75" customHeight="1" x14ac:dyDescent="0.25">
      <c r="A511" s="2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2"/>
      <c r="P511" s="1"/>
      <c r="Q511" s="1"/>
      <c r="R511" s="1"/>
      <c r="S511" s="1"/>
      <c r="T511" s="2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2.75" customHeight="1" x14ac:dyDescent="0.25">
      <c r="A512" s="2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2"/>
      <c r="P512" s="1"/>
      <c r="Q512" s="1"/>
      <c r="R512" s="1"/>
      <c r="S512" s="1"/>
      <c r="T512" s="2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2.75" customHeight="1" x14ac:dyDescent="0.25">
      <c r="A513" s="2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2"/>
      <c r="P513" s="1"/>
      <c r="Q513" s="1"/>
      <c r="R513" s="1"/>
      <c r="S513" s="1"/>
      <c r="T513" s="2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2.75" customHeight="1" x14ac:dyDescent="0.25">
      <c r="A514" s="2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2"/>
      <c r="P514" s="1"/>
      <c r="Q514" s="1"/>
      <c r="R514" s="1"/>
      <c r="S514" s="1"/>
      <c r="T514" s="2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2.75" customHeight="1" x14ac:dyDescent="0.25">
      <c r="A515" s="2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2"/>
      <c r="P515" s="1"/>
      <c r="Q515" s="1"/>
      <c r="R515" s="1"/>
      <c r="S515" s="1"/>
      <c r="T515" s="2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2.75" customHeight="1" x14ac:dyDescent="0.25">
      <c r="A516" s="2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2"/>
      <c r="P516" s="1"/>
      <c r="Q516" s="1"/>
      <c r="R516" s="1"/>
      <c r="S516" s="1"/>
      <c r="T516" s="2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2.75" customHeight="1" x14ac:dyDescent="0.25">
      <c r="A517" s="2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2"/>
      <c r="P517" s="1"/>
      <c r="Q517" s="1"/>
      <c r="R517" s="1"/>
      <c r="S517" s="1"/>
      <c r="T517" s="2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2.75" customHeight="1" x14ac:dyDescent="0.25">
      <c r="A518" s="2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2"/>
      <c r="P518" s="1"/>
      <c r="Q518" s="1"/>
      <c r="R518" s="1"/>
      <c r="S518" s="1"/>
      <c r="T518" s="2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2.75" customHeight="1" x14ac:dyDescent="0.25">
      <c r="A519" s="2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2"/>
      <c r="P519" s="1"/>
      <c r="Q519" s="1"/>
      <c r="R519" s="1"/>
      <c r="S519" s="1"/>
      <c r="T519" s="2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2.75" customHeight="1" x14ac:dyDescent="0.25">
      <c r="A520" s="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/>
      <c r="P520" s="1"/>
      <c r="Q520" s="1"/>
      <c r="R520" s="1"/>
      <c r="S520" s="1"/>
      <c r="T520" s="2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2.75" customHeight="1" x14ac:dyDescent="0.25">
      <c r="A521" s="2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2"/>
      <c r="P521" s="1"/>
      <c r="Q521" s="1"/>
      <c r="R521" s="1"/>
      <c r="S521" s="1"/>
      <c r="T521" s="2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2.75" customHeight="1" x14ac:dyDescent="0.25">
      <c r="A522" s="2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2"/>
      <c r="P522" s="1"/>
      <c r="Q522" s="1"/>
      <c r="R522" s="1"/>
      <c r="S522" s="1"/>
      <c r="T522" s="2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2.75" customHeight="1" x14ac:dyDescent="0.25">
      <c r="A523" s="2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2"/>
      <c r="P523" s="1"/>
      <c r="Q523" s="1"/>
      <c r="R523" s="1"/>
      <c r="S523" s="1"/>
      <c r="T523" s="2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2.75" customHeight="1" x14ac:dyDescent="0.25">
      <c r="A524" s="2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2"/>
      <c r="P524" s="1"/>
      <c r="Q524" s="1"/>
      <c r="R524" s="1"/>
      <c r="S524" s="1"/>
      <c r="T524" s="2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2.75" customHeight="1" x14ac:dyDescent="0.25">
      <c r="A525" s="2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2"/>
      <c r="P525" s="1"/>
      <c r="Q525" s="1"/>
      <c r="R525" s="1"/>
      <c r="S525" s="1"/>
      <c r="T525" s="2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2.75" customHeight="1" x14ac:dyDescent="0.25">
      <c r="A526" s="2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2"/>
      <c r="P526" s="1"/>
      <c r="Q526" s="1"/>
      <c r="R526" s="1"/>
      <c r="S526" s="1"/>
      <c r="T526" s="2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2.75" customHeight="1" x14ac:dyDescent="0.25">
      <c r="A527" s="2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2"/>
      <c r="P527" s="1"/>
      <c r="Q527" s="1"/>
      <c r="R527" s="1"/>
      <c r="S527" s="1"/>
      <c r="T527" s="2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2.75" customHeight="1" x14ac:dyDescent="0.25">
      <c r="A528" s="2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2"/>
      <c r="P528" s="1"/>
      <c r="Q528" s="1"/>
      <c r="R528" s="1"/>
      <c r="S528" s="1"/>
      <c r="T528" s="2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2.75" customHeight="1" x14ac:dyDescent="0.25">
      <c r="A529" s="2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2"/>
      <c r="P529" s="1"/>
      <c r="Q529" s="1"/>
      <c r="R529" s="1"/>
      <c r="S529" s="1"/>
      <c r="T529" s="2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2.75" customHeight="1" x14ac:dyDescent="0.25">
      <c r="A530" s="2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2"/>
      <c r="P530" s="1"/>
      <c r="Q530" s="1"/>
      <c r="R530" s="1"/>
      <c r="S530" s="1"/>
      <c r="T530" s="2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2.75" customHeight="1" x14ac:dyDescent="0.25">
      <c r="A531" s="2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2"/>
      <c r="P531" s="1"/>
      <c r="Q531" s="1"/>
      <c r="R531" s="1"/>
      <c r="S531" s="1"/>
      <c r="T531" s="2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2.75" customHeight="1" x14ac:dyDescent="0.25">
      <c r="A532" s="2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2"/>
      <c r="P532" s="1"/>
      <c r="Q532" s="1"/>
      <c r="R532" s="1"/>
      <c r="S532" s="1"/>
      <c r="T532" s="2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2.75" customHeight="1" x14ac:dyDescent="0.25">
      <c r="A533" s="2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2"/>
      <c r="P533" s="1"/>
      <c r="Q533" s="1"/>
      <c r="R533" s="1"/>
      <c r="S533" s="1"/>
      <c r="T533" s="2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2.75" customHeight="1" x14ac:dyDescent="0.25">
      <c r="A534" s="2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2"/>
      <c r="P534" s="1"/>
      <c r="Q534" s="1"/>
      <c r="R534" s="1"/>
      <c r="S534" s="1"/>
      <c r="T534" s="2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2.75" customHeight="1" x14ac:dyDescent="0.25">
      <c r="A535" s="2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2"/>
      <c r="P535" s="1"/>
      <c r="Q535" s="1"/>
      <c r="R535" s="1"/>
      <c r="S535" s="1"/>
      <c r="T535" s="2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2.75" customHeight="1" x14ac:dyDescent="0.25">
      <c r="A536" s="2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2"/>
      <c r="P536" s="1"/>
      <c r="Q536" s="1"/>
      <c r="R536" s="1"/>
      <c r="S536" s="1"/>
      <c r="T536" s="2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2.75" customHeight="1" x14ac:dyDescent="0.25">
      <c r="A537" s="2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2"/>
      <c r="P537" s="1"/>
      <c r="Q537" s="1"/>
      <c r="R537" s="1"/>
      <c r="S537" s="1"/>
      <c r="T537" s="2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2.75" customHeight="1" x14ac:dyDescent="0.25">
      <c r="A538" s="2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2"/>
      <c r="P538" s="1"/>
      <c r="Q538" s="1"/>
      <c r="R538" s="1"/>
      <c r="S538" s="1"/>
      <c r="T538" s="2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2.75" customHeight="1" x14ac:dyDescent="0.25">
      <c r="A539" s="2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2"/>
      <c r="P539" s="1"/>
      <c r="Q539" s="1"/>
      <c r="R539" s="1"/>
      <c r="S539" s="1"/>
      <c r="T539" s="2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2.75" customHeight="1" x14ac:dyDescent="0.25">
      <c r="A540" s="2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2"/>
      <c r="P540" s="1"/>
      <c r="Q540" s="1"/>
      <c r="R540" s="1"/>
      <c r="S540" s="1"/>
      <c r="T540" s="2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2.75" customHeight="1" x14ac:dyDescent="0.25">
      <c r="A541" s="2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2"/>
      <c r="P541" s="1"/>
      <c r="Q541" s="1"/>
      <c r="R541" s="1"/>
      <c r="S541" s="1"/>
      <c r="T541" s="2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2.75" customHeight="1" x14ac:dyDescent="0.25">
      <c r="A542" s="2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2"/>
      <c r="P542" s="1"/>
      <c r="Q542" s="1"/>
      <c r="R542" s="1"/>
      <c r="S542" s="1"/>
      <c r="T542" s="2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2.75" customHeight="1" x14ac:dyDescent="0.25">
      <c r="A543" s="2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2"/>
      <c r="P543" s="1"/>
      <c r="Q543" s="1"/>
      <c r="R543" s="1"/>
      <c r="S543" s="1"/>
      <c r="T543" s="2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2.75" customHeight="1" x14ac:dyDescent="0.25">
      <c r="A544" s="2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2"/>
      <c r="P544" s="1"/>
      <c r="Q544" s="1"/>
      <c r="R544" s="1"/>
      <c r="S544" s="1"/>
      <c r="T544" s="2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2.75" customHeight="1" x14ac:dyDescent="0.25">
      <c r="A545" s="2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2"/>
      <c r="P545" s="1"/>
      <c r="Q545" s="1"/>
      <c r="R545" s="1"/>
      <c r="S545" s="1"/>
      <c r="T545" s="2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2.75" customHeight="1" x14ac:dyDescent="0.25">
      <c r="A546" s="2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2"/>
      <c r="P546" s="1"/>
      <c r="Q546" s="1"/>
      <c r="R546" s="1"/>
      <c r="S546" s="1"/>
      <c r="T546" s="2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2.75" customHeight="1" x14ac:dyDescent="0.25">
      <c r="A547" s="2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2"/>
      <c r="P547" s="1"/>
      <c r="Q547" s="1"/>
      <c r="R547" s="1"/>
      <c r="S547" s="1"/>
      <c r="T547" s="2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2.75" customHeight="1" x14ac:dyDescent="0.25">
      <c r="A548" s="2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2"/>
      <c r="P548" s="1"/>
      <c r="Q548" s="1"/>
      <c r="R548" s="1"/>
      <c r="S548" s="1"/>
      <c r="T548" s="2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2.75" customHeight="1" x14ac:dyDescent="0.25">
      <c r="A549" s="2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2"/>
      <c r="P549" s="1"/>
      <c r="Q549" s="1"/>
      <c r="R549" s="1"/>
      <c r="S549" s="1"/>
      <c r="T549" s="2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2.75" customHeight="1" x14ac:dyDescent="0.25">
      <c r="A550" s="2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2"/>
      <c r="P550" s="1"/>
      <c r="Q550" s="1"/>
      <c r="R550" s="1"/>
      <c r="S550" s="1"/>
      <c r="T550" s="2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2.75" customHeight="1" x14ac:dyDescent="0.25">
      <c r="A551" s="2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2"/>
      <c r="P551" s="1"/>
      <c r="Q551" s="1"/>
      <c r="R551" s="1"/>
      <c r="S551" s="1"/>
      <c r="T551" s="2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2.75" customHeight="1" x14ac:dyDescent="0.25">
      <c r="A552" s="2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2"/>
      <c r="P552" s="1"/>
      <c r="Q552" s="1"/>
      <c r="R552" s="1"/>
      <c r="S552" s="1"/>
      <c r="T552" s="2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2.75" customHeight="1" x14ac:dyDescent="0.25">
      <c r="A553" s="2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2"/>
      <c r="P553" s="1"/>
      <c r="Q553" s="1"/>
      <c r="R553" s="1"/>
      <c r="S553" s="1"/>
      <c r="T553" s="2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2.75" customHeight="1" x14ac:dyDescent="0.25">
      <c r="A554" s="2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2"/>
      <c r="P554" s="1"/>
      <c r="Q554" s="1"/>
      <c r="R554" s="1"/>
      <c r="S554" s="1"/>
      <c r="T554" s="2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2.75" customHeight="1" x14ac:dyDescent="0.25">
      <c r="A555" s="2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2"/>
      <c r="P555" s="1"/>
      <c r="Q555" s="1"/>
      <c r="R555" s="1"/>
      <c r="S555" s="1"/>
      <c r="T555" s="2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2.75" customHeight="1" x14ac:dyDescent="0.25">
      <c r="A556" s="2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2"/>
      <c r="P556" s="1"/>
      <c r="Q556" s="1"/>
      <c r="R556" s="1"/>
      <c r="S556" s="1"/>
      <c r="T556" s="2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2.75" customHeight="1" x14ac:dyDescent="0.25">
      <c r="A557" s="2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2"/>
      <c r="P557" s="1"/>
      <c r="Q557" s="1"/>
      <c r="R557" s="1"/>
      <c r="S557" s="1"/>
      <c r="T557" s="2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2.75" customHeight="1" x14ac:dyDescent="0.25">
      <c r="A558" s="2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2"/>
      <c r="P558" s="1"/>
      <c r="Q558" s="1"/>
      <c r="R558" s="1"/>
      <c r="S558" s="1"/>
      <c r="T558" s="2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2.75" customHeight="1" x14ac:dyDescent="0.25">
      <c r="A559" s="2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2"/>
      <c r="P559" s="1"/>
      <c r="Q559" s="1"/>
      <c r="R559" s="1"/>
      <c r="S559" s="1"/>
      <c r="T559" s="2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2.75" customHeight="1" x14ac:dyDescent="0.25">
      <c r="A560" s="2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2"/>
      <c r="P560" s="1"/>
      <c r="Q560" s="1"/>
      <c r="R560" s="1"/>
      <c r="S560" s="1"/>
      <c r="T560" s="2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2.75" customHeight="1" x14ac:dyDescent="0.25">
      <c r="A561" s="2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2"/>
      <c r="P561" s="1"/>
      <c r="Q561" s="1"/>
      <c r="R561" s="1"/>
      <c r="S561" s="1"/>
      <c r="T561" s="2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2.75" customHeight="1" x14ac:dyDescent="0.25">
      <c r="A562" s="2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2"/>
      <c r="P562" s="1"/>
      <c r="Q562" s="1"/>
      <c r="R562" s="1"/>
      <c r="S562" s="1"/>
      <c r="T562" s="2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2.75" customHeight="1" x14ac:dyDescent="0.25">
      <c r="A563" s="2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2"/>
      <c r="P563" s="1"/>
      <c r="Q563" s="1"/>
      <c r="R563" s="1"/>
      <c r="S563" s="1"/>
      <c r="T563" s="2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2.75" customHeight="1" x14ac:dyDescent="0.25">
      <c r="A564" s="2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2"/>
      <c r="P564" s="1"/>
      <c r="Q564" s="1"/>
      <c r="R564" s="1"/>
      <c r="S564" s="1"/>
      <c r="T564" s="2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2.75" customHeight="1" x14ac:dyDescent="0.25">
      <c r="A565" s="2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2"/>
      <c r="P565" s="1"/>
      <c r="Q565" s="1"/>
      <c r="R565" s="1"/>
      <c r="S565" s="1"/>
      <c r="T565" s="2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2.75" customHeight="1" x14ac:dyDescent="0.25">
      <c r="A566" s="2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2"/>
      <c r="P566" s="1"/>
      <c r="Q566" s="1"/>
      <c r="R566" s="1"/>
      <c r="S566" s="1"/>
      <c r="T566" s="2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2.75" customHeight="1" x14ac:dyDescent="0.25">
      <c r="A567" s="2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2"/>
      <c r="P567" s="1"/>
      <c r="Q567" s="1"/>
      <c r="R567" s="1"/>
      <c r="S567" s="1"/>
      <c r="T567" s="2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2.75" customHeight="1" x14ac:dyDescent="0.25">
      <c r="A568" s="2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2"/>
      <c r="P568" s="1"/>
      <c r="Q568" s="1"/>
      <c r="R568" s="1"/>
      <c r="S568" s="1"/>
      <c r="T568" s="2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2.75" customHeight="1" x14ac:dyDescent="0.25">
      <c r="A569" s="2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2"/>
      <c r="P569" s="1"/>
      <c r="Q569" s="1"/>
      <c r="R569" s="1"/>
      <c r="S569" s="1"/>
      <c r="T569" s="2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2.75" customHeight="1" x14ac:dyDescent="0.25">
      <c r="A570" s="2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2"/>
      <c r="P570" s="1"/>
      <c r="Q570" s="1"/>
      <c r="R570" s="1"/>
      <c r="S570" s="1"/>
      <c r="T570" s="2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2.75" customHeight="1" x14ac:dyDescent="0.25">
      <c r="A571" s="2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2"/>
      <c r="P571" s="1"/>
      <c r="Q571" s="1"/>
      <c r="R571" s="1"/>
      <c r="S571" s="1"/>
      <c r="T571" s="2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2.75" customHeight="1" x14ac:dyDescent="0.25">
      <c r="A572" s="2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2"/>
      <c r="P572" s="1"/>
      <c r="Q572" s="1"/>
      <c r="R572" s="1"/>
      <c r="S572" s="1"/>
      <c r="T572" s="2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2.75" customHeight="1" x14ac:dyDescent="0.25">
      <c r="A573" s="2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2"/>
      <c r="P573" s="1"/>
      <c r="Q573" s="1"/>
      <c r="R573" s="1"/>
      <c r="S573" s="1"/>
      <c r="T573" s="2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2.75" customHeight="1" x14ac:dyDescent="0.25">
      <c r="A574" s="2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2"/>
      <c r="P574" s="1"/>
      <c r="Q574" s="1"/>
      <c r="R574" s="1"/>
      <c r="S574" s="1"/>
      <c r="T574" s="2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2.75" customHeight="1" x14ac:dyDescent="0.25">
      <c r="A575" s="2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2"/>
      <c r="P575" s="1"/>
      <c r="Q575" s="1"/>
      <c r="R575" s="1"/>
      <c r="S575" s="1"/>
      <c r="T575" s="2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2.75" customHeight="1" x14ac:dyDescent="0.25">
      <c r="A576" s="2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2"/>
      <c r="P576" s="1"/>
      <c r="Q576" s="1"/>
      <c r="R576" s="1"/>
      <c r="S576" s="1"/>
      <c r="T576" s="2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2.75" customHeight="1" x14ac:dyDescent="0.25">
      <c r="A577" s="2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2"/>
      <c r="P577" s="1"/>
      <c r="Q577" s="1"/>
      <c r="R577" s="1"/>
      <c r="S577" s="1"/>
      <c r="T577" s="2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2.75" customHeight="1" x14ac:dyDescent="0.25">
      <c r="A578" s="2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2"/>
      <c r="P578" s="1"/>
      <c r="Q578" s="1"/>
      <c r="R578" s="1"/>
      <c r="S578" s="1"/>
      <c r="T578" s="2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2.75" customHeight="1" x14ac:dyDescent="0.25">
      <c r="A579" s="2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2"/>
      <c r="P579" s="1"/>
      <c r="Q579" s="1"/>
      <c r="R579" s="1"/>
      <c r="S579" s="1"/>
      <c r="T579" s="2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2.75" customHeight="1" x14ac:dyDescent="0.25">
      <c r="A580" s="2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2"/>
      <c r="P580" s="1"/>
      <c r="Q580" s="1"/>
      <c r="R580" s="1"/>
      <c r="S580" s="1"/>
      <c r="T580" s="2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2.75" customHeight="1" x14ac:dyDescent="0.25">
      <c r="A581" s="2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2"/>
      <c r="P581" s="1"/>
      <c r="Q581" s="1"/>
      <c r="R581" s="1"/>
      <c r="S581" s="1"/>
      <c r="T581" s="2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2.75" customHeight="1" x14ac:dyDescent="0.25">
      <c r="A582" s="2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2"/>
      <c r="P582" s="1"/>
      <c r="Q582" s="1"/>
      <c r="R582" s="1"/>
      <c r="S582" s="1"/>
      <c r="T582" s="2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2.75" customHeight="1" x14ac:dyDescent="0.25">
      <c r="A583" s="2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2"/>
      <c r="P583" s="1"/>
      <c r="Q583" s="1"/>
      <c r="R583" s="1"/>
      <c r="S583" s="1"/>
      <c r="T583" s="2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2.75" customHeight="1" x14ac:dyDescent="0.25">
      <c r="A584" s="2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2"/>
      <c r="P584" s="1"/>
      <c r="Q584" s="1"/>
      <c r="R584" s="1"/>
      <c r="S584" s="1"/>
      <c r="T584" s="2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2.75" customHeight="1" x14ac:dyDescent="0.25">
      <c r="A585" s="2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2"/>
      <c r="P585" s="1"/>
      <c r="Q585" s="1"/>
      <c r="R585" s="1"/>
      <c r="S585" s="1"/>
      <c r="T585" s="2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2.75" customHeight="1" x14ac:dyDescent="0.25">
      <c r="A586" s="2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2"/>
      <c r="P586" s="1"/>
      <c r="Q586" s="1"/>
      <c r="R586" s="1"/>
      <c r="S586" s="1"/>
      <c r="T586" s="2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2.75" customHeight="1" x14ac:dyDescent="0.25">
      <c r="A587" s="2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2"/>
      <c r="P587" s="1"/>
      <c r="Q587" s="1"/>
      <c r="R587" s="1"/>
      <c r="S587" s="1"/>
      <c r="T587" s="2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2.75" customHeight="1" x14ac:dyDescent="0.25">
      <c r="A588" s="2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2"/>
      <c r="P588" s="1"/>
      <c r="Q588" s="1"/>
      <c r="R588" s="1"/>
      <c r="S588" s="1"/>
      <c r="T588" s="2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2.75" customHeight="1" x14ac:dyDescent="0.25">
      <c r="A589" s="2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2"/>
      <c r="P589" s="1"/>
      <c r="Q589" s="1"/>
      <c r="R589" s="1"/>
      <c r="S589" s="1"/>
      <c r="T589" s="2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2.75" customHeight="1" x14ac:dyDescent="0.25">
      <c r="A590" s="2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2"/>
      <c r="P590" s="1"/>
      <c r="Q590" s="1"/>
      <c r="R590" s="1"/>
      <c r="S590" s="1"/>
      <c r="T590" s="2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2.75" customHeight="1" x14ac:dyDescent="0.25">
      <c r="A591" s="2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2"/>
      <c r="P591" s="1"/>
      <c r="Q591" s="1"/>
      <c r="R591" s="1"/>
      <c r="S591" s="1"/>
      <c r="T591" s="2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2.75" customHeight="1" x14ac:dyDescent="0.25">
      <c r="A592" s="2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2"/>
      <c r="P592" s="1"/>
      <c r="Q592" s="1"/>
      <c r="R592" s="1"/>
      <c r="S592" s="1"/>
      <c r="T592" s="2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2.75" customHeight="1" x14ac:dyDescent="0.25">
      <c r="A593" s="2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2"/>
      <c r="P593" s="1"/>
      <c r="Q593" s="1"/>
      <c r="R593" s="1"/>
      <c r="S593" s="1"/>
      <c r="T593" s="2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2.75" customHeight="1" x14ac:dyDescent="0.25">
      <c r="A594" s="2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2"/>
      <c r="P594" s="1"/>
      <c r="Q594" s="1"/>
      <c r="R594" s="1"/>
      <c r="S594" s="1"/>
      <c r="T594" s="2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2.75" customHeight="1" x14ac:dyDescent="0.25">
      <c r="A595" s="2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2"/>
      <c r="P595" s="1"/>
      <c r="Q595" s="1"/>
      <c r="R595" s="1"/>
      <c r="S595" s="1"/>
      <c r="T595" s="2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2.75" customHeight="1" x14ac:dyDescent="0.25">
      <c r="A596" s="2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2"/>
      <c r="P596" s="1"/>
      <c r="Q596" s="1"/>
      <c r="R596" s="1"/>
      <c r="S596" s="1"/>
      <c r="T596" s="2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2.75" customHeight="1" x14ac:dyDescent="0.25">
      <c r="A597" s="2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2"/>
      <c r="P597" s="1"/>
      <c r="Q597" s="1"/>
      <c r="R597" s="1"/>
      <c r="S597" s="1"/>
      <c r="T597" s="2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2.75" customHeight="1" x14ac:dyDescent="0.25">
      <c r="A598" s="2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2"/>
      <c r="P598" s="1"/>
      <c r="Q598" s="1"/>
      <c r="R598" s="1"/>
      <c r="S598" s="1"/>
      <c r="T598" s="2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2.75" customHeight="1" x14ac:dyDescent="0.25">
      <c r="A599" s="2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2"/>
      <c r="P599" s="1"/>
      <c r="Q599" s="1"/>
      <c r="R599" s="1"/>
      <c r="S599" s="1"/>
      <c r="T599" s="2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2.75" customHeight="1" x14ac:dyDescent="0.25">
      <c r="A600" s="2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2"/>
      <c r="P600" s="1"/>
      <c r="Q600" s="1"/>
      <c r="R600" s="1"/>
      <c r="S600" s="1"/>
      <c r="T600" s="2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2.75" customHeight="1" x14ac:dyDescent="0.25">
      <c r="A601" s="2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2"/>
      <c r="P601" s="1"/>
      <c r="Q601" s="1"/>
      <c r="R601" s="1"/>
      <c r="S601" s="1"/>
      <c r="T601" s="2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2.75" customHeight="1" x14ac:dyDescent="0.25">
      <c r="A602" s="2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2"/>
      <c r="P602" s="1"/>
      <c r="Q602" s="1"/>
      <c r="R602" s="1"/>
      <c r="S602" s="1"/>
      <c r="T602" s="2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2.75" customHeight="1" x14ac:dyDescent="0.25">
      <c r="A603" s="2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2"/>
      <c r="P603" s="1"/>
      <c r="Q603" s="1"/>
      <c r="R603" s="1"/>
      <c r="S603" s="1"/>
      <c r="T603" s="2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2.75" customHeight="1" x14ac:dyDescent="0.25">
      <c r="A604" s="2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2"/>
      <c r="P604" s="1"/>
      <c r="Q604" s="1"/>
      <c r="R604" s="1"/>
      <c r="S604" s="1"/>
      <c r="T604" s="2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2.75" customHeight="1" x14ac:dyDescent="0.25">
      <c r="A605" s="2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2"/>
      <c r="P605" s="1"/>
      <c r="Q605" s="1"/>
      <c r="R605" s="1"/>
      <c r="S605" s="1"/>
      <c r="T605" s="2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2.75" customHeight="1" x14ac:dyDescent="0.25">
      <c r="A606" s="2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2"/>
      <c r="P606" s="1"/>
      <c r="Q606" s="1"/>
      <c r="R606" s="1"/>
      <c r="S606" s="1"/>
      <c r="T606" s="2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2.75" customHeight="1" x14ac:dyDescent="0.25">
      <c r="A607" s="2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2"/>
      <c r="P607" s="1"/>
      <c r="Q607" s="1"/>
      <c r="R607" s="1"/>
      <c r="S607" s="1"/>
      <c r="T607" s="2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2.75" customHeight="1" x14ac:dyDescent="0.25">
      <c r="A608" s="2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2"/>
      <c r="P608" s="1"/>
      <c r="Q608" s="1"/>
      <c r="R608" s="1"/>
      <c r="S608" s="1"/>
      <c r="T608" s="2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2.75" customHeight="1" x14ac:dyDescent="0.25">
      <c r="A609" s="2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2"/>
      <c r="P609" s="1"/>
      <c r="Q609" s="1"/>
      <c r="R609" s="1"/>
      <c r="S609" s="1"/>
      <c r="T609" s="2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2.75" customHeight="1" x14ac:dyDescent="0.25">
      <c r="A610" s="2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2"/>
      <c r="P610" s="1"/>
      <c r="Q610" s="1"/>
      <c r="R610" s="1"/>
      <c r="S610" s="1"/>
      <c r="T610" s="2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2.75" customHeight="1" x14ac:dyDescent="0.25">
      <c r="A611" s="2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2"/>
      <c r="P611" s="1"/>
      <c r="Q611" s="1"/>
      <c r="R611" s="1"/>
      <c r="S611" s="1"/>
      <c r="T611" s="2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2.75" customHeight="1" x14ac:dyDescent="0.25">
      <c r="A612" s="2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2"/>
      <c r="P612" s="1"/>
      <c r="Q612" s="1"/>
      <c r="R612" s="1"/>
      <c r="S612" s="1"/>
      <c r="T612" s="2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2.75" customHeight="1" x14ac:dyDescent="0.25">
      <c r="A613" s="2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2"/>
      <c r="P613" s="1"/>
      <c r="Q613" s="1"/>
      <c r="R613" s="1"/>
      <c r="S613" s="1"/>
      <c r="T613" s="2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2.75" customHeight="1" x14ac:dyDescent="0.25">
      <c r="A614" s="2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2"/>
      <c r="P614" s="1"/>
      <c r="Q614" s="1"/>
      <c r="R614" s="1"/>
      <c r="S614" s="1"/>
      <c r="T614" s="2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2.75" customHeight="1" x14ac:dyDescent="0.25">
      <c r="A615" s="2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2"/>
      <c r="P615" s="1"/>
      <c r="Q615" s="1"/>
      <c r="R615" s="1"/>
      <c r="S615" s="1"/>
      <c r="T615" s="2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2.75" customHeight="1" x14ac:dyDescent="0.25">
      <c r="A616" s="2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2"/>
      <c r="P616" s="1"/>
      <c r="Q616" s="1"/>
      <c r="R616" s="1"/>
      <c r="S616" s="1"/>
      <c r="T616" s="2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2.75" customHeight="1" x14ac:dyDescent="0.25">
      <c r="A617" s="2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2"/>
      <c r="P617" s="1"/>
      <c r="Q617" s="1"/>
      <c r="R617" s="1"/>
      <c r="S617" s="1"/>
      <c r="T617" s="2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2.75" customHeight="1" x14ac:dyDescent="0.25">
      <c r="A618" s="2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2"/>
      <c r="P618" s="1"/>
      <c r="Q618" s="1"/>
      <c r="R618" s="1"/>
      <c r="S618" s="1"/>
      <c r="T618" s="2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2.75" customHeight="1" x14ac:dyDescent="0.25">
      <c r="A619" s="2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2"/>
      <c r="P619" s="1"/>
      <c r="Q619" s="1"/>
      <c r="R619" s="1"/>
      <c r="S619" s="1"/>
      <c r="T619" s="2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2.75" customHeight="1" x14ac:dyDescent="0.25">
      <c r="A620" s="2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2"/>
      <c r="P620" s="1"/>
      <c r="Q620" s="1"/>
      <c r="R620" s="1"/>
      <c r="S620" s="1"/>
      <c r="T620" s="2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2.75" customHeight="1" x14ac:dyDescent="0.25">
      <c r="A621" s="2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2"/>
      <c r="P621" s="1"/>
      <c r="Q621" s="1"/>
      <c r="R621" s="1"/>
      <c r="S621" s="1"/>
      <c r="T621" s="2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2.75" customHeight="1" x14ac:dyDescent="0.25">
      <c r="A622" s="2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2"/>
      <c r="P622" s="1"/>
      <c r="Q622" s="1"/>
      <c r="R622" s="1"/>
      <c r="S622" s="1"/>
      <c r="T622" s="2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2.75" customHeight="1" x14ac:dyDescent="0.25">
      <c r="A623" s="2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2"/>
      <c r="P623" s="1"/>
      <c r="Q623" s="1"/>
      <c r="R623" s="1"/>
      <c r="S623" s="1"/>
      <c r="T623" s="2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2.75" customHeight="1" x14ac:dyDescent="0.25">
      <c r="A624" s="2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2"/>
      <c r="P624" s="1"/>
      <c r="Q624" s="1"/>
      <c r="R624" s="1"/>
      <c r="S624" s="1"/>
      <c r="T624" s="2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2.75" customHeight="1" x14ac:dyDescent="0.25">
      <c r="A625" s="2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2"/>
      <c r="P625" s="1"/>
      <c r="Q625" s="1"/>
      <c r="R625" s="1"/>
      <c r="S625" s="1"/>
      <c r="T625" s="2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2.75" customHeight="1" x14ac:dyDescent="0.25">
      <c r="A626" s="2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2"/>
      <c r="P626" s="1"/>
      <c r="Q626" s="1"/>
      <c r="R626" s="1"/>
      <c r="S626" s="1"/>
      <c r="T626" s="2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2.75" customHeight="1" x14ac:dyDescent="0.25">
      <c r="A627" s="2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2"/>
      <c r="P627" s="1"/>
      <c r="Q627" s="1"/>
      <c r="R627" s="1"/>
      <c r="S627" s="1"/>
      <c r="T627" s="2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2.75" customHeight="1" x14ac:dyDescent="0.25">
      <c r="A628" s="2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2"/>
      <c r="P628" s="1"/>
      <c r="Q628" s="1"/>
      <c r="R628" s="1"/>
      <c r="S628" s="1"/>
      <c r="T628" s="2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2.75" customHeight="1" x14ac:dyDescent="0.25">
      <c r="A629" s="2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2"/>
      <c r="P629" s="1"/>
      <c r="Q629" s="1"/>
      <c r="R629" s="1"/>
      <c r="S629" s="1"/>
      <c r="T629" s="2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2.75" customHeight="1" x14ac:dyDescent="0.25">
      <c r="A630" s="2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2"/>
      <c r="P630" s="1"/>
      <c r="Q630" s="1"/>
      <c r="R630" s="1"/>
      <c r="S630" s="1"/>
      <c r="T630" s="2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2.75" customHeight="1" x14ac:dyDescent="0.25">
      <c r="A631" s="2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2"/>
      <c r="P631" s="1"/>
      <c r="Q631" s="1"/>
      <c r="R631" s="1"/>
      <c r="S631" s="1"/>
      <c r="T631" s="2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2.75" customHeight="1" x14ac:dyDescent="0.25">
      <c r="A632" s="2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2"/>
      <c r="P632" s="1"/>
      <c r="Q632" s="1"/>
      <c r="R632" s="1"/>
      <c r="S632" s="1"/>
      <c r="T632" s="2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2.75" customHeight="1" x14ac:dyDescent="0.25">
      <c r="A633" s="2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2"/>
      <c r="P633" s="1"/>
      <c r="Q633" s="1"/>
      <c r="R633" s="1"/>
      <c r="S633" s="1"/>
      <c r="T633" s="2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2.75" customHeight="1" x14ac:dyDescent="0.25">
      <c r="A634" s="2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2"/>
      <c r="P634" s="1"/>
      <c r="Q634" s="1"/>
      <c r="R634" s="1"/>
      <c r="S634" s="1"/>
      <c r="T634" s="2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2.75" customHeight="1" x14ac:dyDescent="0.25">
      <c r="A635" s="2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2"/>
      <c r="P635" s="1"/>
      <c r="Q635" s="1"/>
      <c r="R635" s="1"/>
      <c r="S635" s="1"/>
      <c r="T635" s="2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2.75" customHeight="1" x14ac:dyDescent="0.25">
      <c r="A636" s="2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2"/>
      <c r="P636" s="1"/>
      <c r="Q636" s="1"/>
      <c r="R636" s="1"/>
      <c r="S636" s="1"/>
      <c r="T636" s="2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2.75" customHeight="1" x14ac:dyDescent="0.25">
      <c r="A637" s="2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2"/>
      <c r="P637" s="1"/>
      <c r="Q637" s="1"/>
      <c r="R637" s="1"/>
      <c r="S637" s="1"/>
      <c r="T637" s="2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2.75" customHeight="1" x14ac:dyDescent="0.25">
      <c r="A638" s="2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2"/>
      <c r="P638" s="1"/>
      <c r="Q638" s="1"/>
      <c r="R638" s="1"/>
      <c r="S638" s="1"/>
      <c r="T638" s="2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2.75" customHeight="1" x14ac:dyDescent="0.25">
      <c r="A639" s="2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2"/>
      <c r="P639" s="1"/>
      <c r="Q639" s="1"/>
      <c r="R639" s="1"/>
      <c r="S639" s="1"/>
      <c r="T639" s="2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2.75" customHeight="1" x14ac:dyDescent="0.25">
      <c r="A640" s="2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2"/>
      <c r="P640" s="1"/>
      <c r="Q640" s="1"/>
      <c r="R640" s="1"/>
      <c r="S640" s="1"/>
      <c r="T640" s="2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2.75" customHeight="1" x14ac:dyDescent="0.25">
      <c r="A641" s="2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2"/>
      <c r="P641" s="1"/>
      <c r="Q641" s="1"/>
      <c r="R641" s="1"/>
      <c r="S641" s="1"/>
      <c r="T641" s="2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2.75" customHeight="1" x14ac:dyDescent="0.25">
      <c r="A642" s="2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2"/>
      <c r="P642" s="1"/>
      <c r="Q642" s="1"/>
      <c r="R642" s="1"/>
      <c r="S642" s="1"/>
      <c r="T642" s="2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2.75" customHeight="1" x14ac:dyDescent="0.25">
      <c r="A643" s="2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2"/>
      <c r="P643" s="1"/>
      <c r="Q643" s="1"/>
      <c r="R643" s="1"/>
      <c r="S643" s="1"/>
      <c r="T643" s="2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2.75" customHeight="1" x14ac:dyDescent="0.25">
      <c r="A644" s="2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2"/>
      <c r="P644" s="1"/>
      <c r="Q644" s="1"/>
      <c r="R644" s="1"/>
      <c r="S644" s="1"/>
      <c r="T644" s="2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2.75" customHeight="1" x14ac:dyDescent="0.25">
      <c r="A645" s="2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2"/>
      <c r="P645" s="1"/>
      <c r="Q645" s="1"/>
      <c r="R645" s="1"/>
      <c r="S645" s="1"/>
      <c r="T645" s="2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2.75" customHeight="1" x14ac:dyDescent="0.25">
      <c r="A646" s="2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2"/>
      <c r="P646" s="1"/>
      <c r="Q646" s="1"/>
      <c r="R646" s="1"/>
      <c r="S646" s="1"/>
      <c r="T646" s="2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2.75" customHeight="1" x14ac:dyDescent="0.25">
      <c r="A647" s="2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2"/>
      <c r="P647" s="1"/>
      <c r="Q647" s="1"/>
      <c r="R647" s="1"/>
      <c r="S647" s="1"/>
      <c r="T647" s="2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2.75" customHeight="1" x14ac:dyDescent="0.25">
      <c r="A648" s="2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2"/>
      <c r="P648" s="1"/>
      <c r="Q648" s="1"/>
      <c r="R648" s="1"/>
      <c r="S648" s="1"/>
      <c r="T648" s="2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2.75" customHeight="1" x14ac:dyDescent="0.25">
      <c r="A649" s="2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2"/>
      <c r="P649" s="1"/>
      <c r="Q649" s="1"/>
      <c r="R649" s="1"/>
      <c r="S649" s="1"/>
      <c r="T649" s="2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2.75" customHeight="1" x14ac:dyDescent="0.25">
      <c r="A650" s="2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2"/>
      <c r="P650" s="1"/>
      <c r="Q650" s="1"/>
      <c r="R650" s="1"/>
      <c r="S650" s="1"/>
      <c r="T650" s="2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2.75" customHeight="1" x14ac:dyDescent="0.25">
      <c r="A651" s="2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2"/>
      <c r="P651" s="1"/>
      <c r="Q651" s="1"/>
      <c r="R651" s="1"/>
      <c r="S651" s="1"/>
      <c r="T651" s="2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2.75" customHeight="1" x14ac:dyDescent="0.25">
      <c r="A652" s="2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2"/>
      <c r="P652" s="1"/>
      <c r="Q652" s="1"/>
      <c r="R652" s="1"/>
      <c r="S652" s="1"/>
      <c r="T652" s="2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2.75" customHeight="1" x14ac:dyDescent="0.25">
      <c r="A653" s="2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2"/>
      <c r="P653" s="1"/>
      <c r="Q653" s="1"/>
      <c r="R653" s="1"/>
      <c r="S653" s="1"/>
      <c r="T653" s="2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2.75" customHeight="1" x14ac:dyDescent="0.25">
      <c r="A654" s="2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2"/>
      <c r="P654" s="1"/>
      <c r="Q654" s="1"/>
      <c r="R654" s="1"/>
      <c r="S654" s="1"/>
      <c r="T654" s="2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2.75" customHeight="1" x14ac:dyDescent="0.25">
      <c r="A655" s="2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2"/>
      <c r="P655" s="1"/>
      <c r="Q655" s="1"/>
      <c r="R655" s="1"/>
      <c r="S655" s="1"/>
      <c r="T655" s="2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2.75" customHeight="1" x14ac:dyDescent="0.25">
      <c r="A656" s="2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2"/>
      <c r="P656" s="1"/>
      <c r="Q656" s="1"/>
      <c r="R656" s="1"/>
      <c r="S656" s="1"/>
      <c r="T656" s="2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2.75" customHeight="1" x14ac:dyDescent="0.25">
      <c r="A657" s="2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2"/>
      <c r="P657" s="1"/>
      <c r="Q657" s="1"/>
      <c r="R657" s="1"/>
      <c r="S657" s="1"/>
      <c r="T657" s="2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2.75" customHeight="1" x14ac:dyDescent="0.25">
      <c r="A658" s="2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2"/>
      <c r="P658" s="1"/>
      <c r="Q658" s="1"/>
      <c r="R658" s="1"/>
      <c r="S658" s="1"/>
      <c r="T658" s="2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2.75" customHeight="1" x14ac:dyDescent="0.25">
      <c r="A659" s="2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2"/>
      <c r="P659" s="1"/>
      <c r="Q659" s="1"/>
      <c r="R659" s="1"/>
      <c r="S659" s="1"/>
      <c r="T659" s="2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2.75" customHeight="1" x14ac:dyDescent="0.25">
      <c r="A660" s="2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2"/>
      <c r="P660" s="1"/>
      <c r="Q660" s="1"/>
      <c r="R660" s="1"/>
      <c r="S660" s="1"/>
      <c r="T660" s="2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2.75" customHeight="1" x14ac:dyDescent="0.25">
      <c r="A661" s="2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2"/>
      <c r="P661" s="1"/>
      <c r="Q661" s="1"/>
      <c r="R661" s="1"/>
      <c r="S661" s="1"/>
      <c r="T661" s="2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2.75" customHeight="1" x14ac:dyDescent="0.25">
      <c r="A662" s="2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2"/>
      <c r="P662" s="1"/>
      <c r="Q662" s="1"/>
      <c r="R662" s="1"/>
      <c r="S662" s="1"/>
      <c r="T662" s="2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2.75" customHeight="1" x14ac:dyDescent="0.25">
      <c r="A663" s="2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2"/>
      <c r="P663" s="1"/>
      <c r="Q663" s="1"/>
      <c r="R663" s="1"/>
      <c r="S663" s="1"/>
      <c r="T663" s="2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2.75" customHeight="1" x14ac:dyDescent="0.25">
      <c r="A664" s="2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2"/>
      <c r="P664" s="1"/>
      <c r="Q664" s="1"/>
      <c r="R664" s="1"/>
      <c r="S664" s="1"/>
      <c r="T664" s="2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2.75" customHeight="1" x14ac:dyDescent="0.25">
      <c r="A665" s="2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2"/>
      <c r="P665" s="1"/>
      <c r="Q665" s="1"/>
      <c r="R665" s="1"/>
      <c r="S665" s="1"/>
      <c r="T665" s="2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2.75" customHeight="1" x14ac:dyDescent="0.25">
      <c r="A666" s="2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2"/>
      <c r="P666" s="1"/>
      <c r="Q666" s="1"/>
      <c r="R666" s="1"/>
      <c r="S666" s="1"/>
      <c r="T666" s="2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2.75" customHeight="1" x14ac:dyDescent="0.25">
      <c r="A667" s="2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2"/>
      <c r="P667" s="1"/>
      <c r="Q667" s="1"/>
      <c r="R667" s="1"/>
      <c r="S667" s="1"/>
      <c r="T667" s="2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2.75" customHeight="1" x14ac:dyDescent="0.25">
      <c r="A668" s="2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2"/>
      <c r="P668" s="1"/>
      <c r="Q668" s="1"/>
      <c r="R668" s="1"/>
      <c r="S668" s="1"/>
      <c r="T668" s="2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2.75" customHeight="1" x14ac:dyDescent="0.25">
      <c r="A669" s="2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2"/>
      <c r="P669" s="1"/>
      <c r="Q669" s="1"/>
      <c r="R669" s="1"/>
      <c r="S669" s="1"/>
      <c r="T669" s="2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2.75" customHeight="1" x14ac:dyDescent="0.25">
      <c r="A670" s="2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2"/>
      <c r="P670" s="1"/>
      <c r="Q670" s="1"/>
      <c r="R670" s="1"/>
      <c r="S670" s="1"/>
      <c r="T670" s="2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2.75" customHeight="1" x14ac:dyDescent="0.25">
      <c r="A671" s="2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2"/>
      <c r="P671" s="1"/>
      <c r="Q671" s="1"/>
      <c r="R671" s="1"/>
      <c r="S671" s="1"/>
      <c r="T671" s="2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2.75" customHeight="1" x14ac:dyDescent="0.25">
      <c r="A672" s="2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2"/>
      <c r="P672" s="1"/>
      <c r="Q672" s="1"/>
      <c r="R672" s="1"/>
      <c r="S672" s="1"/>
      <c r="T672" s="2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2.75" customHeight="1" x14ac:dyDescent="0.25">
      <c r="A673" s="2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2"/>
      <c r="P673" s="1"/>
      <c r="Q673" s="1"/>
      <c r="R673" s="1"/>
      <c r="S673" s="1"/>
      <c r="T673" s="2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2.75" customHeight="1" x14ac:dyDescent="0.25">
      <c r="A674" s="2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2"/>
      <c r="P674" s="1"/>
      <c r="Q674" s="1"/>
      <c r="R674" s="1"/>
      <c r="S674" s="1"/>
      <c r="T674" s="2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2.75" customHeight="1" x14ac:dyDescent="0.25">
      <c r="A675" s="2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2"/>
      <c r="P675" s="1"/>
      <c r="Q675" s="1"/>
      <c r="R675" s="1"/>
      <c r="S675" s="1"/>
      <c r="T675" s="2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2.75" customHeight="1" x14ac:dyDescent="0.25">
      <c r="A676" s="2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2"/>
      <c r="P676" s="1"/>
      <c r="Q676" s="1"/>
      <c r="R676" s="1"/>
      <c r="S676" s="1"/>
      <c r="T676" s="2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2.75" customHeight="1" x14ac:dyDescent="0.25">
      <c r="A677" s="2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2"/>
      <c r="P677" s="1"/>
      <c r="Q677" s="1"/>
      <c r="R677" s="1"/>
      <c r="S677" s="1"/>
      <c r="T677" s="2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2.75" customHeight="1" x14ac:dyDescent="0.25">
      <c r="A678" s="2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2"/>
      <c r="P678" s="1"/>
      <c r="Q678" s="1"/>
      <c r="R678" s="1"/>
      <c r="S678" s="1"/>
      <c r="T678" s="2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2.75" customHeight="1" x14ac:dyDescent="0.25">
      <c r="A679" s="2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2"/>
      <c r="P679" s="1"/>
      <c r="Q679" s="1"/>
      <c r="R679" s="1"/>
      <c r="S679" s="1"/>
      <c r="T679" s="2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2.75" customHeight="1" x14ac:dyDescent="0.25">
      <c r="A680" s="2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2"/>
      <c r="P680" s="1"/>
      <c r="Q680" s="1"/>
      <c r="R680" s="1"/>
      <c r="S680" s="1"/>
      <c r="T680" s="2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2.75" customHeight="1" x14ac:dyDescent="0.25">
      <c r="A681" s="2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2"/>
      <c r="P681" s="1"/>
      <c r="Q681" s="1"/>
      <c r="R681" s="1"/>
      <c r="S681" s="1"/>
      <c r="T681" s="2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2.75" customHeight="1" x14ac:dyDescent="0.25">
      <c r="A682" s="2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2"/>
      <c r="P682" s="1"/>
      <c r="Q682" s="1"/>
      <c r="R682" s="1"/>
      <c r="S682" s="1"/>
      <c r="T682" s="2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2.75" customHeight="1" x14ac:dyDescent="0.25">
      <c r="A683" s="2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2"/>
      <c r="P683" s="1"/>
      <c r="Q683" s="1"/>
      <c r="R683" s="1"/>
      <c r="S683" s="1"/>
      <c r="T683" s="2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2.75" customHeight="1" x14ac:dyDescent="0.25">
      <c r="A684" s="2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2"/>
      <c r="P684" s="1"/>
      <c r="Q684" s="1"/>
      <c r="R684" s="1"/>
      <c r="S684" s="1"/>
      <c r="T684" s="2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2.75" customHeight="1" x14ac:dyDescent="0.25">
      <c r="A685" s="2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2"/>
      <c r="P685" s="1"/>
      <c r="Q685" s="1"/>
      <c r="R685" s="1"/>
      <c r="S685" s="1"/>
      <c r="T685" s="2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2.75" customHeight="1" x14ac:dyDescent="0.25">
      <c r="A686" s="2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2"/>
      <c r="P686" s="1"/>
      <c r="Q686" s="1"/>
      <c r="R686" s="1"/>
      <c r="S686" s="1"/>
      <c r="T686" s="2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2.75" customHeight="1" x14ac:dyDescent="0.25">
      <c r="A687" s="2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2"/>
      <c r="P687" s="1"/>
      <c r="Q687" s="1"/>
      <c r="R687" s="1"/>
      <c r="S687" s="1"/>
      <c r="T687" s="2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2.75" customHeight="1" x14ac:dyDescent="0.25">
      <c r="A688" s="2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2"/>
      <c r="P688" s="1"/>
      <c r="Q688" s="1"/>
      <c r="R688" s="1"/>
      <c r="S688" s="1"/>
      <c r="T688" s="2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2.75" customHeight="1" x14ac:dyDescent="0.25">
      <c r="A689" s="2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2"/>
      <c r="P689" s="1"/>
      <c r="Q689" s="1"/>
      <c r="R689" s="1"/>
      <c r="S689" s="1"/>
      <c r="T689" s="2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2.75" customHeight="1" x14ac:dyDescent="0.25">
      <c r="A690" s="2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2"/>
      <c r="P690" s="1"/>
      <c r="Q690" s="1"/>
      <c r="R690" s="1"/>
      <c r="S690" s="1"/>
      <c r="T690" s="2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2.75" customHeight="1" x14ac:dyDescent="0.25">
      <c r="A691" s="2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2"/>
      <c r="P691" s="1"/>
      <c r="Q691" s="1"/>
      <c r="R691" s="1"/>
      <c r="S691" s="1"/>
      <c r="T691" s="2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2.75" customHeight="1" x14ac:dyDescent="0.25">
      <c r="A692" s="2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2"/>
      <c r="P692" s="1"/>
      <c r="Q692" s="1"/>
      <c r="R692" s="1"/>
      <c r="S692" s="1"/>
      <c r="T692" s="2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2.75" customHeight="1" x14ac:dyDescent="0.25">
      <c r="A693" s="2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2"/>
      <c r="P693" s="1"/>
      <c r="Q693" s="1"/>
      <c r="R693" s="1"/>
      <c r="S693" s="1"/>
      <c r="T693" s="2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2.75" customHeight="1" x14ac:dyDescent="0.25">
      <c r="A694" s="2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2"/>
      <c r="P694" s="1"/>
      <c r="Q694" s="1"/>
      <c r="R694" s="1"/>
      <c r="S694" s="1"/>
      <c r="T694" s="2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2.75" customHeight="1" x14ac:dyDescent="0.25">
      <c r="A695" s="2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2"/>
      <c r="P695" s="1"/>
      <c r="Q695" s="1"/>
      <c r="R695" s="1"/>
      <c r="S695" s="1"/>
      <c r="T695" s="2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2.75" customHeight="1" x14ac:dyDescent="0.25">
      <c r="A696" s="2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2"/>
      <c r="P696" s="1"/>
      <c r="Q696" s="1"/>
      <c r="R696" s="1"/>
      <c r="S696" s="1"/>
      <c r="T696" s="2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2.75" customHeight="1" x14ac:dyDescent="0.25">
      <c r="A697" s="2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2"/>
      <c r="P697" s="1"/>
      <c r="Q697" s="1"/>
      <c r="R697" s="1"/>
      <c r="S697" s="1"/>
      <c r="T697" s="2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2.75" customHeight="1" x14ac:dyDescent="0.25">
      <c r="A698" s="2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2"/>
      <c r="P698" s="1"/>
      <c r="Q698" s="1"/>
      <c r="R698" s="1"/>
      <c r="S698" s="1"/>
      <c r="T698" s="2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2.75" customHeight="1" x14ac:dyDescent="0.25">
      <c r="A699" s="2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2"/>
      <c r="P699" s="1"/>
      <c r="Q699" s="1"/>
      <c r="R699" s="1"/>
      <c r="S699" s="1"/>
      <c r="T699" s="2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2.75" customHeight="1" x14ac:dyDescent="0.25">
      <c r="A700" s="2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2"/>
      <c r="P700" s="1"/>
      <c r="Q700" s="1"/>
      <c r="R700" s="1"/>
      <c r="S700" s="1"/>
      <c r="T700" s="2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2.75" customHeight="1" x14ac:dyDescent="0.25">
      <c r="A701" s="2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2"/>
      <c r="P701" s="1"/>
      <c r="Q701" s="1"/>
      <c r="R701" s="1"/>
      <c r="S701" s="1"/>
      <c r="T701" s="2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2.75" customHeight="1" x14ac:dyDescent="0.25">
      <c r="A702" s="2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2"/>
      <c r="P702" s="1"/>
      <c r="Q702" s="1"/>
      <c r="R702" s="1"/>
      <c r="S702" s="1"/>
      <c r="T702" s="2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2.75" customHeight="1" x14ac:dyDescent="0.25">
      <c r="A703" s="2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2"/>
      <c r="P703" s="1"/>
      <c r="Q703" s="1"/>
      <c r="R703" s="1"/>
      <c r="S703" s="1"/>
      <c r="T703" s="2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2.75" customHeight="1" x14ac:dyDescent="0.25">
      <c r="A704" s="2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2"/>
      <c r="P704" s="1"/>
      <c r="Q704" s="1"/>
      <c r="R704" s="1"/>
      <c r="S704" s="1"/>
      <c r="T704" s="2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2.75" customHeight="1" x14ac:dyDescent="0.25">
      <c r="A705" s="2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2"/>
      <c r="P705" s="1"/>
      <c r="Q705" s="1"/>
      <c r="R705" s="1"/>
      <c r="S705" s="1"/>
      <c r="T705" s="2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2.75" customHeight="1" x14ac:dyDescent="0.25">
      <c r="A706" s="2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2"/>
      <c r="P706" s="1"/>
      <c r="Q706" s="1"/>
      <c r="R706" s="1"/>
      <c r="S706" s="1"/>
      <c r="T706" s="2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2.75" customHeight="1" x14ac:dyDescent="0.25">
      <c r="A707" s="2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2"/>
      <c r="P707" s="1"/>
      <c r="Q707" s="1"/>
      <c r="R707" s="1"/>
      <c r="S707" s="1"/>
      <c r="T707" s="2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2.75" customHeight="1" x14ac:dyDescent="0.25">
      <c r="A708" s="2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2"/>
      <c r="P708" s="1"/>
      <c r="Q708" s="1"/>
      <c r="R708" s="1"/>
      <c r="S708" s="1"/>
      <c r="T708" s="2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2.75" customHeight="1" x14ac:dyDescent="0.25">
      <c r="A709" s="2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2"/>
      <c r="P709" s="1"/>
      <c r="Q709" s="1"/>
      <c r="R709" s="1"/>
      <c r="S709" s="1"/>
      <c r="T709" s="2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2.75" customHeight="1" x14ac:dyDescent="0.25">
      <c r="A710" s="2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2"/>
      <c r="P710" s="1"/>
      <c r="Q710" s="1"/>
      <c r="R710" s="1"/>
      <c r="S710" s="1"/>
      <c r="T710" s="2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2.75" customHeight="1" x14ac:dyDescent="0.25">
      <c r="A711" s="2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2"/>
      <c r="P711" s="1"/>
      <c r="Q711" s="1"/>
      <c r="R711" s="1"/>
      <c r="S711" s="1"/>
      <c r="T711" s="2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2.75" customHeight="1" x14ac:dyDescent="0.25">
      <c r="A712" s="2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2"/>
      <c r="P712" s="1"/>
      <c r="Q712" s="1"/>
      <c r="R712" s="1"/>
      <c r="S712" s="1"/>
      <c r="T712" s="2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2.75" customHeight="1" x14ac:dyDescent="0.25">
      <c r="A713" s="2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2"/>
      <c r="P713" s="1"/>
      <c r="Q713" s="1"/>
      <c r="R713" s="1"/>
      <c r="S713" s="1"/>
      <c r="T713" s="2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2.75" customHeight="1" x14ac:dyDescent="0.25">
      <c r="A714" s="2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2"/>
      <c r="P714" s="1"/>
      <c r="Q714" s="1"/>
      <c r="R714" s="1"/>
      <c r="S714" s="1"/>
      <c r="T714" s="2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2.75" customHeight="1" x14ac:dyDescent="0.25">
      <c r="A715" s="2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2"/>
      <c r="P715" s="1"/>
      <c r="Q715" s="1"/>
      <c r="R715" s="1"/>
      <c r="S715" s="1"/>
      <c r="T715" s="2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2.75" customHeight="1" x14ac:dyDescent="0.25">
      <c r="A716" s="2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2"/>
      <c r="P716" s="1"/>
      <c r="Q716" s="1"/>
      <c r="R716" s="1"/>
      <c r="S716" s="1"/>
      <c r="T716" s="2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2.75" customHeight="1" x14ac:dyDescent="0.25">
      <c r="A717" s="2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2"/>
      <c r="P717" s="1"/>
      <c r="Q717" s="1"/>
      <c r="R717" s="1"/>
      <c r="S717" s="1"/>
      <c r="T717" s="2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2.75" customHeight="1" x14ac:dyDescent="0.25">
      <c r="A718" s="2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2"/>
      <c r="P718" s="1"/>
      <c r="Q718" s="1"/>
      <c r="R718" s="1"/>
      <c r="S718" s="1"/>
      <c r="T718" s="2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2.75" customHeight="1" x14ac:dyDescent="0.25">
      <c r="A719" s="2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2"/>
      <c r="P719" s="1"/>
      <c r="Q719" s="1"/>
      <c r="R719" s="1"/>
      <c r="S719" s="1"/>
      <c r="T719" s="2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2.75" customHeight="1" x14ac:dyDescent="0.25">
      <c r="A720" s="2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2"/>
      <c r="P720" s="1"/>
      <c r="Q720" s="1"/>
      <c r="R720" s="1"/>
      <c r="S720" s="1"/>
      <c r="T720" s="2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2.75" customHeight="1" x14ac:dyDescent="0.25">
      <c r="A721" s="2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2"/>
      <c r="P721" s="1"/>
      <c r="Q721" s="1"/>
      <c r="R721" s="1"/>
      <c r="S721" s="1"/>
      <c r="T721" s="2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2.75" customHeight="1" x14ac:dyDescent="0.25">
      <c r="A722" s="2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2"/>
      <c r="P722" s="1"/>
      <c r="Q722" s="1"/>
      <c r="R722" s="1"/>
      <c r="S722" s="1"/>
      <c r="T722" s="2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2.75" customHeight="1" x14ac:dyDescent="0.25">
      <c r="A723" s="2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2"/>
      <c r="P723" s="1"/>
      <c r="Q723" s="1"/>
      <c r="R723" s="1"/>
      <c r="S723" s="1"/>
      <c r="T723" s="2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2.75" customHeight="1" x14ac:dyDescent="0.25">
      <c r="A724" s="2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2"/>
      <c r="P724" s="1"/>
      <c r="Q724" s="1"/>
      <c r="R724" s="1"/>
      <c r="S724" s="1"/>
      <c r="T724" s="2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2.75" customHeight="1" x14ac:dyDescent="0.25">
      <c r="A725" s="2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2"/>
      <c r="P725" s="1"/>
      <c r="Q725" s="1"/>
      <c r="R725" s="1"/>
      <c r="S725" s="1"/>
      <c r="T725" s="2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2.75" customHeight="1" x14ac:dyDescent="0.25">
      <c r="A726" s="2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2"/>
      <c r="P726" s="1"/>
      <c r="Q726" s="1"/>
      <c r="R726" s="1"/>
      <c r="S726" s="1"/>
      <c r="T726" s="2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2.75" customHeight="1" x14ac:dyDescent="0.25">
      <c r="A727" s="2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2"/>
      <c r="P727" s="1"/>
      <c r="Q727" s="1"/>
      <c r="R727" s="1"/>
      <c r="S727" s="1"/>
      <c r="T727" s="2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2.75" customHeight="1" x14ac:dyDescent="0.25">
      <c r="A728" s="2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2"/>
      <c r="P728" s="1"/>
      <c r="Q728" s="1"/>
      <c r="R728" s="1"/>
      <c r="S728" s="1"/>
      <c r="T728" s="2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2.75" customHeight="1" x14ac:dyDescent="0.25">
      <c r="A729" s="2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2"/>
      <c r="P729" s="1"/>
      <c r="Q729" s="1"/>
      <c r="R729" s="1"/>
      <c r="S729" s="1"/>
      <c r="T729" s="2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2.75" customHeight="1" x14ac:dyDescent="0.25">
      <c r="A730" s="2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2"/>
      <c r="P730" s="1"/>
      <c r="Q730" s="1"/>
      <c r="R730" s="1"/>
      <c r="S730" s="1"/>
      <c r="T730" s="2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2.75" customHeight="1" x14ac:dyDescent="0.25">
      <c r="A731" s="2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2"/>
      <c r="P731" s="1"/>
      <c r="Q731" s="1"/>
      <c r="R731" s="1"/>
      <c r="S731" s="1"/>
      <c r="T731" s="2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2.75" customHeight="1" x14ac:dyDescent="0.25">
      <c r="A732" s="2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2"/>
      <c r="P732" s="1"/>
      <c r="Q732" s="1"/>
      <c r="R732" s="1"/>
      <c r="S732" s="1"/>
      <c r="T732" s="2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2.75" customHeight="1" x14ac:dyDescent="0.25">
      <c r="A733" s="2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2"/>
      <c r="P733" s="1"/>
      <c r="Q733" s="1"/>
      <c r="R733" s="1"/>
      <c r="S733" s="1"/>
      <c r="T733" s="2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2.75" customHeight="1" x14ac:dyDescent="0.25">
      <c r="A734" s="2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2"/>
      <c r="P734" s="1"/>
      <c r="Q734" s="1"/>
      <c r="R734" s="1"/>
      <c r="S734" s="1"/>
      <c r="T734" s="2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2.75" customHeight="1" x14ac:dyDescent="0.25">
      <c r="A735" s="2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2"/>
      <c r="P735" s="1"/>
      <c r="Q735" s="1"/>
      <c r="R735" s="1"/>
      <c r="S735" s="1"/>
      <c r="T735" s="2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2.75" customHeight="1" x14ac:dyDescent="0.25">
      <c r="A736" s="2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2"/>
      <c r="P736" s="1"/>
      <c r="Q736" s="1"/>
      <c r="R736" s="1"/>
      <c r="S736" s="1"/>
      <c r="T736" s="2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2.75" customHeight="1" x14ac:dyDescent="0.25">
      <c r="A737" s="2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2"/>
      <c r="P737" s="1"/>
      <c r="Q737" s="1"/>
      <c r="R737" s="1"/>
      <c r="S737" s="1"/>
      <c r="T737" s="2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2.75" customHeight="1" x14ac:dyDescent="0.25">
      <c r="A738" s="2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2"/>
      <c r="P738" s="1"/>
      <c r="Q738" s="1"/>
      <c r="R738" s="1"/>
      <c r="S738" s="1"/>
      <c r="T738" s="2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2.75" customHeight="1" x14ac:dyDescent="0.25">
      <c r="A739" s="2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2"/>
      <c r="P739" s="1"/>
      <c r="Q739" s="1"/>
      <c r="R739" s="1"/>
      <c r="S739" s="1"/>
      <c r="T739" s="2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2.75" customHeight="1" x14ac:dyDescent="0.25">
      <c r="A740" s="2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2"/>
      <c r="P740" s="1"/>
      <c r="Q740" s="1"/>
      <c r="R740" s="1"/>
      <c r="S740" s="1"/>
      <c r="T740" s="2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2.75" customHeight="1" x14ac:dyDescent="0.25">
      <c r="A741" s="2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2"/>
      <c r="P741" s="1"/>
      <c r="Q741" s="1"/>
      <c r="R741" s="1"/>
      <c r="S741" s="1"/>
      <c r="T741" s="2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2.75" customHeight="1" x14ac:dyDescent="0.25">
      <c r="A742" s="2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2"/>
      <c r="P742" s="1"/>
      <c r="Q742" s="1"/>
      <c r="R742" s="1"/>
      <c r="S742" s="1"/>
      <c r="T742" s="2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2.75" customHeight="1" x14ac:dyDescent="0.25">
      <c r="A743" s="2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2"/>
      <c r="P743" s="1"/>
      <c r="Q743" s="1"/>
      <c r="R743" s="1"/>
      <c r="S743" s="1"/>
      <c r="T743" s="2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2.75" customHeight="1" x14ac:dyDescent="0.25">
      <c r="A744" s="2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2"/>
      <c r="P744" s="1"/>
      <c r="Q744" s="1"/>
      <c r="R744" s="1"/>
      <c r="S744" s="1"/>
      <c r="T744" s="2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2.75" customHeight="1" x14ac:dyDescent="0.25">
      <c r="A745" s="2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2"/>
      <c r="P745" s="1"/>
      <c r="Q745" s="1"/>
      <c r="R745" s="1"/>
      <c r="S745" s="1"/>
      <c r="T745" s="2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2.75" customHeight="1" x14ac:dyDescent="0.25">
      <c r="A746" s="2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2"/>
      <c r="P746" s="1"/>
      <c r="Q746" s="1"/>
      <c r="R746" s="1"/>
      <c r="S746" s="1"/>
      <c r="T746" s="2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2.75" customHeight="1" x14ac:dyDescent="0.25">
      <c r="A747" s="2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2"/>
      <c r="P747" s="1"/>
      <c r="Q747" s="1"/>
      <c r="R747" s="1"/>
      <c r="S747" s="1"/>
      <c r="T747" s="2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2.75" customHeight="1" x14ac:dyDescent="0.25">
      <c r="A748" s="2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2"/>
      <c r="P748" s="1"/>
      <c r="Q748" s="1"/>
      <c r="R748" s="1"/>
      <c r="S748" s="1"/>
      <c r="T748" s="2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2.75" customHeight="1" x14ac:dyDescent="0.25">
      <c r="A749" s="2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2"/>
      <c r="P749" s="1"/>
      <c r="Q749" s="1"/>
      <c r="R749" s="1"/>
      <c r="S749" s="1"/>
      <c r="T749" s="2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2.75" customHeight="1" x14ac:dyDescent="0.25">
      <c r="A750" s="2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2"/>
      <c r="P750" s="1"/>
      <c r="Q750" s="1"/>
      <c r="R750" s="1"/>
      <c r="S750" s="1"/>
      <c r="T750" s="2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2.75" customHeight="1" x14ac:dyDescent="0.25">
      <c r="A751" s="2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2"/>
      <c r="P751" s="1"/>
      <c r="Q751" s="1"/>
      <c r="R751" s="1"/>
      <c r="S751" s="1"/>
      <c r="T751" s="2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2.75" customHeight="1" x14ac:dyDescent="0.25">
      <c r="A752" s="2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2"/>
      <c r="P752" s="1"/>
      <c r="Q752" s="1"/>
      <c r="R752" s="1"/>
      <c r="S752" s="1"/>
      <c r="T752" s="2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2.75" customHeight="1" x14ac:dyDescent="0.25">
      <c r="A753" s="2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2"/>
      <c r="P753" s="1"/>
      <c r="Q753" s="1"/>
      <c r="R753" s="1"/>
      <c r="S753" s="1"/>
      <c r="T753" s="2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2.75" customHeight="1" x14ac:dyDescent="0.25">
      <c r="A754" s="2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2"/>
      <c r="P754" s="1"/>
      <c r="Q754" s="1"/>
      <c r="R754" s="1"/>
      <c r="S754" s="1"/>
      <c r="T754" s="2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2.75" customHeight="1" x14ac:dyDescent="0.25">
      <c r="A755" s="2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2"/>
      <c r="P755" s="1"/>
      <c r="Q755" s="1"/>
      <c r="R755" s="1"/>
      <c r="S755" s="1"/>
      <c r="T755" s="2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2.75" customHeight="1" x14ac:dyDescent="0.25">
      <c r="A756" s="2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2"/>
      <c r="P756" s="1"/>
      <c r="Q756" s="1"/>
      <c r="R756" s="1"/>
      <c r="S756" s="1"/>
      <c r="T756" s="2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2.75" customHeight="1" x14ac:dyDescent="0.25">
      <c r="A757" s="2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2"/>
      <c r="P757" s="1"/>
      <c r="Q757" s="1"/>
      <c r="R757" s="1"/>
      <c r="S757" s="1"/>
      <c r="T757" s="2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2.75" customHeight="1" x14ac:dyDescent="0.25">
      <c r="A758" s="2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2"/>
      <c r="P758" s="1"/>
      <c r="Q758" s="1"/>
      <c r="R758" s="1"/>
      <c r="S758" s="1"/>
      <c r="T758" s="2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2.75" customHeight="1" x14ac:dyDescent="0.25">
      <c r="A759" s="2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2"/>
      <c r="P759" s="1"/>
      <c r="Q759" s="1"/>
      <c r="R759" s="1"/>
      <c r="S759" s="1"/>
      <c r="T759" s="2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2.75" customHeight="1" x14ac:dyDescent="0.25">
      <c r="A760" s="2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2"/>
      <c r="P760" s="1"/>
      <c r="Q760" s="1"/>
      <c r="R760" s="1"/>
      <c r="S760" s="1"/>
      <c r="T760" s="2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2.75" customHeight="1" x14ac:dyDescent="0.25">
      <c r="A761" s="2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2"/>
      <c r="P761" s="1"/>
      <c r="Q761" s="1"/>
      <c r="R761" s="1"/>
      <c r="S761" s="1"/>
      <c r="T761" s="2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2.75" customHeight="1" x14ac:dyDescent="0.25">
      <c r="A762" s="2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2"/>
      <c r="P762" s="1"/>
      <c r="Q762" s="1"/>
      <c r="R762" s="1"/>
      <c r="S762" s="1"/>
      <c r="T762" s="2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2.75" customHeight="1" x14ac:dyDescent="0.25">
      <c r="A763" s="2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2"/>
      <c r="P763" s="1"/>
      <c r="Q763" s="1"/>
      <c r="R763" s="1"/>
      <c r="S763" s="1"/>
      <c r="T763" s="2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2.75" customHeight="1" x14ac:dyDescent="0.25">
      <c r="A764" s="2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2"/>
      <c r="P764" s="1"/>
      <c r="Q764" s="1"/>
      <c r="R764" s="1"/>
      <c r="S764" s="1"/>
      <c r="T764" s="2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2.75" customHeight="1" x14ac:dyDescent="0.25">
      <c r="A765" s="2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2"/>
      <c r="P765" s="1"/>
      <c r="Q765" s="1"/>
      <c r="R765" s="1"/>
      <c r="S765" s="1"/>
      <c r="T765" s="2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2.75" customHeight="1" x14ac:dyDescent="0.25">
      <c r="A766" s="2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2"/>
      <c r="P766" s="1"/>
      <c r="Q766" s="1"/>
      <c r="R766" s="1"/>
      <c r="S766" s="1"/>
      <c r="T766" s="2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2.75" customHeight="1" x14ac:dyDescent="0.25">
      <c r="A767" s="2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2"/>
      <c r="P767" s="1"/>
      <c r="Q767" s="1"/>
      <c r="R767" s="1"/>
      <c r="S767" s="1"/>
      <c r="T767" s="2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2.75" customHeight="1" x14ac:dyDescent="0.25">
      <c r="A768" s="2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2"/>
      <c r="P768" s="1"/>
      <c r="Q768" s="1"/>
      <c r="R768" s="1"/>
      <c r="S768" s="1"/>
      <c r="T768" s="2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2.75" customHeight="1" x14ac:dyDescent="0.25">
      <c r="A769" s="2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2"/>
      <c r="P769" s="1"/>
      <c r="Q769" s="1"/>
      <c r="R769" s="1"/>
      <c r="S769" s="1"/>
      <c r="T769" s="2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2.75" customHeight="1" x14ac:dyDescent="0.25">
      <c r="A770" s="2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2"/>
      <c r="P770" s="1"/>
      <c r="Q770" s="1"/>
      <c r="R770" s="1"/>
      <c r="S770" s="1"/>
      <c r="T770" s="2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2.75" customHeight="1" x14ac:dyDescent="0.25">
      <c r="A771" s="2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2"/>
      <c r="P771" s="1"/>
      <c r="Q771" s="1"/>
      <c r="R771" s="1"/>
      <c r="S771" s="1"/>
      <c r="T771" s="2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2.75" customHeight="1" x14ac:dyDescent="0.25">
      <c r="A772" s="2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2"/>
      <c r="P772" s="1"/>
      <c r="Q772" s="1"/>
      <c r="R772" s="1"/>
      <c r="S772" s="1"/>
      <c r="T772" s="2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2.75" customHeight="1" x14ac:dyDescent="0.25">
      <c r="A773" s="2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2"/>
      <c r="P773" s="1"/>
      <c r="Q773" s="1"/>
      <c r="R773" s="1"/>
      <c r="S773" s="1"/>
      <c r="T773" s="2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2.75" customHeight="1" x14ac:dyDescent="0.25">
      <c r="A774" s="2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2"/>
      <c r="P774" s="1"/>
      <c r="Q774" s="1"/>
      <c r="R774" s="1"/>
      <c r="S774" s="1"/>
      <c r="T774" s="2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2.75" customHeight="1" x14ac:dyDescent="0.25">
      <c r="A775" s="2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2"/>
      <c r="P775" s="1"/>
      <c r="Q775" s="1"/>
      <c r="R775" s="1"/>
      <c r="S775" s="1"/>
      <c r="T775" s="2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2.75" customHeight="1" x14ac:dyDescent="0.25">
      <c r="A776" s="2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2"/>
      <c r="P776" s="1"/>
      <c r="Q776" s="1"/>
      <c r="R776" s="1"/>
      <c r="S776" s="1"/>
      <c r="T776" s="2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2.75" customHeight="1" x14ac:dyDescent="0.25">
      <c r="A777" s="2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2"/>
      <c r="P777" s="1"/>
      <c r="Q777" s="1"/>
      <c r="R777" s="1"/>
      <c r="S777" s="1"/>
      <c r="T777" s="2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2.75" customHeight="1" x14ac:dyDescent="0.25">
      <c r="A778" s="2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2"/>
      <c r="P778" s="1"/>
      <c r="Q778" s="1"/>
      <c r="R778" s="1"/>
      <c r="S778" s="1"/>
      <c r="T778" s="2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2.75" customHeight="1" x14ac:dyDescent="0.25">
      <c r="A779" s="2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2"/>
      <c r="P779" s="1"/>
      <c r="Q779" s="1"/>
      <c r="R779" s="1"/>
      <c r="S779" s="1"/>
      <c r="T779" s="2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2.75" customHeight="1" x14ac:dyDescent="0.25">
      <c r="A780" s="2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2"/>
      <c r="P780" s="1"/>
      <c r="Q780" s="1"/>
      <c r="R780" s="1"/>
      <c r="S780" s="1"/>
      <c r="T780" s="2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2.75" customHeight="1" x14ac:dyDescent="0.25">
      <c r="A781" s="2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2"/>
      <c r="P781" s="1"/>
      <c r="Q781" s="1"/>
      <c r="R781" s="1"/>
      <c r="S781" s="1"/>
      <c r="T781" s="2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2.75" customHeight="1" x14ac:dyDescent="0.25">
      <c r="A782" s="2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2"/>
      <c r="P782" s="1"/>
      <c r="Q782" s="1"/>
      <c r="R782" s="1"/>
      <c r="S782" s="1"/>
      <c r="T782" s="2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2.75" customHeight="1" x14ac:dyDescent="0.25">
      <c r="A783" s="2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2"/>
      <c r="P783" s="1"/>
      <c r="Q783" s="1"/>
      <c r="R783" s="1"/>
      <c r="S783" s="1"/>
      <c r="T783" s="2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2.75" customHeight="1" x14ac:dyDescent="0.25">
      <c r="A784" s="2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2"/>
      <c r="P784" s="1"/>
      <c r="Q784" s="1"/>
      <c r="R784" s="1"/>
      <c r="S784" s="1"/>
      <c r="T784" s="2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2.75" customHeight="1" x14ac:dyDescent="0.25">
      <c r="A785" s="2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2"/>
      <c r="P785" s="1"/>
      <c r="Q785" s="1"/>
      <c r="R785" s="1"/>
      <c r="S785" s="1"/>
      <c r="T785" s="2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2.75" customHeight="1" x14ac:dyDescent="0.25">
      <c r="A786" s="2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2"/>
      <c r="P786" s="1"/>
      <c r="Q786" s="1"/>
      <c r="R786" s="1"/>
      <c r="S786" s="1"/>
      <c r="T786" s="2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2.75" customHeight="1" x14ac:dyDescent="0.25">
      <c r="A787" s="2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2"/>
      <c r="P787" s="1"/>
      <c r="Q787" s="1"/>
      <c r="R787" s="1"/>
      <c r="S787" s="1"/>
      <c r="T787" s="2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2.75" customHeight="1" x14ac:dyDescent="0.25">
      <c r="A788" s="2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2"/>
      <c r="P788" s="1"/>
      <c r="Q788" s="1"/>
      <c r="R788" s="1"/>
      <c r="S788" s="1"/>
      <c r="T788" s="2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2.75" customHeight="1" x14ac:dyDescent="0.25">
      <c r="A789" s="2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2"/>
      <c r="P789" s="1"/>
      <c r="Q789" s="1"/>
      <c r="R789" s="1"/>
      <c r="S789" s="1"/>
      <c r="T789" s="2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2.75" customHeight="1" x14ac:dyDescent="0.25">
      <c r="A790" s="2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2"/>
      <c r="P790" s="1"/>
      <c r="Q790" s="1"/>
      <c r="R790" s="1"/>
      <c r="S790" s="1"/>
      <c r="T790" s="2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2.75" customHeight="1" x14ac:dyDescent="0.25">
      <c r="A791" s="2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2"/>
      <c r="P791" s="1"/>
      <c r="Q791" s="1"/>
      <c r="R791" s="1"/>
      <c r="S791" s="1"/>
      <c r="T791" s="2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2.75" customHeight="1" x14ac:dyDescent="0.25">
      <c r="A792" s="2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2"/>
      <c r="P792" s="1"/>
      <c r="Q792" s="1"/>
      <c r="R792" s="1"/>
      <c r="S792" s="1"/>
      <c r="T792" s="2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2.75" customHeight="1" x14ac:dyDescent="0.25">
      <c r="A793" s="2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2"/>
      <c r="P793" s="1"/>
      <c r="Q793" s="1"/>
      <c r="R793" s="1"/>
      <c r="S793" s="1"/>
      <c r="T793" s="2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2.75" customHeight="1" x14ac:dyDescent="0.25">
      <c r="A794" s="2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2"/>
      <c r="P794" s="1"/>
      <c r="Q794" s="1"/>
      <c r="R794" s="1"/>
      <c r="S794" s="1"/>
      <c r="T794" s="2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2.75" customHeight="1" x14ac:dyDescent="0.25">
      <c r="A795" s="2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2"/>
      <c r="P795" s="1"/>
      <c r="Q795" s="1"/>
      <c r="R795" s="1"/>
      <c r="S795" s="1"/>
      <c r="T795" s="2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2.75" customHeight="1" x14ac:dyDescent="0.25">
      <c r="A796" s="2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2"/>
      <c r="P796" s="1"/>
      <c r="Q796" s="1"/>
      <c r="R796" s="1"/>
      <c r="S796" s="1"/>
      <c r="T796" s="2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2.75" customHeight="1" x14ac:dyDescent="0.25">
      <c r="A797" s="2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2"/>
      <c r="P797" s="1"/>
      <c r="Q797" s="1"/>
      <c r="R797" s="1"/>
      <c r="S797" s="1"/>
      <c r="T797" s="2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2.75" customHeight="1" x14ac:dyDescent="0.25">
      <c r="A798" s="2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2"/>
      <c r="P798" s="1"/>
      <c r="Q798" s="1"/>
      <c r="R798" s="1"/>
      <c r="S798" s="1"/>
      <c r="T798" s="2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2.75" customHeight="1" x14ac:dyDescent="0.25">
      <c r="A799" s="2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2"/>
      <c r="P799" s="1"/>
      <c r="Q799" s="1"/>
      <c r="R799" s="1"/>
      <c r="S799" s="1"/>
      <c r="T799" s="2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2.75" customHeight="1" x14ac:dyDescent="0.25">
      <c r="A800" s="2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2"/>
      <c r="P800" s="1"/>
      <c r="Q800" s="1"/>
      <c r="R800" s="1"/>
      <c r="S800" s="1"/>
      <c r="T800" s="2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2.75" customHeight="1" x14ac:dyDescent="0.25">
      <c r="A801" s="2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2"/>
      <c r="P801" s="1"/>
      <c r="Q801" s="1"/>
      <c r="R801" s="1"/>
      <c r="S801" s="1"/>
      <c r="T801" s="2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2.75" customHeight="1" x14ac:dyDescent="0.25">
      <c r="A802" s="2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2"/>
      <c r="P802" s="1"/>
      <c r="Q802" s="1"/>
      <c r="R802" s="1"/>
      <c r="S802" s="1"/>
      <c r="T802" s="2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2.75" customHeight="1" x14ac:dyDescent="0.25">
      <c r="A803" s="2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2"/>
      <c r="P803" s="1"/>
      <c r="Q803" s="1"/>
      <c r="R803" s="1"/>
      <c r="S803" s="1"/>
      <c r="T803" s="2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2.75" customHeight="1" x14ac:dyDescent="0.25">
      <c r="A804" s="2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2"/>
      <c r="P804" s="1"/>
      <c r="Q804" s="1"/>
      <c r="R804" s="1"/>
      <c r="S804" s="1"/>
      <c r="T804" s="2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2.75" customHeight="1" x14ac:dyDescent="0.25">
      <c r="A805" s="2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2"/>
      <c r="P805" s="1"/>
      <c r="Q805" s="1"/>
      <c r="R805" s="1"/>
      <c r="S805" s="1"/>
      <c r="T805" s="2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2.75" customHeight="1" x14ac:dyDescent="0.25">
      <c r="A806" s="2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2"/>
      <c r="P806" s="1"/>
      <c r="Q806" s="1"/>
      <c r="R806" s="1"/>
      <c r="S806" s="1"/>
      <c r="T806" s="2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2.75" customHeight="1" x14ac:dyDescent="0.25">
      <c r="A807" s="2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2"/>
      <c r="P807" s="1"/>
      <c r="Q807" s="1"/>
      <c r="R807" s="1"/>
      <c r="S807" s="1"/>
      <c r="T807" s="2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2.75" customHeight="1" x14ac:dyDescent="0.25">
      <c r="A808" s="2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2"/>
      <c r="P808" s="1"/>
      <c r="Q808" s="1"/>
      <c r="R808" s="1"/>
      <c r="S808" s="1"/>
      <c r="T808" s="2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2.75" customHeight="1" x14ac:dyDescent="0.25">
      <c r="A809" s="2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2"/>
      <c r="P809" s="1"/>
      <c r="Q809" s="1"/>
      <c r="R809" s="1"/>
      <c r="S809" s="1"/>
      <c r="T809" s="2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2.75" customHeight="1" x14ac:dyDescent="0.25">
      <c r="A810" s="2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2"/>
      <c r="P810" s="1"/>
      <c r="Q810" s="1"/>
      <c r="R810" s="1"/>
      <c r="S810" s="1"/>
      <c r="T810" s="2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2.75" customHeight="1" x14ac:dyDescent="0.25">
      <c r="A811" s="2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2"/>
      <c r="P811" s="1"/>
      <c r="Q811" s="1"/>
      <c r="R811" s="1"/>
      <c r="S811" s="1"/>
      <c r="T811" s="2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2.75" customHeight="1" x14ac:dyDescent="0.25">
      <c r="A812" s="2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2"/>
      <c r="P812" s="1"/>
      <c r="Q812" s="1"/>
      <c r="R812" s="1"/>
      <c r="S812" s="1"/>
      <c r="T812" s="2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2.75" customHeight="1" x14ac:dyDescent="0.25">
      <c r="A813" s="2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2"/>
      <c r="P813" s="1"/>
      <c r="Q813" s="1"/>
      <c r="R813" s="1"/>
      <c r="S813" s="1"/>
      <c r="T813" s="2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2.75" customHeight="1" x14ac:dyDescent="0.25">
      <c r="A814" s="2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2"/>
      <c r="P814" s="1"/>
      <c r="Q814" s="1"/>
      <c r="R814" s="1"/>
      <c r="S814" s="1"/>
      <c r="T814" s="2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2.75" customHeight="1" x14ac:dyDescent="0.25">
      <c r="A815" s="2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2"/>
      <c r="P815" s="1"/>
      <c r="Q815" s="1"/>
      <c r="R815" s="1"/>
      <c r="S815" s="1"/>
      <c r="T815" s="2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2.75" customHeight="1" x14ac:dyDescent="0.25">
      <c r="A816" s="2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2"/>
      <c r="P816" s="1"/>
      <c r="Q816" s="1"/>
      <c r="R816" s="1"/>
      <c r="S816" s="1"/>
      <c r="T816" s="2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2.75" customHeight="1" x14ac:dyDescent="0.25">
      <c r="A817" s="2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2"/>
      <c r="P817" s="1"/>
      <c r="Q817" s="1"/>
      <c r="R817" s="1"/>
      <c r="S817" s="1"/>
      <c r="T817" s="2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2.75" customHeight="1" x14ac:dyDescent="0.25">
      <c r="A818" s="2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2"/>
      <c r="P818" s="1"/>
      <c r="Q818" s="1"/>
      <c r="R818" s="1"/>
      <c r="S818" s="1"/>
      <c r="T818" s="2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2.75" customHeight="1" x14ac:dyDescent="0.25">
      <c r="A819" s="2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2"/>
      <c r="P819" s="1"/>
      <c r="Q819" s="1"/>
      <c r="R819" s="1"/>
      <c r="S819" s="1"/>
      <c r="T819" s="2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2.75" customHeight="1" x14ac:dyDescent="0.25">
      <c r="A820" s="2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2"/>
      <c r="P820" s="1"/>
      <c r="Q820" s="1"/>
      <c r="R820" s="1"/>
      <c r="S820" s="1"/>
      <c r="T820" s="2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2.75" customHeight="1" x14ac:dyDescent="0.25">
      <c r="A821" s="2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2"/>
      <c r="P821" s="1"/>
      <c r="Q821" s="1"/>
      <c r="R821" s="1"/>
      <c r="S821" s="1"/>
      <c r="T821" s="2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2.75" customHeight="1" x14ac:dyDescent="0.25">
      <c r="A822" s="2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2"/>
      <c r="P822" s="1"/>
      <c r="Q822" s="1"/>
      <c r="R822" s="1"/>
      <c r="S822" s="1"/>
      <c r="T822" s="2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2.75" customHeight="1" x14ac:dyDescent="0.25">
      <c r="A823" s="2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2"/>
      <c r="P823" s="1"/>
      <c r="Q823" s="1"/>
      <c r="R823" s="1"/>
      <c r="S823" s="1"/>
      <c r="T823" s="2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2.75" customHeight="1" x14ac:dyDescent="0.25">
      <c r="A824" s="2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2"/>
      <c r="P824" s="1"/>
      <c r="Q824" s="1"/>
      <c r="R824" s="1"/>
      <c r="S824" s="1"/>
      <c r="T824" s="2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2.75" customHeight="1" x14ac:dyDescent="0.25">
      <c r="A825" s="2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2"/>
      <c r="P825" s="1"/>
      <c r="Q825" s="1"/>
      <c r="R825" s="1"/>
      <c r="S825" s="1"/>
      <c r="T825" s="2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2.75" customHeight="1" x14ac:dyDescent="0.25">
      <c r="A826" s="2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2"/>
      <c r="P826" s="1"/>
      <c r="Q826" s="1"/>
      <c r="R826" s="1"/>
      <c r="S826" s="1"/>
      <c r="T826" s="2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2.75" customHeight="1" x14ac:dyDescent="0.25">
      <c r="A827" s="2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2"/>
      <c r="P827" s="1"/>
      <c r="Q827" s="1"/>
      <c r="R827" s="1"/>
      <c r="S827" s="1"/>
      <c r="T827" s="2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2.75" customHeight="1" x14ac:dyDescent="0.25">
      <c r="A828" s="2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2"/>
      <c r="P828" s="1"/>
      <c r="Q828" s="1"/>
      <c r="R828" s="1"/>
      <c r="S828" s="1"/>
      <c r="T828" s="2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2.75" customHeight="1" x14ac:dyDescent="0.25">
      <c r="A829" s="2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2"/>
      <c r="P829" s="1"/>
      <c r="Q829" s="1"/>
      <c r="R829" s="1"/>
      <c r="S829" s="1"/>
      <c r="T829" s="2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2.75" customHeight="1" x14ac:dyDescent="0.25">
      <c r="A830" s="2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2"/>
      <c r="P830" s="1"/>
      <c r="Q830" s="1"/>
      <c r="R830" s="1"/>
      <c r="S830" s="1"/>
      <c r="T830" s="2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2.75" customHeight="1" x14ac:dyDescent="0.25">
      <c r="A831" s="2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2"/>
      <c r="P831" s="1"/>
      <c r="Q831" s="1"/>
      <c r="R831" s="1"/>
      <c r="S831" s="1"/>
      <c r="T831" s="2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2.75" customHeight="1" x14ac:dyDescent="0.25">
      <c r="A832" s="2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2"/>
      <c r="P832" s="1"/>
      <c r="Q832" s="1"/>
      <c r="R832" s="1"/>
      <c r="S832" s="1"/>
      <c r="T832" s="2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2.75" customHeight="1" x14ac:dyDescent="0.25">
      <c r="A833" s="2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2"/>
      <c r="P833" s="1"/>
      <c r="Q833" s="1"/>
      <c r="R833" s="1"/>
      <c r="S833" s="1"/>
      <c r="T833" s="2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2.75" customHeight="1" x14ac:dyDescent="0.25">
      <c r="A834" s="2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2"/>
      <c r="P834" s="1"/>
      <c r="Q834" s="1"/>
      <c r="R834" s="1"/>
      <c r="S834" s="1"/>
      <c r="T834" s="2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2.75" customHeight="1" x14ac:dyDescent="0.25">
      <c r="A835" s="2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2"/>
      <c r="P835" s="1"/>
      <c r="Q835" s="1"/>
      <c r="R835" s="1"/>
      <c r="S835" s="1"/>
      <c r="T835" s="2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2.75" customHeight="1" x14ac:dyDescent="0.25">
      <c r="A836" s="2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2"/>
      <c r="P836" s="1"/>
      <c r="Q836" s="1"/>
      <c r="R836" s="1"/>
      <c r="S836" s="1"/>
      <c r="T836" s="2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2.75" customHeight="1" x14ac:dyDescent="0.25">
      <c r="A837" s="2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2"/>
      <c r="P837" s="1"/>
      <c r="Q837" s="1"/>
      <c r="R837" s="1"/>
      <c r="S837" s="1"/>
      <c r="T837" s="2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2.75" customHeight="1" x14ac:dyDescent="0.25">
      <c r="A838" s="2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2"/>
      <c r="P838" s="1"/>
      <c r="Q838" s="1"/>
      <c r="R838" s="1"/>
      <c r="S838" s="1"/>
      <c r="T838" s="2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2.75" customHeight="1" x14ac:dyDescent="0.25">
      <c r="A839" s="2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2"/>
      <c r="P839" s="1"/>
      <c r="Q839" s="1"/>
      <c r="R839" s="1"/>
      <c r="S839" s="1"/>
      <c r="T839" s="2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2.75" customHeight="1" x14ac:dyDescent="0.25">
      <c r="A840" s="2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2"/>
      <c r="P840" s="1"/>
      <c r="Q840" s="1"/>
      <c r="R840" s="1"/>
      <c r="S840" s="1"/>
      <c r="T840" s="2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2.75" customHeight="1" x14ac:dyDescent="0.25">
      <c r="A841" s="2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2"/>
      <c r="P841" s="1"/>
      <c r="Q841" s="1"/>
      <c r="R841" s="1"/>
      <c r="S841" s="1"/>
      <c r="T841" s="2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2.75" customHeight="1" x14ac:dyDescent="0.25">
      <c r="A842" s="2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2"/>
      <c r="P842" s="1"/>
      <c r="Q842" s="1"/>
      <c r="R842" s="1"/>
      <c r="S842" s="1"/>
      <c r="T842" s="2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2.75" customHeight="1" x14ac:dyDescent="0.25">
      <c r="A843" s="2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2"/>
      <c r="P843" s="1"/>
      <c r="Q843" s="1"/>
      <c r="R843" s="1"/>
      <c r="S843" s="1"/>
      <c r="T843" s="2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2.75" customHeight="1" x14ac:dyDescent="0.25">
      <c r="A844" s="2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2"/>
      <c r="P844" s="1"/>
      <c r="Q844" s="1"/>
      <c r="R844" s="1"/>
      <c r="S844" s="1"/>
      <c r="T844" s="2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2.75" customHeight="1" x14ac:dyDescent="0.25">
      <c r="A845" s="2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2"/>
      <c r="P845" s="1"/>
      <c r="Q845" s="1"/>
      <c r="R845" s="1"/>
      <c r="S845" s="1"/>
      <c r="T845" s="2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2.75" customHeight="1" x14ac:dyDescent="0.25">
      <c r="A846" s="2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2"/>
      <c r="P846" s="1"/>
      <c r="Q846" s="1"/>
      <c r="R846" s="1"/>
      <c r="S846" s="1"/>
      <c r="T846" s="2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2.75" customHeight="1" x14ac:dyDescent="0.25">
      <c r="A847" s="2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2"/>
      <c r="P847" s="1"/>
      <c r="Q847" s="1"/>
      <c r="R847" s="1"/>
      <c r="S847" s="1"/>
      <c r="T847" s="2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2.75" customHeight="1" x14ac:dyDescent="0.25">
      <c r="A848" s="2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2"/>
      <c r="P848" s="1"/>
      <c r="Q848" s="1"/>
      <c r="R848" s="1"/>
      <c r="S848" s="1"/>
      <c r="T848" s="2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2.75" customHeight="1" x14ac:dyDescent="0.25">
      <c r="A849" s="2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2"/>
      <c r="P849" s="1"/>
      <c r="Q849" s="1"/>
      <c r="R849" s="1"/>
      <c r="S849" s="1"/>
      <c r="T849" s="2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2.75" customHeight="1" x14ac:dyDescent="0.25">
      <c r="A850" s="2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2"/>
      <c r="P850" s="1"/>
      <c r="Q850" s="1"/>
      <c r="R850" s="1"/>
      <c r="S850" s="1"/>
      <c r="T850" s="2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2.75" customHeight="1" x14ac:dyDescent="0.25">
      <c r="A851" s="2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2"/>
      <c r="P851" s="1"/>
      <c r="Q851" s="1"/>
      <c r="R851" s="1"/>
      <c r="S851" s="1"/>
      <c r="T851" s="2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2.75" customHeight="1" x14ac:dyDescent="0.25">
      <c r="A852" s="2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2"/>
      <c r="P852" s="1"/>
      <c r="Q852" s="1"/>
      <c r="R852" s="1"/>
      <c r="S852" s="1"/>
      <c r="T852" s="2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2.75" customHeight="1" x14ac:dyDescent="0.25">
      <c r="A853" s="2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2"/>
      <c r="P853" s="1"/>
      <c r="Q853" s="1"/>
      <c r="R853" s="1"/>
      <c r="S853" s="1"/>
      <c r="T853" s="2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2.75" customHeight="1" x14ac:dyDescent="0.25">
      <c r="A854" s="2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2"/>
      <c r="P854" s="1"/>
      <c r="Q854" s="1"/>
      <c r="R854" s="1"/>
      <c r="S854" s="1"/>
      <c r="T854" s="2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2.75" customHeight="1" x14ac:dyDescent="0.25">
      <c r="A855" s="2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2"/>
      <c r="P855" s="1"/>
      <c r="Q855" s="1"/>
      <c r="R855" s="1"/>
      <c r="S855" s="1"/>
      <c r="T855" s="2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2.75" customHeight="1" x14ac:dyDescent="0.25">
      <c r="A856" s="2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2"/>
      <c r="P856" s="1"/>
      <c r="Q856" s="1"/>
      <c r="R856" s="1"/>
      <c r="S856" s="1"/>
      <c r="T856" s="2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2.75" customHeight="1" x14ac:dyDescent="0.25">
      <c r="A857" s="2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2"/>
      <c r="P857" s="1"/>
      <c r="Q857" s="1"/>
      <c r="R857" s="1"/>
      <c r="S857" s="1"/>
      <c r="T857" s="2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2.75" customHeight="1" x14ac:dyDescent="0.25">
      <c r="A858" s="2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2"/>
      <c r="P858" s="1"/>
      <c r="Q858" s="1"/>
      <c r="R858" s="1"/>
      <c r="S858" s="1"/>
      <c r="T858" s="2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2.75" customHeight="1" x14ac:dyDescent="0.25">
      <c r="A859" s="2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2"/>
      <c r="P859" s="1"/>
      <c r="Q859" s="1"/>
      <c r="R859" s="1"/>
      <c r="S859" s="1"/>
      <c r="T859" s="2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2.75" customHeight="1" x14ac:dyDescent="0.25">
      <c r="A860" s="2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2"/>
      <c r="P860" s="1"/>
      <c r="Q860" s="1"/>
      <c r="R860" s="1"/>
      <c r="S860" s="1"/>
      <c r="T860" s="2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2.75" customHeight="1" x14ac:dyDescent="0.25">
      <c r="A861" s="2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2"/>
      <c r="P861" s="1"/>
      <c r="Q861" s="1"/>
      <c r="R861" s="1"/>
      <c r="S861" s="1"/>
      <c r="T861" s="2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2.75" customHeight="1" x14ac:dyDescent="0.25">
      <c r="A862" s="2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2"/>
      <c r="P862" s="1"/>
      <c r="Q862" s="1"/>
      <c r="R862" s="1"/>
      <c r="S862" s="1"/>
      <c r="T862" s="2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2.75" customHeight="1" x14ac:dyDescent="0.25">
      <c r="A863" s="2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2"/>
      <c r="P863" s="1"/>
      <c r="Q863" s="1"/>
      <c r="R863" s="1"/>
      <c r="S863" s="1"/>
      <c r="T863" s="2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2.75" customHeight="1" x14ac:dyDescent="0.25">
      <c r="A864" s="2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2"/>
      <c r="P864" s="1"/>
      <c r="Q864" s="1"/>
      <c r="R864" s="1"/>
      <c r="S864" s="1"/>
      <c r="T864" s="2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2.75" customHeight="1" x14ac:dyDescent="0.25">
      <c r="A865" s="2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2"/>
      <c r="P865" s="1"/>
      <c r="Q865" s="1"/>
      <c r="R865" s="1"/>
      <c r="S865" s="1"/>
      <c r="T865" s="2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2.75" customHeight="1" x14ac:dyDescent="0.25">
      <c r="A866" s="2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2"/>
      <c r="P866" s="1"/>
      <c r="Q866" s="1"/>
      <c r="R866" s="1"/>
      <c r="S866" s="1"/>
      <c r="T866" s="2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2.75" customHeight="1" x14ac:dyDescent="0.25">
      <c r="A867" s="2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2"/>
      <c r="P867" s="1"/>
      <c r="Q867" s="1"/>
      <c r="R867" s="1"/>
      <c r="S867" s="1"/>
      <c r="T867" s="2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2.75" customHeight="1" x14ac:dyDescent="0.25">
      <c r="A868" s="2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2"/>
      <c r="P868" s="1"/>
      <c r="Q868" s="1"/>
      <c r="R868" s="1"/>
      <c r="S868" s="1"/>
      <c r="T868" s="2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2.75" customHeight="1" x14ac:dyDescent="0.25">
      <c r="A869" s="2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2"/>
      <c r="P869" s="1"/>
      <c r="Q869" s="1"/>
      <c r="R869" s="1"/>
      <c r="S869" s="1"/>
      <c r="T869" s="2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2.75" customHeight="1" x14ac:dyDescent="0.25">
      <c r="A870" s="2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2"/>
      <c r="P870" s="1"/>
      <c r="Q870" s="1"/>
      <c r="R870" s="1"/>
      <c r="S870" s="1"/>
      <c r="T870" s="2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2.75" customHeight="1" x14ac:dyDescent="0.25">
      <c r="A871" s="2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2"/>
      <c r="P871" s="1"/>
      <c r="Q871" s="1"/>
      <c r="R871" s="1"/>
      <c r="S871" s="1"/>
      <c r="T871" s="2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2.75" customHeight="1" x14ac:dyDescent="0.25">
      <c r="A872" s="2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2"/>
      <c r="P872" s="1"/>
      <c r="Q872" s="1"/>
      <c r="R872" s="1"/>
      <c r="S872" s="1"/>
      <c r="T872" s="2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2.75" customHeight="1" x14ac:dyDescent="0.25">
      <c r="A873" s="2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2"/>
      <c r="P873" s="1"/>
      <c r="Q873" s="1"/>
      <c r="R873" s="1"/>
      <c r="S873" s="1"/>
      <c r="T873" s="2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2.75" customHeight="1" x14ac:dyDescent="0.25">
      <c r="A874" s="2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2"/>
      <c r="P874" s="1"/>
      <c r="Q874" s="1"/>
      <c r="R874" s="1"/>
      <c r="S874" s="1"/>
      <c r="T874" s="2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2.75" customHeight="1" x14ac:dyDescent="0.25">
      <c r="A875" s="2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2"/>
      <c r="P875" s="1"/>
      <c r="Q875" s="1"/>
      <c r="R875" s="1"/>
      <c r="S875" s="1"/>
      <c r="T875" s="2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2.75" customHeight="1" x14ac:dyDescent="0.25">
      <c r="A876" s="2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2"/>
      <c r="P876" s="1"/>
      <c r="Q876" s="1"/>
      <c r="R876" s="1"/>
      <c r="S876" s="1"/>
      <c r="T876" s="2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2.75" customHeight="1" x14ac:dyDescent="0.25">
      <c r="A877" s="2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2"/>
      <c r="P877" s="1"/>
      <c r="Q877" s="1"/>
      <c r="R877" s="1"/>
      <c r="S877" s="1"/>
      <c r="T877" s="2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2.75" customHeight="1" x14ac:dyDescent="0.25">
      <c r="A878" s="2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2"/>
      <c r="P878" s="1"/>
      <c r="Q878" s="1"/>
      <c r="R878" s="1"/>
      <c r="S878" s="1"/>
      <c r="T878" s="2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2.75" customHeight="1" x14ac:dyDescent="0.25">
      <c r="A879" s="2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2"/>
      <c r="P879" s="1"/>
      <c r="Q879" s="1"/>
      <c r="R879" s="1"/>
      <c r="S879" s="1"/>
      <c r="T879" s="2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2.75" customHeight="1" x14ac:dyDescent="0.25">
      <c r="A880" s="2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2"/>
      <c r="P880" s="1"/>
      <c r="Q880" s="1"/>
      <c r="R880" s="1"/>
      <c r="S880" s="1"/>
      <c r="T880" s="2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2.75" customHeight="1" x14ac:dyDescent="0.25">
      <c r="A881" s="2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2"/>
      <c r="P881" s="1"/>
      <c r="Q881" s="1"/>
      <c r="R881" s="1"/>
      <c r="S881" s="1"/>
      <c r="T881" s="2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2.75" customHeight="1" x14ac:dyDescent="0.25">
      <c r="A882" s="2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2"/>
      <c r="P882" s="1"/>
      <c r="Q882" s="1"/>
      <c r="R882" s="1"/>
      <c r="S882" s="1"/>
      <c r="T882" s="2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2.75" customHeight="1" x14ac:dyDescent="0.25">
      <c r="A883" s="2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2"/>
      <c r="P883" s="1"/>
      <c r="Q883" s="1"/>
      <c r="R883" s="1"/>
      <c r="S883" s="1"/>
      <c r="T883" s="2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2.75" customHeight="1" x14ac:dyDescent="0.25">
      <c r="A884" s="2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2"/>
      <c r="P884" s="1"/>
      <c r="Q884" s="1"/>
      <c r="R884" s="1"/>
      <c r="S884" s="1"/>
      <c r="T884" s="2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2.75" customHeight="1" x14ac:dyDescent="0.25">
      <c r="A885" s="2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2"/>
      <c r="P885" s="1"/>
      <c r="Q885" s="1"/>
      <c r="R885" s="1"/>
      <c r="S885" s="1"/>
      <c r="T885" s="2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2.75" customHeight="1" x14ac:dyDescent="0.25">
      <c r="A886" s="2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2"/>
      <c r="P886" s="1"/>
      <c r="Q886" s="1"/>
      <c r="R886" s="1"/>
      <c r="S886" s="1"/>
      <c r="T886" s="2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2.75" customHeight="1" x14ac:dyDescent="0.25">
      <c r="A887" s="2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2"/>
      <c r="P887" s="1"/>
      <c r="Q887" s="1"/>
      <c r="R887" s="1"/>
      <c r="S887" s="1"/>
      <c r="T887" s="2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2.75" customHeight="1" x14ac:dyDescent="0.25">
      <c r="A888" s="2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2"/>
      <c r="P888" s="1"/>
      <c r="Q888" s="1"/>
      <c r="R888" s="1"/>
      <c r="S888" s="1"/>
      <c r="T888" s="2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2.75" customHeight="1" x14ac:dyDescent="0.25">
      <c r="A889" s="2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2"/>
      <c r="P889" s="1"/>
      <c r="Q889" s="1"/>
      <c r="R889" s="1"/>
      <c r="S889" s="1"/>
      <c r="T889" s="2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2.75" customHeight="1" x14ac:dyDescent="0.25">
      <c r="A890" s="2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2"/>
      <c r="P890" s="1"/>
      <c r="Q890" s="1"/>
      <c r="R890" s="1"/>
      <c r="S890" s="1"/>
      <c r="T890" s="2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2.75" customHeight="1" x14ac:dyDescent="0.25">
      <c r="A891" s="2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2"/>
      <c r="P891" s="1"/>
      <c r="Q891" s="1"/>
      <c r="R891" s="1"/>
      <c r="S891" s="1"/>
      <c r="T891" s="2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2.75" customHeight="1" x14ac:dyDescent="0.25">
      <c r="A892" s="2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2"/>
      <c r="P892" s="1"/>
      <c r="Q892" s="1"/>
      <c r="R892" s="1"/>
      <c r="S892" s="1"/>
      <c r="T892" s="2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2.75" customHeight="1" x14ac:dyDescent="0.25">
      <c r="A893" s="2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2"/>
      <c r="P893" s="1"/>
      <c r="Q893" s="1"/>
      <c r="R893" s="1"/>
      <c r="S893" s="1"/>
      <c r="T893" s="2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2.75" customHeight="1" x14ac:dyDescent="0.25">
      <c r="A894" s="2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2"/>
      <c r="P894" s="1"/>
      <c r="Q894" s="1"/>
      <c r="R894" s="1"/>
      <c r="S894" s="1"/>
      <c r="T894" s="2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2.75" customHeight="1" x14ac:dyDescent="0.25">
      <c r="A895" s="2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2"/>
      <c r="P895" s="1"/>
      <c r="Q895" s="1"/>
      <c r="R895" s="1"/>
      <c r="S895" s="1"/>
      <c r="T895" s="2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2.75" customHeight="1" x14ac:dyDescent="0.25">
      <c r="A896" s="2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2"/>
      <c r="P896" s="1"/>
      <c r="Q896" s="1"/>
      <c r="R896" s="1"/>
      <c r="S896" s="1"/>
      <c r="T896" s="2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2.75" customHeight="1" x14ac:dyDescent="0.25">
      <c r="A897" s="2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2"/>
      <c r="P897" s="1"/>
      <c r="Q897" s="1"/>
      <c r="R897" s="1"/>
      <c r="S897" s="1"/>
      <c r="T897" s="2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2.75" customHeight="1" x14ac:dyDescent="0.25">
      <c r="A898" s="2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2"/>
      <c r="P898" s="1"/>
      <c r="Q898" s="1"/>
      <c r="R898" s="1"/>
      <c r="S898" s="1"/>
      <c r="T898" s="2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2.75" customHeight="1" x14ac:dyDescent="0.25">
      <c r="A899" s="2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2"/>
      <c r="P899" s="1"/>
      <c r="Q899" s="1"/>
      <c r="R899" s="1"/>
      <c r="S899" s="1"/>
      <c r="T899" s="2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2.75" customHeight="1" x14ac:dyDescent="0.25">
      <c r="A900" s="2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2"/>
      <c r="P900" s="1"/>
      <c r="Q900" s="1"/>
      <c r="R900" s="1"/>
      <c r="S900" s="1"/>
      <c r="T900" s="2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2.75" customHeight="1" x14ac:dyDescent="0.25">
      <c r="A901" s="2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2"/>
      <c r="P901" s="1"/>
      <c r="Q901" s="1"/>
      <c r="R901" s="1"/>
      <c r="S901" s="1"/>
      <c r="T901" s="2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2.75" customHeight="1" x14ac:dyDescent="0.25">
      <c r="A902" s="2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2"/>
      <c r="P902" s="1"/>
      <c r="Q902" s="1"/>
      <c r="R902" s="1"/>
      <c r="S902" s="1"/>
      <c r="T902" s="2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2.75" customHeight="1" x14ac:dyDescent="0.25">
      <c r="A903" s="2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2"/>
      <c r="P903" s="1"/>
      <c r="Q903" s="1"/>
      <c r="R903" s="1"/>
      <c r="S903" s="1"/>
      <c r="T903" s="2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2.75" customHeight="1" x14ac:dyDescent="0.25">
      <c r="A904" s="2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2"/>
      <c r="P904" s="1"/>
      <c r="Q904" s="1"/>
      <c r="R904" s="1"/>
      <c r="S904" s="1"/>
      <c r="T904" s="2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2.75" customHeight="1" x14ac:dyDescent="0.25">
      <c r="A905" s="2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2"/>
      <c r="P905" s="1"/>
      <c r="Q905" s="1"/>
      <c r="R905" s="1"/>
      <c r="S905" s="1"/>
      <c r="T905" s="2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2.75" customHeight="1" x14ac:dyDescent="0.25">
      <c r="A906" s="2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2"/>
      <c r="P906" s="1"/>
      <c r="Q906" s="1"/>
      <c r="R906" s="1"/>
      <c r="S906" s="1"/>
      <c r="T906" s="2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2.75" customHeight="1" x14ac:dyDescent="0.25">
      <c r="A907" s="2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2"/>
      <c r="P907" s="1"/>
      <c r="Q907" s="1"/>
      <c r="R907" s="1"/>
      <c r="S907" s="1"/>
      <c r="T907" s="2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2.75" customHeight="1" x14ac:dyDescent="0.25">
      <c r="A908" s="2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2"/>
      <c r="P908" s="1"/>
      <c r="Q908" s="1"/>
      <c r="R908" s="1"/>
      <c r="S908" s="1"/>
      <c r="T908" s="2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2.75" customHeight="1" x14ac:dyDescent="0.25">
      <c r="A909" s="2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2"/>
      <c r="P909" s="1"/>
      <c r="Q909" s="1"/>
      <c r="R909" s="1"/>
      <c r="S909" s="1"/>
      <c r="T909" s="2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2.75" customHeight="1" x14ac:dyDescent="0.25">
      <c r="A910" s="2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2"/>
      <c r="P910" s="1"/>
      <c r="Q910" s="1"/>
      <c r="R910" s="1"/>
      <c r="S910" s="1"/>
      <c r="T910" s="2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2.75" customHeight="1" x14ac:dyDescent="0.25">
      <c r="A911" s="2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2"/>
      <c r="P911" s="1"/>
      <c r="Q911" s="1"/>
      <c r="R911" s="1"/>
      <c r="S911" s="1"/>
      <c r="T911" s="2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2.75" customHeight="1" x14ac:dyDescent="0.25">
      <c r="A912" s="2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2"/>
      <c r="P912" s="1"/>
      <c r="Q912" s="1"/>
      <c r="R912" s="1"/>
      <c r="S912" s="1"/>
      <c r="T912" s="2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2.75" customHeight="1" x14ac:dyDescent="0.25">
      <c r="A913" s="2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2"/>
      <c r="P913" s="1"/>
      <c r="Q913" s="1"/>
      <c r="R913" s="1"/>
      <c r="S913" s="1"/>
      <c r="T913" s="2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2.75" customHeight="1" x14ac:dyDescent="0.25">
      <c r="A914" s="2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2"/>
      <c r="P914" s="1"/>
      <c r="Q914" s="1"/>
      <c r="R914" s="1"/>
      <c r="S914" s="1"/>
      <c r="T914" s="2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2.75" customHeight="1" x14ac:dyDescent="0.25">
      <c r="A915" s="2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2"/>
      <c r="P915" s="1"/>
      <c r="Q915" s="1"/>
      <c r="R915" s="1"/>
      <c r="S915" s="1"/>
      <c r="T915" s="2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2.75" customHeight="1" x14ac:dyDescent="0.25">
      <c r="A916" s="2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2"/>
      <c r="P916" s="1"/>
      <c r="Q916" s="1"/>
      <c r="R916" s="1"/>
      <c r="S916" s="1"/>
      <c r="T916" s="2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2.75" customHeight="1" x14ac:dyDescent="0.25">
      <c r="A917" s="2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2"/>
      <c r="P917" s="1"/>
      <c r="Q917" s="1"/>
      <c r="R917" s="1"/>
      <c r="S917" s="1"/>
      <c r="T917" s="2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2.75" customHeight="1" x14ac:dyDescent="0.25">
      <c r="A918" s="2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2"/>
      <c r="P918" s="1"/>
      <c r="Q918" s="1"/>
      <c r="R918" s="1"/>
      <c r="S918" s="1"/>
      <c r="T918" s="2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2.75" customHeight="1" x14ac:dyDescent="0.25">
      <c r="A919" s="2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2"/>
      <c r="P919" s="1"/>
      <c r="Q919" s="1"/>
      <c r="R919" s="1"/>
      <c r="S919" s="1"/>
      <c r="T919" s="2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2.75" customHeight="1" x14ac:dyDescent="0.25">
      <c r="A920" s="2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2"/>
      <c r="P920" s="1"/>
      <c r="Q920" s="1"/>
      <c r="R920" s="1"/>
      <c r="S920" s="1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2.75" customHeight="1" x14ac:dyDescent="0.25">
      <c r="A921" s="2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2"/>
      <c r="P921" s="1"/>
      <c r="Q921" s="1"/>
      <c r="R921" s="1"/>
      <c r="S921" s="1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2.75" customHeight="1" x14ac:dyDescent="0.25">
      <c r="A922" s="2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2"/>
      <c r="P922" s="1"/>
      <c r="Q922" s="1"/>
      <c r="R922" s="1"/>
      <c r="S922" s="1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2.75" customHeight="1" x14ac:dyDescent="0.25">
      <c r="A923" s="2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2"/>
      <c r="P923" s="1"/>
      <c r="Q923" s="1"/>
      <c r="R923" s="1"/>
      <c r="S923" s="1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2.75" customHeight="1" x14ac:dyDescent="0.25">
      <c r="A924" s="2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2"/>
      <c r="P924" s="1"/>
      <c r="Q924" s="1"/>
      <c r="R924" s="1"/>
      <c r="S924" s="1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2.75" customHeight="1" x14ac:dyDescent="0.25">
      <c r="A925" s="2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2"/>
      <c r="P925" s="1"/>
      <c r="Q925" s="1"/>
      <c r="R925" s="1"/>
      <c r="S925" s="1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2.75" customHeight="1" x14ac:dyDescent="0.25">
      <c r="A926" s="2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2"/>
      <c r="P926" s="1"/>
      <c r="Q926" s="1"/>
      <c r="R926" s="1"/>
      <c r="S926" s="1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2.75" customHeight="1" x14ac:dyDescent="0.25">
      <c r="A927" s="2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2"/>
      <c r="P927" s="1"/>
      <c r="Q927" s="1"/>
      <c r="R927" s="1"/>
      <c r="S927" s="1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2.75" customHeight="1" x14ac:dyDescent="0.25">
      <c r="A928" s="2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2"/>
      <c r="P928" s="1"/>
      <c r="Q928" s="1"/>
      <c r="R928" s="1"/>
      <c r="S928" s="1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2.75" customHeight="1" x14ac:dyDescent="0.25">
      <c r="A929" s="2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2"/>
      <c r="P929" s="1"/>
      <c r="Q929" s="1"/>
      <c r="R929" s="1"/>
      <c r="S929" s="1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2.75" customHeight="1" x14ac:dyDescent="0.25">
      <c r="A930" s="2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2"/>
      <c r="P930" s="1"/>
      <c r="Q930" s="1"/>
      <c r="R930" s="1"/>
      <c r="S930" s="1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2.75" customHeight="1" x14ac:dyDescent="0.25">
      <c r="A931" s="2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2"/>
      <c r="P931" s="1"/>
      <c r="Q931" s="1"/>
      <c r="R931" s="1"/>
      <c r="S931" s="1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2.75" customHeight="1" x14ac:dyDescent="0.25">
      <c r="A932" s="2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2"/>
      <c r="P932" s="1"/>
      <c r="Q932" s="1"/>
      <c r="R932" s="1"/>
      <c r="S932" s="1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2.75" customHeight="1" x14ac:dyDescent="0.25">
      <c r="A933" s="2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2"/>
      <c r="P933" s="1"/>
      <c r="Q933" s="1"/>
      <c r="R933" s="1"/>
      <c r="S933" s="1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2.75" customHeight="1" x14ac:dyDescent="0.25">
      <c r="A934" s="2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2"/>
      <c r="P934" s="1"/>
      <c r="Q934" s="1"/>
      <c r="R934" s="1"/>
      <c r="S934" s="1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2.75" customHeight="1" x14ac:dyDescent="0.25">
      <c r="A935" s="2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2"/>
      <c r="P935" s="1"/>
      <c r="Q935" s="1"/>
      <c r="R935" s="1"/>
      <c r="S935" s="1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2.75" customHeight="1" x14ac:dyDescent="0.25">
      <c r="A936" s="2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2"/>
      <c r="P936" s="1"/>
      <c r="Q936" s="1"/>
      <c r="R936" s="1"/>
      <c r="S936" s="1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2.75" customHeight="1" x14ac:dyDescent="0.25">
      <c r="A937" s="2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2"/>
      <c r="P937" s="1"/>
      <c r="Q937" s="1"/>
      <c r="R937" s="1"/>
      <c r="S937" s="1"/>
      <c r="T937" s="2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2.75" customHeight="1" x14ac:dyDescent="0.25">
      <c r="A938" s="2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2"/>
      <c r="P938" s="1"/>
      <c r="Q938" s="1"/>
      <c r="R938" s="1"/>
      <c r="S938" s="1"/>
      <c r="T938" s="2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2.75" customHeight="1" x14ac:dyDescent="0.25">
      <c r="A939" s="2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2"/>
      <c r="P939" s="1"/>
      <c r="Q939" s="1"/>
      <c r="R939" s="1"/>
      <c r="S939" s="1"/>
      <c r="T939" s="2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2.75" customHeight="1" x14ac:dyDescent="0.25">
      <c r="A940" s="2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2"/>
      <c r="P940" s="1"/>
      <c r="Q940" s="1"/>
      <c r="R940" s="1"/>
      <c r="S940" s="1"/>
      <c r="T940" s="2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2.75" customHeight="1" x14ac:dyDescent="0.25">
      <c r="A941" s="2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2"/>
      <c r="P941" s="1"/>
      <c r="Q941" s="1"/>
      <c r="R941" s="1"/>
      <c r="S941" s="1"/>
      <c r="T941" s="2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2.75" customHeight="1" x14ac:dyDescent="0.25">
      <c r="A942" s="2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2"/>
      <c r="P942" s="1"/>
      <c r="Q942" s="1"/>
      <c r="R942" s="1"/>
      <c r="S942" s="1"/>
      <c r="T942" s="2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2.75" customHeight="1" x14ac:dyDescent="0.25">
      <c r="A943" s="2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2"/>
      <c r="P943" s="1"/>
      <c r="Q943" s="1"/>
      <c r="R943" s="1"/>
      <c r="S943" s="1"/>
      <c r="T943" s="2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2.75" customHeight="1" x14ac:dyDescent="0.25">
      <c r="A944" s="2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2"/>
      <c r="P944" s="1"/>
      <c r="Q944" s="1"/>
      <c r="R944" s="1"/>
      <c r="S944" s="1"/>
      <c r="T944" s="2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2.75" customHeight="1" x14ac:dyDescent="0.25">
      <c r="A945" s="2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2"/>
      <c r="P945" s="1"/>
      <c r="Q945" s="1"/>
      <c r="R945" s="1"/>
      <c r="S945" s="1"/>
      <c r="T945" s="2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2.75" customHeight="1" x14ac:dyDescent="0.25">
      <c r="A946" s="2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2"/>
      <c r="P946" s="1"/>
      <c r="Q946" s="1"/>
      <c r="R946" s="1"/>
      <c r="S946" s="1"/>
      <c r="T946" s="2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2.75" customHeight="1" x14ac:dyDescent="0.25">
      <c r="A947" s="2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2"/>
      <c r="P947" s="1"/>
      <c r="Q947" s="1"/>
      <c r="R947" s="1"/>
      <c r="S947" s="1"/>
      <c r="T947" s="2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2.75" customHeight="1" x14ac:dyDescent="0.25">
      <c r="A948" s="2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2"/>
      <c r="P948" s="1"/>
      <c r="Q948" s="1"/>
      <c r="R948" s="1"/>
      <c r="S948" s="1"/>
      <c r="T948" s="2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2.75" customHeight="1" x14ac:dyDescent="0.25">
      <c r="A949" s="2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2"/>
      <c r="P949" s="1"/>
      <c r="Q949" s="1"/>
      <c r="R949" s="1"/>
      <c r="S949" s="1"/>
      <c r="T949" s="2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2.75" customHeight="1" x14ac:dyDescent="0.25">
      <c r="A950" s="2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2"/>
      <c r="P950" s="1"/>
      <c r="Q950" s="1"/>
      <c r="R950" s="1"/>
      <c r="S950" s="1"/>
      <c r="T950" s="2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2.75" customHeight="1" x14ac:dyDescent="0.25">
      <c r="A951" s="2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2"/>
      <c r="P951" s="1"/>
      <c r="Q951" s="1"/>
      <c r="R951" s="1"/>
      <c r="S951" s="1"/>
      <c r="T951" s="2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2.75" customHeight="1" x14ac:dyDescent="0.25">
      <c r="A952" s="2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2"/>
      <c r="P952" s="1"/>
      <c r="Q952" s="1"/>
      <c r="R952" s="1"/>
      <c r="S952" s="1"/>
      <c r="T952" s="2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2.75" customHeight="1" x14ac:dyDescent="0.25">
      <c r="A953" s="2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2"/>
      <c r="P953" s="1"/>
      <c r="Q953" s="1"/>
      <c r="R953" s="1"/>
      <c r="S953" s="1"/>
      <c r="T953" s="2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2.75" customHeight="1" x14ac:dyDescent="0.25">
      <c r="A954" s="2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2"/>
      <c r="P954" s="1"/>
      <c r="Q954" s="1"/>
      <c r="R954" s="1"/>
      <c r="S954" s="1"/>
      <c r="T954" s="2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2.75" customHeight="1" x14ac:dyDescent="0.25">
      <c r="A955" s="2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2"/>
      <c r="P955" s="1"/>
      <c r="Q955" s="1"/>
      <c r="R955" s="1"/>
      <c r="S955" s="1"/>
      <c r="T955" s="2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2.75" customHeight="1" x14ac:dyDescent="0.25">
      <c r="A956" s="2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2"/>
      <c r="P956" s="1"/>
      <c r="Q956" s="1"/>
      <c r="R956" s="1"/>
      <c r="S956" s="1"/>
      <c r="T956" s="2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2.75" customHeight="1" x14ac:dyDescent="0.25">
      <c r="A957" s="2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2"/>
      <c r="P957" s="1"/>
      <c r="Q957" s="1"/>
      <c r="R957" s="1"/>
      <c r="S957" s="1"/>
      <c r="T957" s="2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2.75" customHeight="1" x14ac:dyDescent="0.25">
      <c r="A958" s="2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2"/>
      <c r="P958" s="1"/>
      <c r="Q958" s="1"/>
      <c r="R958" s="1"/>
      <c r="S958" s="1"/>
      <c r="T958" s="2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2.75" customHeight="1" x14ac:dyDescent="0.25">
      <c r="A959" s="2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2"/>
      <c r="P959" s="1"/>
      <c r="Q959" s="1"/>
      <c r="R959" s="1"/>
      <c r="S959" s="1"/>
      <c r="T959" s="2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2.75" customHeight="1" x14ac:dyDescent="0.25">
      <c r="A960" s="2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2"/>
      <c r="P960" s="1"/>
      <c r="Q960" s="1"/>
      <c r="R960" s="1"/>
      <c r="S960" s="1"/>
      <c r="T960" s="2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2.75" customHeight="1" x14ac:dyDescent="0.25">
      <c r="A961" s="2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2"/>
      <c r="P961" s="1"/>
      <c r="Q961" s="1"/>
      <c r="R961" s="1"/>
      <c r="S961" s="1"/>
      <c r="T961" s="2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2.75" customHeight="1" x14ac:dyDescent="0.25">
      <c r="A962" s="2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2"/>
      <c r="P962" s="1"/>
      <c r="Q962" s="1"/>
      <c r="R962" s="1"/>
      <c r="S962" s="1"/>
      <c r="T962" s="2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2.75" customHeight="1" x14ac:dyDescent="0.25">
      <c r="A963" s="2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2"/>
      <c r="P963" s="1"/>
      <c r="Q963" s="1"/>
      <c r="R963" s="1"/>
      <c r="S963" s="1"/>
      <c r="T963" s="2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2.75" customHeight="1" x14ac:dyDescent="0.25">
      <c r="A964" s="2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2"/>
      <c r="P964" s="1"/>
      <c r="Q964" s="1"/>
      <c r="R964" s="1"/>
      <c r="S964" s="1"/>
      <c r="T964" s="2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2.75" customHeight="1" x14ac:dyDescent="0.25">
      <c r="A965" s="2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2"/>
      <c r="P965" s="1"/>
      <c r="Q965" s="1"/>
      <c r="R965" s="1"/>
      <c r="S965" s="1"/>
      <c r="T965" s="2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2.75" customHeight="1" x14ac:dyDescent="0.25">
      <c r="A966" s="2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2"/>
      <c r="P966" s="1"/>
      <c r="Q966" s="1"/>
      <c r="R966" s="1"/>
      <c r="S966" s="1"/>
      <c r="T966" s="2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2.75" customHeight="1" x14ac:dyDescent="0.25">
      <c r="A967" s="2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2"/>
      <c r="P967" s="1"/>
      <c r="Q967" s="1"/>
      <c r="R967" s="1"/>
      <c r="S967" s="1"/>
      <c r="T967" s="2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2.75" customHeight="1" x14ac:dyDescent="0.25">
      <c r="A968" s="2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2"/>
      <c r="P968" s="1"/>
      <c r="Q968" s="1"/>
      <c r="R968" s="1"/>
      <c r="S968" s="1"/>
      <c r="T968" s="2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2.75" customHeight="1" x14ac:dyDescent="0.25">
      <c r="A969" s="2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2"/>
      <c r="P969" s="1"/>
      <c r="Q969" s="1"/>
      <c r="R969" s="1"/>
      <c r="S969" s="1"/>
      <c r="T969" s="2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2.75" customHeight="1" x14ac:dyDescent="0.25">
      <c r="A970" s="2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2"/>
      <c r="P970" s="1"/>
      <c r="Q970" s="1"/>
      <c r="R970" s="1"/>
      <c r="S970" s="1"/>
      <c r="T970" s="2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2.75" customHeight="1" x14ac:dyDescent="0.25">
      <c r="A971" s="2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2"/>
      <c r="P971" s="1"/>
      <c r="Q971" s="1"/>
      <c r="R971" s="1"/>
      <c r="S971" s="1"/>
      <c r="T971" s="2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2.75" customHeight="1" x14ac:dyDescent="0.25">
      <c r="A972" s="2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2"/>
      <c r="P972" s="1"/>
      <c r="Q972" s="1"/>
      <c r="R972" s="1"/>
      <c r="S972" s="1"/>
      <c r="T972" s="2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2.75" customHeight="1" x14ac:dyDescent="0.25">
      <c r="A973" s="2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2"/>
      <c r="P973" s="1"/>
      <c r="Q973" s="1"/>
      <c r="R973" s="1"/>
      <c r="S973" s="1"/>
      <c r="T973" s="2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2.75" customHeight="1" x14ac:dyDescent="0.25">
      <c r="A974" s="2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2"/>
      <c r="P974" s="1"/>
      <c r="Q974" s="1"/>
      <c r="R974" s="1"/>
      <c r="S974" s="1"/>
      <c r="T974" s="2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2.75" customHeight="1" x14ac:dyDescent="0.25">
      <c r="A975" s="2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2"/>
      <c r="P975" s="1"/>
      <c r="Q975" s="1"/>
      <c r="R975" s="1"/>
      <c r="S975" s="1"/>
      <c r="T975" s="2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2.75" customHeight="1" x14ac:dyDescent="0.25">
      <c r="A976" s="2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2"/>
      <c r="P976" s="1"/>
      <c r="Q976" s="1"/>
      <c r="R976" s="1"/>
      <c r="S976" s="1"/>
      <c r="T976" s="2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2.75" customHeight="1" x14ac:dyDescent="0.25">
      <c r="A977" s="2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2"/>
      <c r="P977" s="1"/>
      <c r="Q977" s="1"/>
      <c r="R977" s="1"/>
      <c r="S977" s="1"/>
      <c r="T977" s="2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2.75" customHeight="1" x14ac:dyDescent="0.25">
      <c r="A978" s="2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2"/>
      <c r="P978" s="1"/>
      <c r="Q978" s="1"/>
      <c r="R978" s="1"/>
      <c r="S978" s="1"/>
      <c r="T978" s="2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2.75" customHeight="1" x14ac:dyDescent="0.25">
      <c r="A979" s="2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2"/>
      <c r="P979" s="1"/>
      <c r="Q979" s="1"/>
      <c r="R979" s="1"/>
      <c r="S979" s="1"/>
      <c r="T979" s="2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2.75" customHeight="1" x14ac:dyDescent="0.25">
      <c r="A980" s="2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2"/>
      <c r="P980" s="1"/>
      <c r="Q980" s="1"/>
      <c r="R980" s="1"/>
      <c r="S980" s="1"/>
      <c r="T980" s="2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2.75" customHeight="1" x14ac:dyDescent="0.25">
      <c r="A981" s="2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2"/>
      <c r="P981" s="1"/>
      <c r="Q981" s="1"/>
      <c r="R981" s="1"/>
      <c r="S981" s="1"/>
      <c r="T981" s="2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2.75" customHeight="1" x14ac:dyDescent="0.25">
      <c r="A982" s="2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2"/>
      <c r="P982" s="1"/>
      <c r="Q982" s="1"/>
      <c r="R982" s="1"/>
      <c r="S982" s="1"/>
      <c r="T982" s="2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2.75" customHeight="1" x14ac:dyDescent="0.25">
      <c r="A983" s="2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2"/>
      <c r="P983" s="1"/>
      <c r="Q983" s="1"/>
      <c r="R983" s="1"/>
      <c r="S983" s="1"/>
      <c r="T983" s="2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2.75" customHeight="1" x14ac:dyDescent="0.25">
      <c r="A984" s="2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2"/>
      <c r="P984" s="1"/>
      <c r="Q984" s="1"/>
      <c r="R984" s="1"/>
      <c r="S984" s="1"/>
      <c r="T984" s="2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2.75" customHeight="1" x14ac:dyDescent="0.25">
      <c r="A985" s="2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2"/>
      <c r="P985" s="1"/>
      <c r="Q985" s="1"/>
      <c r="R985" s="1"/>
      <c r="S985" s="1"/>
      <c r="T985" s="2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2.75" customHeight="1" x14ac:dyDescent="0.25">
      <c r="A986" s="2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2"/>
      <c r="P986" s="1"/>
      <c r="Q986" s="1"/>
      <c r="R986" s="1"/>
      <c r="S986" s="1"/>
      <c r="T986" s="2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2.75" customHeight="1" x14ac:dyDescent="0.25">
      <c r="A987" s="2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2"/>
      <c r="P987" s="1"/>
      <c r="Q987" s="1"/>
      <c r="R987" s="1"/>
      <c r="S987" s="1"/>
      <c r="T987" s="2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2.75" customHeight="1" x14ac:dyDescent="0.25">
      <c r="A988" s="2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2"/>
      <c r="P988" s="1"/>
      <c r="Q988" s="1"/>
      <c r="R988" s="1"/>
      <c r="S988" s="1"/>
      <c r="T988" s="2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2.75" customHeight="1" x14ac:dyDescent="0.25">
      <c r="A989" s="2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2"/>
      <c r="P989" s="1"/>
      <c r="Q989" s="1"/>
      <c r="R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2.75" customHeight="1" x14ac:dyDescent="0.25">
      <c r="A990" s="2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2"/>
      <c r="P990" s="1"/>
      <c r="Q990" s="1"/>
      <c r="R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2.75" customHeight="1" x14ac:dyDescent="0.25">
      <c r="A991" s="2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2"/>
      <c r="P991" s="1"/>
      <c r="Q991" s="1"/>
      <c r="R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2.75" customHeight="1" x14ac:dyDescent="0.25">
      <c r="A992" s="2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2"/>
      <c r="P992" s="1"/>
      <c r="Q992" s="1"/>
      <c r="R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2.75" customHeight="1" x14ac:dyDescent="0.25">
      <c r="A993" s="2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2"/>
      <c r="P993" s="1"/>
      <c r="Q993" s="1"/>
      <c r="R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</sheetData>
  <mergeCells count="8">
    <mergeCell ref="A54:F54"/>
    <mergeCell ref="N3:N24"/>
    <mergeCell ref="G2:K2"/>
    <mergeCell ref="A2:E2"/>
    <mergeCell ref="A1:U1"/>
    <mergeCell ref="N40:N43"/>
    <mergeCell ref="A53:F53"/>
    <mergeCell ref="N26:N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"/>
  <sheetViews>
    <sheetView workbookViewId="0">
      <selection activeCell="F10" sqref="F10"/>
    </sheetView>
  </sheetViews>
  <sheetFormatPr defaultRowHeight="12.75" x14ac:dyDescent="0.25"/>
  <cols>
    <col min="1" max="1" width="18.28515625" style="97" bestFit="1" customWidth="1"/>
    <col min="2" max="2" width="12.140625" style="97" bestFit="1" customWidth="1"/>
    <col min="3" max="3" width="7" style="97" bestFit="1" customWidth="1"/>
    <col min="4" max="4" width="11.42578125" style="97" bestFit="1" customWidth="1"/>
    <col min="5" max="5" width="10.5703125" style="97" bestFit="1" customWidth="1"/>
    <col min="6" max="6" width="8.7109375" style="97" bestFit="1" customWidth="1"/>
    <col min="7" max="7" width="15.140625" style="97" bestFit="1" customWidth="1"/>
    <col min="8" max="8" width="1.85546875" style="106" customWidth="1"/>
    <col min="9" max="9" width="18.28515625" style="97" bestFit="1" customWidth="1"/>
    <col min="10" max="10" width="12.5703125" style="97" bestFit="1" customWidth="1"/>
    <col min="11" max="11" width="7" style="97" bestFit="1" customWidth="1"/>
    <col min="12" max="12" width="11.42578125" style="97" bestFit="1" customWidth="1"/>
    <col min="13" max="13" width="12.5703125" style="97" bestFit="1" customWidth="1"/>
    <col min="14" max="14" width="11" style="97" bestFit="1" customWidth="1"/>
    <col min="15" max="15" width="15.140625" style="97" bestFit="1" customWidth="1"/>
    <col min="16" max="16384" width="9.140625" style="97"/>
  </cols>
  <sheetData>
    <row r="1" spans="1:16" x14ac:dyDescent="0.25">
      <c r="A1" s="107" t="str">
        <f>RTD("rtdtrading.rtdserver",, "T&amp;T1", "INFO", "ATV")</f>
        <v>INDFUT</v>
      </c>
      <c r="B1" s="108" t="str">
        <f>RTD("rtdtrading.rtdserver",, "T&amp;T1", "INFO", "TAB")</f>
        <v>Negócios</v>
      </c>
      <c r="C1" s="108"/>
      <c r="D1" s="108"/>
      <c r="E1" s="108"/>
      <c r="F1" s="108"/>
      <c r="G1" s="109"/>
      <c r="H1" s="94"/>
      <c r="I1" s="95" t="str">
        <f>RTD("rtdtrading.rtdserver",, "T&amp;T0", "INFO", "ATV")</f>
        <v>WINFUT</v>
      </c>
      <c r="J1" s="92" t="str">
        <f>RTD("rtdtrading.rtdserver",, "T&amp;T0", "INFO", "TAB")</f>
        <v>Negócios</v>
      </c>
      <c r="K1" s="92"/>
      <c r="L1" s="92"/>
      <c r="M1" s="92"/>
      <c r="N1" s="92"/>
      <c r="O1" s="93"/>
      <c r="P1" s="96"/>
    </row>
    <row r="2" spans="1:16" x14ac:dyDescent="0.25">
      <c r="A2" s="110" t="s">
        <v>37</v>
      </c>
      <c r="B2" s="111" t="s">
        <v>38</v>
      </c>
      <c r="C2" s="111" t="s">
        <v>39</v>
      </c>
      <c r="D2" s="111" t="s">
        <v>40</v>
      </c>
      <c r="E2" s="111" t="s">
        <v>41</v>
      </c>
      <c r="F2" s="111" t="s">
        <v>42</v>
      </c>
      <c r="G2" s="112" t="s">
        <v>43</v>
      </c>
      <c r="H2" s="94"/>
      <c r="I2" s="110" t="s">
        <v>37</v>
      </c>
      <c r="J2" s="111" t="s">
        <v>38</v>
      </c>
      <c r="K2" s="111" t="s">
        <v>39</v>
      </c>
      <c r="L2" s="111" t="s">
        <v>40</v>
      </c>
      <c r="M2" s="111" t="s">
        <v>41</v>
      </c>
      <c r="N2" s="111" t="s">
        <v>42</v>
      </c>
      <c r="O2" s="112" t="s">
        <v>43</v>
      </c>
      <c r="P2" s="96"/>
    </row>
    <row r="3" spans="1:16" x14ac:dyDescent="0.25">
      <c r="A3" s="98" t="str">
        <f>RTD("rtdtrading.rtdserver",, "T&amp;T1", "DAT", 0)</f>
        <v>-</v>
      </c>
      <c r="B3" s="99" t="str">
        <f>RTD("rtdtrading.rtdserver",, "T&amp;T1", "ACP", 0)</f>
        <v>-</v>
      </c>
      <c r="C3" s="99">
        <f>RTD("rtdtrading.rtdserver",, "T&amp;T1", "PRE", 0)</f>
        <v>0</v>
      </c>
      <c r="D3" s="99">
        <f>RTD("rtdtrading.rtdserver",, "T&amp;T1", "QUL", 0)</f>
        <v>0</v>
      </c>
      <c r="E3" s="99" t="str">
        <f>RTD("rtdtrading.rtdserver",, "T&amp;T1", "AVD", 0)</f>
        <v>-</v>
      </c>
      <c r="F3" s="99" t="str">
        <f>RTD("rtdtrading.rtdserver",, "T&amp;T1", "AGR", 0)</f>
        <v>-</v>
      </c>
      <c r="G3" s="100" t="str">
        <f>RTD("rtdtrading.rtdserver",, "T&amp;T1", "AGAG", 0)</f>
        <v>-</v>
      </c>
      <c r="H3" s="94"/>
      <c r="I3" s="98" t="str">
        <f>RTD("rtdtrading.rtdserver",, "T&amp;T0", "DAT", 0)</f>
        <v>-</v>
      </c>
      <c r="J3" s="99" t="str">
        <f>RTD("rtdtrading.rtdserver",, "T&amp;T0", "ACP", 0)</f>
        <v>-</v>
      </c>
      <c r="K3" s="99">
        <f>RTD("rtdtrading.rtdserver",, "T&amp;T0", "PRE", 0)</f>
        <v>0</v>
      </c>
      <c r="L3" s="99">
        <f>RTD("rtdtrading.rtdserver",, "T&amp;T0", "QUL", 0)</f>
        <v>0</v>
      </c>
      <c r="M3" s="99" t="str">
        <f>RTD("rtdtrading.rtdserver",, "T&amp;T0", "AVD", 0)</f>
        <v>-</v>
      </c>
      <c r="N3" s="99" t="str">
        <f>RTD("rtdtrading.rtdserver",, "T&amp;T0", "AGR", 0)</f>
        <v>-</v>
      </c>
      <c r="O3" s="100" t="str">
        <f>RTD("rtdtrading.rtdserver",, "T&amp;T0", "AGAG", 0)</f>
        <v>-</v>
      </c>
      <c r="P3" s="96"/>
    </row>
    <row r="4" spans="1:16" x14ac:dyDescent="0.25">
      <c r="A4" s="101" t="str">
        <f>RTD("rtdtrading.rtdserver",, "T&amp;T1", "DAT", 1)</f>
        <v>-</v>
      </c>
      <c r="B4" s="97" t="str">
        <f>RTD("rtdtrading.rtdserver",, "T&amp;T1", "ACP", 1)</f>
        <v>-</v>
      </c>
      <c r="C4" s="97">
        <f>RTD("rtdtrading.rtdserver",, "T&amp;T1", "PRE", 1)</f>
        <v>0</v>
      </c>
      <c r="D4" s="97">
        <f>RTD("rtdtrading.rtdserver",, "T&amp;T1", "QUL", 1)</f>
        <v>0</v>
      </c>
      <c r="E4" s="97" t="str">
        <f>RTD("rtdtrading.rtdserver",, "T&amp;T1", "AVD", 1)</f>
        <v>-</v>
      </c>
      <c r="F4" s="97" t="str">
        <f>RTD("rtdtrading.rtdserver",, "T&amp;T1", "AGR", 1)</f>
        <v>-</v>
      </c>
      <c r="G4" s="102" t="str">
        <f>RTD("rtdtrading.rtdserver",, "T&amp;T1", "AGAG", 1)</f>
        <v>-</v>
      </c>
      <c r="H4" s="94"/>
      <c r="I4" s="101" t="str">
        <f>RTD("rtdtrading.rtdserver",, "T&amp;T0", "DAT", 1)</f>
        <v>-</v>
      </c>
      <c r="J4" s="97" t="str">
        <f>RTD("rtdtrading.rtdserver",, "T&amp;T0", "ACP", 1)</f>
        <v>-</v>
      </c>
      <c r="K4" s="97">
        <f>RTD("rtdtrading.rtdserver",, "T&amp;T0", "PRE", 1)</f>
        <v>0</v>
      </c>
      <c r="L4" s="97">
        <f>RTD("rtdtrading.rtdserver",, "T&amp;T0", "QUL", 1)</f>
        <v>0</v>
      </c>
      <c r="M4" s="97" t="str">
        <f>RTD("rtdtrading.rtdserver",, "T&amp;T0", "AVD", 1)</f>
        <v>-</v>
      </c>
      <c r="N4" s="97" t="str">
        <f>RTD("rtdtrading.rtdserver",, "T&amp;T0", "AGR", 1)</f>
        <v>-</v>
      </c>
      <c r="O4" s="102" t="str">
        <f>RTD("rtdtrading.rtdserver",, "T&amp;T0", "AGAG", 1)</f>
        <v>-</v>
      </c>
      <c r="P4" s="96"/>
    </row>
    <row r="5" spans="1:16" x14ac:dyDescent="0.25">
      <c r="A5" s="101" t="str">
        <f>RTD("rtdtrading.rtdserver",, "T&amp;T1", "DAT", 2)</f>
        <v>-</v>
      </c>
      <c r="B5" s="97" t="str">
        <f>RTD("rtdtrading.rtdserver",, "T&amp;T1", "ACP", 2)</f>
        <v>-</v>
      </c>
      <c r="C5" s="97">
        <f>RTD("rtdtrading.rtdserver",, "T&amp;T1", "PRE", 2)</f>
        <v>0</v>
      </c>
      <c r="D5" s="97">
        <f>RTD("rtdtrading.rtdserver",, "T&amp;T1", "QUL", 2)</f>
        <v>0</v>
      </c>
      <c r="E5" s="97" t="str">
        <f>RTD("rtdtrading.rtdserver",, "T&amp;T1", "AVD", 2)</f>
        <v>-</v>
      </c>
      <c r="F5" s="97" t="str">
        <f>RTD("rtdtrading.rtdserver",, "T&amp;T1", "AGR", 2)</f>
        <v>-</v>
      </c>
      <c r="G5" s="102" t="str">
        <f>RTD("rtdtrading.rtdserver",, "T&amp;T1", "AGAG", 2)</f>
        <v>-</v>
      </c>
      <c r="H5" s="94"/>
      <c r="I5" s="101" t="str">
        <f>RTD("rtdtrading.rtdserver",, "T&amp;T0", "DAT", 2)</f>
        <v>-</v>
      </c>
      <c r="J5" s="97" t="str">
        <f>RTD("rtdtrading.rtdserver",, "T&amp;T0", "ACP", 2)</f>
        <v>-</v>
      </c>
      <c r="K5" s="97">
        <f>RTD("rtdtrading.rtdserver",, "T&amp;T0", "PRE", 2)</f>
        <v>0</v>
      </c>
      <c r="L5" s="97">
        <f>RTD("rtdtrading.rtdserver",, "T&amp;T0", "QUL", 2)</f>
        <v>0</v>
      </c>
      <c r="M5" s="97" t="str">
        <f>RTD("rtdtrading.rtdserver",, "T&amp;T0", "AVD", 2)</f>
        <v>-</v>
      </c>
      <c r="N5" s="97" t="str">
        <f>RTD("rtdtrading.rtdserver",, "T&amp;T0", "AGR", 2)</f>
        <v>-</v>
      </c>
      <c r="O5" s="102" t="str">
        <f>RTD("rtdtrading.rtdserver",, "T&amp;T0", "AGAG", 2)</f>
        <v>-</v>
      </c>
      <c r="P5" s="96"/>
    </row>
    <row r="6" spans="1:16" x14ac:dyDescent="0.25">
      <c r="A6" s="101" t="str">
        <f>RTD("rtdtrading.rtdserver",, "T&amp;T1", "DAT", 3)</f>
        <v>-</v>
      </c>
      <c r="B6" s="97" t="str">
        <f>RTD("rtdtrading.rtdserver",, "T&amp;T1", "ACP", 3)</f>
        <v>-</v>
      </c>
      <c r="C6" s="97">
        <f>RTD("rtdtrading.rtdserver",, "T&amp;T1", "PRE", 3)</f>
        <v>0</v>
      </c>
      <c r="D6" s="97">
        <f>RTD("rtdtrading.rtdserver",, "T&amp;T1", "QUL", 3)</f>
        <v>0</v>
      </c>
      <c r="E6" s="97" t="str">
        <f>RTD("rtdtrading.rtdserver",, "T&amp;T1", "AVD", 3)</f>
        <v>-</v>
      </c>
      <c r="F6" s="97" t="str">
        <f>RTD("rtdtrading.rtdserver",, "T&amp;T1", "AGR", 3)</f>
        <v>-</v>
      </c>
      <c r="G6" s="102" t="str">
        <f>RTD("rtdtrading.rtdserver",, "T&amp;T1", "AGAG", 3)</f>
        <v>-</v>
      </c>
      <c r="H6" s="94"/>
      <c r="I6" s="101" t="str">
        <f>RTD("rtdtrading.rtdserver",, "T&amp;T0", "DAT", 3)</f>
        <v>-</v>
      </c>
      <c r="J6" s="97" t="str">
        <f>RTD("rtdtrading.rtdserver",, "T&amp;T0", "ACP", 3)</f>
        <v>-</v>
      </c>
      <c r="K6" s="97">
        <f>RTD("rtdtrading.rtdserver",, "T&amp;T0", "PRE", 3)</f>
        <v>0</v>
      </c>
      <c r="L6" s="97">
        <f>RTD("rtdtrading.rtdserver",, "T&amp;T0", "QUL", 3)</f>
        <v>0</v>
      </c>
      <c r="M6" s="97" t="str">
        <f>RTD("rtdtrading.rtdserver",, "T&amp;T0", "AVD", 3)</f>
        <v>-</v>
      </c>
      <c r="N6" s="97" t="str">
        <f>RTD("rtdtrading.rtdserver",, "T&amp;T0", "AGR", 3)</f>
        <v>-</v>
      </c>
      <c r="O6" s="102" t="str">
        <f>RTD("rtdtrading.rtdserver",, "T&amp;T0", "AGAG", 3)</f>
        <v>-</v>
      </c>
      <c r="P6" s="96"/>
    </row>
    <row r="7" spans="1:16" x14ac:dyDescent="0.25">
      <c r="A7" s="101" t="str">
        <f>RTD("rtdtrading.rtdserver",, "T&amp;T1", "DAT", 4)</f>
        <v>-</v>
      </c>
      <c r="B7" s="97" t="str">
        <f>RTD("rtdtrading.rtdserver",, "T&amp;T1", "ACP", 4)</f>
        <v>-</v>
      </c>
      <c r="C7" s="97">
        <f>RTD("rtdtrading.rtdserver",, "T&amp;T1", "PRE", 4)</f>
        <v>0</v>
      </c>
      <c r="D7" s="97">
        <f>RTD("rtdtrading.rtdserver",, "T&amp;T1", "QUL", 4)</f>
        <v>0</v>
      </c>
      <c r="E7" s="97" t="str">
        <f>RTD("rtdtrading.rtdserver",, "T&amp;T1", "AVD", 4)</f>
        <v>-</v>
      </c>
      <c r="F7" s="97" t="str">
        <f>RTD("rtdtrading.rtdserver",, "T&amp;T1", "AGR", 4)</f>
        <v>-</v>
      </c>
      <c r="G7" s="102" t="str">
        <f>RTD("rtdtrading.rtdserver",, "T&amp;T1", "AGAG", 4)</f>
        <v>-</v>
      </c>
      <c r="H7" s="94"/>
      <c r="I7" s="101" t="str">
        <f>RTD("rtdtrading.rtdserver",, "T&amp;T0", "DAT", 4)</f>
        <v>-</v>
      </c>
      <c r="J7" s="97" t="str">
        <f>RTD("rtdtrading.rtdserver",, "T&amp;T0", "ACP", 4)</f>
        <v>-</v>
      </c>
      <c r="K7" s="97">
        <f>RTD("rtdtrading.rtdserver",, "T&amp;T0", "PRE", 4)</f>
        <v>0</v>
      </c>
      <c r="L7" s="97">
        <f>RTD("rtdtrading.rtdserver",, "T&amp;T0", "QUL", 4)</f>
        <v>0</v>
      </c>
      <c r="M7" s="97" t="str">
        <f>RTD("rtdtrading.rtdserver",, "T&amp;T0", "AVD", 4)</f>
        <v>-</v>
      </c>
      <c r="N7" s="97" t="str">
        <f>RTD("rtdtrading.rtdserver",, "T&amp;T0", "AGR", 4)</f>
        <v>-</v>
      </c>
      <c r="O7" s="102" t="str">
        <f>RTD("rtdtrading.rtdserver",, "T&amp;T0", "AGAG", 4)</f>
        <v>-</v>
      </c>
      <c r="P7" s="96"/>
    </row>
    <row r="8" spans="1:16" x14ac:dyDescent="0.25">
      <c r="A8" s="101" t="str">
        <f>RTD("rtdtrading.rtdserver",, "T&amp;T1", "DAT", 5)</f>
        <v>-</v>
      </c>
      <c r="B8" s="97" t="str">
        <f>RTD("rtdtrading.rtdserver",, "T&amp;T1", "ACP", 5)</f>
        <v>-</v>
      </c>
      <c r="C8" s="97">
        <f>RTD("rtdtrading.rtdserver",, "T&amp;T1", "PRE", 5)</f>
        <v>0</v>
      </c>
      <c r="D8" s="97">
        <f>RTD("rtdtrading.rtdserver",, "T&amp;T1", "QUL", 5)</f>
        <v>0</v>
      </c>
      <c r="E8" s="97" t="str">
        <f>RTD("rtdtrading.rtdserver",, "T&amp;T1", "AVD", 5)</f>
        <v>-</v>
      </c>
      <c r="F8" s="97" t="str">
        <f>RTD("rtdtrading.rtdserver",, "T&amp;T1", "AGR", 5)</f>
        <v>-</v>
      </c>
      <c r="G8" s="102" t="str">
        <f>RTD("rtdtrading.rtdserver",, "T&amp;T1", "AGAG", 5)</f>
        <v>-</v>
      </c>
      <c r="H8" s="94"/>
      <c r="I8" s="101" t="str">
        <f>RTD("rtdtrading.rtdserver",, "T&amp;T0", "DAT", 5)</f>
        <v>-</v>
      </c>
      <c r="J8" s="97" t="str">
        <f>RTD("rtdtrading.rtdserver",, "T&amp;T0", "ACP", 5)</f>
        <v>-</v>
      </c>
      <c r="K8" s="97">
        <f>RTD("rtdtrading.rtdserver",, "T&amp;T0", "PRE", 5)</f>
        <v>0</v>
      </c>
      <c r="L8" s="97">
        <f>RTD("rtdtrading.rtdserver",, "T&amp;T0", "QUL", 5)</f>
        <v>0</v>
      </c>
      <c r="M8" s="97" t="str">
        <f>RTD("rtdtrading.rtdserver",, "T&amp;T0", "AVD", 5)</f>
        <v>-</v>
      </c>
      <c r="N8" s="97" t="str">
        <f>RTD("rtdtrading.rtdserver",, "T&amp;T0", "AGR", 5)</f>
        <v>-</v>
      </c>
      <c r="O8" s="102" t="str">
        <f>RTD("rtdtrading.rtdserver",, "T&amp;T0", "AGAG", 5)</f>
        <v>-</v>
      </c>
      <c r="P8" s="96"/>
    </row>
    <row r="9" spans="1:16" x14ac:dyDescent="0.25">
      <c r="A9" s="101" t="str">
        <f>RTD("rtdtrading.rtdserver",, "T&amp;T1", "DAT", 6)</f>
        <v>-</v>
      </c>
      <c r="B9" s="97" t="str">
        <f>RTD("rtdtrading.rtdserver",, "T&amp;T1", "ACP", 6)</f>
        <v>-</v>
      </c>
      <c r="C9" s="97">
        <f>RTD("rtdtrading.rtdserver",, "T&amp;T1", "PRE", 6)</f>
        <v>0</v>
      </c>
      <c r="D9" s="97">
        <f>RTD("rtdtrading.rtdserver",, "T&amp;T1", "QUL", 6)</f>
        <v>0</v>
      </c>
      <c r="E9" s="97" t="str">
        <f>RTD("rtdtrading.rtdserver",, "T&amp;T1", "AVD", 6)</f>
        <v>-</v>
      </c>
      <c r="F9" s="97" t="str">
        <f>RTD("rtdtrading.rtdserver",, "T&amp;T1", "AGR", 6)</f>
        <v>-</v>
      </c>
      <c r="G9" s="102" t="str">
        <f>RTD("rtdtrading.rtdserver",, "T&amp;T1", "AGAG", 6)</f>
        <v>-</v>
      </c>
      <c r="H9" s="94"/>
      <c r="I9" s="101" t="str">
        <f>RTD("rtdtrading.rtdserver",, "T&amp;T0", "DAT", 6)</f>
        <v>-</v>
      </c>
      <c r="J9" s="97" t="str">
        <f>RTD("rtdtrading.rtdserver",, "T&amp;T0", "ACP", 6)</f>
        <v>-</v>
      </c>
      <c r="K9" s="97">
        <f>RTD("rtdtrading.rtdserver",, "T&amp;T0", "PRE", 6)</f>
        <v>0</v>
      </c>
      <c r="L9" s="97">
        <f>RTD("rtdtrading.rtdserver",, "T&amp;T0", "QUL", 6)</f>
        <v>0</v>
      </c>
      <c r="M9" s="97" t="str">
        <f>RTD("rtdtrading.rtdserver",, "T&amp;T0", "AVD", 6)</f>
        <v>-</v>
      </c>
      <c r="N9" s="97" t="str">
        <f>RTD("rtdtrading.rtdserver",, "T&amp;T0", "AGR", 6)</f>
        <v>-</v>
      </c>
      <c r="O9" s="102" t="str">
        <f>RTD("rtdtrading.rtdserver",, "T&amp;T0", "AGAG", 6)</f>
        <v>-</v>
      </c>
      <c r="P9" s="96"/>
    </row>
    <row r="10" spans="1:16" x14ac:dyDescent="0.25">
      <c r="A10" s="101" t="str">
        <f>RTD("rtdtrading.rtdserver",, "T&amp;T1", "DAT", 7)</f>
        <v>-</v>
      </c>
      <c r="B10" s="97" t="str">
        <f>RTD("rtdtrading.rtdserver",, "T&amp;T1", "ACP", 7)</f>
        <v>-</v>
      </c>
      <c r="C10" s="97">
        <f>RTD("rtdtrading.rtdserver",, "T&amp;T1", "PRE", 7)</f>
        <v>0</v>
      </c>
      <c r="D10" s="97">
        <f>RTD("rtdtrading.rtdserver",, "T&amp;T1", "QUL", 7)</f>
        <v>0</v>
      </c>
      <c r="E10" s="97" t="str">
        <f>RTD("rtdtrading.rtdserver",, "T&amp;T1", "AVD", 7)</f>
        <v>-</v>
      </c>
      <c r="F10" s="97" t="str">
        <f>RTD("rtdtrading.rtdserver",, "T&amp;T1", "AGR", 7)</f>
        <v>-</v>
      </c>
      <c r="G10" s="102" t="str">
        <f>RTD("rtdtrading.rtdserver",, "T&amp;T1", "AGAG", 7)</f>
        <v>-</v>
      </c>
      <c r="H10" s="94"/>
      <c r="I10" s="101" t="str">
        <f>RTD("rtdtrading.rtdserver",, "T&amp;T0", "DAT", 7)</f>
        <v>-</v>
      </c>
      <c r="J10" s="97" t="str">
        <f>RTD("rtdtrading.rtdserver",, "T&amp;T0", "ACP", 7)</f>
        <v>-</v>
      </c>
      <c r="K10" s="97">
        <f>RTD("rtdtrading.rtdserver",, "T&amp;T0", "PRE", 7)</f>
        <v>0</v>
      </c>
      <c r="L10" s="97">
        <f>RTD("rtdtrading.rtdserver",, "T&amp;T0", "QUL", 7)</f>
        <v>0</v>
      </c>
      <c r="M10" s="97" t="str">
        <f>RTD("rtdtrading.rtdserver",, "T&amp;T0", "AVD", 7)</f>
        <v>-</v>
      </c>
      <c r="N10" s="97" t="str">
        <f>RTD("rtdtrading.rtdserver",, "T&amp;T0", "AGR", 7)</f>
        <v>-</v>
      </c>
      <c r="O10" s="102" t="str">
        <f>RTD("rtdtrading.rtdserver",, "T&amp;T0", "AGAG", 7)</f>
        <v>-</v>
      </c>
      <c r="P10" s="96"/>
    </row>
    <row r="11" spans="1:16" x14ac:dyDescent="0.25">
      <c r="A11" s="101" t="str">
        <f>RTD("rtdtrading.rtdserver",, "T&amp;T1", "DAT", 8)</f>
        <v>-</v>
      </c>
      <c r="B11" s="97" t="str">
        <f>RTD("rtdtrading.rtdserver",, "T&amp;T1", "ACP", 8)</f>
        <v>-</v>
      </c>
      <c r="C11" s="97">
        <f>RTD("rtdtrading.rtdserver",, "T&amp;T1", "PRE", 8)</f>
        <v>0</v>
      </c>
      <c r="D11" s="97">
        <f>RTD("rtdtrading.rtdserver",, "T&amp;T1", "QUL", 8)</f>
        <v>0</v>
      </c>
      <c r="E11" s="97" t="str">
        <f>RTD("rtdtrading.rtdserver",, "T&amp;T1", "AVD", 8)</f>
        <v>-</v>
      </c>
      <c r="F11" s="97" t="str">
        <f>RTD("rtdtrading.rtdserver",, "T&amp;T1", "AGR", 8)</f>
        <v>-</v>
      </c>
      <c r="G11" s="102" t="str">
        <f>RTD("rtdtrading.rtdserver",, "T&amp;T1", "AGAG", 8)</f>
        <v>-</v>
      </c>
      <c r="H11" s="94"/>
      <c r="I11" s="101" t="str">
        <f>RTD("rtdtrading.rtdserver",, "T&amp;T0", "DAT", 8)</f>
        <v>-</v>
      </c>
      <c r="J11" s="97" t="str">
        <f>RTD("rtdtrading.rtdserver",, "T&amp;T0", "ACP", 8)</f>
        <v>-</v>
      </c>
      <c r="K11" s="97">
        <f>RTD("rtdtrading.rtdserver",, "T&amp;T0", "PRE", 8)</f>
        <v>0</v>
      </c>
      <c r="L11" s="97">
        <f>RTD("rtdtrading.rtdserver",, "T&amp;T0", "QUL", 8)</f>
        <v>0</v>
      </c>
      <c r="M11" s="97" t="str">
        <f>RTD("rtdtrading.rtdserver",, "T&amp;T0", "AVD", 8)</f>
        <v>-</v>
      </c>
      <c r="N11" s="97" t="str">
        <f>RTD("rtdtrading.rtdserver",, "T&amp;T0", "AGR", 8)</f>
        <v>-</v>
      </c>
      <c r="O11" s="102" t="str">
        <f>RTD("rtdtrading.rtdserver",, "T&amp;T0", "AGAG", 8)</f>
        <v>-</v>
      </c>
      <c r="P11" s="96"/>
    </row>
    <row r="12" spans="1:16" x14ac:dyDescent="0.25">
      <c r="A12" s="101" t="str">
        <f>RTD("rtdtrading.rtdserver",, "T&amp;T1", "DAT", 9)</f>
        <v>-</v>
      </c>
      <c r="B12" s="97" t="str">
        <f>RTD("rtdtrading.rtdserver",, "T&amp;T1", "ACP", 9)</f>
        <v>-</v>
      </c>
      <c r="C12" s="97">
        <f>RTD("rtdtrading.rtdserver",, "T&amp;T1", "PRE", 9)</f>
        <v>0</v>
      </c>
      <c r="D12" s="97">
        <f>RTD("rtdtrading.rtdserver",, "T&amp;T1", "QUL", 9)</f>
        <v>0</v>
      </c>
      <c r="E12" s="97" t="str">
        <f>RTD("rtdtrading.rtdserver",, "T&amp;T1", "AVD", 9)</f>
        <v>-</v>
      </c>
      <c r="F12" s="97" t="str">
        <f>RTD("rtdtrading.rtdserver",, "T&amp;T1", "AGR", 9)</f>
        <v>-</v>
      </c>
      <c r="G12" s="102" t="str">
        <f>RTD("rtdtrading.rtdserver",, "T&amp;T1", "AGAG", 9)</f>
        <v>-</v>
      </c>
      <c r="H12" s="94"/>
      <c r="I12" s="101" t="str">
        <f>RTD("rtdtrading.rtdserver",, "T&amp;T0", "DAT", 9)</f>
        <v>-</v>
      </c>
      <c r="J12" s="97" t="str">
        <f>RTD("rtdtrading.rtdserver",, "T&amp;T0", "ACP", 9)</f>
        <v>-</v>
      </c>
      <c r="K12" s="97">
        <f>RTD("rtdtrading.rtdserver",, "T&amp;T0", "PRE", 9)</f>
        <v>0</v>
      </c>
      <c r="L12" s="97">
        <f>RTD("rtdtrading.rtdserver",, "T&amp;T0", "QUL", 9)</f>
        <v>0</v>
      </c>
      <c r="M12" s="97" t="str">
        <f>RTD("rtdtrading.rtdserver",, "T&amp;T0", "AVD", 9)</f>
        <v>-</v>
      </c>
      <c r="N12" s="97" t="str">
        <f>RTD("rtdtrading.rtdserver",, "T&amp;T0", "AGR", 9)</f>
        <v>-</v>
      </c>
      <c r="O12" s="102" t="str">
        <f>RTD("rtdtrading.rtdserver",, "T&amp;T0", "AGAG", 9)</f>
        <v>-</v>
      </c>
      <c r="P12" s="96"/>
    </row>
    <row r="13" spans="1:16" x14ac:dyDescent="0.25">
      <c r="A13" s="101" t="str">
        <f>RTD("rtdtrading.rtdserver",, "T&amp;T1", "DAT", 10)</f>
        <v>-</v>
      </c>
      <c r="B13" s="97" t="str">
        <f>RTD("rtdtrading.rtdserver",, "T&amp;T1", "ACP", 10)</f>
        <v>-</v>
      </c>
      <c r="C13" s="97">
        <f>RTD("rtdtrading.rtdserver",, "T&amp;T1", "PRE", 10)</f>
        <v>0</v>
      </c>
      <c r="D13" s="97">
        <f>RTD("rtdtrading.rtdserver",, "T&amp;T1", "QUL", 10)</f>
        <v>0</v>
      </c>
      <c r="E13" s="97" t="str">
        <f>RTD("rtdtrading.rtdserver",, "T&amp;T1", "AVD", 10)</f>
        <v>-</v>
      </c>
      <c r="F13" s="97" t="str">
        <f>RTD("rtdtrading.rtdserver",, "T&amp;T1", "AGR", 10)</f>
        <v>-</v>
      </c>
      <c r="G13" s="102" t="str">
        <f>RTD("rtdtrading.rtdserver",, "T&amp;T1", "AGAG", 10)</f>
        <v>-</v>
      </c>
      <c r="H13" s="94"/>
      <c r="I13" s="101" t="str">
        <f>RTD("rtdtrading.rtdserver",, "T&amp;T0", "DAT", 10)</f>
        <v>-</v>
      </c>
      <c r="J13" s="97" t="str">
        <f>RTD("rtdtrading.rtdserver",, "T&amp;T0", "ACP", 10)</f>
        <v>-</v>
      </c>
      <c r="K13" s="97">
        <f>RTD("rtdtrading.rtdserver",, "T&amp;T0", "PRE", 10)</f>
        <v>0</v>
      </c>
      <c r="L13" s="97">
        <f>RTD("rtdtrading.rtdserver",, "T&amp;T0", "QUL", 10)</f>
        <v>0</v>
      </c>
      <c r="M13" s="97" t="str">
        <f>RTD("rtdtrading.rtdserver",, "T&amp;T0", "AVD", 10)</f>
        <v>-</v>
      </c>
      <c r="N13" s="97" t="str">
        <f>RTD("rtdtrading.rtdserver",, "T&amp;T0", "AGR", 10)</f>
        <v>-</v>
      </c>
      <c r="O13" s="102" t="str">
        <f>RTD("rtdtrading.rtdserver",, "T&amp;T0", "AGAG", 10)</f>
        <v>-</v>
      </c>
      <c r="P13" s="96"/>
    </row>
    <row r="14" spans="1:16" x14ac:dyDescent="0.25">
      <c r="A14" s="101" t="str">
        <f>RTD("rtdtrading.rtdserver",, "T&amp;T1", "DAT", 11)</f>
        <v>-</v>
      </c>
      <c r="B14" s="97" t="str">
        <f>RTD("rtdtrading.rtdserver",, "T&amp;T1", "ACP", 11)</f>
        <v>-</v>
      </c>
      <c r="C14" s="97">
        <f>RTD("rtdtrading.rtdserver",, "T&amp;T1", "PRE", 11)</f>
        <v>0</v>
      </c>
      <c r="D14" s="97">
        <f>RTD("rtdtrading.rtdserver",, "T&amp;T1", "QUL", 11)</f>
        <v>0</v>
      </c>
      <c r="E14" s="97" t="str">
        <f>RTD("rtdtrading.rtdserver",, "T&amp;T1", "AVD", 11)</f>
        <v>-</v>
      </c>
      <c r="F14" s="97" t="str">
        <f>RTD("rtdtrading.rtdserver",, "T&amp;T1", "AGR", 11)</f>
        <v>-</v>
      </c>
      <c r="G14" s="102" t="str">
        <f>RTD("rtdtrading.rtdserver",, "T&amp;T1", "AGAG", 11)</f>
        <v>-</v>
      </c>
      <c r="H14" s="94"/>
      <c r="I14" s="101" t="str">
        <f>RTD("rtdtrading.rtdserver",, "T&amp;T0", "DAT", 11)</f>
        <v>-</v>
      </c>
      <c r="J14" s="97" t="str">
        <f>RTD("rtdtrading.rtdserver",, "T&amp;T0", "ACP", 11)</f>
        <v>-</v>
      </c>
      <c r="K14" s="97">
        <f>RTD("rtdtrading.rtdserver",, "T&amp;T0", "PRE", 11)</f>
        <v>0</v>
      </c>
      <c r="L14" s="97">
        <f>RTD("rtdtrading.rtdserver",, "T&amp;T0", "QUL", 11)</f>
        <v>0</v>
      </c>
      <c r="M14" s="97" t="str">
        <f>RTD("rtdtrading.rtdserver",, "T&amp;T0", "AVD", 11)</f>
        <v>-</v>
      </c>
      <c r="N14" s="97" t="str">
        <f>RTD("rtdtrading.rtdserver",, "T&amp;T0", "AGR", 11)</f>
        <v>-</v>
      </c>
      <c r="O14" s="102" t="str">
        <f>RTD("rtdtrading.rtdserver",, "T&amp;T0", "AGAG", 11)</f>
        <v>-</v>
      </c>
      <c r="P14" s="96"/>
    </row>
    <row r="15" spans="1:16" x14ac:dyDescent="0.25">
      <c r="A15" s="101" t="str">
        <f>RTD("rtdtrading.rtdserver",, "T&amp;T1", "DAT", 12)</f>
        <v>-</v>
      </c>
      <c r="B15" s="97" t="str">
        <f>RTD("rtdtrading.rtdserver",, "T&amp;T1", "ACP", 12)</f>
        <v>-</v>
      </c>
      <c r="C15" s="97">
        <f>RTD("rtdtrading.rtdserver",, "T&amp;T1", "PRE", 12)</f>
        <v>0</v>
      </c>
      <c r="D15" s="97">
        <f>RTD("rtdtrading.rtdserver",, "T&amp;T1", "QUL", 12)</f>
        <v>0</v>
      </c>
      <c r="E15" s="97" t="str">
        <f>RTD("rtdtrading.rtdserver",, "T&amp;T1", "AVD", 12)</f>
        <v>-</v>
      </c>
      <c r="F15" s="97" t="str">
        <f>RTD("rtdtrading.rtdserver",, "T&amp;T1", "AGR", 12)</f>
        <v>-</v>
      </c>
      <c r="G15" s="102" t="str">
        <f>RTD("rtdtrading.rtdserver",, "T&amp;T1", "AGAG", 12)</f>
        <v>-</v>
      </c>
      <c r="H15" s="94"/>
      <c r="I15" s="101" t="str">
        <f>RTD("rtdtrading.rtdserver",, "T&amp;T0", "DAT", 12)</f>
        <v>-</v>
      </c>
      <c r="J15" s="97" t="str">
        <f>RTD("rtdtrading.rtdserver",, "T&amp;T0", "ACP", 12)</f>
        <v>-</v>
      </c>
      <c r="K15" s="97">
        <f>RTD("rtdtrading.rtdserver",, "T&amp;T0", "PRE", 12)</f>
        <v>0</v>
      </c>
      <c r="L15" s="97">
        <f>RTD("rtdtrading.rtdserver",, "T&amp;T0", "QUL", 12)</f>
        <v>0</v>
      </c>
      <c r="M15" s="97" t="str">
        <f>RTD("rtdtrading.rtdserver",, "T&amp;T0", "AVD", 12)</f>
        <v>-</v>
      </c>
      <c r="N15" s="97" t="str">
        <f>RTD("rtdtrading.rtdserver",, "T&amp;T0", "AGR", 12)</f>
        <v>-</v>
      </c>
      <c r="O15" s="102" t="str">
        <f>RTD("rtdtrading.rtdserver",, "T&amp;T0", "AGAG", 12)</f>
        <v>-</v>
      </c>
      <c r="P15" s="96"/>
    </row>
    <row r="16" spans="1:16" x14ac:dyDescent="0.25">
      <c r="A16" s="101" t="str">
        <f>RTD("rtdtrading.rtdserver",, "T&amp;T1", "DAT", 13)</f>
        <v>-</v>
      </c>
      <c r="B16" s="97" t="str">
        <f>RTD("rtdtrading.rtdserver",, "T&amp;T1", "ACP", 13)</f>
        <v>-</v>
      </c>
      <c r="C16" s="97">
        <f>RTD("rtdtrading.rtdserver",, "T&amp;T1", "PRE", 13)</f>
        <v>0</v>
      </c>
      <c r="D16" s="97">
        <f>RTD("rtdtrading.rtdserver",, "T&amp;T1", "QUL", 13)</f>
        <v>0</v>
      </c>
      <c r="E16" s="97" t="str">
        <f>RTD("rtdtrading.rtdserver",, "T&amp;T1", "AVD", 13)</f>
        <v>-</v>
      </c>
      <c r="F16" s="97" t="str">
        <f>RTD("rtdtrading.rtdserver",, "T&amp;T1", "AGR", 13)</f>
        <v>-</v>
      </c>
      <c r="G16" s="102" t="str">
        <f>RTD("rtdtrading.rtdserver",, "T&amp;T1", "AGAG", 13)</f>
        <v>-</v>
      </c>
      <c r="H16" s="94"/>
      <c r="I16" s="101" t="str">
        <f>RTD("rtdtrading.rtdserver",, "T&amp;T0", "DAT", 13)</f>
        <v>-</v>
      </c>
      <c r="J16" s="97" t="str">
        <f>RTD("rtdtrading.rtdserver",, "T&amp;T0", "ACP", 13)</f>
        <v>-</v>
      </c>
      <c r="K16" s="97">
        <f>RTD("rtdtrading.rtdserver",, "T&amp;T0", "PRE", 13)</f>
        <v>0</v>
      </c>
      <c r="L16" s="97">
        <f>RTD("rtdtrading.rtdserver",, "T&amp;T0", "QUL", 13)</f>
        <v>0</v>
      </c>
      <c r="M16" s="97" t="str">
        <f>RTD("rtdtrading.rtdserver",, "T&amp;T0", "AVD", 13)</f>
        <v>-</v>
      </c>
      <c r="N16" s="97" t="str">
        <f>RTD("rtdtrading.rtdserver",, "T&amp;T0", "AGR", 13)</f>
        <v>-</v>
      </c>
      <c r="O16" s="102" t="str">
        <f>RTD("rtdtrading.rtdserver",, "T&amp;T0", "AGAG", 13)</f>
        <v>-</v>
      </c>
      <c r="P16" s="96"/>
    </row>
    <row r="17" spans="1:16" x14ac:dyDescent="0.25">
      <c r="A17" s="101" t="str">
        <f>RTD("rtdtrading.rtdserver",, "T&amp;T1", "DAT", 14)</f>
        <v>-</v>
      </c>
      <c r="B17" s="97" t="str">
        <f>RTD("rtdtrading.rtdserver",, "T&amp;T1", "ACP", 14)</f>
        <v>-</v>
      </c>
      <c r="C17" s="97">
        <f>RTD("rtdtrading.rtdserver",, "T&amp;T1", "PRE", 14)</f>
        <v>0</v>
      </c>
      <c r="D17" s="97">
        <f>RTD("rtdtrading.rtdserver",, "T&amp;T1", "QUL", 14)</f>
        <v>0</v>
      </c>
      <c r="E17" s="97" t="str">
        <f>RTD("rtdtrading.rtdserver",, "T&amp;T1", "AVD", 14)</f>
        <v>-</v>
      </c>
      <c r="F17" s="97" t="str">
        <f>RTD("rtdtrading.rtdserver",, "T&amp;T1", "AGR", 14)</f>
        <v>-</v>
      </c>
      <c r="G17" s="102" t="str">
        <f>RTD("rtdtrading.rtdserver",, "T&amp;T1", "AGAG", 14)</f>
        <v>-</v>
      </c>
      <c r="H17" s="94"/>
      <c r="I17" s="101" t="str">
        <f>RTD("rtdtrading.rtdserver",, "T&amp;T0", "DAT", 14)</f>
        <v>-</v>
      </c>
      <c r="J17" s="97" t="str">
        <f>RTD("rtdtrading.rtdserver",, "T&amp;T0", "ACP", 14)</f>
        <v>-</v>
      </c>
      <c r="K17" s="97">
        <f>RTD("rtdtrading.rtdserver",, "T&amp;T0", "PRE", 14)</f>
        <v>0</v>
      </c>
      <c r="L17" s="97">
        <f>RTD("rtdtrading.rtdserver",, "T&amp;T0", "QUL", 14)</f>
        <v>0</v>
      </c>
      <c r="M17" s="97" t="str">
        <f>RTD("rtdtrading.rtdserver",, "T&amp;T0", "AVD", 14)</f>
        <v>-</v>
      </c>
      <c r="N17" s="97" t="str">
        <f>RTD("rtdtrading.rtdserver",, "T&amp;T0", "AGR", 14)</f>
        <v>-</v>
      </c>
      <c r="O17" s="102" t="str">
        <f>RTD("rtdtrading.rtdserver",, "T&amp;T0", "AGAG", 14)</f>
        <v>-</v>
      </c>
      <c r="P17" s="96"/>
    </row>
    <row r="18" spans="1:16" x14ac:dyDescent="0.25">
      <c r="A18" s="101" t="str">
        <f>RTD("rtdtrading.rtdserver",, "T&amp;T1", "DAT", 15)</f>
        <v>-</v>
      </c>
      <c r="B18" s="97" t="str">
        <f>RTD("rtdtrading.rtdserver",, "T&amp;T1", "ACP", 15)</f>
        <v>-</v>
      </c>
      <c r="C18" s="97">
        <f>RTD("rtdtrading.rtdserver",, "T&amp;T1", "PRE", 15)</f>
        <v>0</v>
      </c>
      <c r="D18" s="97">
        <f>RTD("rtdtrading.rtdserver",, "T&amp;T1", "QUL", 15)</f>
        <v>0</v>
      </c>
      <c r="E18" s="97" t="str">
        <f>RTD("rtdtrading.rtdserver",, "T&amp;T1", "AVD", 15)</f>
        <v>-</v>
      </c>
      <c r="F18" s="97" t="str">
        <f>RTD("rtdtrading.rtdserver",, "T&amp;T1", "AGR", 15)</f>
        <v>-</v>
      </c>
      <c r="G18" s="102" t="str">
        <f>RTD("rtdtrading.rtdserver",, "T&amp;T1", "AGAG", 15)</f>
        <v>-</v>
      </c>
      <c r="H18" s="94"/>
      <c r="I18" s="101" t="str">
        <f>RTD("rtdtrading.rtdserver",, "T&amp;T0", "DAT", 15)</f>
        <v>-</v>
      </c>
      <c r="J18" s="97" t="str">
        <f>RTD("rtdtrading.rtdserver",, "T&amp;T0", "ACP", 15)</f>
        <v>-</v>
      </c>
      <c r="K18" s="97">
        <f>RTD("rtdtrading.rtdserver",, "T&amp;T0", "PRE", 15)</f>
        <v>0</v>
      </c>
      <c r="L18" s="97">
        <f>RTD("rtdtrading.rtdserver",, "T&amp;T0", "QUL", 15)</f>
        <v>0</v>
      </c>
      <c r="M18" s="97" t="str">
        <f>RTD("rtdtrading.rtdserver",, "T&amp;T0", "AVD", 15)</f>
        <v>-</v>
      </c>
      <c r="N18" s="97" t="str">
        <f>RTD("rtdtrading.rtdserver",, "T&amp;T0", "AGR", 15)</f>
        <v>-</v>
      </c>
      <c r="O18" s="102" t="str">
        <f>RTD("rtdtrading.rtdserver",, "T&amp;T0", "AGAG", 15)</f>
        <v>-</v>
      </c>
      <c r="P18" s="96"/>
    </row>
    <row r="19" spans="1:16" x14ac:dyDescent="0.25">
      <c r="A19" s="101" t="str">
        <f>RTD("rtdtrading.rtdserver",, "T&amp;T1", "DAT", 16)</f>
        <v>-</v>
      </c>
      <c r="B19" s="97" t="str">
        <f>RTD("rtdtrading.rtdserver",, "T&amp;T1", "ACP", 16)</f>
        <v>-</v>
      </c>
      <c r="C19" s="97">
        <f>RTD("rtdtrading.rtdserver",, "T&amp;T1", "PRE", 16)</f>
        <v>0</v>
      </c>
      <c r="D19" s="97">
        <f>RTD("rtdtrading.rtdserver",, "T&amp;T1", "QUL", 16)</f>
        <v>0</v>
      </c>
      <c r="E19" s="97" t="str">
        <f>RTD("rtdtrading.rtdserver",, "T&amp;T1", "AVD", 16)</f>
        <v>-</v>
      </c>
      <c r="F19" s="97" t="str">
        <f>RTD("rtdtrading.rtdserver",, "T&amp;T1", "AGR", 16)</f>
        <v>-</v>
      </c>
      <c r="G19" s="102" t="str">
        <f>RTD("rtdtrading.rtdserver",, "T&amp;T1", "AGAG", 16)</f>
        <v>-</v>
      </c>
      <c r="H19" s="94"/>
      <c r="I19" s="101" t="str">
        <f>RTD("rtdtrading.rtdserver",, "T&amp;T0", "DAT", 16)</f>
        <v>-</v>
      </c>
      <c r="J19" s="97" t="str">
        <f>RTD("rtdtrading.rtdserver",, "T&amp;T0", "ACP", 16)</f>
        <v>-</v>
      </c>
      <c r="K19" s="97">
        <f>RTD("rtdtrading.rtdserver",, "T&amp;T0", "PRE", 16)</f>
        <v>0</v>
      </c>
      <c r="L19" s="97">
        <f>RTD("rtdtrading.rtdserver",, "T&amp;T0", "QUL", 16)</f>
        <v>0</v>
      </c>
      <c r="M19" s="97" t="str">
        <f>RTD("rtdtrading.rtdserver",, "T&amp;T0", "AVD", 16)</f>
        <v>-</v>
      </c>
      <c r="N19" s="97" t="str">
        <f>RTD("rtdtrading.rtdserver",, "T&amp;T0", "AGR", 16)</f>
        <v>-</v>
      </c>
      <c r="O19" s="102" t="str">
        <f>RTD("rtdtrading.rtdserver",, "T&amp;T0", "AGAG", 16)</f>
        <v>-</v>
      </c>
      <c r="P19" s="96"/>
    </row>
    <row r="20" spans="1:16" x14ac:dyDescent="0.25">
      <c r="A20" s="101" t="str">
        <f>RTD("rtdtrading.rtdserver",, "T&amp;T1", "DAT", 17)</f>
        <v>-</v>
      </c>
      <c r="B20" s="97" t="str">
        <f>RTD("rtdtrading.rtdserver",, "T&amp;T1", "ACP", 17)</f>
        <v>-</v>
      </c>
      <c r="C20" s="97">
        <f>RTD("rtdtrading.rtdserver",, "T&amp;T1", "PRE", 17)</f>
        <v>0</v>
      </c>
      <c r="D20" s="97">
        <f>RTD("rtdtrading.rtdserver",, "T&amp;T1", "QUL", 17)</f>
        <v>0</v>
      </c>
      <c r="E20" s="97" t="str">
        <f>RTD("rtdtrading.rtdserver",, "T&amp;T1", "AVD", 17)</f>
        <v>-</v>
      </c>
      <c r="F20" s="97" t="str">
        <f>RTD("rtdtrading.rtdserver",, "T&amp;T1", "AGR", 17)</f>
        <v>-</v>
      </c>
      <c r="G20" s="102" t="str">
        <f>RTD("rtdtrading.rtdserver",, "T&amp;T1", "AGAG", 17)</f>
        <v>-</v>
      </c>
      <c r="H20" s="94"/>
      <c r="I20" s="101" t="str">
        <f>RTD("rtdtrading.rtdserver",, "T&amp;T0", "DAT", 17)</f>
        <v>-</v>
      </c>
      <c r="J20" s="97" t="str">
        <f>RTD("rtdtrading.rtdserver",, "T&amp;T0", "ACP", 17)</f>
        <v>-</v>
      </c>
      <c r="K20" s="97">
        <f>RTD("rtdtrading.rtdserver",, "T&amp;T0", "PRE", 17)</f>
        <v>0</v>
      </c>
      <c r="L20" s="97">
        <f>RTD("rtdtrading.rtdserver",, "T&amp;T0", "QUL", 17)</f>
        <v>0</v>
      </c>
      <c r="M20" s="97" t="str">
        <f>RTD("rtdtrading.rtdserver",, "T&amp;T0", "AVD", 17)</f>
        <v>-</v>
      </c>
      <c r="N20" s="97" t="str">
        <f>RTD("rtdtrading.rtdserver",, "T&amp;T0", "AGR", 17)</f>
        <v>-</v>
      </c>
      <c r="O20" s="102" t="str">
        <f>RTD("rtdtrading.rtdserver",, "T&amp;T0", "AGAG", 17)</f>
        <v>-</v>
      </c>
      <c r="P20" s="96"/>
    </row>
    <row r="21" spans="1:16" x14ac:dyDescent="0.25">
      <c r="A21" s="101" t="str">
        <f>RTD("rtdtrading.rtdserver",, "T&amp;T1", "DAT", 18)</f>
        <v>-</v>
      </c>
      <c r="B21" s="97" t="str">
        <f>RTD("rtdtrading.rtdserver",, "T&amp;T1", "ACP", 18)</f>
        <v>-</v>
      </c>
      <c r="C21" s="97">
        <f>RTD("rtdtrading.rtdserver",, "T&amp;T1", "PRE", 18)</f>
        <v>0</v>
      </c>
      <c r="D21" s="97">
        <f>RTD("rtdtrading.rtdserver",, "T&amp;T1", "QUL", 18)</f>
        <v>0</v>
      </c>
      <c r="E21" s="97" t="str">
        <f>RTD("rtdtrading.rtdserver",, "T&amp;T1", "AVD", 18)</f>
        <v>-</v>
      </c>
      <c r="F21" s="97" t="str">
        <f>RTD("rtdtrading.rtdserver",, "T&amp;T1", "AGR", 18)</f>
        <v>-</v>
      </c>
      <c r="G21" s="102" t="str">
        <f>RTD("rtdtrading.rtdserver",, "T&amp;T1", "AGAG", 18)</f>
        <v>-</v>
      </c>
      <c r="H21" s="94"/>
      <c r="I21" s="101" t="str">
        <f>RTD("rtdtrading.rtdserver",, "T&amp;T0", "DAT", 18)</f>
        <v>-</v>
      </c>
      <c r="J21" s="97" t="str">
        <f>RTD("rtdtrading.rtdserver",, "T&amp;T0", "ACP", 18)</f>
        <v>-</v>
      </c>
      <c r="K21" s="97">
        <f>RTD("rtdtrading.rtdserver",, "T&amp;T0", "PRE", 18)</f>
        <v>0</v>
      </c>
      <c r="L21" s="97">
        <f>RTD("rtdtrading.rtdserver",, "T&amp;T0", "QUL", 18)</f>
        <v>0</v>
      </c>
      <c r="M21" s="97" t="str">
        <f>RTD("rtdtrading.rtdserver",, "T&amp;T0", "AVD", 18)</f>
        <v>-</v>
      </c>
      <c r="N21" s="97" t="str">
        <f>RTD("rtdtrading.rtdserver",, "T&amp;T0", "AGR", 18)</f>
        <v>-</v>
      </c>
      <c r="O21" s="102" t="str">
        <f>RTD("rtdtrading.rtdserver",, "T&amp;T0", "AGAG", 18)</f>
        <v>-</v>
      </c>
      <c r="P21" s="96"/>
    </row>
    <row r="22" spans="1:16" x14ac:dyDescent="0.25">
      <c r="A22" s="101" t="str">
        <f>RTD("rtdtrading.rtdserver",, "T&amp;T1", "DAT", 19)</f>
        <v>-</v>
      </c>
      <c r="B22" s="97" t="str">
        <f>RTD("rtdtrading.rtdserver",, "T&amp;T1", "ACP", 19)</f>
        <v>-</v>
      </c>
      <c r="C22" s="97">
        <f>RTD("rtdtrading.rtdserver",, "T&amp;T1", "PRE", 19)</f>
        <v>0</v>
      </c>
      <c r="D22" s="97">
        <f>RTD("rtdtrading.rtdserver",, "T&amp;T1", "QUL", 19)</f>
        <v>0</v>
      </c>
      <c r="E22" s="97" t="str">
        <f>RTD("rtdtrading.rtdserver",, "T&amp;T1", "AVD", 19)</f>
        <v>-</v>
      </c>
      <c r="F22" s="97" t="str">
        <f>RTD("rtdtrading.rtdserver",, "T&amp;T1", "AGR", 19)</f>
        <v>-</v>
      </c>
      <c r="G22" s="102" t="str">
        <f>RTD("rtdtrading.rtdserver",, "T&amp;T1", "AGAG", 19)</f>
        <v>-</v>
      </c>
      <c r="H22" s="94"/>
      <c r="I22" s="101" t="str">
        <f>RTD("rtdtrading.rtdserver",, "T&amp;T0", "DAT", 19)</f>
        <v>-</v>
      </c>
      <c r="J22" s="97" t="str">
        <f>RTD("rtdtrading.rtdserver",, "T&amp;T0", "ACP", 19)</f>
        <v>-</v>
      </c>
      <c r="K22" s="97">
        <f>RTD("rtdtrading.rtdserver",, "T&amp;T0", "PRE", 19)</f>
        <v>0</v>
      </c>
      <c r="L22" s="97">
        <f>RTD("rtdtrading.rtdserver",, "T&amp;T0", "QUL", 19)</f>
        <v>0</v>
      </c>
      <c r="M22" s="97" t="str">
        <f>RTD("rtdtrading.rtdserver",, "T&amp;T0", "AVD", 19)</f>
        <v>-</v>
      </c>
      <c r="N22" s="97" t="str">
        <f>RTD("rtdtrading.rtdserver",, "T&amp;T0", "AGR", 19)</f>
        <v>-</v>
      </c>
      <c r="O22" s="102" t="str">
        <f>RTD("rtdtrading.rtdserver",, "T&amp;T0", "AGAG", 19)</f>
        <v>-</v>
      </c>
      <c r="P22" s="96"/>
    </row>
    <row r="23" spans="1:16" x14ac:dyDescent="0.25">
      <c r="A23" s="101" t="str">
        <f>RTD("rtdtrading.rtdserver",, "T&amp;T1", "DAT", 20)</f>
        <v>-</v>
      </c>
      <c r="B23" s="97" t="str">
        <f>RTD("rtdtrading.rtdserver",, "T&amp;T1", "ACP", 20)</f>
        <v>-</v>
      </c>
      <c r="C23" s="97">
        <f>RTD("rtdtrading.rtdserver",, "T&amp;T1", "PRE", 20)</f>
        <v>0</v>
      </c>
      <c r="D23" s="97">
        <f>RTD("rtdtrading.rtdserver",, "T&amp;T1", "QUL", 20)</f>
        <v>0</v>
      </c>
      <c r="E23" s="97" t="str">
        <f>RTD("rtdtrading.rtdserver",, "T&amp;T1", "AVD", 20)</f>
        <v>-</v>
      </c>
      <c r="F23" s="97" t="str">
        <f>RTD("rtdtrading.rtdserver",, "T&amp;T1", "AGR", 20)</f>
        <v>-</v>
      </c>
      <c r="G23" s="102" t="str">
        <f>RTD("rtdtrading.rtdserver",, "T&amp;T1", "AGAG", 20)</f>
        <v>-</v>
      </c>
      <c r="H23" s="94"/>
      <c r="I23" s="101" t="str">
        <f>RTD("rtdtrading.rtdserver",, "T&amp;T0", "DAT", 20)</f>
        <v>-</v>
      </c>
      <c r="J23" s="97" t="str">
        <f>RTD("rtdtrading.rtdserver",, "T&amp;T0", "ACP", 20)</f>
        <v>-</v>
      </c>
      <c r="K23" s="97">
        <f>RTD("rtdtrading.rtdserver",, "T&amp;T0", "PRE", 20)</f>
        <v>0</v>
      </c>
      <c r="L23" s="97">
        <f>RTD("rtdtrading.rtdserver",, "T&amp;T0", "QUL", 20)</f>
        <v>0</v>
      </c>
      <c r="M23" s="97" t="str">
        <f>RTD("rtdtrading.rtdserver",, "T&amp;T0", "AVD", 20)</f>
        <v>-</v>
      </c>
      <c r="N23" s="97" t="str">
        <f>RTD("rtdtrading.rtdserver",, "T&amp;T0", "AGR", 20)</f>
        <v>-</v>
      </c>
      <c r="O23" s="102" t="str">
        <f>RTD("rtdtrading.rtdserver",, "T&amp;T0", "AGAG", 20)</f>
        <v>-</v>
      </c>
      <c r="P23" s="96"/>
    </row>
    <row r="24" spans="1:16" x14ac:dyDescent="0.25">
      <c r="A24" s="101" t="str">
        <f>RTD("rtdtrading.rtdserver",, "T&amp;T1", "DAT", 21)</f>
        <v>-</v>
      </c>
      <c r="B24" s="97" t="str">
        <f>RTD("rtdtrading.rtdserver",, "T&amp;T1", "ACP", 21)</f>
        <v>-</v>
      </c>
      <c r="C24" s="97">
        <f>RTD("rtdtrading.rtdserver",, "T&amp;T1", "PRE", 21)</f>
        <v>0</v>
      </c>
      <c r="D24" s="97">
        <f>RTD("rtdtrading.rtdserver",, "T&amp;T1", "QUL", 21)</f>
        <v>0</v>
      </c>
      <c r="E24" s="97" t="str">
        <f>RTD("rtdtrading.rtdserver",, "T&amp;T1", "AVD", 21)</f>
        <v>-</v>
      </c>
      <c r="F24" s="97" t="str">
        <f>RTD("rtdtrading.rtdserver",, "T&amp;T1", "AGR", 21)</f>
        <v>-</v>
      </c>
      <c r="G24" s="102" t="str">
        <f>RTD("rtdtrading.rtdserver",, "T&amp;T1", "AGAG", 21)</f>
        <v>-</v>
      </c>
      <c r="H24" s="94"/>
      <c r="I24" s="101" t="str">
        <f>RTD("rtdtrading.rtdserver",, "T&amp;T0", "DAT", 21)</f>
        <v>-</v>
      </c>
      <c r="J24" s="97" t="str">
        <f>RTD("rtdtrading.rtdserver",, "T&amp;T0", "ACP", 21)</f>
        <v>-</v>
      </c>
      <c r="K24" s="97">
        <f>RTD("rtdtrading.rtdserver",, "T&amp;T0", "PRE", 21)</f>
        <v>0</v>
      </c>
      <c r="L24" s="97">
        <f>RTD("rtdtrading.rtdserver",, "T&amp;T0", "QUL", 21)</f>
        <v>0</v>
      </c>
      <c r="M24" s="97" t="str">
        <f>RTD("rtdtrading.rtdserver",, "T&amp;T0", "AVD", 21)</f>
        <v>-</v>
      </c>
      <c r="N24" s="97" t="str">
        <f>RTD("rtdtrading.rtdserver",, "T&amp;T0", "AGR", 21)</f>
        <v>-</v>
      </c>
      <c r="O24" s="102" t="str">
        <f>RTD("rtdtrading.rtdserver",, "T&amp;T0", "AGAG", 21)</f>
        <v>-</v>
      </c>
      <c r="P24" s="96"/>
    </row>
    <row r="25" spans="1:16" x14ac:dyDescent="0.25">
      <c r="A25" s="101" t="str">
        <f>RTD("rtdtrading.rtdserver",, "T&amp;T1", "DAT", 22)</f>
        <v>-</v>
      </c>
      <c r="B25" s="97" t="str">
        <f>RTD("rtdtrading.rtdserver",, "T&amp;T1", "ACP", 22)</f>
        <v>-</v>
      </c>
      <c r="C25" s="97">
        <f>RTD("rtdtrading.rtdserver",, "T&amp;T1", "PRE", 22)</f>
        <v>0</v>
      </c>
      <c r="D25" s="97">
        <f>RTD("rtdtrading.rtdserver",, "T&amp;T1", "QUL", 22)</f>
        <v>0</v>
      </c>
      <c r="E25" s="97" t="str">
        <f>RTD("rtdtrading.rtdserver",, "T&amp;T1", "AVD", 22)</f>
        <v>-</v>
      </c>
      <c r="F25" s="97" t="str">
        <f>RTD("rtdtrading.rtdserver",, "T&amp;T1", "AGR", 22)</f>
        <v>-</v>
      </c>
      <c r="G25" s="102" t="str">
        <f>RTD("rtdtrading.rtdserver",, "T&amp;T1", "AGAG", 22)</f>
        <v>-</v>
      </c>
      <c r="H25" s="94"/>
      <c r="I25" s="101" t="str">
        <f>RTD("rtdtrading.rtdserver",, "T&amp;T0", "DAT", 22)</f>
        <v>-</v>
      </c>
      <c r="J25" s="97" t="str">
        <f>RTD("rtdtrading.rtdserver",, "T&amp;T0", "ACP", 22)</f>
        <v>-</v>
      </c>
      <c r="K25" s="97">
        <f>RTD("rtdtrading.rtdserver",, "T&amp;T0", "PRE", 22)</f>
        <v>0</v>
      </c>
      <c r="L25" s="97">
        <f>RTD("rtdtrading.rtdserver",, "T&amp;T0", "QUL", 22)</f>
        <v>0</v>
      </c>
      <c r="M25" s="97" t="str">
        <f>RTD("rtdtrading.rtdserver",, "T&amp;T0", "AVD", 22)</f>
        <v>-</v>
      </c>
      <c r="N25" s="97" t="str">
        <f>RTD("rtdtrading.rtdserver",, "T&amp;T0", "AGR", 22)</f>
        <v>-</v>
      </c>
      <c r="O25" s="102" t="str">
        <f>RTD("rtdtrading.rtdserver",, "T&amp;T0", "AGAG", 22)</f>
        <v>-</v>
      </c>
      <c r="P25" s="96"/>
    </row>
    <row r="26" spans="1:16" x14ac:dyDescent="0.25">
      <c r="A26" s="101" t="str">
        <f>RTD("rtdtrading.rtdserver",, "T&amp;T1", "DAT", 23)</f>
        <v>-</v>
      </c>
      <c r="B26" s="97" t="str">
        <f>RTD("rtdtrading.rtdserver",, "T&amp;T1", "ACP", 23)</f>
        <v>-</v>
      </c>
      <c r="C26" s="97">
        <f>RTD("rtdtrading.rtdserver",, "T&amp;T1", "PRE", 23)</f>
        <v>0</v>
      </c>
      <c r="D26" s="97">
        <f>RTD("rtdtrading.rtdserver",, "T&amp;T1", "QUL", 23)</f>
        <v>0</v>
      </c>
      <c r="E26" s="97" t="str">
        <f>RTD("rtdtrading.rtdserver",, "T&amp;T1", "AVD", 23)</f>
        <v>-</v>
      </c>
      <c r="F26" s="97" t="str">
        <f>RTD("rtdtrading.rtdserver",, "T&amp;T1", "AGR", 23)</f>
        <v>-</v>
      </c>
      <c r="G26" s="102" t="str">
        <f>RTD("rtdtrading.rtdserver",, "T&amp;T1", "AGAG", 23)</f>
        <v>-</v>
      </c>
      <c r="H26" s="94"/>
      <c r="I26" s="101" t="str">
        <f>RTD("rtdtrading.rtdserver",, "T&amp;T0", "DAT", 23)</f>
        <v>-</v>
      </c>
      <c r="J26" s="97" t="str">
        <f>RTD("rtdtrading.rtdserver",, "T&amp;T0", "ACP", 23)</f>
        <v>-</v>
      </c>
      <c r="K26" s="97">
        <f>RTD("rtdtrading.rtdserver",, "T&amp;T0", "PRE", 23)</f>
        <v>0</v>
      </c>
      <c r="L26" s="97">
        <f>RTD("rtdtrading.rtdserver",, "T&amp;T0", "QUL", 23)</f>
        <v>0</v>
      </c>
      <c r="M26" s="97" t="str">
        <f>RTD("rtdtrading.rtdserver",, "T&amp;T0", "AVD", 23)</f>
        <v>-</v>
      </c>
      <c r="N26" s="97" t="str">
        <f>RTD("rtdtrading.rtdserver",, "T&amp;T0", "AGR", 23)</f>
        <v>-</v>
      </c>
      <c r="O26" s="102" t="str">
        <f>RTD("rtdtrading.rtdserver",, "T&amp;T0", "AGAG", 23)</f>
        <v>-</v>
      </c>
      <c r="P26" s="96"/>
    </row>
    <row r="27" spans="1:16" x14ac:dyDescent="0.25">
      <c r="A27" s="101" t="str">
        <f>RTD("rtdtrading.rtdserver",, "T&amp;T1", "DAT", 24)</f>
        <v>-</v>
      </c>
      <c r="B27" s="97" t="str">
        <f>RTD("rtdtrading.rtdserver",, "T&amp;T1", "ACP", 24)</f>
        <v>-</v>
      </c>
      <c r="C27" s="97">
        <f>RTD("rtdtrading.rtdserver",, "T&amp;T1", "PRE", 24)</f>
        <v>0</v>
      </c>
      <c r="D27" s="97">
        <f>RTD("rtdtrading.rtdserver",, "T&amp;T1", "QUL", 24)</f>
        <v>0</v>
      </c>
      <c r="E27" s="97" t="str">
        <f>RTD("rtdtrading.rtdserver",, "T&amp;T1", "AVD", 24)</f>
        <v>-</v>
      </c>
      <c r="F27" s="97" t="str">
        <f>RTD("rtdtrading.rtdserver",, "T&amp;T1", "AGR", 24)</f>
        <v>-</v>
      </c>
      <c r="G27" s="102" t="str">
        <f>RTD("rtdtrading.rtdserver",, "T&amp;T1", "AGAG", 24)</f>
        <v>-</v>
      </c>
      <c r="H27" s="94"/>
      <c r="I27" s="101" t="str">
        <f>RTD("rtdtrading.rtdserver",, "T&amp;T0", "DAT", 24)</f>
        <v>-</v>
      </c>
      <c r="J27" s="97" t="str">
        <f>RTD("rtdtrading.rtdserver",, "T&amp;T0", "ACP", 24)</f>
        <v>-</v>
      </c>
      <c r="K27" s="97">
        <f>RTD("rtdtrading.rtdserver",, "T&amp;T0", "PRE", 24)</f>
        <v>0</v>
      </c>
      <c r="L27" s="97">
        <f>RTD("rtdtrading.rtdserver",, "T&amp;T0", "QUL", 24)</f>
        <v>0</v>
      </c>
      <c r="M27" s="97" t="str">
        <f>RTD("rtdtrading.rtdserver",, "T&amp;T0", "AVD", 24)</f>
        <v>-</v>
      </c>
      <c r="N27" s="97" t="str">
        <f>RTD("rtdtrading.rtdserver",, "T&amp;T0", "AGR", 24)</f>
        <v>-</v>
      </c>
      <c r="O27" s="102" t="str">
        <f>RTD("rtdtrading.rtdserver",, "T&amp;T0", "AGAG", 24)</f>
        <v>-</v>
      </c>
      <c r="P27" s="96"/>
    </row>
    <row r="28" spans="1:16" x14ac:dyDescent="0.25">
      <c r="A28" s="101" t="str">
        <f>RTD("rtdtrading.rtdserver",, "T&amp;T1", "DAT", 25)</f>
        <v>-</v>
      </c>
      <c r="B28" s="97" t="str">
        <f>RTD("rtdtrading.rtdserver",, "T&amp;T1", "ACP", 25)</f>
        <v>-</v>
      </c>
      <c r="C28" s="97">
        <f>RTD("rtdtrading.rtdserver",, "T&amp;T1", "PRE", 25)</f>
        <v>0</v>
      </c>
      <c r="D28" s="97">
        <f>RTD("rtdtrading.rtdserver",, "T&amp;T1", "QUL", 25)</f>
        <v>0</v>
      </c>
      <c r="E28" s="97" t="str">
        <f>RTD("rtdtrading.rtdserver",, "T&amp;T1", "AVD", 25)</f>
        <v>-</v>
      </c>
      <c r="F28" s="97" t="str">
        <f>RTD("rtdtrading.rtdserver",, "T&amp;T1", "AGR", 25)</f>
        <v>-</v>
      </c>
      <c r="G28" s="102" t="str">
        <f>RTD("rtdtrading.rtdserver",, "T&amp;T1", "AGAG", 25)</f>
        <v>-</v>
      </c>
      <c r="H28" s="94"/>
      <c r="I28" s="101" t="str">
        <f>RTD("rtdtrading.rtdserver",, "T&amp;T0", "DAT", 25)</f>
        <v>-</v>
      </c>
      <c r="J28" s="97" t="str">
        <f>RTD("rtdtrading.rtdserver",, "T&amp;T0", "ACP", 25)</f>
        <v>-</v>
      </c>
      <c r="K28" s="97">
        <f>RTD("rtdtrading.rtdserver",, "T&amp;T0", "PRE", 25)</f>
        <v>0</v>
      </c>
      <c r="L28" s="97">
        <f>RTD("rtdtrading.rtdserver",, "T&amp;T0", "QUL", 25)</f>
        <v>0</v>
      </c>
      <c r="M28" s="97" t="str">
        <f>RTD("rtdtrading.rtdserver",, "T&amp;T0", "AVD", 25)</f>
        <v>-</v>
      </c>
      <c r="N28" s="97" t="str">
        <f>RTD("rtdtrading.rtdserver",, "T&amp;T0", "AGR", 25)</f>
        <v>-</v>
      </c>
      <c r="O28" s="102" t="str">
        <f>RTD("rtdtrading.rtdserver",, "T&amp;T0", "AGAG", 25)</f>
        <v>-</v>
      </c>
      <c r="P28" s="96"/>
    </row>
    <row r="29" spans="1:16" x14ac:dyDescent="0.25">
      <c r="A29" s="101" t="str">
        <f>RTD("rtdtrading.rtdserver",, "T&amp;T1", "DAT", 26)</f>
        <v>-</v>
      </c>
      <c r="B29" s="97" t="str">
        <f>RTD("rtdtrading.rtdserver",, "T&amp;T1", "ACP", 26)</f>
        <v>-</v>
      </c>
      <c r="C29" s="97">
        <f>RTD("rtdtrading.rtdserver",, "T&amp;T1", "PRE", 26)</f>
        <v>0</v>
      </c>
      <c r="D29" s="97">
        <f>RTD("rtdtrading.rtdserver",, "T&amp;T1", "QUL", 26)</f>
        <v>0</v>
      </c>
      <c r="E29" s="97" t="str">
        <f>RTD("rtdtrading.rtdserver",, "T&amp;T1", "AVD", 26)</f>
        <v>-</v>
      </c>
      <c r="F29" s="97" t="str">
        <f>RTD("rtdtrading.rtdserver",, "T&amp;T1", "AGR", 26)</f>
        <v>-</v>
      </c>
      <c r="G29" s="102" t="str">
        <f>RTD("rtdtrading.rtdserver",, "T&amp;T1", "AGAG", 26)</f>
        <v>-</v>
      </c>
      <c r="H29" s="94"/>
      <c r="I29" s="101" t="str">
        <f>RTD("rtdtrading.rtdserver",, "T&amp;T0", "DAT", 26)</f>
        <v>-</v>
      </c>
      <c r="J29" s="97" t="str">
        <f>RTD("rtdtrading.rtdserver",, "T&amp;T0", "ACP", 26)</f>
        <v>-</v>
      </c>
      <c r="K29" s="97">
        <f>RTD("rtdtrading.rtdserver",, "T&amp;T0", "PRE", 26)</f>
        <v>0</v>
      </c>
      <c r="L29" s="97">
        <f>RTD("rtdtrading.rtdserver",, "T&amp;T0", "QUL", 26)</f>
        <v>0</v>
      </c>
      <c r="M29" s="97" t="str">
        <f>RTD("rtdtrading.rtdserver",, "T&amp;T0", "AVD", 26)</f>
        <v>-</v>
      </c>
      <c r="N29" s="97" t="str">
        <f>RTD("rtdtrading.rtdserver",, "T&amp;T0", "AGR", 26)</f>
        <v>-</v>
      </c>
      <c r="O29" s="102" t="str">
        <f>RTD("rtdtrading.rtdserver",, "T&amp;T0", "AGAG", 26)</f>
        <v>-</v>
      </c>
      <c r="P29" s="96"/>
    </row>
    <row r="30" spans="1:16" x14ac:dyDescent="0.25">
      <c r="A30" s="101" t="str">
        <f>RTD("rtdtrading.rtdserver",, "T&amp;T1", "DAT", 27)</f>
        <v>-</v>
      </c>
      <c r="B30" s="97" t="str">
        <f>RTD("rtdtrading.rtdserver",, "T&amp;T1", "ACP", 27)</f>
        <v>-</v>
      </c>
      <c r="C30" s="97">
        <f>RTD("rtdtrading.rtdserver",, "T&amp;T1", "PRE", 27)</f>
        <v>0</v>
      </c>
      <c r="D30" s="97">
        <f>RTD("rtdtrading.rtdserver",, "T&amp;T1", "QUL", 27)</f>
        <v>0</v>
      </c>
      <c r="E30" s="97" t="str">
        <f>RTD("rtdtrading.rtdserver",, "T&amp;T1", "AVD", 27)</f>
        <v>-</v>
      </c>
      <c r="F30" s="97" t="str">
        <f>RTD("rtdtrading.rtdserver",, "T&amp;T1", "AGR", 27)</f>
        <v>-</v>
      </c>
      <c r="G30" s="102" t="str">
        <f>RTD("rtdtrading.rtdserver",, "T&amp;T1", "AGAG", 27)</f>
        <v>-</v>
      </c>
      <c r="H30" s="94"/>
      <c r="I30" s="101" t="str">
        <f>RTD("rtdtrading.rtdserver",, "T&amp;T0", "DAT", 27)</f>
        <v>-</v>
      </c>
      <c r="J30" s="97" t="str">
        <f>RTD("rtdtrading.rtdserver",, "T&amp;T0", "ACP", 27)</f>
        <v>-</v>
      </c>
      <c r="K30" s="97">
        <f>RTD("rtdtrading.rtdserver",, "T&amp;T0", "PRE", 27)</f>
        <v>0</v>
      </c>
      <c r="L30" s="97">
        <f>RTD("rtdtrading.rtdserver",, "T&amp;T0", "QUL", 27)</f>
        <v>0</v>
      </c>
      <c r="M30" s="97" t="str">
        <f>RTD("rtdtrading.rtdserver",, "T&amp;T0", "AVD", 27)</f>
        <v>-</v>
      </c>
      <c r="N30" s="97" t="str">
        <f>RTD("rtdtrading.rtdserver",, "T&amp;T0", "AGR", 27)</f>
        <v>-</v>
      </c>
      <c r="O30" s="102" t="str">
        <f>RTD("rtdtrading.rtdserver",, "T&amp;T0", "AGAG", 27)</f>
        <v>-</v>
      </c>
      <c r="P30" s="96"/>
    </row>
    <row r="31" spans="1:16" x14ac:dyDescent="0.25">
      <c r="A31" s="101" t="str">
        <f>RTD("rtdtrading.rtdserver",, "T&amp;T1", "DAT", 28)</f>
        <v>-</v>
      </c>
      <c r="B31" s="97" t="str">
        <f>RTD("rtdtrading.rtdserver",, "T&amp;T1", "ACP", 28)</f>
        <v>-</v>
      </c>
      <c r="C31" s="97">
        <f>RTD("rtdtrading.rtdserver",, "T&amp;T1", "PRE", 28)</f>
        <v>0</v>
      </c>
      <c r="D31" s="97">
        <f>RTD("rtdtrading.rtdserver",, "T&amp;T1", "QUL", 28)</f>
        <v>0</v>
      </c>
      <c r="E31" s="97" t="str">
        <f>RTD("rtdtrading.rtdserver",, "T&amp;T1", "AVD", 28)</f>
        <v>-</v>
      </c>
      <c r="F31" s="97" t="str">
        <f>RTD("rtdtrading.rtdserver",, "T&amp;T1", "AGR", 28)</f>
        <v>-</v>
      </c>
      <c r="G31" s="102" t="str">
        <f>RTD("rtdtrading.rtdserver",, "T&amp;T1", "AGAG", 28)</f>
        <v>-</v>
      </c>
      <c r="H31" s="94"/>
      <c r="I31" s="101" t="str">
        <f>RTD("rtdtrading.rtdserver",, "T&amp;T0", "DAT", 28)</f>
        <v>-</v>
      </c>
      <c r="J31" s="97" t="str">
        <f>RTD("rtdtrading.rtdserver",, "T&amp;T0", "ACP", 28)</f>
        <v>-</v>
      </c>
      <c r="K31" s="97">
        <f>RTD("rtdtrading.rtdserver",, "T&amp;T0", "PRE", 28)</f>
        <v>0</v>
      </c>
      <c r="L31" s="97">
        <f>RTD("rtdtrading.rtdserver",, "T&amp;T0", "QUL", 28)</f>
        <v>0</v>
      </c>
      <c r="M31" s="97" t="str">
        <f>RTD("rtdtrading.rtdserver",, "T&amp;T0", "AVD", 28)</f>
        <v>-</v>
      </c>
      <c r="N31" s="97" t="str">
        <f>RTD("rtdtrading.rtdserver",, "T&amp;T0", "AGR", 28)</f>
        <v>-</v>
      </c>
      <c r="O31" s="102" t="str">
        <f>RTD("rtdtrading.rtdserver",, "T&amp;T0", "AGAG", 28)</f>
        <v>-</v>
      </c>
      <c r="P31" s="96"/>
    </row>
    <row r="32" spans="1:16" x14ac:dyDescent="0.25">
      <c r="A32" s="101" t="str">
        <f>RTD("rtdtrading.rtdserver",, "T&amp;T1", "DAT", 29)</f>
        <v>-</v>
      </c>
      <c r="B32" s="97" t="str">
        <f>RTD("rtdtrading.rtdserver",, "T&amp;T1", "ACP", 29)</f>
        <v>-</v>
      </c>
      <c r="C32" s="97">
        <f>RTD("rtdtrading.rtdserver",, "T&amp;T1", "PRE", 29)</f>
        <v>0</v>
      </c>
      <c r="D32" s="97">
        <f>RTD("rtdtrading.rtdserver",, "T&amp;T1", "QUL", 29)</f>
        <v>0</v>
      </c>
      <c r="E32" s="97" t="str">
        <f>RTD("rtdtrading.rtdserver",, "T&amp;T1", "AVD", 29)</f>
        <v>-</v>
      </c>
      <c r="F32" s="97" t="str">
        <f>RTD("rtdtrading.rtdserver",, "T&amp;T1", "AGR", 29)</f>
        <v>-</v>
      </c>
      <c r="G32" s="102" t="str">
        <f>RTD("rtdtrading.rtdserver",, "T&amp;T1", "AGAG", 29)</f>
        <v>-</v>
      </c>
      <c r="H32" s="94"/>
      <c r="I32" s="101" t="str">
        <f>RTD("rtdtrading.rtdserver",, "T&amp;T0", "DAT", 29)</f>
        <v>-</v>
      </c>
      <c r="J32" s="97" t="str">
        <f>RTD("rtdtrading.rtdserver",, "T&amp;T0", "ACP", 29)</f>
        <v>-</v>
      </c>
      <c r="K32" s="97">
        <f>RTD("rtdtrading.rtdserver",, "T&amp;T0", "PRE", 29)</f>
        <v>0</v>
      </c>
      <c r="L32" s="97">
        <f>RTD("rtdtrading.rtdserver",, "T&amp;T0", "QUL", 29)</f>
        <v>0</v>
      </c>
      <c r="M32" s="97" t="str">
        <f>RTD("rtdtrading.rtdserver",, "T&amp;T0", "AVD", 29)</f>
        <v>-</v>
      </c>
      <c r="N32" s="97" t="str">
        <f>RTD("rtdtrading.rtdserver",, "T&amp;T0", "AGR", 29)</f>
        <v>-</v>
      </c>
      <c r="O32" s="102" t="str">
        <f>RTD("rtdtrading.rtdserver",, "T&amp;T0", "AGAG", 29)</f>
        <v>-</v>
      </c>
      <c r="P32" s="96"/>
    </row>
    <row r="33" spans="1:16" x14ac:dyDescent="0.25">
      <c r="A33" s="101" t="str">
        <f>RTD("rtdtrading.rtdserver",, "T&amp;T1", "DAT", 30)</f>
        <v>-</v>
      </c>
      <c r="B33" s="97" t="str">
        <f>RTD("rtdtrading.rtdserver",, "T&amp;T1", "ACP", 30)</f>
        <v>-</v>
      </c>
      <c r="C33" s="97">
        <f>RTD("rtdtrading.rtdserver",, "T&amp;T1", "PRE", 30)</f>
        <v>0</v>
      </c>
      <c r="D33" s="97">
        <f>RTD("rtdtrading.rtdserver",, "T&amp;T1", "QUL", 30)</f>
        <v>0</v>
      </c>
      <c r="E33" s="97" t="str">
        <f>RTD("rtdtrading.rtdserver",, "T&amp;T1", "AVD", 30)</f>
        <v>-</v>
      </c>
      <c r="F33" s="97" t="str">
        <f>RTD("rtdtrading.rtdserver",, "T&amp;T1", "AGR", 30)</f>
        <v>-</v>
      </c>
      <c r="G33" s="102" t="str">
        <f>RTD("rtdtrading.rtdserver",, "T&amp;T1", "AGAG", 30)</f>
        <v>-</v>
      </c>
      <c r="H33" s="94"/>
      <c r="I33" s="101" t="str">
        <f>RTD("rtdtrading.rtdserver",, "T&amp;T0", "DAT", 30)</f>
        <v>-</v>
      </c>
      <c r="J33" s="97" t="str">
        <f>RTD("rtdtrading.rtdserver",, "T&amp;T0", "ACP", 30)</f>
        <v>-</v>
      </c>
      <c r="K33" s="97">
        <f>RTD("rtdtrading.rtdserver",, "T&amp;T0", "PRE", 30)</f>
        <v>0</v>
      </c>
      <c r="L33" s="97">
        <f>RTD("rtdtrading.rtdserver",, "T&amp;T0", "QUL", 30)</f>
        <v>0</v>
      </c>
      <c r="M33" s="97" t="str">
        <f>RTD("rtdtrading.rtdserver",, "T&amp;T0", "AVD", 30)</f>
        <v>-</v>
      </c>
      <c r="N33" s="97" t="str">
        <f>RTD("rtdtrading.rtdserver",, "T&amp;T0", "AGR", 30)</f>
        <v>-</v>
      </c>
      <c r="O33" s="102" t="str">
        <f>RTD("rtdtrading.rtdserver",, "T&amp;T0", "AGAG", 30)</f>
        <v>-</v>
      </c>
      <c r="P33" s="96"/>
    </row>
    <row r="34" spans="1:16" x14ac:dyDescent="0.25">
      <c r="A34" s="101" t="str">
        <f>RTD("rtdtrading.rtdserver",, "T&amp;T1", "DAT", 31)</f>
        <v>-</v>
      </c>
      <c r="B34" s="97" t="str">
        <f>RTD("rtdtrading.rtdserver",, "T&amp;T1", "ACP", 31)</f>
        <v>-</v>
      </c>
      <c r="C34" s="97">
        <f>RTD("rtdtrading.rtdserver",, "T&amp;T1", "PRE", 31)</f>
        <v>0</v>
      </c>
      <c r="D34" s="97">
        <f>RTD("rtdtrading.rtdserver",, "T&amp;T1", "QUL", 31)</f>
        <v>0</v>
      </c>
      <c r="E34" s="97" t="str">
        <f>RTD("rtdtrading.rtdserver",, "T&amp;T1", "AVD", 31)</f>
        <v>-</v>
      </c>
      <c r="F34" s="97" t="str">
        <f>RTD("rtdtrading.rtdserver",, "T&amp;T1", "AGR", 31)</f>
        <v>-</v>
      </c>
      <c r="G34" s="102" t="str">
        <f>RTD("rtdtrading.rtdserver",, "T&amp;T1", "AGAG", 31)</f>
        <v>-</v>
      </c>
      <c r="H34" s="94"/>
      <c r="I34" s="101" t="str">
        <f>RTD("rtdtrading.rtdserver",, "T&amp;T0", "DAT", 31)</f>
        <v>-</v>
      </c>
      <c r="J34" s="97" t="str">
        <f>RTD("rtdtrading.rtdserver",, "T&amp;T0", "ACP", 31)</f>
        <v>-</v>
      </c>
      <c r="K34" s="97">
        <f>RTD("rtdtrading.rtdserver",, "T&amp;T0", "PRE", 31)</f>
        <v>0</v>
      </c>
      <c r="L34" s="97">
        <f>RTD("rtdtrading.rtdserver",, "T&amp;T0", "QUL", 31)</f>
        <v>0</v>
      </c>
      <c r="M34" s="97" t="str">
        <f>RTD("rtdtrading.rtdserver",, "T&amp;T0", "AVD", 31)</f>
        <v>-</v>
      </c>
      <c r="N34" s="97" t="str">
        <f>RTD("rtdtrading.rtdserver",, "T&amp;T0", "AGR", 31)</f>
        <v>-</v>
      </c>
      <c r="O34" s="102" t="str">
        <f>RTD("rtdtrading.rtdserver",, "T&amp;T0", "AGAG", 31)</f>
        <v>-</v>
      </c>
      <c r="P34" s="96"/>
    </row>
    <row r="35" spans="1:16" x14ac:dyDescent="0.25">
      <c r="A35" s="101" t="str">
        <f>RTD("rtdtrading.rtdserver",, "T&amp;T1", "DAT", 32)</f>
        <v>-</v>
      </c>
      <c r="B35" s="97" t="str">
        <f>RTD("rtdtrading.rtdserver",, "T&amp;T1", "ACP", 32)</f>
        <v>-</v>
      </c>
      <c r="C35" s="97">
        <f>RTD("rtdtrading.rtdserver",, "T&amp;T1", "PRE", 32)</f>
        <v>0</v>
      </c>
      <c r="D35" s="97">
        <f>RTD("rtdtrading.rtdserver",, "T&amp;T1", "QUL", 32)</f>
        <v>0</v>
      </c>
      <c r="E35" s="97" t="str">
        <f>RTD("rtdtrading.rtdserver",, "T&amp;T1", "AVD", 32)</f>
        <v>-</v>
      </c>
      <c r="F35" s="97" t="str">
        <f>RTD("rtdtrading.rtdserver",, "T&amp;T1", "AGR", 32)</f>
        <v>-</v>
      </c>
      <c r="G35" s="102" t="str">
        <f>RTD("rtdtrading.rtdserver",, "T&amp;T1", "AGAG", 32)</f>
        <v>-</v>
      </c>
      <c r="H35" s="94"/>
      <c r="I35" s="101" t="str">
        <f>RTD("rtdtrading.rtdserver",, "T&amp;T0", "DAT", 32)</f>
        <v>-</v>
      </c>
      <c r="J35" s="97" t="str">
        <f>RTD("rtdtrading.rtdserver",, "T&amp;T0", "ACP", 32)</f>
        <v>-</v>
      </c>
      <c r="K35" s="97">
        <f>RTD("rtdtrading.rtdserver",, "T&amp;T0", "PRE", 32)</f>
        <v>0</v>
      </c>
      <c r="L35" s="97">
        <f>RTD("rtdtrading.rtdserver",, "T&amp;T0", "QUL", 32)</f>
        <v>0</v>
      </c>
      <c r="M35" s="97" t="str">
        <f>RTD("rtdtrading.rtdserver",, "T&amp;T0", "AVD", 32)</f>
        <v>-</v>
      </c>
      <c r="N35" s="97" t="str">
        <f>RTD("rtdtrading.rtdserver",, "T&amp;T0", "AGR", 32)</f>
        <v>-</v>
      </c>
      <c r="O35" s="102" t="str">
        <f>RTD("rtdtrading.rtdserver",, "T&amp;T0", "AGAG", 32)</f>
        <v>-</v>
      </c>
      <c r="P35" s="96"/>
    </row>
    <row r="36" spans="1:16" x14ac:dyDescent="0.25">
      <c r="A36" s="101" t="str">
        <f>RTD("rtdtrading.rtdserver",, "T&amp;T1", "DAT", 33)</f>
        <v>-</v>
      </c>
      <c r="B36" s="97" t="str">
        <f>RTD("rtdtrading.rtdserver",, "T&amp;T1", "ACP", 33)</f>
        <v>-</v>
      </c>
      <c r="C36" s="97">
        <f>RTD("rtdtrading.rtdserver",, "T&amp;T1", "PRE", 33)</f>
        <v>0</v>
      </c>
      <c r="D36" s="97">
        <f>RTD("rtdtrading.rtdserver",, "T&amp;T1", "QUL", 33)</f>
        <v>0</v>
      </c>
      <c r="E36" s="97" t="str">
        <f>RTD("rtdtrading.rtdserver",, "T&amp;T1", "AVD", 33)</f>
        <v>-</v>
      </c>
      <c r="F36" s="97" t="str">
        <f>RTD("rtdtrading.rtdserver",, "T&amp;T1", "AGR", 33)</f>
        <v>-</v>
      </c>
      <c r="G36" s="102" t="str">
        <f>RTD("rtdtrading.rtdserver",, "T&amp;T1", "AGAG", 33)</f>
        <v>-</v>
      </c>
      <c r="H36" s="94"/>
      <c r="I36" s="101" t="str">
        <f>RTD("rtdtrading.rtdserver",, "T&amp;T0", "DAT", 33)</f>
        <v>-</v>
      </c>
      <c r="J36" s="97" t="str">
        <f>RTD("rtdtrading.rtdserver",, "T&amp;T0", "ACP", 33)</f>
        <v>-</v>
      </c>
      <c r="K36" s="97">
        <f>RTD("rtdtrading.rtdserver",, "T&amp;T0", "PRE", 33)</f>
        <v>0</v>
      </c>
      <c r="L36" s="97">
        <f>RTD("rtdtrading.rtdserver",, "T&amp;T0", "QUL", 33)</f>
        <v>0</v>
      </c>
      <c r="M36" s="97" t="str">
        <f>RTD("rtdtrading.rtdserver",, "T&amp;T0", "AVD", 33)</f>
        <v>-</v>
      </c>
      <c r="N36" s="97" t="str">
        <f>RTD("rtdtrading.rtdserver",, "T&amp;T0", "AGR", 33)</f>
        <v>-</v>
      </c>
      <c r="O36" s="102" t="str">
        <f>RTD("rtdtrading.rtdserver",, "T&amp;T0", "AGAG", 33)</f>
        <v>-</v>
      </c>
      <c r="P36" s="96"/>
    </row>
    <row r="37" spans="1:16" x14ac:dyDescent="0.25">
      <c r="A37" s="101" t="str">
        <f>RTD("rtdtrading.rtdserver",, "T&amp;T1", "DAT", 34)</f>
        <v>-</v>
      </c>
      <c r="B37" s="97" t="str">
        <f>RTD("rtdtrading.rtdserver",, "T&amp;T1", "ACP", 34)</f>
        <v>-</v>
      </c>
      <c r="C37" s="97">
        <f>RTD("rtdtrading.rtdserver",, "T&amp;T1", "PRE", 34)</f>
        <v>0</v>
      </c>
      <c r="D37" s="97">
        <f>RTD("rtdtrading.rtdserver",, "T&amp;T1", "QUL", 34)</f>
        <v>0</v>
      </c>
      <c r="E37" s="97" t="str">
        <f>RTD("rtdtrading.rtdserver",, "T&amp;T1", "AVD", 34)</f>
        <v>-</v>
      </c>
      <c r="F37" s="97" t="str">
        <f>RTD("rtdtrading.rtdserver",, "T&amp;T1", "AGR", 34)</f>
        <v>-</v>
      </c>
      <c r="G37" s="102" t="str">
        <f>RTD("rtdtrading.rtdserver",, "T&amp;T1", "AGAG", 34)</f>
        <v>-</v>
      </c>
      <c r="H37" s="94"/>
      <c r="I37" s="101" t="str">
        <f>RTD("rtdtrading.rtdserver",, "T&amp;T0", "DAT", 34)</f>
        <v>-</v>
      </c>
      <c r="J37" s="97" t="str">
        <f>RTD("rtdtrading.rtdserver",, "T&amp;T0", "ACP", 34)</f>
        <v>-</v>
      </c>
      <c r="K37" s="97">
        <f>RTD("rtdtrading.rtdserver",, "T&amp;T0", "PRE", 34)</f>
        <v>0</v>
      </c>
      <c r="L37" s="97">
        <f>RTD("rtdtrading.rtdserver",, "T&amp;T0", "QUL", 34)</f>
        <v>0</v>
      </c>
      <c r="M37" s="97" t="str">
        <f>RTD("rtdtrading.rtdserver",, "T&amp;T0", "AVD", 34)</f>
        <v>-</v>
      </c>
      <c r="N37" s="97" t="str">
        <f>RTD("rtdtrading.rtdserver",, "T&amp;T0", "AGR", 34)</f>
        <v>-</v>
      </c>
      <c r="O37" s="102" t="str">
        <f>RTD("rtdtrading.rtdserver",, "T&amp;T0", "AGAG", 34)</f>
        <v>-</v>
      </c>
      <c r="P37" s="96"/>
    </row>
    <row r="38" spans="1:16" x14ac:dyDescent="0.25">
      <c r="A38" s="101" t="str">
        <f>RTD("rtdtrading.rtdserver",, "T&amp;T1", "DAT", 35)</f>
        <v>-</v>
      </c>
      <c r="B38" s="97" t="str">
        <f>RTD("rtdtrading.rtdserver",, "T&amp;T1", "ACP", 35)</f>
        <v>-</v>
      </c>
      <c r="C38" s="97">
        <f>RTD("rtdtrading.rtdserver",, "T&amp;T1", "PRE", 35)</f>
        <v>0</v>
      </c>
      <c r="D38" s="97">
        <f>RTD("rtdtrading.rtdserver",, "T&amp;T1", "QUL", 35)</f>
        <v>0</v>
      </c>
      <c r="E38" s="97" t="str">
        <f>RTD("rtdtrading.rtdserver",, "T&amp;T1", "AVD", 35)</f>
        <v>-</v>
      </c>
      <c r="F38" s="97" t="str">
        <f>RTD("rtdtrading.rtdserver",, "T&amp;T1", "AGR", 35)</f>
        <v>-</v>
      </c>
      <c r="G38" s="102" t="str">
        <f>RTD("rtdtrading.rtdserver",, "T&amp;T1", "AGAG", 35)</f>
        <v>-</v>
      </c>
      <c r="H38" s="94"/>
      <c r="I38" s="101" t="str">
        <f>RTD("rtdtrading.rtdserver",, "T&amp;T0", "DAT", 35)</f>
        <v>-</v>
      </c>
      <c r="J38" s="97" t="str">
        <f>RTD("rtdtrading.rtdserver",, "T&amp;T0", "ACP", 35)</f>
        <v>-</v>
      </c>
      <c r="K38" s="97">
        <f>RTD("rtdtrading.rtdserver",, "T&amp;T0", "PRE", 35)</f>
        <v>0</v>
      </c>
      <c r="L38" s="97">
        <f>RTD("rtdtrading.rtdserver",, "T&amp;T0", "QUL", 35)</f>
        <v>0</v>
      </c>
      <c r="M38" s="97" t="str">
        <f>RTD("rtdtrading.rtdserver",, "T&amp;T0", "AVD", 35)</f>
        <v>-</v>
      </c>
      <c r="N38" s="97" t="str">
        <f>RTD("rtdtrading.rtdserver",, "T&amp;T0", "AGR", 35)</f>
        <v>-</v>
      </c>
      <c r="O38" s="102" t="str">
        <f>RTD("rtdtrading.rtdserver",, "T&amp;T0", "AGAG", 35)</f>
        <v>-</v>
      </c>
      <c r="P38" s="96"/>
    </row>
    <row r="39" spans="1:16" x14ac:dyDescent="0.25">
      <c r="A39" s="101" t="str">
        <f>RTD("rtdtrading.rtdserver",, "T&amp;T1", "DAT", 36)</f>
        <v>-</v>
      </c>
      <c r="B39" s="97" t="str">
        <f>RTD("rtdtrading.rtdserver",, "T&amp;T1", "ACP", 36)</f>
        <v>-</v>
      </c>
      <c r="C39" s="97">
        <f>RTD("rtdtrading.rtdserver",, "T&amp;T1", "PRE", 36)</f>
        <v>0</v>
      </c>
      <c r="D39" s="97">
        <f>RTD("rtdtrading.rtdserver",, "T&amp;T1", "QUL", 36)</f>
        <v>0</v>
      </c>
      <c r="E39" s="97" t="str">
        <f>RTD("rtdtrading.rtdserver",, "T&amp;T1", "AVD", 36)</f>
        <v>-</v>
      </c>
      <c r="F39" s="97" t="str">
        <f>RTD("rtdtrading.rtdserver",, "T&amp;T1", "AGR", 36)</f>
        <v>-</v>
      </c>
      <c r="G39" s="102" t="str">
        <f>RTD("rtdtrading.rtdserver",, "T&amp;T1", "AGAG", 36)</f>
        <v>-</v>
      </c>
      <c r="H39" s="94"/>
      <c r="I39" s="101" t="str">
        <f>RTD("rtdtrading.rtdserver",, "T&amp;T0", "DAT", 36)</f>
        <v>-</v>
      </c>
      <c r="J39" s="97" t="str">
        <f>RTD("rtdtrading.rtdserver",, "T&amp;T0", "ACP", 36)</f>
        <v>-</v>
      </c>
      <c r="K39" s="97">
        <f>RTD("rtdtrading.rtdserver",, "T&amp;T0", "PRE", 36)</f>
        <v>0</v>
      </c>
      <c r="L39" s="97">
        <f>RTD("rtdtrading.rtdserver",, "T&amp;T0", "QUL", 36)</f>
        <v>0</v>
      </c>
      <c r="M39" s="97" t="str">
        <f>RTD("rtdtrading.rtdserver",, "T&amp;T0", "AVD", 36)</f>
        <v>-</v>
      </c>
      <c r="N39" s="97" t="str">
        <f>RTD("rtdtrading.rtdserver",, "T&amp;T0", "AGR", 36)</f>
        <v>-</v>
      </c>
      <c r="O39" s="102" t="str">
        <f>RTD("rtdtrading.rtdserver",, "T&amp;T0", "AGAG", 36)</f>
        <v>-</v>
      </c>
      <c r="P39" s="96"/>
    </row>
    <row r="40" spans="1:16" x14ac:dyDescent="0.25">
      <c r="A40" s="101" t="str">
        <f>RTD("rtdtrading.rtdserver",, "T&amp;T1", "DAT", 37)</f>
        <v>-</v>
      </c>
      <c r="B40" s="97" t="str">
        <f>RTD("rtdtrading.rtdserver",, "T&amp;T1", "ACP", 37)</f>
        <v>-</v>
      </c>
      <c r="C40" s="97">
        <f>RTD("rtdtrading.rtdserver",, "T&amp;T1", "PRE", 37)</f>
        <v>0</v>
      </c>
      <c r="D40" s="97">
        <f>RTD("rtdtrading.rtdserver",, "T&amp;T1", "QUL", 37)</f>
        <v>0</v>
      </c>
      <c r="E40" s="97" t="str">
        <f>RTD("rtdtrading.rtdserver",, "T&amp;T1", "AVD", 37)</f>
        <v>-</v>
      </c>
      <c r="F40" s="97" t="str">
        <f>RTD("rtdtrading.rtdserver",, "T&amp;T1", "AGR", 37)</f>
        <v>-</v>
      </c>
      <c r="G40" s="102" t="str">
        <f>RTD("rtdtrading.rtdserver",, "T&amp;T1", "AGAG", 37)</f>
        <v>-</v>
      </c>
      <c r="H40" s="94"/>
      <c r="I40" s="101" t="str">
        <f>RTD("rtdtrading.rtdserver",, "T&amp;T0", "DAT", 37)</f>
        <v>-</v>
      </c>
      <c r="J40" s="97" t="str">
        <f>RTD("rtdtrading.rtdserver",, "T&amp;T0", "ACP", 37)</f>
        <v>-</v>
      </c>
      <c r="K40" s="97">
        <f>RTD("rtdtrading.rtdserver",, "T&amp;T0", "PRE", 37)</f>
        <v>0</v>
      </c>
      <c r="L40" s="97">
        <f>RTD("rtdtrading.rtdserver",, "T&amp;T0", "QUL", 37)</f>
        <v>0</v>
      </c>
      <c r="M40" s="97" t="str">
        <f>RTD("rtdtrading.rtdserver",, "T&amp;T0", "AVD", 37)</f>
        <v>-</v>
      </c>
      <c r="N40" s="97" t="str">
        <f>RTD("rtdtrading.rtdserver",, "T&amp;T0", "AGR", 37)</f>
        <v>-</v>
      </c>
      <c r="O40" s="102" t="str">
        <f>RTD("rtdtrading.rtdserver",, "T&amp;T0", "AGAG", 37)</f>
        <v>-</v>
      </c>
      <c r="P40" s="96"/>
    </row>
    <row r="41" spans="1:16" x14ac:dyDescent="0.25">
      <c r="A41" s="101" t="str">
        <f>RTD("rtdtrading.rtdserver",, "T&amp;T1", "DAT", 38)</f>
        <v>-</v>
      </c>
      <c r="B41" s="97" t="str">
        <f>RTD("rtdtrading.rtdserver",, "T&amp;T1", "ACP", 38)</f>
        <v>-</v>
      </c>
      <c r="C41" s="97">
        <f>RTD("rtdtrading.rtdserver",, "T&amp;T1", "PRE", 38)</f>
        <v>0</v>
      </c>
      <c r="D41" s="97">
        <f>RTD("rtdtrading.rtdserver",, "T&amp;T1", "QUL", 38)</f>
        <v>0</v>
      </c>
      <c r="E41" s="97" t="str">
        <f>RTD("rtdtrading.rtdserver",, "T&amp;T1", "AVD", 38)</f>
        <v>-</v>
      </c>
      <c r="F41" s="97" t="str">
        <f>RTD("rtdtrading.rtdserver",, "T&amp;T1", "AGR", 38)</f>
        <v>-</v>
      </c>
      <c r="G41" s="102" t="str">
        <f>RTD("rtdtrading.rtdserver",, "T&amp;T1", "AGAG", 38)</f>
        <v>-</v>
      </c>
      <c r="H41" s="94"/>
      <c r="I41" s="101" t="str">
        <f>RTD("rtdtrading.rtdserver",, "T&amp;T0", "DAT", 38)</f>
        <v>-</v>
      </c>
      <c r="J41" s="97" t="str">
        <f>RTD("rtdtrading.rtdserver",, "T&amp;T0", "ACP", 38)</f>
        <v>-</v>
      </c>
      <c r="K41" s="97">
        <f>RTD("rtdtrading.rtdserver",, "T&amp;T0", "PRE", 38)</f>
        <v>0</v>
      </c>
      <c r="L41" s="97">
        <f>RTD("rtdtrading.rtdserver",, "T&amp;T0", "QUL", 38)</f>
        <v>0</v>
      </c>
      <c r="M41" s="97" t="str">
        <f>RTD("rtdtrading.rtdserver",, "T&amp;T0", "AVD", 38)</f>
        <v>-</v>
      </c>
      <c r="N41" s="97" t="str">
        <f>RTD("rtdtrading.rtdserver",, "T&amp;T0", "AGR", 38)</f>
        <v>-</v>
      </c>
      <c r="O41" s="102" t="str">
        <f>RTD("rtdtrading.rtdserver",, "T&amp;T0", "AGAG", 38)</f>
        <v>-</v>
      </c>
      <c r="P41" s="96"/>
    </row>
    <row r="42" spans="1:16" x14ac:dyDescent="0.25">
      <c r="A42" s="101" t="str">
        <f>RTD("rtdtrading.rtdserver",, "T&amp;T1", "DAT", 39)</f>
        <v>-</v>
      </c>
      <c r="B42" s="97" t="str">
        <f>RTD("rtdtrading.rtdserver",, "T&amp;T1", "ACP", 39)</f>
        <v>-</v>
      </c>
      <c r="C42" s="97">
        <f>RTD("rtdtrading.rtdserver",, "T&amp;T1", "PRE", 39)</f>
        <v>0</v>
      </c>
      <c r="D42" s="97">
        <f>RTD("rtdtrading.rtdserver",, "T&amp;T1", "QUL", 39)</f>
        <v>0</v>
      </c>
      <c r="E42" s="97" t="str">
        <f>RTD("rtdtrading.rtdserver",, "T&amp;T1", "AVD", 39)</f>
        <v>-</v>
      </c>
      <c r="F42" s="97" t="str">
        <f>RTD("rtdtrading.rtdserver",, "T&amp;T1", "AGR", 39)</f>
        <v>-</v>
      </c>
      <c r="G42" s="102" t="str">
        <f>RTD("rtdtrading.rtdserver",, "T&amp;T1", "AGAG", 39)</f>
        <v>-</v>
      </c>
      <c r="H42" s="94"/>
      <c r="I42" s="101" t="str">
        <f>RTD("rtdtrading.rtdserver",, "T&amp;T0", "DAT", 39)</f>
        <v>-</v>
      </c>
      <c r="J42" s="97" t="str">
        <f>RTD("rtdtrading.rtdserver",, "T&amp;T0", "ACP", 39)</f>
        <v>-</v>
      </c>
      <c r="K42" s="97">
        <f>RTD("rtdtrading.rtdserver",, "T&amp;T0", "PRE", 39)</f>
        <v>0</v>
      </c>
      <c r="L42" s="97">
        <f>RTD("rtdtrading.rtdserver",, "T&amp;T0", "QUL", 39)</f>
        <v>0</v>
      </c>
      <c r="M42" s="97" t="str">
        <f>RTD("rtdtrading.rtdserver",, "T&amp;T0", "AVD", 39)</f>
        <v>-</v>
      </c>
      <c r="N42" s="97" t="str">
        <f>RTD("rtdtrading.rtdserver",, "T&amp;T0", "AGR", 39)</f>
        <v>-</v>
      </c>
      <c r="O42" s="102" t="str">
        <f>RTD("rtdtrading.rtdserver",, "T&amp;T0", "AGAG", 39)</f>
        <v>-</v>
      </c>
      <c r="P42" s="96"/>
    </row>
    <row r="43" spans="1:16" x14ac:dyDescent="0.25">
      <c r="A43" s="101" t="str">
        <f>RTD("rtdtrading.rtdserver",, "T&amp;T1", "DAT", 40)</f>
        <v>-</v>
      </c>
      <c r="B43" s="97" t="str">
        <f>RTD("rtdtrading.rtdserver",, "T&amp;T1", "ACP", 40)</f>
        <v>-</v>
      </c>
      <c r="C43" s="97">
        <f>RTD("rtdtrading.rtdserver",, "T&amp;T1", "PRE", 40)</f>
        <v>0</v>
      </c>
      <c r="D43" s="97">
        <f>RTD("rtdtrading.rtdserver",, "T&amp;T1", "QUL", 40)</f>
        <v>0</v>
      </c>
      <c r="E43" s="97" t="str">
        <f>RTD("rtdtrading.rtdserver",, "T&amp;T1", "AVD", 40)</f>
        <v>-</v>
      </c>
      <c r="F43" s="97" t="str">
        <f>RTD("rtdtrading.rtdserver",, "T&amp;T1", "AGR", 40)</f>
        <v>-</v>
      </c>
      <c r="G43" s="102" t="str">
        <f>RTD("rtdtrading.rtdserver",, "T&amp;T1", "AGAG", 40)</f>
        <v>-</v>
      </c>
      <c r="H43" s="94"/>
      <c r="I43" s="101" t="str">
        <f>RTD("rtdtrading.rtdserver",, "T&amp;T0", "DAT", 40)</f>
        <v>-</v>
      </c>
      <c r="J43" s="97" t="str">
        <f>RTD("rtdtrading.rtdserver",, "T&amp;T0", "ACP", 40)</f>
        <v>-</v>
      </c>
      <c r="K43" s="97">
        <f>RTD("rtdtrading.rtdserver",, "T&amp;T0", "PRE", 40)</f>
        <v>0</v>
      </c>
      <c r="L43" s="97">
        <f>RTD("rtdtrading.rtdserver",, "T&amp;T0", "QUL", 40)</f>
        <v>0</v>
      </c>
      <c r="M43" s="97" t="str">
        <f>RTD("rtdtrading.rtdserver",, "T&amp;T0", "AVD", 40)</f>
        <v>-</v>
      </c>
      <c r="N43" s="97" t="str">
        <f>RTD("rtdtrading.rtdserver",, "T&amp;T0", "AGR", 40)</f>
        <v>-</v>
      </c>
      <c r="O43" s="102" t="str">
        <f>RTD("rtdtrading.rtdserver",, "T&amp;T0", "AGAG", 40)</f>
        <v>-</v>
      </c>
      <c r="P43" s="96"/>
    </row>
    <row r="44" spans="1:16" x14ac:dyDescent="0.25">
      <c r="A44" s="101" t="str">
        <f>RTD("rtdtrading.rtdserver",, "T&amp;T1", "DAT", 41)</f>
        <v>-</v>
      </c>
      <c r="B44" s="97" t="str">
        <f>RTD("rtdtrading.rtdserver",, "T&amp;T1", "ACP", 41)</f>
        <v>-</v>
      </c>
      <c r="C44" s="97">
        <f>RTD("rtdtrading.rtdserver",, "T&amp;T1", "PRE", 41)</f>
        <v>0</v>
      </c>
      <c r="D44" s="97">
        <f>RTD("rtdtrading.rtdserver",, "T&amp;T1", "QUL", 41)</f>
        <v>0</v>
      </c>
      <c r="E44" s="97" t="str">
        <f>RTD("rtdtrading.rtdserver",, "T&amp;T1", "AVD", 41)</f>
        <v>-</v>
      </c>
      <c r="F44" s="97" t="str">
        <f>RTD("rtdtrading.rtdserver",, "T&amp;T1", "AGR", 41)</f>
        <v>-</v>
      </c>
      <c r="G44" s="102" t="str">
        <f>RTD("rtdtrading.rtdserver",, "T&amp;T1", "AGAG", 41)</f>
        <v>-</v>
      </c>
      <c r="H44" s="94"/>
      <c r="I44" s="101" t="str">
        <f>RTD("rtdtrading.rtdserver",, "T&amp;T0", "DAT", 41)</f>
        <v>-</v>
      </c>
      <c r="J44" s="97" t="str">
        <f>RTD("rtdtrading.rtdserver",, "T&amp;T0", "ACP", 41)</f>
        <v>-</v>
      </c>
      <c r="K44" s="97">
        <f>RTD("rtdtrading.rtdserver",, "T&amp;T0", "PRE", 41)</f>
        <v>0</v>
      </c>
      <c r="L44" s="97">
        <f>RTD("rtdtrading.rtdserver",, "T&amp;T0", "QUL", 41)</f>
        <v>0</v>
      </c>
      <c r="M44" s="97" t="str">
        <f>RTD("rtdtrading.rtdserver",, "T&amp;T0", "AVD", 41)</f>
        <v>-</v>
      </c>
      <c r="N44" s="97" t="str">
        <f>RTD("rtdtrading.rtdserver",, "T&amp;T0", "AGR", 41)</f>
        <v>-</v>
      </c>
      <c r="O44" s="102" t="str">
        <f>RTD("rtdtrading.rtdserver",, "T&amp;T0", "AGAG", 41)</f>
        <v>-</v>
      </c>
      <c r="P44" s="96"/>
    </row>
    <row r="45" spans="1:16" x14ac:dyDescent="0.25">
      <c r="A45" s="101" t="str">
        <f>RTD("rtdtrading.rtdserver",, "T&amp;T1", "DAT", 42)</f>
        <v>-</v>
      </c>
      <c r="B45" s="97" t="str">
        <f>RTD("rtdtrading.rtdserver",, "T&amp;T1", "ACP", 42)</f>
        <v>-</v>
      </c>
      <c r="C45" s="97">
        <f>RTD("rtdtrading.rtdserver",, "T&amp;T1", "PRE", 42)</f>
        <v>0</v>
      </c>
      <c r="D45" s="97">
        <f>RTD("rtdtrading.rtdserver",, "T&amp;T1", "QUL", 42)</f>
        <v>0</v>
      </c>
      <c r="E45" s="97" t="str">
        <f>RTD("rtdtrading.rtdserver",, "T&amp;T1", "AVD", 42)</f>
        <v>-</v>
      </c>
      <c r="F45" s="97" t="str">
        <f>RTD("rtdtrading.rtdserver",, "T&amp;T1", "AGR", 42)</f>
        <v>-</v>
      </c>
      <c r="G45" s="102" t="str">
        <f>RTD("rtdtrading.rtdserver",, "T&amp;T1", "AGAG", 42)</f>
        <v>-</v>
      </c>
      <c r="H45" s="94"/>
      <c r="I45" s="101" t="str">
        <f>RTD("rtdtrading.rtdserver",, "T&amp;T0", "DAT", 42)</f>
        <v>-</v>
      </c>
      <c r="J45" s="97" t="str">
        <f>RTD("rtdtrading.rtdserver",, "T&amp;T0", "ACP", 42)</f>
        <v>-</v>
      </c>
      <c r="K45" s="97">
        <f>RTD("rtdtrading.rtdserver",, "T&amp;T0", "PRE", 42)</f>
        <v>0</v>
      </c>
      <c r="L45" s="97">
        <f>RTD("rtdtrading.rtdserver",, "T&amp;T0", "QUL", 42)</f>
        <v>0</v>
      </c>
      <c r="M45" s="97" t="str">
        <f>RTD("rtdtrading.rtdserver",, "T&amp;T0", "AVD", 42)</f>
        <v>-</v>
      </c>
      <c r="N45" s="97" t="str">
        <f>RTD("rtdtrading.rtdserver",, "T&amp;T0", "AGR", 42)</f>
        <v>-</v>
      </c>
      <c r="O45" s="102" t="str">
        <f>RTD("rtdtrading.rtdserver",, "T&amp;T0", "AGAG", 42)</f>
        <v>-</v>
      </c>
      <c r="P45" s="96"/>
    </row>
    <row r="46" spans="1:16" x14ac:dyDescent="0.25">
      <c r="A46" s="101" t="str">
        <f>RTD("rtdtrading.rtdserver",, "T&amp;T1", "DAT", 43)</f>
        <v>-</v>
      </c>
      <c r="B46" s="97" t="str">
        <f>RTD("rtdtrading.rtdserver",, "T&amp;T1", "ACP", 43)</f>
        <v>-</v>
      </c>
      <c r="C46" s="97">
        <f>RTD("rtdtrading.rtdserver",, "T&amp;T1", "PRE", 43)</f>
        <v>0</v>
      </c>
      <c r="D46" s="97">
        <f>RTD("rtdtrading.rtdserver",, "T&amp;T1", "QUL", 43)</f>
        <v>0</v>
      </c>
      <c r="E46" s="97" t="str">
        <f>RTD("rtdtrading.rtdserver",, "T&amp;T1", "AVD", 43)</f>
        <v>-</v>
      </c>
      <c r="F46" s="97" t="str">
        <f>RTD("rtdtrading.rtdserver",, "T&amp;T1", "AGR", 43)</f>
        <v>-</v>
      </c>
      <c r="G46" s="102" t="str">
        <f>RTD("rtdtrading.rtdserver",, "T&amp;T1", "AGAG", 43)</f>
        <v>-</v>
      </c>
      <c r="H46" s="94"/>
      <c r="I46" s="101" t="str">
        <f>RTD("rtdtrading.rtdserver",, "T&amp;T0", "DAT", 43)</f>
        <v>-</v>
      </c>
      <c r="J46" s="97" t="str">
        <f>RTD("rtdtrading.rtdserver",, "T&amp;T0", "ACP", 43)</f>
        <v>-</v>
      </c>
      <c r="K46" s="97">
        <f>RTD("rtdtrading.rtdserver",, "T&amp;T0", "PRE", 43)</f>
        <v>0</v>
      </c>
      <c r="L46" s="97">
        <f>RTD("rtdtrading.rtdserver",, "T&amp;T0", "QUL", 43)</f>
        <v>0</v>
      </c>
      <c r="M46" s="97" t="str">
        <f>RTD("rtdtrading.rtdserver",, "T&amp;T0", "AVD", 43)</f>
        <v>-</v>
      </c>
      <c r="N46" s="97" t="str">
        <f>RTD("rtdtrading.rtdserver",, "T&amp;T0", "AGR", 43)</f>
        <v>-</v>
      </c>
      <c r="O46" s="102" t="str">
        <f>RTD("rtdtrading.rtdserver",, "T&amp;T0", "AGAG", 43)</f>
        <v>-</v>
      </c>
      <c r="P46" s="96"/>
    </row>
    <row r="47" spans="1:16" x14ac:dyDescent="0.25">
      <c r="A47" s="101" t="str">
        <f>RTD("rtdtrading.rtdserver",, "T&amp;T1", "DAT", 44)</f>
        <v>-</v>
      </c>
      <c r="B47" s="97" t="str">
        <f>RTD("rtdtrading.rtdserver",, "T&amp;T1", "ACP", 44)</f>
        <v>-</v>
      </c>
      <c r="C47" s="97">
        <f>RTD("rtdtrading.rtdserver",, "T&amp;T1", "PRE", 44)</f>
        <v>0</v>
      </c>
      <c r="D47" s="97">
        <f>RTD("rtdtrading.rtdserver",, "T&amp;T1", "QUL", 44)</f>
        <v>0</v>
      </c>
      <c r="E47" s="97" t="str">
        <f>RTD("rtdtrading.rtdserver",, "T&amp;T1", "AVD", 44)</f>
        <v>-</v>
      </c>
      <c r="F47" s="97" t="str">
        <f>RTD("rtdtrading.rtdserver",, "T&amp;T1", "AGR", 44)</f>
        <v>-</v>
      </c>
      <c r="G47" s="102" t="str">
        <f>RTD("rtdtrading.rtdserver",, "T&amp;T1", "AGAG", 44)</f>
        <v>-</v>
      </c>
      <c r="H47" s="94"/>
      <c r="I47" s="101" t="str">
        <f>RTD("rtdtrading.rtdserver",, "T&amp;T0", "DAT", 44)</f>
        <v>-</v>
      </c>
      <c r="J47" s="97" t="str">
        <f>RTD("rtdtrading.rtdserver",, "T&amp;T0", "ACP", 44)</f>
        <v>-</v>
      </c>
      <c r="K47" s="97">
        <f>RTD("rtdtrading.rtdserver",, "T&amp;T0", "PRE", 44)</f>
        <v>0</v>
      </c>
      <c r="L47" s="97">
        <f>RTD("rtdtrading.rtdserver",, "T&amp;T0", "QUL", 44)</f>
        <v>0</v>
      </c>
      <c r="M47" s="97" t="str">
        <f>RTD("rtdtrading.rtdserver",, "T&amp;T0", "AVD", 44)</f>
        <v>-</v>
      </c>
      <c r="N47" s="97" t="str">
        <f>RTD("rtdtrading.rtdserver",, "T&amp;T0", "AGR", 44)</f>
        <v>-</v>
      </c>
      <c r="O47" s="102" t="str">
        <f>RTD("rtdtrading.rtdserver",, "T&amp;T0", "AGAG", 44)</f>
        <v>-</v>
      </c>
      <c r="P47" s="96"/>
    </row>
    <row r="48" spans="1:16" x14ac:dyDescent="0.25">
      <c r="A48" s="101" t="str">
        <f>RTD("rtdtrading.rtdserver",, "T&amp;T1", "DAT", 45)</f>
        <v>-</v>
      </c>
      <c r="B48" s="97" t="str">
        <f>RTD("rtdtrading.rtdserver",, "T&amp;T1", "ACP", 45)</f>
        <v>-</v>
      </c>
      <c r="C48" s="97">
        <f>RTD("rtdtrading.rtdserver",, "T&amp;T1", "PRE", 45)</f>
        <v>0</v>
      </c>
      <c r="D48" s="97">
        <f>RTD("rtdtrading.rtdserver",, "T&amp;T1", "QUL", 45)</f>
        <v>0</v>
      </c>
      <c r="E48" s="97" t="str">
        <f>RTD("rtdtrading.rtdserver",, "T&amp;T1", "AVD", 45)</f>
        <v>-</v>
      </c>
      <c r="F48" s="97" t="str">
        <f>RTD("rtdtrading.rtdserver",, "T&amp;T1", "AGR", 45)</f>
        <v>-</v>
      </c>
      <c r="G48" s="102" t="str">
        <f>RTD("rtdtrading.rtdserver",, "T&amp;T1", "AGAG", 45)</f>
        <v>-</v>
      </c>
      <c r="H48" s="94"/>
      <c r="I48" s="101" t="str">
        <f>RTD("rtdtrading.rtdserver",, "T&amp;T0", "DAT", 45)</f>
        <v>-</v>
      </c>
      <c r="J48" s="97" t="str">
        <f>RTD("rtdtrading.rtdserver",, "T&amp;T0", "ACP", 45)</f>
        <v>-</v>
      </c>
      <c r="K48" s="97">
        <f>RTD("rtdtrading.rtdserver",, "T&amp;T0", "PRE", 45)</f>
        <v>0</v>
      </c>
      <c r="L48" s="97">
        <f>RTD("rtdtrading.rtdserver",, "T&amp;T0", "QUL", 45)</f>
        <v>0</v>
      </c>
      <c r="M48" s="97" t="str">
        <f>RTD("rtdtrading.rtdserver",, "T&amp;T0", "AVD", 45)</f>
        <v>-</v>
      </c>
      <c r="N48" s="97" t="str">
        <f>RTD("rtdtrading.rtdserver",, "T&amp;T0", "AGR", 45)</f>
        <v>-</v>
      </c>
      <c r="O48" s="102" t="str">
        <f>RTD("rtdtrading.rtdserver",, "T&amp;T0", "AGAG", 45)</f>
        <v>-</v>
      </c>
      <c r="P48" s="96"/>
    </row>
    <row r="49" spans="1:16" x14ac:dyDescent="0.25">
      <c r="A49" s="101" t="str">
        <f>RTD("rtdtrading.rtdserver",, "T&amp;T1", "DAT", 46)</f>
        <v>-</v>
      </c>
      <c r="B49" s="97" t="str">
        <f>RTD("rtdtrading.rtdserver",, "T&amp;T1", "ACP", 46)</f>
        <v>-</v>
      </c>
      <c r="C49" s="97">
        <f>RTD("rtdtrading.rtdserver",, "T&amp;T1", "PRE", 46)</f>
        <v>0</v>
      </c>
      <c r="D49" s="97">
        <f>RTD("rtdtrading.rtdserver",, "T&amp;T1", "QUL", 46)</f>
        <v>0</v>
      </c>
      <c r="E49" s="97" t="str">
        <f>RTD("rtdtrading.rtdserver",, "T&amp;T1", "AVD", 46)</f>
        <v>-</v>
      </c>
      <c r="F49" s="97" t="str">
        <f>RTD("rtdtrading.rtdserver",, "T&amp;T1", "AGR", 46)</f>
        <v>-</v>
      </c>
      <c r="G49" s="102" t="str">
        <f>RTD("rtdtrading.rtdserver",, "T&amp;T1", "AGAG", 46)</f>
        <v>-</v>
      </c>
      <c r="H49" s="94"/>
      <c r="I49" s="101" t="str">
        <f>RTD("rtdtrading.rtdserver",, "T&amp;T0", "DAT", 46)</f>
        <v>-</v>
      </c>
      <c r="J49" s="97" t="str">
        <f>RTD("rtdtrading.rtdserver",, "T&amp;T0", "ACP", 46)</f>
        <v>-</v>
      </c>
      <c r="K49" s="97">
        <f>RTD("rtdtrading.rtdserver",, "T&amp;T0", "PRE", 46)</f>
        <v>0</v>
      </c>
      <c r="L49" s="97">
        <f>RTD("rtdtrading.rtdserver",, "T&amp;T0", "QUL", 46)</f>
        <v>0</v>
      </c>
      <c r="M49" s="97" t="str">
        <f>RTD("rtdtrading.rtdserver",, "T&amp;T0", "AVD", 46)</f>
        <v>-</v>
      </c>
      <c r="N49" s="97" t="str">
        <f>RTD("rtdtrading.rtdserver",, "T&amp;T0", "AGR", 46)</f>
        <v>-</v>
      </c>
      <c r="O49" s="102" t="str">
        <f>RTD("rtdtrading.rtdserver",, "T&amp;T0", "AGAG", 46)</f>
        <v>-</v>
      </c>
      <c r="P49" s="96"/>
    </row>
    <row r="50" spans="1:16" x14ac:dyDescent="0.25">
      <c r="A50" s="101" t="str">
        <f>RTD("rtdtrading.rtdserver",, "T&amp;T1", "DAT", 47)</f>
        <v>-</v>
      </c>
      <c r="B50" s="97" t="str">
        <f>RTD("rtdtrading.rtdserver",, "T&amp;T1", "ACP", 47)</f>
        <v>-</v>
      </c>
      <c r="C50" s="97">
        <f>RTD("rtdtrading.rtdserver",, "T&amp;T1", "PRE", 47)</f>
        <v>0</v>
      </c>
      <c r="D50" s="97">
        <f>RTD("rtdtrading.rtdserver",, "T&amp;T1", "QUL", 47)</f>
        <v>0</v>
      </c>
      <c r="E50" s="97" t="str">
        <f>RTD("rtdtrading.rtdserver",, "T&amp;T1", "AVD", 47)</f>
        <v>-</v>
      </c>
      <c r="F50" s="97" t="str">
        <f>RTD("rtdtrading.rtdserver",, "T&amp;T1", "AGR", 47)</f>
        <v>-</v>
      </c>
      <c r="G50" s="102" t="str">
        <f>RTD("rtdtrading.rtdserver",, "T&amp;T1", "AGAG", 47)</f>
        <v>-</v>
      </c>
      <c r="H50" s="94"/>
      <c r="I50" s="101" t="str">
        <f>RTD("rtdtrading.rtdserver",, "T&amp;T0", "DAT", 47)</f>
        <v>-</v>
      </c>
      <c r="J50" s="97" t="str">
        <f>RTD("rtdtrading.rtdserver",, "T&amp;T0", "ACP", 47)</f>
        <v>-</v>
      </c>
      <c r="K50" s="97">
        <f>RTD("rtdtrading.rtdserver",, "T&amp;T0", "PRE", 47)</f>
        <v>0</v>
      </c>
      <c r="L50" s="97">
        <f>RTD("rtdtrading.rtdserver",, "T&amp;T0", "QUL", 47)</f>
        <v>0</v>
      </c>
      <c r="M50" s="97" t="str">
        <f>RTD("rtdtrading.rtdserver",, "T&amp;T0", "AVD", 47)</f>
        <v>-</v>
      </c>
      <c r="N50" s="97" t="str">
        <f>RTD("rtdtrading.rtdserver",, "T&amp;T0", "AGR", 47)</f>
        <v>-</v>
      </c>
      <c r="O50" s="102" t="str">
        <f>RTD("rtdtrading.rtdserver",, "T&amp;T0", "AGAG", 47)</f>
        <v>-</v>
      </c>
      <c r="P50" s="96"/>
    </row>
    <row r="51" spans="1:16" x14ac:dyDescent="0.25">
      <c r="A51" s="101" t="str">
        <f>RTD("rtdtrading.rtdserver",, "T&amp;T1", "DAT", 48)</f>
        <v>-</v>
      </c>
      <c r="B51" s="97" t="str">
        <f>RTD("rtdtrading.rtdserver",, "T&amp;T1", "ACP", 48)</f>
        <v>-</v>
      </c>
      <c r="C51" s="97">
        <f>RTD("rtdtrading.rtdserver",, "T&amp;T1", "PRE", 48)</f>
        <v>0</v>
      </c>
      <c r="D51" s="97">
        <f>RTD("rtdtrading.rtdserver",, "T&amp;T1", "QUL", 48)</f>
        <v>0</v>
      </c>
      <c r="E51" s="97" t="str">
        <f>RTD("rtdtrading.rtdserver",, "T&amp;T1", "AVD", 48)</f>
        <v>-</v>
      </c>
      <c r="F51" s="97" t="str">
        <f>RTD("rtdtrading.rtdserver",, "T&amp;T1", "AGR", 48)</f>
        <v>-</v>
      </c>
      <c r="G51" s="102" t="str">
        <f>RTD("rtdtrading.rtdserver",, "T&amp;T1", "AGAG", 48)</f>
        <v>-</v>
      </c>
      <c r="H51" s="94"/>
      <c r="I51" s="101" t="str">
        <f>RTD("rtdtrading.rtdserver",, "T&amp;T0", "DAT", 48)</f>
        <v>-</v>
      </c>
      <c r="J51" s="97" t="str">
        <f>RTD("rtdtrading.rtdserver",, "T&amp;T0", "ACP", 48)</f>
        <v>-</v>
      </c>
      <c r="K51" s="97">
        <f>RTD("rtdtrading.rtdserver",, "T&amp;T0", "PRE", 48)</f>
        <v>0</v>
      </c>
      <c r="L51" s="97">
        <f>RTD("rtdtrading.rtdserver",, "T&amp;T0", "QUL", 48)</f>
        <v>0</v>
      </c>
      <c r="M51" s="97" t="str">
        <f>RTD("rtdtrading.rtdserver",, "T&amp;T0", "AVD", 48)</f>
        <v>-</v>
      </c>
      <c r="N51" s="97" t="str">
        <f>RTD("rtdtrading.rtdserver",, "T&amp;T0", "AGR", 48)</f>
        <v>-</v>
      </c>
      <c r="O51" s="102" t="str">
        <f>RTD("rtdtrading.rtdserver",, "T&amp;T0", "AGAG", 48)</f>
        <v>-</v>
      </c>
      <c r="P51" s="96"/>
    </row>
    <row r="52" spans="1:16" x14ac:dyDescent="0.25">
      <c r="A52" s="101" t="str">
        <f>RTD("rtdtrading.rtdserver",, "T&amp;T1", "DAT", 49)</f>
        <v>-</v>
      </c>
      <c r="B52" s="97" t="str">
        <f>RTD("rtdtrading.rtdserver",, "T&amp;T1", "ACP", 49)</f>
        <v>-</v>
      </c>
      <c r="C52" s="97">
        <f>RTD("rtdtrading.rtdserver",, "T&amp;T1", "PRE", 49)</f>
        <v>0</v>
      </c>
      <c r="D52" s="97">
        <f>RTD("rtdtrading.rtdserver",, "T&amp;T1", "QUL", 49)</f>
        <v>0</v>
      </c>
      <c r="E52" s="97" t="str">
        <f>RTD("rtdtrading.rtdserver",, "T&amp;T1", "AVD", 49)</f>
        <v>-</v>
      </c>
      <c r="F52" s="97" t="str">
        <f>RTD("rtdtrading.rtdserver",, "T&amp;T1", "AGR", 49)</f>
        <v>-</v>
      </c>
      <c r="G52" s="102" t="str">
        <f>RTD("rtdtrading.rtdserver",, "T&amp;T1", "AGAG", 49)</f>
        <v>-</v>
      </c>
      <c r="H52" s="94"/>
      <c r="I52" s="101" t="str">
        <f>RTD("rtdtrading.rtdserver",, "T&amp;T0", "DAT", 49)</f>
        <v>-</v>
      </c>
      <c r="J52" s="97" t="str">
        <f>RTD("rtdtrading.rtdserver",, "T&amp;T0", "ACP", 49)</f>
        <v>-</v>
      </c>
      <c r="K52" s="97">
        <f>RTD("rtdtrading.rtdserver",, "T&amp;T0", "PRE", 49)</f>
        <v>0</v>
      </c>
      <c r="L52" s="97">
        <f>RTD("rtdtrading.rtdserver",, "T&amp;T0", "QUL", 49)</f>
        <v>0</v>
      </c>
      <c r="M52" s="97" t="str">
        <f>RTD("rtdtrading.rtdserver",, "T&amp;T0", "AVD", 49)</f>
        <v>-</v>
      </c>
      <c r="N52" s="97" t="str">
        <f>RTD("rtdtrading.rtdserver",, "T&amp;T0", "AGR", 49)</f>
        <v>-</v>
      </c>
      <c r="O52" s="102" t="str">
        <f>RTD("rtdtrading.rtdserver",, "T&amp;T0", "AGAG", 49)</f>
        <v>-</v>
      </c>
      <c r="P52" s="96"/>
    </row>
    <row r="53" spans="1:16" x14ac:dyDescent="0.25">
      <c r="A53" s="101" t="str">
        <f>RTD("rtdtrading.rtdserver",, "T&amp;T1", "DAT", 50)</f>
        <v>-</v>
      </c>
      <c r="B53" s="97" t="str">
        <f>RTD("rtdtrading.rtdserver",, "T&amp;T1", "ACP", 50)</f>
        <v>-</v>
      </c>
      <c r="C53" s="97">
        <f>RTD("rtdtrading.rtdserver",, "T&amp;T1", "PRE", 50)</f>
        <v>0</v>
      </c>
      <c r="D53" s="97">
        <f>RTD("rtdtrading.rtdserver",, "T&amp;T1", "QUL", 50)</f>
        <v>0</v>
      </c>
      <c r="E53" s="97" t="str">
        <f>RTD("rtdtrading.rtdserver",, "T&amp;T1", "AVD", 50)</f>
        <v>-</v>
      </c>
      <c r="F53" s="97" t="str">
        <f>RTD("rtdtrading.rtdserver",, "T&amp;T1", "AGR", 50)</f>
        <v>-</v>
      </c>
      <c r="G53" s="102" t="str">
        <f>RTD("rtdtrading.rtdserver",, "T&amp;T1", "AGAG", 50)</f>
        <v>-</v>
      </c>
      <c r="H53" s="94"/>
      <c r="I53" s="101" t="str">
        <f>RTD("rtdtrading.rtdserver",, "T&amp;T0", "DAT", 50)</f>
        <v>-</v>
      </c>
      <c r="J53" s="97" t="str">
        <f>RTD("rtdtrading.rtdserver",, "T&amp;T0", "ACP", 50)</f>
        <v>-</v>
      </c>
      <c r="K53" s="97">
        <f>RTD("rtdtrading.rtdserver",, "T&amp;T0", "PRE", 50)</f>
        <v>0</v>
      </c>
      <c r="L53" s="97">
        <f>RTD("rtdtrading.rtdserver",, "T&amp;T0", "QUL", 50)</f>
        <v>0</v>
      </c>
      <c r="M53" s="97" t="str">
        <f>RTD("rtdtrading.rtdserver",, "T&amp;T0", "AVD", 50)</f>
        <v>-</v>
      </c>
      <c r="N53" s="97" t="str">
        <f>RTD("rtdtrading.rtdserver",, "T&amp;T0", "AGR", 50)</f>
        <v>-</v>
      </c>
      <c r="O53" s="102" t="str">
        <f>RTD("rtdtrading.rtdserver",, "T&amp;T0", "AGAG", 50)</f>
        <v>-</v>
      </c>
      <c r="P53" s="96"/>
    </row>
    <row r="54" spans="1:16" x14ac:dyDescent="0.25">
      <c r="A54" s="101" t="str">
        <f>RTD("rtdtrading.rtdserver",, "T&amp;T1", "DAT", 51)</f>
        <v>-</v>
      </c>
      <c r="B54" s="97" t="str">
        <f>RTD("rtdtrading.rtdserver",, "T&amp;T1", "ACP", 51)</f>
        <v>-</v>
      </c>
      <c r="C54" s="97">
        <f>RTD("rtdtrading.rtdserver",, "T&amp;T1", "PRE", 51)</f>
        <v>0</v>
      </c>
      <c r="D54" s="97">
        <f>RTD("rtdtrading.rtdserver",, "T&amp;T1", "QUL", 51)</f>
        <v>0</v>
      </c>
      <c r="E54" s="97" t="str">
        <f>RTD("rtdtrading.rtdserver",, "T&amp;T1", "AVD", 51)</f>
        <v>-</v>
      </c>
      <c r="F54" s="97" t="str">
        <f>RTD("rtdtrading.rtdserver",, "T&amp;T1", "AGR", 51)</f>
        <v>-</v>
      </c>
      <c r="G54" s="102" t="str">
        <f>RTD("rtdtrading.rtdserver",, "T&amp;T1", "AGAG", 51)</f>
        <v>-</v>
      </c>
      <c r="H54" s="94"/>
      <c r="I54" s="101" t="str">
        <f>RTD("rtdtrading.rtdserver",, "T&amp;T0", "DAT", 51)</f>
        <v>-</v>
      </c>
      <c r="J54" s="97" t="str">
        <f>RTD("rtdtrading.rtdserver",, "T&amp;T0", "ACP", 51)</f>
        <v>-</v>
      </c>
      <c r="K54" s="97">
        <f>RTD("rtdtrading.rtdserver",, "T&amp;T0", "PRE", 51)</f>
        <v>0</v>
      </c>
      <c r="L54" s="97">
        <f>RTD("rtdtrading.rtdserver",, "T&amp;T0", "QUL", 51)</f>
        <v>0</v>
      </c>
      <c r="M54" s="97" t="str">
        <f>RTD("rtdtrading.rtdserver",, "T&amp;T0", "AVD", 51)</f>
        <v>-</v>
      </c>
      <c r="N54" s="97" t="str">
        <f>RTD("rtdtrading.rtdserver",, "T&amp;T0", "AGR", 51)</f>
        <v>-</v>
      </c>
      <c r="O54" s="102" t="str">
        <f>RTD("rtdtrading.rtdserver",, "T&amp;T0", "AGAG", 51)</f>
        <v>-</v>
      </c>
      <c r="P54" s="96"/>
    </row>
    <row r="55" spans="1:16" x14ac:dyDescent="0.25">
      <c r="A55" s="101" t="str">
        <f>RTD("rtdtrading.rtdserver",, "T&amp;T1", "DAT", 52)</f>
        <v>-</v>
      </c>
      <c r="B55" s="97" t="str">
        <f>RTD("rtdtrading.rtdserver",, "T&amp;T1", "ACP", 52)</f>
        <v>-</v>
      </c>
      <c r="C55" s="97">
        <f>RTD("rtdtrading.rtdserver",, "T&amp;T1", "PRE", 52)</f>
        <v>0</v>
      </c>
      <c r="D55" s="97">
        <f>RTD("rtdtrading.rtdserver",, "T&amp;T1", "QUL", 52)</f>
        <v>0</v>
      </c>
      <c r="E55" s="97" t="str">
        <f>RTD("rtdtrading.rtdserver",, "T&amp;T1", "AVD", 52)</f>
        <v>-</v>
      </c>
      <c r="F55" s="97" t="str">
        <f>RTD("rtdtrading.rtdserver",, "T&amp;T1", "AGR", 52)</f>
        <v>-</v>
      </c>
      <c r="G55" s="102" t="str">
        <f>RTD("rtdtrading.rtdserver",, "T&amp;T1", "AGAG", 52)</f>
        <v>-</v>
      </c>
      <c r="H55" s="94"/>
      <c r="I55" s="101" t="str">
        <f>RTD("rtdtrading.rtdserver",, "T&amp;T0", "DAT", 52)</f>
        <v>-</v>
      </c>
      <c r="J55" s="97" t="str">
        <f>RTD("rtdtrading.rtdserver",, "T&amp;T0", "ACP", 52)</f>
        <v>-</v>
      </c>
      <c r="K55" s="97">
        <f>RTD("rtdtrading.rtdserver",, "T&amp;T0", "PRE", 52)</f>
        <v>0</v>
      </c>
      <c r="L55" s="97">
        <f>RTD("rtdtrading.rtdserver",, "T&amp;T0", "QUL", 52)</f>
        <v>0</v>
      </c>
      <c r="M55" s="97" t="str">
        <f>RTD("rtdtrading.rtdserver",, "T&amp;T0", "AVD", 52)</f>
        <v>-</v>
      </c>
      <c r="N55" s="97" t="str">
        <f>RTD("rtdtrading.rtdserver",, "T&amp;T0", "AGR", 52)</f>
        <v>-</v>
      </c>
      <c r="O55" s="102" t="str">
        <f>RTD("rtdtrading.rtdserver",, "T&amp;T0", "AGAG", 52)</f>
        <v>-</v>
      </c>
      <c r="P55" s="96"/>
    </row>
    <row r="56" spans="1:16" x14ac:dyDescent="0.25">
      <c r="A56" s="101" t="str">
        <f>RTD("rtdtrading.rtdserver",, "T&amp;T1", "DAT", 53)</f>
        <v>-</v>
      </c>
      <c r="B56" s="97" t="str">
        <f>RTD("rtdtrading.rtdserver",, "T&amp;T1", "ACP", 53)</f>
        <v>-</v>
      </c>
      <c r="C56" s="97">
        <f>RTD("rtdtrading.rtdserver",, "T&amp;T1", "PRE", 53)</f>
        <v>0</v>
      </c>
      <c r="D56" s="97">
        <f>RTD("rtdtrading.rtdserver",, "T&amp;T1", "QUL", 53)</f>
        <v>0</v>
      </c>
      <c r="E56" s="97" t="str">
        <f>RTD("rtdtrading.rtdserver",, "T&amp;T1", "AVD", 53)</f>
        <v>-</v>
      </c>
      <c r="F56" s="97" t="str">
        <f>RTD("rtdtrading.rtdserver",, "T&amp;T1", "AGR", 53)</f>
        <v>-</v>
      </c>
      <c r="G56" s="102" t="str">
        <f>RTD("rtdtrading.rtdserver",, "T&amp;T1", "AGAG", 53)</f>
        <v>-</v>
      </c>
      <c r="H56" s="94"/>
      <c r="I56" s="101" t="str">
        <f>RTD("rtdtrading.rtdserver",, "T&amp;T0", "DAT", 53)</f>
        <v>-</v>
      </c>
      <c r="J56" s="97" t="str">
        <f>RTD("rtdtrading.rtdserver",, "T&amp;T0", "ACP", 53)</f>
        <v>-</v>
      </c>
      <c r="K56" s="97">
        <f>RTD("rtdtrading.rtdserver",, "T&amp;T0", "PRE", 53)</f>
        <v>0</v>
      </c>
      <c r="L56" s="97">
        <f>RTD("rtdtrading.rtdserver",, "T&amp;T0", "QUL", 53)</f>
        <v>0</v>
      </c>
      <c r="M56" s="97" t="str">
        <f>RTD("rtdtrading.rtdserver",, "T&amp;T0", "AVD", 53)</f>
        <v>-</v>
      </c>
      <c r="N56" s="97" t="str">
        <f>RTD("rtdtrading.rtdserver",, "T&amp;T0", "AGR", 53)</f>
        <v>-</v>
      </c>
      <c r="O56" s="102" t="str">
        <f>RTD("rtdtrading.rtdserver",, "T&amp;T0", "AGAG", 53)</f>
        <v>-</v>
      </c>
      <c r="P56" s="96"/>
    </row>
    <row r="57" spans="1:16" x14ac:dyDescent="0.25">
      <c r="A57" s="101" t="str">
        <f>RTD("rtdtrading.rtdserver",, "T&amp;T1", "DAT", 54)</f>
        <v>-</v>
      </c>
      <c r="B57" s="97" t="str">
        <f>RTD("rtdtrading.rtdserver",, "T&amp;T1", "ACP", 54)</f>
        <v>-</v>
      </c>
      <c r="C57" s="97">
        <f>RTD("rtdtrading.rtdserver",, "T&amp;T1", "PRE", 54)</f>
        <v>0</v>
      </c>
      <c r="D57" s="97">
        <f>RTD("rtdtrading.rtdserver",, "T&amp;T1", "QUL", 54)</f>
        <v>0</v>
      </c>
      <c r="E57" s="97" t="str">
        <f>RTD("rtdtrading.rtdserver",, "T&amp;T1", "AVD", 54)</f>
        <v>-</v>
      </c>
      <c r="F57" s="97" t="str">
        <f>RTD("rtdtrading.rtdserver",, "T&amp;T1", "AGR", 54)</f>
        <v>-</v>
      </c>
      <c r="G57" s="102" t="str">
        <f>RTD("rtdtrading.rtdserver",, "T&amp;T1", "AGAG", 54)</f>
        <v>-</v>
      </c>
      <c r="H57" s="94"/>
      <c r="I57" s="101" t="str">
        <f>RTD("rtdtrading.rtdserver",, "T&amp;T0", "DAT", 54)</f>
        <v>-</v>
      </c>
      <c r="J57" s="97" t="str">
        <f>RTD("rtdtrading.rtdserver",, "T&amp;T0", "ACP", 54)</f>
        <v>-</v>
      </c>
      <c r="K57" s="97">
        <f>RTD("rtdtrading.rtdserver",, "T&amp;T0", "PRE", 54)</f>
        <v>0</v>
      </c>
      <c r="L57" s="97">
        <f>RTD("rtdtrading.rtdserver",, "T&amp;T0", "QUL", 54)</f>
        <v>0</v>
      </c>
      <c r="M57" s="97" t="str">
        <f>RTD("rtdtrading.rtdserver",, "T&amp;T0", "AVD", 54)</f>
        <v>-</v>
      </c>
      <c r="N57" s="97" t="str">
        <f>RTD("rtdtrading.rtdserver",, "T&amp;T0", "AGR", 54)</f>
        <v>-</v>
      </c>
      <c r="O57" s="102" t="str">
        <f>RTD("rtdtrading.rtdserver",, "T&amp;T0", "AGAG", 54)</f>
        <v>-</v>
      </c>
      <c r="P57" s="96"/>
    </row>
    <row r="58" spans="1:16" x14ac:dyDescent="0.25">
      <c r="A58" s="101" t="str">
        <f>RTD("rtdtrading.rtdserver",, "T&amp;T1", "DAT", 55)</f>
        <v>-</v>
      </c>
      <c r="B58" s="97" t="str">
        <f>RTD("rtdtrading.rtdserver",, "T&amp;T1", "ACP", 55)</f>
        <v>-</v>
      </c>
      <c r="C58" s="97">
        <f>RTD("rtdtrading.rtdserver",, "T&amp;T1", "PRE", 55)</f>
        <v>0</v>
      </c>
      <c r="D58" s="97">
        <f>RTD("rtdtrading.rtdserver",, "T&amp;T1", "QUL", 55)</f>
        <v>0</v>
      </c>
      <c r="E58" s="97" t="str">
        <f>RTD("rtdtrading.rtdserver",, "T&amp;T1", "AVD", 55)</f>
        <v>-</v>
      </c>
      <c r="F58" s="97" t="str">
        <f>RTD("rtdtrading.rtdserver",, "T&amp;T1", "AGR", 55)</f>
        <v>-</v>
      </c>
      <c r="G58" s="102" t="str">
        <f>RTD("rtdtrading.rtdserver",, "T&amp;T1", "AGAG", 55)</f>
        <v>-</v>
      </c>
      <c r="H58" s="94"/>
      <c r="I58" s="101" t="str">
        <f>RTD("rtdtrading.rtdserver",, "T&amp;T0", "DAT", 55)</f>
        <v>-</v>
      </c>
      <c r="J58" s="97" t="str">
        <f>RTD("rtdtrading.rtdserver",, "T&amp;T0", "ACP", 55)</f>
        <v>-</v>
      </c>
      <c r="K58" s="97">
        <f>RTD("rtdtrading.rtdserver",, "T&amp;T0", "PRE", 55)</f>
        <v>0</v>
      </c>
      <c r="L58" s="97">
        <f>RTD("rtdtrading.rtdserver",, "T&amp;T0", "QUL", 55)</f>
        <v>0</v>
      </c>
      <c r="M58" s="97" t="str">
        <f>RTD("rtdtrading.rtdserver",, "T&amp;T0", "AVD", 55)</f>
        <v>-</v>
      </c>
      <c r="N58" s="97" t="str">
        <f>RTD("rtdtrading.rtdserver",, "T&amp;T0", "AGR", 55)</f>
        <v>-</v>
      </c>
      <c r="O58" s="102" t="str">
        <f>RTD("rtdtrading.rtdserver",, "T&amp;T0", "AGAG", 55)</f>
        <v>-</v>
      </c>
      <c r="P58" s="96"/>
    </row>
    <row r="59" spans="1:16" x14ac:dyDescent="0.25">
      <c r="A59" s="101" t="str">
        <f>RTD("rtdtrading.rtdserver",, "T&amp;T1", "DAT", 56)</f>
        <v>-</v>
      </c>
      <c r="B59" s="97" t="str">
        <f>RTD("rtdtrading.rtdserver",, "T&amp;T1", "ACP", 56)</f>
        <v>-</v>
      </c>
      <c r="C59" s="97">
        <f>RTD("rtdtrading.rtdserver",, "T&amp;T1", "PRE", 56)</f>
        <v>0</v>
      </c>
      <c r="D59" s="97">
        <f>RTD("rtdtrading.rtdserver",, "T&amp;T1", "QUL", 56)</f>
        <v>0</v>
      </c>
      <c r="E59" s="97" t="str">
        <f>RTD("rtdtrading.rtdserver",, "T&amp;T1", "AVD", 56)</f>
        <v>-</v>
      </c>
      <c r="F59" s="97" t="str">
        <f>RTD("rtdtrading.rtdserver",, "T&amp;T1", "AGR", 56)</f>
        <v>-</v>
      </c>
      <c r="G59" s="102" t="str">
        <f>RTD("rtdtrading.rtdserver",, "T&amp;T1", "AGAG", 56)</f>
        <v>-</v>
      </c>
      <c r="H59" s="94"/>
      <c r="I59" s="101" t="str">
        <f>RTD("rtdtrading.rtdserver",, "T&amp;T0", "DAT", 56)</f>
        <v>-</v>
      </c>
      <c r="J59" s="97" t="str">
        <f>RTD("rtdtrading.rtdserver",, "T&amp;T0", "ACP", 56)</f>
        <v>-</v>
      </c>
      <c r="K59" s="97">
        <f>RTD("rtdtrading.rtdserver",, "T&amp;T0", "PRE", 56)</f>
        <v>0</v>
      </c>
      <c r="L59" s="97">
        <f>RTD("rtdtrading.rtdserver",, "T&amp;T0", "QUL", 56)</f>
        <v>0</v>
      </c>
      <c r="M59" s="97" t="str">
        <f>RTD("rtdtrading.rtdserver",, "T&amp;T0", "AVD", 56)</f>
        <v>-</v>
      </c>
      <c r="N59" s="97" t="str">
        <f>RTD("rtdtrading.rtdserver",, "T&amp;T0", "AGR", 56)</f>
        <v>-</v>
      </c>
      <c r="O59" s="102" t="str">
        <f>RTD("rtdtrading.rtdserver",, "T&amp;T0", "AGAG", 56)</f>
        <v>-</v>
      </c>
      <c r="P59" s="96"/>
    </row>
    <row r="60" spans="1:16" x14ac:dyDescent="0.25">
      <c r="A60" s="101" t="str">
        <f>RTD("rtdtrading.rtdserver",, "T&amp;T1", "DAT", 57)</f>
        <v>-</v>
      </c>
      <c r="B60" s="97" t="str">
        <f>RTD("rtdtrading.rtdserver",, "T&amp;T1", "ACP", 57)</f>
        <v>-</v>
      </c>
      <c r="C60" s="97">
        <f>RTD("rtdtrading.rtdserver",, "T&amp;T1", "PRE", 57)</f>
        <v>0</v>
      </c>
      <c r="D60" s="97">
        <f>RTD("rtdtrading.rtdserver",, "T&amp;T1", "QUL", 57)</f>
        <v>0</v>
      </c>
      <c r="E60" s="97" t="str">
        <f>RTD("rtdtrading.rtdserver",, "T&amp;T1", "AVD", 57)</f>
        <v>-</v>
      </c>
      <c r="F60" s="97" t="str">
        <f>RTD("rtdtrading.rtdserver",, "T&amp;T1", "AGR", 57)</f>
        <v>-</v>
      </c>
      <c r="G60" s="102" t="str">
        <f>RTD("rtdtrading.rtdserver",, "T&amp;T1", "AGAG", 57)</f>
        <v>-</v>
      </c>
      <c r="H60" s="94"/>
      <c r="I60" s="101" t="str">
        <f>RTD("rtdtrading.rtdserver",, "T&amp;T0", "DAT", 57)</f>
        <v>-</v>
      </c>
      <c r="J60" s="97" t="str">
        <f>RTD("rtdtrading.rtdserver",, "T&amp;T0", "ACP", 57)</f>
        <v>-</v>
      </c>
      <c r="K60" s="97">
        <f>RTD("rtdtrading.rtdserver",, "T&amp;T0", "PRE", 57)</f>
        <v>0</v>
      </c>
      <c r="L60" s="97">
        <f>RTD("rtdtrading.rtdserver",, "T&amp;T0", "QUL", 57)</f>
        <v>0</v>
      </c>
      <c r="M60" s="97" t="str">
        <f>RTD("rtdtrading.rtdserver",, "T&amp;T0", "AVD", 57)</f>
        <v>-</v>
      </c>
      <c r="N60" s="97" t="str">
        <f>RTD("rtdtrading.rtdserver",, "T&amp;T0", "AGR", 57)</f>
        <v>-</v>
      </c>
      <c r="O60" s="102" t="str">
        <f>RTD("rtdtrading.rtdserver",, "T&amp;T0", "AGAG", 57)</f>
        <v>-</v>
      </c>
      <c r="P60" s="96"/>
    </row>
    <row r="61" spans="1:16" x14ac:dyDescent="0.25">
      <c r="A61" s="101" t="str">
        <f>RTD("rtdtrading.rtdserver",, "T&amp;T1", "DAT", 58)</f>
        <v>-</v>
      </c>
      <c r="B61" s="97" t="str">
        <f>RTD("rtdtrading.rtdserver",, "T&amp;T1", "ACP", 58)</f>
        <v>-</v>
      </c>
      <c r="C61" s="97">
        <f>RTD("rtdtrading.rtdserver",, "T&amp;T1", "PRE", 58)</f>
        <v>0</v>
      </c>
      <c r="D61" s="97">
        <f>RTD("rtdtrading.rtdserver",, "T&amp;T1", "QUL", 58)</f>
        <v>0</v>
      </c>
      <c r="E61" s="97" t="str">
        <f>RTD("rtdtrading.rtdserver",, "T&amp;T1", "AVD", 58)</f>
        <v>-</v>
      </c>
      <c r="F61" s="97" t="str">
        <f>RTD("rtdtrading.rtdserver",, "T&amp;T1", "AGR", 58)</f>
        <v>-</v>
      </c>
      <c r="G61" s="102" t="str">
        <f>RTD("rtdtrading.rtdserver",, "T&amp;T1", "AGAG", 58)</f>
        <v>-</v>
      </c>
      <c r="H61" s="94"/>
      <c r="I61" s="101" t="str">
        <f>RTD("rtdtrading.rtdserver",, "T&amp;T0", "DAT", 58)</f>
        <v>-</v>
      </c>
      <c r="J61" s="97" t="str">
        <f>RTD("rtdtrading.rtdserver",, "T&amp;T0", "ACP", 58)</f>
        <v>-</v>
      </c>
      <c r="K61" s="97">
        <f>RTD("rtdtrading.rtdserver",, "T&amp;T0", "PRE", 58)</f>
        <v>0</v>
      </c>
      <c r="L61" s="97">
        <f>RTD("rtdtrading.rtdserver",, "T&amp;T0", "QUL", 58)</f>
        <v>0</v>
      </c>
      <c r="M61" s="97" t="str">
        <f>RTD("rtdtrading.rtdserver",, "T&amp;T0", "AVD", 58)</f>
        <v>-</v>
      </c>
      <c r="N61" s="97" t="str">
        <f>RTD("rtdtrading.rtdserver",, "T&amp;T0", "AGR", 58)</f>
        <v>-</v>
      </c>
      <c r="O61" s="102" t="str">
        <f>RTD("rtdtrading.rtdserver",, "T&amp;T0", "AGAG", 58)</f>
        <v>-</v>
      </c>
      <c r="P61" s="96"/>
    </row>
    <row r="62" spans="1:16" x14ac:dyDescent="0.25">
      <c r="A62" s="101" t="str">
        <f>RTD("rtdtrading.rtdserver",, "T&amp;T1", "DAT", 59)</f>
        <v>-</v>
      </c>
      <c r="B62" s="97" t="str">
        <f>RTD("rtdtrading.rtdserver",, "T&amp;T1", "ACP", 59)</f>
        <v>-</v>
      </c>
      <c r="C62" s="97">
        <f>RTD("rtdtrading.rtdserver",, "T&amp;T1", "PRE", 59)</f>
        <v>0</v>
      </c>
      <c r="D62" s="97">
        <f>RTD("rtdtrading.rtdserver",, "T&amp;T1", "QUL", 59)</f>
        <v>0</v>
      </c>
      <c r="E62" s="97" t="str">
        <f>RTD("rtdtrading.rtdserver",, "T&amp;T1", "AVD", 59)</f>
        <v>-</v>
      </c>
      <c r="F62" s="97" t="str">
        <f>RTD("rtdtrading.rtdserver",, "T&amp;T1", "AGR", 59)</f>
        <v>-</v>
      </c>
      <c r="G62" s="102" t="str">
        <f>RTD("rtdtrading.rtdserver",, "T&amp;T1", "AGAG", 59)</f>
        <v>-</v>
      </c>
      <c r="H62" s="94"/>
      <c r="I62" s="101" t="str">
        <f>RTD("rtdtrading.rtdserver",, "T&amp;T0", "DAT", 59)</f>
        <v>-</v>
      </c>
      <c r="J62" s="97" t="str">
        <f>RTD("rtdtrading.rtdserver",, "T&amp;T0", "ACP", 59)</f>
        <v>-</v>
      </c>
      <c r="K62" s="97">
        <f>RTD("rtdtrading.rtdserver",, "T&amp;T0", "PRE", 59)</f>
        <v>0</v>
      </c>
      <c r="L62" s="97">
        <f>RTD("rtdtrading.rtdserver",, "T&amp;T0", "QUL", 59)</f>
        <v>0</v>
      </c>
      <c r="M62" s="97" t="str">
        <f>RTD("rtdtrading.rtdserver",, "T&amp;T0", "AVD", 59)</f>
        <v>-</v>
      </c>
      <c r="N62" s="97" t="str">
        <f>RTD("rtdtrading.rtdserver",, "T&amp;T0", "AGR", 59)</f>
        <v>-</v>
      </c>
      <c r="O62" s="102" t="str">
        <f>RTD("rtdtrading.rtdserver",, "T&amp;T0", "AGAG", 59)</f>
        <v>-</v>
      </c>
      <c r="P62" s="96"/>
    </row>
    <row r="63" spans="1:16" x14ac:dyDescent="0.25">
      <c r="A63" s="101" t="str">
        <f>RTD("rtdtrading.rtdserver",, "T&amp;T1", "DAT", 60)</f>
        <v>-</v>
      </c>
      <c r="B63" s="97" t="str">
        <f>RTD("rtdtrading.rtdserver",, "T&amp;T1", "ACP", 60)</f>
        <v>-</v>
      </c>
      <c r="C63" s="97">
        <f>RTD("rtdtrading.rtdserver",, "T&amp;T1", "PRE", 60)</f>
        <v>0</v>
      </c>
      <c r="D63" s="97">
        <f>RTD("rtdtrading.rtdserver",, "T&amp;T1", "QUL", 60)</f>
        <v>0</v>
      </c>
      <c r="E63" s="97" t="str">
        <f>RTD("rtdtrading.rtdserver",, "T&amp;T1", "AVD", 60)</f>
        <v>-</v>
      </c>
      <c r="F63" s="97" t="str">
        <f>RTD("rtdtrading.rtdserver",, "T&amp;T1", "AGR", 60)</f>
        <v>-</v>
      </c>
      <c r="G63" s="102" t="str">
        <f>RTD("rtdtrading.rtdserver",, "T&amp;T1", "AGAG", 60)</f>
        <v>-</v>
      </c>
      <c r="H63" s="94"/>
      <c r="I63" s="101" t="str">
        <f>RTD("rtdtrading.rtdserver",, "T&amp;T0", "DAT", 60)</f>
        <v>-</v>
      </c>
      <c r="J63" s="97" t="str">
        <f>RTD("rtdtrading.rtdserver",, "T&amp;T0", "ACP", 60)</f>
        <v>-</v>
      </c>
      <c r="K63" s="97">
        <f>RTD("rtdtrading.rtdserver",, "T&amp;T0", "PRE", 60)</f>
        <v>0</v>
      </c>
      <c r="L63" s="97">
        <f>RTD("rtdtrading.rtdserver",, "T&amp;T0", "QUL", 60)</f>
        <v>0</v>
      </c>
      <c r="M63" s="97" t="str">
        <f>RTD("rtdtrading.rtdserver",, "T&amp;T0", "AVD", 60)</f>
        <v>-</v>
      </c>
      <c r="N63" s="97" t="str">
        <f>RTD("rtdtrading.rtdserver",, "T&amp;T0", "AGR", 60)</f>
        <v>-</v>
      </c>
      <c r="O63" s="102" t="str">
        <f>RTD("rtdtrading.rtdserver",, "T&amp;T0", "AGAG", 60)</f>
        <v>-</v>
      </c>
      <c r="P63" s="96"/>
    </row>
    <row r="64" spans="1:16" x14ac:dyDescent="0.25">
      <c r="A64" s="101" t="str">
        <f>RTD("rtdtrading.rtdserver",, "T&amp;T1", "DAT", 61)</f>
        <v>-</v>
      </c>
      <c r="B64" s="97" t="str">
        <f>RTD("rtdtrading.rtdserver",, "T&amp;T1", "ACP", 61)</f>
        <v>-</v>
      </c>
      <c r="C64" s="97">
        <f>RTD("rtdtrading.rtdserver",, "T&amp;T1", "PRE", 61)</f>
        <v>0</v>
      </c>
      <c r="D64" s="97">
        <f>RTD("rtdtrading.rtdserver",, "T&amp;T1", "QUL", 61)</f>
        <v>0</v>
      </c>
      <c r="E64" s="97" t="str">
        <f>RTD("rtdtrading.rtdserver",, "T&amp;T1", "AVD", 61)</f>
        <v>-</v>
      </c>
      <c r="F64" s="97" t="str">
        <f>RTD("rtdtrading.rtdserver",, "T&amp;T1", "AGR", 61)</f>
        <v>-</v>
      </c>
      <c r="G64" s="102" t="str">
        <f>RTD("rtdtrading.rtdserver",, "T&amp;T1", "AGAG", 61)</f>
        <v>-</v>
      </c>
      <c r="H64" s="94"/>
      <c r="I64" s="101" t="str">
        <f>RTD("rtdtrading.rtdserver",, "T&amp;T0", "DAT", 61)</f>
        <v>-</v>
      </c>
      <c r="J64" s="97" t="str">
        <f>RTD("rtdtrading.rtdserver",, "T&amp;T0", "ACP", 61)</f>
        <v>-</v>
      </c>
      <c r="K64" s="97">
        <f>RTD("rtdtrading.rtdserver",, "T&amp;T0", "PRE", 61)</f>
        <v>0</v>
      </c>
      <c r="L64" s="97">
        <f>RTD("rtdtrading.rtdserver",, "T&amp;T0", "QUL", 61)</f>
        <v>0</v>
      </c>
      <c r="M64" s="97" t="str">
        <f>RTD("rtdtrading.rtdserver",, "T&amp;T0", "AVD", 61)</f>
        <v>-</v>
      </c>
      <c r="N64" s="97" t="str">
        <f>RTD("rtdtrading.rtdserver",, "T&amp;T0", "AGR", 61)</f>
        <v>-</v>
      </c>
      <c r="O64" s="102" t="str">
        <f>RTD("rtdtrading.rtdserver",, "T&amp;T0", "AGAG", 61)</f>
        <v>-</v>
      </c>
      <c r="P64" s="96"/>
    </row>
    <row r="65" spans="1:16" x14ac:dyDescent="0.25">
      <c r="A65" s="101" t="str">
        <f>RTD("rtdtrading.rtdserver",, "T&amp;T1", "DAT", 62)</f>
        <v>-</v>
      </c>
      <c r="B65" s="97" t="str">
        <f>RTD("rtdtrading.rtdserver",, "T&amp;T1", "ACP", 62)</f>
        <v>-</v>
      </c>
      <c r="C65" s="97">
        <f>RTD("rtdtrading.rtdserver",, "T&amp;T1", "PRE", 62)</f>
        <v>0</v>
      </c>
      <c r="D65" s="97">
        <f>RTD("rtdtrading.rtdserver",, "T&amp;T1", "QUL", 62)</f>
        <v>0</v>
      </c>
      <c r="E65" s="97" t="str">
        <f>RTD("rtdtrading.rtdserver",, "T&amp;T1", "AVD", 62)</f>
        <v>-</v>
      </c>
      <c r="F65" s="97" t="str">
        <f>RTD("rtdtrading.rtdserver",, "T&amp;T1", "AGR", 62)</f>
        <v>-</v>
      </c>
      <c r="G65" s="102" t="str">
        <f>RTD("rtdtrading.rtdserver",, "T&amp;T1", "AGAG", 62)</f>
        <v>-</v>
      </c>
      <c r="H65" s="94"/>
      <c r="I65" s="101" t="str">
        <f>RTD("rtdtrading.rtdserver",, "T&amp;T0", "DAT", 62)</f>
        <v>-</v>
      </c>
      <c r="J65" s="97" t="str">
        <f>RTD("rtdtrading.rtdserver",, "T&amp;T0", "ACP", 62)</f>
        <v>-</v>
      </c>
      <c r="K65" s="97">
        <f>RTD("rtdtrading.rtdserver",, "T&amp;T0", "PRE", 62)</f>
        <v>0</v>
      </c>
      <c r="L65" s="97">
        <f>RTD("rtdtrading.rtdserver",, "T&amp;T0", "QUL", 62)</f>
        <v>0</v>
      </c>
      <c r="M65" s="97" t="str">
        <f>RTD("rtdtrading.rtdserver",, "T&amp;T0", "AVD", 62)</f>
        <v>-</v>
      </c>
      <c r="N65" s="97" t="str">
        <f>RTD("rtdtrading.rtdserver",, "T&amp;T0", "AGR", 62)</f>
        <v>-</v>
      </c>
      <c r="O65" s="102" t="str">
        <f>RTD("rtdtrading.rtdserver",, "T&amp;T0", "AGAG", 62)</f>
        <v>-</v>
      </c>
      <c r="P65" s="96"/>
    </row>
    <row r="66" spans="1:16" x14ac:dyDescent="0.25">
      <c r="A66" s="101" t="str">
        <f>RTD("rtdtrading.rtdserver",, "T&amp;T1", "DAT", 63)</f>
        <v>-</v>
      </c>
      <c r="B66" s="97" t="str">
        <f>RTD("rtdtrading.rtdserver",, "T&amp;T1", "ACP", 63)</f>
        <v>-</v>
      </c>
      <c r="C66" s="97">
        <f>RTD("rtdtrading.rtdserver",, "T&amp;T1", "PRE", 63)</f>
        <v>0</v>
      </c>
      <c r="D66" s="97">
        <f>RTD("rtdtrading.rtdserver",, "T&amp;T1", "QUL", 63)</f>
        <v>0</v>
      </c>
      <c r="E66" s="97" t="str">
        <f>RTD("rtdtrading.rtdserver",, "T&amp;T1", "AVD", 63)</f>
        <v>-</v>
      </c>
      <c r="F66" s="97" t="str">
        <f>RTD("rtdtrading.rtdserver",, "T&amp;T1", "AGR", 63)</f>
        <v>-</v>
      </c>
      <c r="G66" s="102" t="str">
        <f>RTD("rtdtrading.rtdserver",, "T&amp;T1", "AGAG", 63)</f>
        <v>-</v>
      </c>
      <c r="H66" s="94"/>
      <c r="I66" s="101" t="str">
        <f>RTD("rtdtrading.rtdserver",, "T&amp;T0", "DAT", 63)</f>
        <v>-</v>
      </c>
      <c r="J66" s="97" t="str">
        <f>RTD("rtdtrading.rtdserver",, "T&amp;T0", "ACP", 63)</f>
        <v>-</v>
      </c>
      <c r="K66" s="97">
        <f>RTD("rtdtrading.rtdserver",, "T&amp;T0", "PRE", 63)</f>
        <v>0</v>
      </c>
      <c r="L66" s="97">
        <f>RTD("rtdtrading.rtdserver",, "T&amp;T0", "QUL", 63)</f>
        <v>0</v>
      </c>
      <c r="M66" s="97" t="str">
        <f>RTD("rtdtrading.rtdserver",, "T&amp;T0", "AVD", 63)</f>
        <v>-</v>
      </c>
      <c r="N66" s="97" t="str">
        <f>RTD("rtdtrading.rtdserver",, "T&amp;T0", "AGR", 63)</f>
        <v>-</v>
      </c>
      <c r="O66" s="102" t="str">
        <f>RTD("rtdtrading.rtdserver",, "T&amp;T0", "AGAG", 63)</f>
        <v>-</v>
      </c>
      <c r="P66" s="96"/>
    </row>
    <row r="67" spans="1:16" x14ac:dyDescent="0.25">
      <c r="A67" s="101" t="str">
        <f>RTD("rtdtrading.rtdserver",, "T&amp;T1", "DAT", 64)</f>
        <v>-</v>
      </c>
      <c r="B67" s="97" t="str">
        <f>RTD("rtdtrading.rtdserver",, "T&amp;T1", "ACP", 64)</f>
        <v>-</v>
      </c>
      <c r="C67" s="97">
        <f>RTD("rtdtrading.rtdserver",, "T&amp;T1", "PRE", 64)</f>
        <v>0</v>
      </c>
      <c r="D67" s="97">
        <f>RTD("rtdtrading.rtdserver",, "T&amp;T1", "QUL", 64)</f>
        <v>0</v>
      </c>
      <c r="E67" s="97" t="str">
        <f>RTD("rtdtrading.rtdserver",, "T&amp;T1", "AVD", 64)</f>
        <v>-</v>
      </c>
      <c r="F67" s="97" t="str">
        <f>RTD("rtdtrading.rtdserver",, "T&amp;T1", "AGR", 64)</f>
        <v>-</v>
      </c>
      <c r="G67" s="102" t="str">
        <f>RTD("rtdtrading.rtdserver",, "T&amp;T1", "AGAG", 64)</f>
        <v>-</v>
      </c>
      <c r="H67" s="94"/>
      <c r="I67" s="101" t="str">
        <f>RTD("rtdtrading.rtdserver",, "T&amp;T0", "DAT", 64)</f>
        <v>-</v>
      </c>
      <c r="J67" s="97" t="str">
        <f>RTD("rtdtrading.rtdserver",, "T&amp;T0", "ACP", 64)</f>
        <v>-</v>
      </c>
      <c r="K67" s="97">
        <f>RTD("rtdtrading.rtdserver",, "T&amp;T0", "PRE", 64)</f>
        <v>0</v>
      </c>
      <c r="L67" s="97">
        <f>RTD("rtdtrading.rtdserver",, "T&amp;T0", "QUL", 64)</f>
        <v>0</v>
      </c>
      <c r="M67" s="97" t="str">
        <f>RTD("rtdtrading.rtdserver",, "T&amp;T0", "AVD", 64)</f>
        <v>-</v>
      </c>
      <c r="N67" s="97" t="str">
        <f>RTD("rtdtrading.rtdserver",, "T&amp;T0", "AGR", 64)</f>
        <v>-</v>
      </c>
      <c r="O67" s="102" t="str">
        <f>RTD("rtdtrading.rtdserver",, "T&amp;T0", "AGAG", 64)</f>
        <v>-</v>
      </c>
      <c r="P67" s="96"/>
    </row>
    <row r="68" spans="1:16" x14ac:dyDescent="0.25">
      <c r="A68" s="101" t="str">
        <f>RTD("rtdtrading.rtdserver",, "T&amp;T1", "DAT", 65)</f>
        <v>-</v>
      </c>
      <c r="B68" s="97" t="str">
        <f>RTD("rtdtrading.rtdserver",, "T&amp;T1", "ACP", 65)</f>
        <v>-</v>
      </c>
      <c r="C68" s="97">
        <f>RTD("rtdtrading.rtdserver",, "T&amp;T1", "PRE", 65)</f>
        <v>0</v>
      </c>
      <c r="D68" s="97">
        <f>RTD("rtdtrading.rtdserver",, "T&amp;T1", "QUL", 65)</f>
        <v>0</v>
      </c>
      <c r="E68" s="97" t="str">
        <f>RTD("rtdtrading.rtdserver",, "T&amp;T1", "AVD", 65)</f>
        <v>-</v>
      </c>
      <c r="F68" s="97" t="str">
        <f>RTD("rtdtrading.rtdserver",, "T&amp;T1", "AGR", 65)</f>
        <v>-</v>
      </c>
      <c r="G68" s="102" t="str">
        <f>RTD("rtdtrading.rtdserver",, "T&amp;T1", "AGAG", 65)</f>
        <v>-</v>
      </c>
      <c r="H68" s="94"/>
      <c r="I68" s="101" t="str">
        <f>RTD("rtdtrading.rtdserver",, "T&amp;T0", "DAT", 65)</f>
        <v>-</v>
      </c>
      <c r="J68" s="97" t="str">
        <f>RTD("rtdtrading.rtdserver",, "T&amp;T0", "ACP", 65)</f>
        <v>-</v>
      </c>
      <c r="K68" s="97">
        <f>RTD("rtdtrading.rtdserver",, "T&amp;T0", "PRE", 65)</f>
        <v>0</v>
      </c>
      <c r="L68" s="97">
        <f>RTD("rtdtrading.rtdserver",, "T&amp;T0", "QUL", 65)</f>
        <v>0</v>
      </c>
      <c r="M68" s="97" t="str">
        <f>RTD("rtdtrading.rtdserver",, "T&amp;T0", "AVD", 65)</f>
        <v>-</v>
      </c>
      <c r="N68" s="97" t="str">
        <f>RTD("rtdtrading.rtdserver",, "T&amp;T0", "AGR", 65)</f>
        <v>-</v>
      </c>
      <c r="O68" s="102" t="str">
        <f>RTD("rtdtrading.rtdserver",, "T&amp;T0", "AGAG", 65)</f>
        <v>-</v>
      </c>
      <c r="P68" s="96"/>
    </row>
    <row r="69" spans="1:16" x14ac:dyDescent="0.25">
      <c r="A69" s="101" t="str">
        <f>RTD("rtdtrading.rtdserver",, "T&amp;T1", "DAT", 66)</f>
        <v>-</v>
      </c>
      <c r="B69" s="97" t="str">
        <f>RTD("rtdtrading.rtdserver",, "T&amp;T1", "ACP", 66)</f>
        <v>-</v>
      </c>
      <c r="C69" s="97">
        <f>RTD("rtdtrading.rtdserver",, "T&amp;T1", "PRE", 66)</f>
        <v>0</v>
      </c>
      <c r="D69" s="97">
        <f>RTD("rtdtrading.rtdserver",, "T&amp;T1", "QUL", 66)</f>
        <v>0</v>
      </c>
      <c r="E69" s="97" t="str">
        <f>RTD("rtdtrading.rtdserver",, "T&amp;T1", "AVD", 66)</f>
        <v>-</v>
      </c>
      <c r="F69" s="97" t="str">
        <f>RTD("rtdtrading.rtdserver",, "T&amp;T1", "AGR", 66)</f>
        <v>-</v>
      </c>
      <c r="G69" s="102" t="str">
        <f>RTD("rtdtrading.rtdserver",, "T&amp;T1", "AGAG", 66)</f>
        <v>-</v>
      </c>
      <c r="H69" s="94"/>
      <c r="I69" s="101" t="str">
        <f>RTD("rtdtrading.rtdserver",, "T&amp;T0", "DAT", 66)</f>
        <v>-</v>
      </c>
      <c r="J69" s="97" t="str">
        <f>RTD("rtdtrading.rtdserver",, "T&amp;T0", "ACP", 66)</f>
        <v>-</v>
      </c>
      <c r="K69" s="97">
        <f>RTD("rtdtrading.rtdserver",, "T&amp;T0", "PRE", 66)</f>
        <v>0</v>
      </c>
      <c r="L69" s="97">
        <f>RTD("rtdtrading.rtdserver",, "T&amp;T0", "QUL", 66)</f>
        <v>0</v>
      </c>
      <c r="M69" s="97" t="str">
        <f>RTD("rtdtrading.rtdserver",, "T&amp;T0", "AVD", 66)</f>
        <v>-</v>
      </c>
      <c r="N69" s="97" t="str">
        <f>RTD("rtdtrading.rtdserver",, "T&amp;T0", "AGR", 66)</f>
        <v>-</v>
      </c>
      <c r="O69" s="102" t="str">
        <f>RTD("rtdtrading.rtdserver",, "T&amp;T0", "AGAG", 66)</f>
        <v>-</v>
      </c>
      <c r="P69" s="96"/>
    </row>
    <row r="70" spans="1:16" x14ac:dyDescent="0.25">
      <c r="A70" s="101" t="str">
        <f>RTD("rtdtrading.rtdserver",, "T&amp;T1", "DAT", 67)</f>
        <v>-</v>
      </c>
      <c r="B70" s="97" t="str">
        <f>RTD("rtdtrading.rtdserver",, "T&amp;T1", "ACP", 67)</f>
        <v>-</v>
      </c>
      <c r="C70" s="97">
        <f>RTD("rtdtrading.rtdserver",, "T&amp;T1", "PRE", 67)</f>
        <v>0</v>
      </c>
      <c r="D70" s="97">
        <f>RTD("rtdtrading.rtdserver",, "T&amp;T1", "QUL", 67)</f>
        <v>0</v>
      </c>
      <c r="E70" s="97" t="str">
        <f>RTD("rtdtrading.rtdserver",, "T&amp;T1", "AVD", 67)</f>
        <v>-</v>
      </c>
      <c r="F70" s="97" t="str">
        <f>RTD("rtdtrading.rtdserver",, "T&amp;T1", "AGR", 67)</f>
        <v>-</v>
      </c>
      <c r="G70" s="102" t="str">
        <f>RTD("rtdtrading.rtdserver",, "T&amp;T1", "AGAG", 67)</f>
        <v>-</v>
      </c>
      <c r="H70" s="94"/>
      <c r="I70" s="101" t="str">
        <f>RTD("rtdtrading.rtdserver",, "T&amp;T0", "DAT", 67)</f>
        <v>-</v>
      </c>
      <c r="J70" s="97" t="str">
        <f>RTD("rtdtrading.rtdserver",, "T&amp;T0", "ACP", 67)</f>
        <v>-</v>
      </c>
      <c r="K70" s="97">
        <f>RTD("rtdtrading.rtdserver",, "T&amp;T0", "PRE", 67)</f>
        <v>0</v>
      </c>
      <c r="L70" s="97">
        <f>RTD("rtdtrading.rtdserver",, "T&amp;T0", "QUL", 67)</f>
        <v>0</v>
      </c>
      <c r="M70" s="97" t="str">
        <f>RTD("rtdtrading.rtdserver",, "T&amp;T0", "AVD", 67)</f>
        <v>-</v>
      </c>
      <c r="N70" s="97" t="str">
        <f>RTD("rtdtrading.rtdserver",, "T&amp;T0", "AGR", 67)</f>
        <v>-</v>
      </c>
      <c r="O70" s="102" t="str">
        <f>RTD("rtdtrading.rtdserver",, "T&amp;T0", "AGAG", 67)</f>
        <v>-</v>
      </c>
      <c r="P70" s="96"/>
    </row>
    <row r="71" spans="1:16" x14ac:dyDescent="0.25">
      <c r="A71" s="101" t="str">
        <f>RTD("rtdtrading.rtdserver",, "T&amp;T1", "DAT", 68)</f>
        <v>-</v>
      </c>
      <c r="B71" s="97" t="str">
        <f>RTD("rtdtrading.rtdserver",, "T&amp;T1", "ACP", 68)</f>
        <v>-</v>
      </c>
      <c r="C71" s="97">
        <f>RTD("rtdtrading.rtdserver",, "T&amp;T1", "PRE", 68)</f>
        <v>0</v>
      </c>
      <c r="D71" s="97">
        <f>RTD("rtdtrading.rtdserver",, "T&amp;T1", "QUL", 68)</f>
        <v>0</v>
      </c>
      <c r="E71" s="97" t="str">
        <f>RTD("rtdtrading.rtdserver",, "T&amp;T1", "AVD", 68)</f>
        <v>-</v>
      </c>
      <c r="F71" s="97" t="str">
        <f>RTD("rtdtrading.rtdserver",, "T&amp;T1", "AGR", 68)</f>
        <v>-</v>
      </c>
      <c r="G71" s="102" t="str">
        <f>RTD("rtdtrading.rtdserver",, "T&amp;T1", "AGAG", 68)</f>
        <v>-</v>
      </c>
      <c r="H71" s="94"/>
      <c r="I71" s="101" t="str">
        <f>RTD("rtdtrading.rtdserver",, "T&amp;T0", "DAT", 68)</f>
        <v>-</v>
      </c>
      <c r="J71" s="97" t="str">
        <f>RTD("rtdtrading.rtdserver",, "T&amp;T0", "ACP", 68)</f>
        <v>-</v>
      </c>
      <c r="K71" s="97">
        <f>RTD("rtdtrading.rtdserver",, "T&amp;T0", "PRE", 68)</f>
        <v>0</v>
      </c>
      <c r="L71" s="97">
        <f>RTD("rtdtrading.rtdserver",, "T&amp;T0", "QUL", 68)</f>
        <v>0</v>
      </c>
      <c r="M71" s="97" t="str">
        <f>RTD("rtdtrading.rtdserver",, "T&amp;T0", "AVD", 68)</f>
        <v>-</v>
      </c>
      <c r="N71" s="97" t="str">
        <f>RTD("rtdtrading.rtdserver",, "T&amp;T0", "AGR", 68)</f>
        <v>-</v>
      </c>
      <c r="O71" s="102" t="str">
        <f>RTD("rtdtrading.rtdserver",, "T&amp;T0", "AGAG", 68)</f>
        <v>-</v>
      </c>
      <c r="P71" s="96"/>
    </row>
    <row r="72" spans="1:16" x14ac:dyDescent="0.25">
      <c r="A72" s="101" t="str">
        <f>RTD("rtdtrading.rtdserver",, "T&amp;T1", "DAT", 69)</f>
        <v>-</v>
      </c>
      <c r="B72" s="97" t="str">
        <f>RTD("rtdtrading.rtdserver",, "T&amp;T1", "ACP", 69)</f>
        <v>-</v>
      </c>
      <c r="C72" s="97">
        <f>RTD("rtdtrading.rtdserver",, "T&amp;T1", "PRE", 69)</f>
        <v>0</v>
      </c>
      <c r="D72" s="97">
        <f>RTD("rtdtrading.rtdserver",, "T&amp;T1", "QUL", 69)</f>
        <v>0</v>
      </c>
      <c r="E72" s="97" t="str">
        <f>RTD("rtdtrading.rtdserver",, "T&amp;T1", "AVD", 69)</f>
        <v>-</v>
      </c>
      <c r="F72" s="97" t="str">
        <f>RTD("rtdtrading.rtdserver",, "T&amp;T1", "AGR", 69)</f>
        <v>-</v>
      </c>
      <c r="G72" s="102" t="str">
        <f>RTD("rtdtrading.rtdserver",, "T&amp;T1", "AGAG", 69)</f>
        <v>-</v>
      </c>
      <c r="H72" s="94"/>
      <c r="I72" s="101" t="str">
        <f>RTD("rtdtrading.rtdserver",, "T&amp;T0", "DAT", 69)</f>
        <v>-</v>
      </c>
      <c r="J72" s="97" t="str">
        <f>RTD("rtdtrading.rtdserver",, "T&amp;T0", "ACP", 69)</f>
        <v>-</v>
      </c>
      <c r="K72" s="97">
        <f>RTD("rtdtrading.rtdserver",, "T&amp;T0", "PRE", 69)</f>
        <v>0</v>
      </c>
      <c r="L72" s="97">
        <f>RTD("rtdtrading.rtdserver",, "T&amp;T0", "QUL", 69)</f>
        <v>0</v>
      </c>
      <c r="M72" s="97" t="str">
        <f>RTD("rtdtrading.rtdserver",, "T&amp;T0", "AVD", 69)</f>
        <v>-</v>
      </c>
      <c r="N72" s="97" t="str">
        <f>RTD("rtdtrading.rtdserver",, "T&amp;T0", "AGR", 69)</f>
        <v>-</v>
      </c>
      <c r="O72" s="102" t="str">
        <f>RTD("rtdtrading.rtdserver",, "T&amp;T0", "AGAG", 69)</f>
        <v>-</v>
      </c>
      <c r="P72" s="96"/>
    </row>
    <row r="73" spans="1:16" x14ac:dyDescent="0.25">
      <c r="A73" s="101" t="str">
        <f>RTD("rtdtrading.rtdserver",, "T&amp;T1", "DAT", 70)</f>
        <v>-</v>
      </c>
      <c r="B73" s="97" t="str">
        <f>RTD("rtdtrading.rtdserver",, "T&amp;T1", "ACP", 70)</f>
        <v>-</v>
      </c>
      <c r="C73" s="97">
        <f>RTD("rtdtrading.rtdserver",, "T&amp;T1", "PRE", 70)</f>
        <v>0</v>
      </c>
      <c r="D73" s="97">
        <f>RTD("rtdtrading.rtdserver",, "T&amp;T1", "QUL", 70)</f>
        <v>0</v>
      </c>
      <c r="E73" s="97" t="str">
        <f>RTD("rtdtrading.rtdserver",, "T&amp;T1", "AVD", 70)</f>
        <v>-</v>
      </c>
      <c r="F73" s="97" t="str">
        <f>RTD("rtdtrading.rtdserver",, "T&amp;T1", "AGR", 70)</f>
        <v>-</v>
      </c>
      <c r="G73" s="102" t="str">
        <f>RTD("rtdtrading.rtdserver",, "T&amp;T1", "AGAG", 70)</f>
        <v>-</v>
      </c>
      <c r="H73" s="94"/>
      <c r="I73" s="101" t="str">
        <f>RTD("rtdtrading.rtdserver",, "T&amp;T0", "DAT", 70)</f>
        <v>-</v>
      </c>
      <c r="J73" s="97" t="str">
        <f>RTD("rtdtrading.rtdserver",, "T&amp;T0", "ACP", 70)</f>
        <v>-</v>
      </c>
      <c r="K73" s="97">
        <f>RTD("rtdtrading.rtdserver",, "T&amp;T0", "PRE", 70)</f>
        <v>0</v>
      </c>
      <c r="L73" s="97">
        <f>RTD("rtdtrading.rtdserver",, "T&amp;T0", "QUL", 70)</f>
        <v>0</v>
      </c>
      <c r="M73" s="97" t="str">
        <f>RTD("rtdtrading.rtdserver",, "T&amp;T0", "AVD", 70)</f>
        <v>-</v>
      </c>
      <c r="N73" s="97" t="str">
        <f>RTD("rtdtrading.rtdserver",, "T&amp;T0", "AGR", 70)</f>
        <v>-</v>
      </c>
      <c r="O73" s="102" t="str">
        <f>RTD("rtdtrading.rtdserver",, "T&amp;T0", "AGAG", 70)</f>
        <v>-</v>
      </c>
      <c r="P73" s="96"/>
    </row>
    <row r="74" spans="1:16" x14ac:dyDescent="0.25">
      <c r="A74" s="101" t="str">
        <f>RTD("rtdtrading.rtdserver",, "T&amp;T1", "DAT", 71)</f>
        <v>-</v>
      </c>
      <c r="B74" s="97" t="str">
        <f>RTD("rtdtrading.rtdserver",, "T&amp;T1", "ACP", 71)</f>
        <v>-</v>
      </c>
      <c r="C74" s="97">
        <f>RTD("rtdtrading.rtdserver",, "T&amp;T1", "PRE", 71)</f>
        <v>0</v>
      </c>
      <c r="D74" s="97">
        <f>RTD("rtdtrading.rtdserver",, "T&amp;T1", "QUL", 71)</f>
        <v>0</v>
      </c>
      <c r="E74" s="97" t="str">
        <f>RTD("rtdtrading.rtdserver",, "T&amp;T1", "AVD", 71)</f>
        <v>-</v>
      </c>
      <c r="F74" s="97" t="str">
        <f>RTD("rtdtrading.rtdserver",, "T&amp;T1", "AGR", 71)</f>
        <v>-</v>
      </c>
      <c r="G74" s="102" t="str">
        <f>RTD("rtdtrading.rtdserver",, "T&amp;T1", "AGAG", 71)</f>
        <v>-</v>
      </c>
      <c r="H74" s="94"/>
      <c r="I74" s="101" t="str">
        <f>RTD("rtdtrading.rtdserver",, "T&amp;T0", "DAT", 71)</f>
        <v>-</v>
      </c>
      <c r="J74" s="97" t="str">
        <f>RTD("rtdtrading.rtdserver",, "T&amp;T0", "ACP", 71)</f>
        <v>-</v>
      </c>
      <c r="K74" s="97">
        <f>RTD("rtdtrading.rtdserver",, "T&amp;T0", "PRE", 71)</f>
        <v>0</v>
      </c>
      <c r="L74" s="97">
        <f>RTD("rtdtrading.rtdserver",, "T&amp;T0", "QUL", 71)</f>
        <v>0</v>
      </c>
      <c r="M74" s="97" t="str">
        <f>RTD("rtdtrading.rtdserver",, "T&amp;T0", "AVD", 71)</f>
        <v>-</v>
      </c>
      <c r="N74" s="97" t="str">
        <f>RTD("rtdtrading.rtdserver",, "T&amp;T0", "AGR", 71)</f>
        <v>-</v>
      </c>
      <c r="O74" s="102" t="str">
        <f>RTD("rtdtrading.rtdserver",, "T&amp;T0", "AGAG", 71)</f>
        <v>-</v>
      </c>
      <c r="P74" s="96"/>
    </row>
    <row r="75" spans="1:16" x14ac:dyDescent="0.25">
      <c r="A75" s="101" t="str">
        <f>RTD("rtdtrading.rtdserver",, "T&amp;T1", "DAT", 72)</f>
        <v>-</v>
      </c>
      <c r="B75" s="97" t="str">
        <f>RTD("rtdtrading.rtdserver",, "T&amp;T1", "ACP", 72)</f>
        <v>-</v>
      </c>
      <c r="C75" s="97">
        <f>RTD("rtdtrading.rtdserver",, "T&amp;T1", "PRE", 72)</f>
        <v>0</v>
      </c>
      <c r="D75" s="97">
        <f>RTD("rtdtrading.rtdserver",, "T&amp;T1", "QUL", 72)</f>
        <v>0</v>
      </c>
      <c r="E75" s="97" t="str">
        <f>RTD("rtdtrading.rtdserver",, "T&amp;T1", "AVD", 72)</f>
        <v>-</v>
      </c>
      <c r="F75" s="97" t="str">
        <f>RTD("rtdtrading.rtdserver",, "T&amp;T1", "AGR", 72)</f>
        <v>-</v>
      </c>
      <c r="G75" s="102" t="str">
        <f>RTD("rtdtrading.rtdserver",, "T&amp;T1", "AGAG", 72)</f>
        <v>-</v>
      </c>
      <c r="H75" s="94"/>
      <c r="I75" s="101" t="str">
        <f>RTD("rtdtrading.rtdserver",, "T&amp;T0", "DAT", 72)</f>
        <v>-</v>
      </c>
      <c r="J75" s="97" t="str">
        <f>RTD("rtdtrading.rtdserver",, "T&amp;T0", "ACP", 72)</f>
        <v>-</v>
      </c>
      <c r="K75" s="97">
        <f>RTD("rtdtrading.rtdserver",, "T&amp;T0", "PRE", 72)</f>
        <v>0</v>
      </c>
      <c r="L75" s="97">
        <f>RTD("rtdtrading.rtdserver",, "T&amp;T0", "QUL", 72)</f>
        <v>0</v>
      </c>
      <c r="M75" s="97" t="str">
        <f>RTD("rtdtrading.rtdserver",, "T&amp;T0", "AVD", 72)</f>
        <v>-</v>
      </c>
      <c r="N75" s="97" t="str">
        <f>RTD("rtdtrading.rtdserver",, "T&amp;T0", "AGR", 72)</f>
        <v>-</v>
      </c>
      <c r="O75" s="102" t="str">
        <f>RTD("rtdtrading.rtdserver",, "T&amp;T0", "AGAG", 72)</f>
        <v>-</v>
      </c>
      <c r="P75" s="96"/>
    </row>
    <row r="76" spans="1:16" x14ac:dyDescent="0.25">
      <c r="A76" s="101" t="str">
        <f>RTD("rtdtrading.rtdserver",, "T&amp;T1", "DAT", 73)</f>
        <v>-</v>
      </c>
      <c r="B76" s="97" t="str">
        <f>RTD("rtdtrading.rtdserver",, "T&amp;T1", "ACP", 73)</f>
        <v>-</v>
      </c>
      <c r="C76" s="97">
        <f>RTD("rtdtrading.rtdserver",, "T&amp;T1", "PRE", 73)</f>
        <v>0</v>
      </c>
      <c r="D76" s="97">
        <f>RTD("rtdtrading.rtdserver",, "T&amp;T1", "QUL", 73)</f>
        <v>0</v>
      </c>
      <c r="E76" s="97" t="str">
        <f>RTD("rtdtrading.rtdserver",, "T&amp;T1", "AVD", 73)</f>
        <v>-</v>
      </c>
      <c r="F76" s="97" t="str">
        <f>RTD("rtdtrading.rtdserver",, "T&amp;T1", "AGR", 73)</f>
        <v>-</v>
      </c>
      <c r="G76" s="102" t="str">
        <f>RTD("rtdtrading.rtdserver",, "T&amp;T1", "AGAG", 73)</f>
        <v>-</v>
      </c>
      <c r="H76" s="94"/>
      <c r="I76" s="101" t="str">
        <f>RTD("rtdtrading.rtdserver",, "T&amp;T0", "DAT", 73)</f>
        <v>-</v>
      </c>
      <c r="J76" s="97" t="str">
        <f>RTD("rtdtrading.rtdserver",, "T&amp;T0", "ACP", 73)</f>
        <v>-</v>
      </c>
      <c r="K76" s="97">
        <f>RTD("rtdtrading.rtdserver",, "T&amp;T0", "PRE", 73)</f>
        <v>0</v>
      </c>
      <c r="L76" s="97">
        <f>RTD("rtdtrading.rtdserver",, "T&amp;T0", "QUL", 73)</f>
        <v>0</v>
      </c>
      <c r="M76" s="97" t="str">
        <f>RTD("rtdtrading.rtdserver",, "T&amp;T0", "AVD", 73)</f>
        <v>-</v>
      </c>
      <c r="N76" s="97" t="str">
        <f>RTD("rtdtrading.rtdserver",, "T&amp;T0", "AGR", 73)</f>
        <v>-</v>
      </c>
      <c r="O76" s="102" t="str">
        <f>RTD("rtdtrading.rtdserver",, "T&amp;T0", "AGAG", 73)</f>
        <v>-</v>
      </c>
      <c r="P76" s="96"/>
    </row>
    <row r="77" spans="1:16" x14ac:dyDescent="0.25">
      <c r="A77" s="101" t="str">
        <f>RTD("rtdtrading.rtdserver",, "T&amp;T1", "DAT", 74)</f>
        <v>-</v>
      </c>
      <c r="B77" s="97" t="str">
        <f>RTD("rtdtrading.rtdserver",, "T&amp;T1", "ACP", 74)</f>
        <v>-</v>
      </c>
      <c r="C77" s="97">
        <f>RTD("rtdtrading.rtdserver",, "T&amp;T1", "PRE", 74)</f>
        <v>0</v>
      </c>
      <c r="D77" s="97">
        <f>RTD("rtdtrading.rtdserver",, "T&amp;T1", "QUL", 74)</f>
        <v>0</v>
      </c>
      <c r="E77" s="97" t="str">
        <f>RTD("rtdtrading.rtdserver",, "T&amp;T1", "AVD", 74)</f>
        <v>-</v>
      </c>
      <c r="F77" s="97" t="str">
        <f>RTD("rtdtrading.rtdserver",, "T&amp;T1", "AGR", 74)</f>
        <v>-</v>
      </c>
      <c r="G77" s="102" t="str">
        <f>RTD("rtdtrading.rtdserver",, "T&amp;T1", "AGAG", 74)</f>
        <v>-</v>
      </c>
      <c r="H77" s="94"/>
      <c r="I77" s="101" t="str">
        <f>RTD("rtdtrading.rtdserver",, "T&amp;T0", "DAT", 74)</f>
        <v>-</v>
      </c>
      <c r="J77" s="97" t="str">
        <f>RTD("rtdtrading.rtdserver",, "T&amp;T0", "ACP", 74)</f>
        <v>-</v>
      </c>
      <c r="K77" s="97">
        <f>RTD("rtdtrading.rtdserver",, "T&amp;T0", "PRE", 74)</f>
        <v>0</v>
      </c>
      <c r="L77" s="97">
        <f>RTD("rtdtrading.rtdserver",, "T&amp;T0", "QUL", 74)</f>
        <v>0</v>
      </c>
      <c r="M77" s="97" t="str">
        <f>RTD("rtdtrading.rtdserver",, "T&amp;T0", "AVD", 74)</f>
        <v>-</v>
      </c>
      <c r="N77" s="97" t="str">
        <f>RTD("rtdtrading.rtdserver",, "T&amp;T0", "AGR", 74)</f>
        <v>-</v>
      </c>
      <c r="O77" s="102" t="str">
        <f>RTD("rtdtrading.rtdserver",, "T&amp;T0", "AGAG", 74)</f>
        <v>-</v>
      </c>
      <c r="P77" s="96"/>
    </row>
    <row r="78" spans="1:16" x14ac:dyDescent="0.25">
      <c r="A78" s="101" t="str">
        <f>RTD("rtdtrading.rtdserver",, "T&amp;T1", "DAT", 75)</f>
        <v>-</v>
      </c>
      <c r="B78" s="97" t="str">
        <f>RTD("rtdtrading.rtdserver",, "T&amp;T1", "ACP", 75)</f>
        <v>-</v>
      </c>
      <c r="C78" s="97">
        <f>RTD("rtdtrading.rtdserver",, "T&amp;T1", "PRE", 75)</f>
        <v>0</v>
      </c>
      <c r="D78" s="97">
        <f>RTD("rtdtrading.rtdserver",, "T&amp;T1", "QUL", 75)</f>
        <v>0</v>
      </c>
      <c r="E78" s="97" t="str">
        <f>RTD("rtdtrading.rtdserver",, "T&amp;T1", "AVD", 75)</f>
        <v>-</v>
      </c>
      <c r="F78" s="97" t="str">
        <f>RTD("rtdtrading.rtdserver",, "T&amp;T1", "AGR", 75)</f>
        <v>-</v>
      </c>
      <c r="G78" s="102" t="str">
        <f>RTD("rtdtrading.rtdserver",, "T&amp;T1", "AGAG", 75)</f>
        <v>-</v>
      </c>
      <c r="H78" s="94"/>
      <c r="I78" s="101" t="str">
        <f>RTD("rtdtrading.rtdserver",, "T&amp;T0", "DAT", 75)</f>
        <v>-</v>
      </c>
      <c r="J78" s="97" t="str">
        <f>RTD("rtdtrading.rtdserver",, "T&amp;T0", "ACP", 75)</f>
        <v>-</v>
      </c>
      <c r="K78" s="97">
        <f>RTD("rtdtrading.rtdserver",, "T&amp;T0", "PRE", 75)</f>
        <v>0</v>
      </c>
      <c r="L78" s="97">
        <f>RTD("rtdtrading.rtdserver",, "T&amp;T0", "QUL", 75)</f>
        <v>0</v>
      </c>
      <c r="M78" s="97" t="str">
        <f>RTD("rtdtrading.rtdserver",, "T&amp;T0", "AVD", 75)</f>
        <v>-</v>
      </c>
      <c r="N78" s="97" t="str">
        <f>RTD("rtdtrading.rtdserver",, "T&amp;T0", "AGR", 75)</f>
        <v>-</v>
      </c>
      <c r="O78" s="102" t="str">
        <f>RTD("rtdtrading.rtdserver",, "T&amp;T0", "AGAG", 75)</f>
        <v>-</v>
      </c>
      <c r="P78" s="96"/>
    </row>
    <row r="79" spans="1:16" x14ac:dyDescent="0.25">
      <c r="A79" s="101" t="str">
        <f>RTD("rtdtrading.rtdserver",, "T&amp;T1", "DAT", 76)</f>
        <v>-</v>
      </c>
      <c r="B79" s="97" t="str">
        <f>RTD("rtdtrading.rtdserver",, "T&amp;T1", "ACP", 76)</f>
        <v>-</v>
      </c>
      <c r="C79" s="97">
        <f>RTD("rtdtrading.rtdserver",, "T&amp;T1", "PRE", 76)</f>
        <v>0</v>
      </c>
      <c r="D79" s="97">
        <f>RTD("rtdtrading.rtdserver",, "T&amp;T1", "QUL", 76)</f>
        <v>0</v>
      </c>
      <c r="E79" s="97" t="str">
        <f>RTD("rtdtrading.rtdserver",, "T&amp;T1", "AVD", 76)</f>
        <v>-</v>
      </c>
      <c r="F79" s="97" t="str">
        <f>RTD("rtdtrading.rtdserver",, "T&amp;T1", "AGR", 76)</f>
        <v>-</v>
      </c>
      <c r="G79" s="102" t="str">
        <f>RTD("rtdtrading.rtdserver",, "T&amp;T1", "AGAG", 76)</f>
        <v>-</v>
      </c>
      <c r="H79" s="94"/>
      <c r="I79" s="101" t="str">
        <f>RTD("rtdtrading.rtdserver",, "T&amp;T0", "DAT", 76)</f>
        <v>-</v>
      </c>
      <c r="J79" s="97" t="str">
        <f>RTD("rtdtrading.rtdserver",, "T&amp;T0", "ACP", 76)</f>
        <v>-</v>
      </c>
      <c r="K79" s="97">
        <f>RTD("rtdtrading.rtdserver",, "T&amp;T0", "PRE", 76)</f>
        <v>0</v>
      </c>
      <c r="L79" s="97">
        <f>RTD("rtdtrading.rtdserver",, "T&amp;T0", "QUL", 76)</f>
        <v>0</v>
      </c>
      <c r="M79" s="97" t="str">
        <f>RTD("rtdtrading.rtdserver",, "T&amp;T0", "AVD", 76)</f>
        <v>-</v>
      </c>
      <c r="N79" s="97" t="str">
        <f>RTD("rtdtrading.rtdserver",, "T&amp;T0", "AGR", 76)</f>
        <v>-</v>
      </c>
      <c r="O79" s="102" t="str">
        <f>RTD("rtdtrading.rtdserver",, "T&amp;T0", "AGAG", 76)</f>
        <v>-</v>
      </c>
      <c r="P79" s="96"/>
    </row>
    <row r="80" spans="1:16" x14ac:dyDescent="0.25">
      <c r="A80" s="101" t="str">
        <f>RTD("rtdtrading.rtdserver",, "T&amp;T1", "DAT", 77)</f>
        <v>-</v>
      </c>
      <c r="B80" s="97" t="str">
        <f>RTD("rtdtrading.rtdserver",, "T&amp;T1", "ACP", 77)</f>
        <v>-</v>
      </c>
      <c r="C80" s="97">
        <f>RTD("rtdtrading.rtdserver",, "T&amp;T1", "PRE", 77)</f>
        <v>0</v>
      </c>
      <c r="D80" s="97">
        <f>RTD("rtdtrading.rtdserver",, "T&amp;T1", "QUL", 77)</f>
        <v>0</v>
      </c>
      <c r="E80" s="97" t="str">
        <f>RTD("rtdtrading.rtdserver",, "T&amp;T1", "AVD", 77)</f>
        <v>-</v>
      </c>
      <c r="F80" s="97" t="str">
        <f>RTD("rtdtrading.rtdserver",, "T&amp;T1", "AGR", 77)</f>
        <v>-</v>
      </c>
      <c r="G80" s="102" t="str">
        <f>RTD("rtdtrading.rtdserver",, "T&amp;T1", "AGAG", 77)</f>
        <v>-</v>
      </c>
      <c r="H80" s="94"/>
      <c r="I80" s="101" t="str">
        <f>RTD("rtdtrading.rtdserver",, "T&amp;T0", "DAT", 77)</f>
        <v>-</v>
      </c>
      <c r="J80" s="97" t="str">
        <f>RTD("rtdtrading.rtdserver",, "T&amp;T0", "ACP", 77)</f>
        <v>-</v>
      </c>
      <c r="K80" s="97">
        <f>RTD("rtdtrading.rtdserver",, "T&amp;T0", "PRE", 77)</f>
        <v>0</v>
      </c>
      <c r="L80" s="97">
        <f>RTD("rtdtrading.rtdserver",, "T&amp;T0", "QUL", 77)</f>
        <v>0</v>
      </c>
      <c r="M80" s="97" t="str">
        <f>RTD("rtdtrading.rtdserver",, "T&amp;T0", "AVD", 77)</f>
        <v>-</v>
      </c>
      <c r="N80" s="97" t="str">
        <f>RTD("rtdtrading.rtdserver",, "T&amp;T0", "AGR", 77)</f>
        <v>-</v>
      </c>
      <c r="O80" s="102" t="str">
        <f>RTD("rtdtrading.rtdserver",, "T&amp;T0", "AGAG", 77)</f>
        <v>-</v>
      </c>
      <c r="P80" s="96"/>
    </row>
    <row r="81" spans="1:16" x14ac:dyDescent="0.25">
      <c r="A81" s="101" t="str">
        <f>RTD("rtdtrading.rtdserver",, "T&amp;T1", "DAT", 78)</f>
        <v>-</v>
      </c>
      <c r="B81" s="97" t="str">
        <f>RTD("rtdtrading.rtdserver",, "T&amp;T1", "ACP", 78)</f>
        <v>-</v>
      </c>
      <c r="C81" s="97">
        <f>RTD("rtdtrading.rtdserver",, "T&amp;T1", "PRE", 78)</f>
        <v>0</v>
      </c>
      <c r="D81" s="97">
        <f>RTD("rtdtrading.rtdserver",, "T&amp;T1", "QUL", 78)</f>
        <v>0</v>
      </c>
      <c r="E81" s="97" t="str">
        <f>RTD("rtdtrading.rtdserver",, "T&amp;T1", "AVD", 78)</f>
        <v>-</v>
      </c>
      <c r="F81" s="97" t="str">
        <f>RTD("rtdtrading.rtdserver",, "T&amp;T1", "AGR", 78)</f>
        <v>-</v>
      </c>
      <c r="G81" s="102" t="str">
        <f>RTD("rtdtrading.rtdserver",, "T&amp;T1", "AGAG", 78)</f>
        <v>-</v>
      </c>
      <c r="H81" s="94"/>
      <c r="I81" s="101" t="str">
        <f>RTD("rtdtrading.rtdserver",, "T&amp;T0", "DAT", 78)</f>
        <v>-</v>
      </c>
      <c r="J81" s="97" t="str">
        <f>RTD("rtdtrading.rtdserver",, "T&amp;T0", "ACP", 78)</f>
        <v>-</v>
      </c>
      <c r="K81" s="97">
        <f>RTD("rtdtrading.rtdserver",, "T&amp;T0", "PRE", 78)</f>
        <v>0</v>
      </c>
      <c r="L81" s="97">
        <f>RTD("rtdtrading.rtdserver",, "T&amp;T0", "QUL", 78)</f>
        <v>0</v>
      </c>
      <c r="M81" s="97" t="str">
        <f>RTD("rtdtrading.rtdserver",, "T&amp;T0", "AVD", 78)</f>
        <v>-</v>
      </c>
      <c r="N81" s="97" t="str">
        <f>RTD("rtdtrading.rtdserver",, "T&amp;T0", "AGR", 78)</f>
        <v>-</v>
      </c>
      <c r="O81" s="102" t="str">
        <f>RTD("rtdtrading.rtdserver",, "T&amp;T0", "AGAG", 78)</f>
        <v>-</v>
      </c>
      <c r="P81" s="96"/>
    </row>
    <row r="82" spans="1:16" x14ac:dyDescent="0.25">
      <c r="A82" s="101" t="str">
        <f>RTD("rtdtrading.rtdserver",, "T&amp;T1", "DAT", 79)</f>
        <v>-</v>
      </c>
      <c r="B82" s="97" t="str">
        <f>RTD("rtdtrading.rtdserver",, "T&amp;T1", "ACP", 79)</f>
        <v>-</v>
      </c>
      <c r="C82" s="97">
        <f>RTD("rtdtrading.rtdserver",, "T&amp;T1", "PRE", 79)</f>
        <v>0</v>
      </c>
      <c r="D82" s="97">
        <f>RTD("rtdtrading.rtdserver",, "T&amp;T1", "QUL", 79)</f>
        <v>0</v>
      </c>
      <c r="E82" s="97" t="str">
        <f>RTD("rtdtrading.rtdserver",, "T&amp;T1", "AVD", 79)</f>
        <v>-</v>
      </c>
      <c r="F82" s="97" t="str">
        <f>RTD("rtdtrading.rtdserver",, "T&amp;T1", "AGR", 79)</f>
        <v>-</v>
      </c>
      <c r="G82" s="102" t="str">
        <f>RTD("rtdtrading.rtdserver",, "T&amp;T1", "AGAG", 79)</f>
        <v>-</v>
      </c>
      <c r="H82" s="94"/>
      <c r="I82" s="101" t="str">
        <f>RTD("rtdtrading.rtdserver",, "T&amp;T0", "DAT", 79)</f>
        <v>-</v>
      </c>
      <c r="J82" s="97" t="str">
        <f>RTD("rtdtrading.rtdserver",, "T&amp;T0", "ACP", 79)</f>
        <v>-</v>
      </c>
      <c r="K82" s="97">
        <f>RTD("rtdtrading.rtdserver",, "T&amp;T0", "PRE", 79)</f>
        <v>0</v>
      </c>
      <c r="L82" s="97">
        <f>RTD("rtdtrading.rtdserver",, "T&amp;T0", "QUL", 79)</f>
        <v>0</v>
      </c>
      <c r="M82" s="97" t="str">
        <f>RTD("rtdtrading.rtdserver",, "T&amp;T0", "AVD", 79)</f>
        <v>-</v>
      </c>
      <c r="N82" s="97" t="str">
        <f>RTD("rtdtrading.rtdserver",, "T&amp;T0", "AGR", 79)</f>
        <v>-</v>
      </c>
      <c r="O82" s="102" t="str">
        <f>RTD("rtdtrading.rtdserver",, "T&amp;T0", "AGAG", 79)</f>
        <v>-</v>
      </c>
      <c r="P82" s="96"/>
    </row>
    <row r="83" spans="1:16" x14ac:dyDescent="0.25">
      <c r="A83" s="101" t="str">
        <f>RTD("rtdtrading.rtdserver",, "T&amp;T1", "DAT", 80)</f>
        <v>-</v>
      </c>
      <c r="B83" s="97" t="str">
        <f>RTD("rtdtrading.rtdserver",, "T&amp;T1", "ACP", 80)</f>
        <v>-</v>
      </c>
      <c r="C83" s="97">
        <f>RTD("rtdtrading.rtdserver",, "T&amp;T1", "PRE", 80)</f>
        <v>0</v>
      </c>
      <c r="D83" s="97">
        <f>RTD("rtdtrading.rtdserver",, "T&amp;T1", "QUL", 80)</f>
        <v>0</v>
      </c>
      <c r="E83" s="97" t="str">
        <f>RTD("rtdtrading.rtdserver",, "T&amp;T1", "AVD", 80)</f>
        <v>-</v>
      </c>
      <c r="F83" s="97" t="str">
        <f>RTD("rtdtrading.rtdserver",, "T&amp;T1", "AGR", 80)</f>
        <v>-</v>
      </c>
      <c r="G83" s="102" t="str">
        <f>RTD("rtdtrading.rtdserver",, "T&amp;T1", "AGAG", 80)</f>
        <v>-</v>
      </c>
      <c r="H83" s="94"/>
      <c r="I83" s="101" t="str">
        <f>RTD("rtdtrading.rtdserver",, "T&amp;T0", "DAT", 80)</f>
        <v>-</v>
      </c>
      <c r="J83" s="97" t="str">
        <f>RTD("rtdtrading.rtdserver",, "T&amp;T0", "ACP", 80)</f>
        <v>-</v>
      </c>
      <c r="K83" s="97">
        <f>RTD("rtdtrading.rtdserver",, "T&amp;T0", "PRE", 80)</f>
        <v>0</v>
      </c>
      <c r="L83" s="97">
        <f>RTD("rtdtrading.rtdserver",, "T&amp;T0", "QUL", 80)</f>
        <v>0</v>
      </c>
      <c r="M83" s="97" t="str">
        <f>RTD("rtdtrading.rtdserver",, "T&amp;T0", "AVD", 80)</f>
        <v>-</v>
      </c>
      <c r="N83" s="97" t="str">
        <f>RTD("rtdtrading.rtdserver",, "T&amp;T0", "AGR", 80)</f>
        <v>-</v>
      </c>
      <c r="O83" s="102" t="str">
        <f>RTD("rtdtrading.rtdserver",, "T&amp;T0", "AGAG", 80)</f>
        <v>-</v>
      </c>
      <c r="P83" s="96"/>
    </row>
    <row r="84" spans="1:16" x14ac:dyDescent="0.25">
      <c r="A84" s="101" t="str">
        <f>RTD("rtdtrading.rtdserver",, "T&amp;T1", "DAT", 81)</f>
        <v>-</v>
      </c>
      <c r="B84" s="97" t="str">
        <f>RTD("rtdtrading.rtdserver",, "T&amp;T1", "ACP", 81)</f>
        <v>-</v>
      </c>
      <c r="C84" s="97">
        <f>RTD("rtdtrading.rtdserver",, "T&amp;T1", "PRE", 81)</f>
        <v>0</v>
      </c>
      <c r="D84" s="97">
        <f>RTD("rtdtrading.rtdserver",, "T&amp;T1", "QUL", 81)</f>
        <v>0</v>
      </c>
      <c r="E84" s="97" t="str">
        <f>RTD("rtdtrading.rtdserver",, "T&amp;T1", "AVD", 81)</f>
        <v>-</v>
      </c>
      <c r="F84" s="97" t="str">
        <f>RTD("rtdtrading.rtdserver",, "T&amp;T1", "AGR", 81)</f>
        <v>-</v>
      </c>
      <c r="G84" s="102" t="str">
        <f>RTD("rtdtrading.rtdserver",, "T&amp;T1", "AGAG", 81)</f>
        <v>-</v>
      </c>
      <c r="H84" s="94"/>
      <c r="I84" s="101" t="str">
        <f>RTD("rtdtrading.rtdserver",, "T&amp;T0", "DAT", 81)</f>
        <v>-</v>
      </c>
      <c r="J84" s="97" t="str">
        <f>RTD("rtdtrading.rtdserver",, "T&amp;T0", "ACP", 81)</f>
        <v>-</v>
      </c>
      <c r="K84" s="97">
        <f>RTD("rtdtrading.rtdserver",, "T&amp;T0", "PRE", 81)</f>
        <v>0</v>
      </c>
      <c r="L84" s="97">
        <f>RTD("rtdtrading.rtdserver",, "T&amp;T0", "QUL", 81)</f>
        <v>0</v>
      </c>
      <c r="M84" s="97" t="str">
        <f>RTD("rtdtrading.rtdserver",, "T&amp;T0", "AVD", 81)</f>
        <v>-</v>
      </c>
      <c r="N84" s="97" t="str">
        <f>RTD("rtdtrading.rtdserver",, "T&amp;T0", "AGR", 81)</f>
        <v>-</v>
      </c>
      <c r="O84" s="102" t="str">
        <f>RTD("rtdtrading.rtdserver",, "T&amp;T0", "AGAG", 81)</f>
        <v>-</v>
      </c>
      <c r="P84" s="96"/>
    </row>
    <row r="85" spans="1:16" x14ac:dyDescent="0.25">
      <c r="A85" s="101" t="str">
        <f>RTD("rtdtrading.rtdserver",, "T&amp;T1", "DAT", 82)</f>
        <v>-</v>
      </c>
      <c r="B85" s="97" t="str">
        <f>RTD("rtdtrading.rtdserver",, "T&amp;T1", "ACP", 82)</f>
        <v>-</v>
      </c>
      <c r="C85" s="97">
        <f>RTD("rtdtrading.rtdserver",, "T&amp;T1", "PRE", 82)</f>
        <v>0</v>
      </c>
      <c r="D85" s="97">
        <f>RTD("rtdtrading.rtdserver",, "T&amp;T1", "QUL", 82)</f>
        <v>0</v>
      </c>
      <c r="E85" s="97" t="str">
        <f>RTD("rtdtrading.rtdserver",, "T&amp;T1", "AVD", 82)</f>
        <v>-</v>
      </c>
      <c r="F85" s="97" t="str">
        <f>RTD("rtdtrading.rtdserver",, "T&amp;T1", "AGR", 82)</f>
        <v>-</v>
      </c>
      <c r="G85" s="102" t="str">
        <f>RTD("rtdtrading.rtdserver",, "T&amp;T1", "AGAG", 82)</f>
        <v>-</v>
      </c>
      <c r="H85" s="94"/>
      <c r="I85" s="101" t="str">
        <f>RTD("rtdtrading.rtdserver",, "T&amp;T0", "DAT", 82)</f>
        <v>-</v>
      </c>
      <c r="J85" s="97" t="str">
        <f>RTD("rtdtrading.rtdserver",, "T&amp;T0", "ACP", 82)</f>
        <v>-</v>
      </c>
      <c r="K85" s="97">
        <f>RTD("rtdtrading.rtdserver",, "T&amp;T0", "PRE", 82)</f>
        <v>0</v>
      </c>
      <c r="L85" s="97">
        <f>RTD("rtdtrading.rtdserver",, "T&amp;T0", "QUL", 82)</f>
        <v>0</v>
      </c>
      <c r="M85" s="97" t="str">
        <f>RTD("rtdtrading.rtdserver",, "T&amp;T0", "AVD", 82)</f>
        <v>-</v>
      </c>
      <c r="N85" s="97" t="str">
        <f>RTD("rtdtrading.rtdserver",, "T&amp;T0", "AGR", 82)</f>
        <v>-</v>
      </c>
      <c r="O85" s="102" t="str">
        <f>RTD("rtdtrading.rtdserver",, "T&amp;T0", "AGAG", 82)</f>
        <v>-</v>
      </c>
      <c r="P85" s="96"/>
    </row>
    <row r="86" spans="1:16" x14ac:dyDescent="0.25">
      <c r="A86" s="101" t="str">
        <f>RTD("rtdtrading.rtdserver",, "T&amp;T1", "DAT", 83)</f>
        <v>-</v>
      </c>
      <c r="B86" s="97" t="str">
        <f>RTD("rtdtrading.rtdserver",, "T&amp;T1", "ACP", 83)</f>
        <v>-</v>
      </c>
      <c r="C86" s="97">
        <f>RTD("rtdtrading.rtdserver",, "T&amp;T1", "PRE", 83)</f>
        <v>0</v>
      </c>
      <c r="D86" s="97">
        <f>RTD("rtdtrading.rtdserver",, "T&amp;T1", "QUL", 83)</f>
        <v>0</v>
      </c>
      <c r="E86" s="97" t="str">
        <f>RTD("rtdtrading.rtdserver",, "T&amp;T1", "AVD", 83)</f>
        <v>-</v>
      </c>
      <c r="F86" s="97" t="str">
        <f>RTD("rtdtrading.rtdserver",, "T&amp;T1", "AGR", 83)</f>
        <v>-</v>
      </c>
      <c r="G86" s="102" t="str">
        <f>RTD("rtdtrading.rtdserver",, "T&amp;T1", "AGAG", 83)</f>
        <v>-</v>
      </c>
      <c r="H86" s="94"/>
      <c r="I86" s="101" t="str">
        <f>RTD("rtdtrading.rtdserver",, "T&amp;T0", "DAT", 83)</f>
        <v>-</v>
      </c>
      <c r="J86" s="97" t="str">
        <f>RTD("rtdtrading.rtdserver",, "T&amp;T0", "ACP", 83)</f>
        <v>-</v>
      </c>
      <c r="K86" s="97">
        <f>RTD("rtdtrading.rtdserver",, "T&amp;T0", "PRE", 83)</f>
        <v>0</v>
      </c>
      <c r="L86" s="97">
        <f>RTD("rtdtrading.rtdserver",, "T&amp;T0", "QUL", 83)</f>
        <v>0</v>
      </c>
      <c r="M86" s="97" t="str">
        <f>RTD("rtdtrading.rtdserver",, "T&amp;T0", "AVD", 83)</f>
        <v>-</v>
      </c>
      <c r="N86" s="97" t="str">
        <f>RTD("rtdtrading.rtdserver",, "T&amp;T0", "AGR", 83)</f>
        <v>-</v>
      </c>
      <c r="O86" s="102" t="str">
        <f>RTD("rtdtrading.rtdserver",, "T&amp;T0", "AGAG", 83)</f>
        <v>-</v>
      </c>
      <c r="P86" s="96"/>
    </row>
    <row r="87" spans="1:16" x14ac:dyDescent="0.25">
      <c r="A87" s="101" t="str">
        <f>RTD("rtdtrading.rtdserver",, "T&amp;T1", "DAT", 84)</f>
        <v>-</v>
      </c>
      <c r="B87" s="97" t="str">
        <f>RTD("rtdtrading.rtdserver",, "T&amp;T1", "ACP", 84)</f>
        <v>-</v>
      </c>
      <c r="C87" s="97">
        <f>RTD("rtdtrading.rtdserver",, "T&amp;T1", "PRE", 84)</f>
        <v>0</v>
      </c>
      <c r="D87" s="97">
        <f>RTD("rtdtrading.rtdserver",, "T&amp;T1", "QUL", 84)</f>
        <v>0</v>
      </c>
      <c r="E87" s="97" t="str">
        <f>RTD("rtdtrading.rtdserver",, "T&amp;T1", "AVD", 84)</f>
        <v>-</v>
      </c>
      <c r="F87" s="97" t="str">
        <f>RTD("rtdtrading.rtdserver",, "T&amp;T1", "AGR", 84)</f>
        <v>-</v>
      </c>
      <c r="G87" s="102" t="str">
        <f>RTD("rtdtrading.rtdserver",, "T&amp;T1", "AGAG", 84)</f>
        <v>-</v>
      </c>
      <c r="H87" s="94"/>
      <c r="I87" s="101" t="str">
        <f>RTD("rtdtrading.rtdserver",, "T&amp;T0", "DAT", 84)</f>
        <v>-</v>
      </c>
      <c r="J87" s="97" t="str">
        <f>RTD("rtdtrading.rtdserver",, "T&amp;T0", "ACP", 84)</f>
        <v>-</v>
      </c>
      <c r="K87" s="97">
        <f>RTD("rtdtrading.rtdserver",, "T&amp;T0", "PRE", 84)</f>
        <v>0</v>
      </c>
      <c r="L87" s="97">
        <f>RTD("rtdtrading.rtdserver",, "T&amp;T0", "QUL", 84)</f>
        <v>0</v>
      </c>
      <c r="M87" s="97" t="str">
        <f>RTD("rtdtrading.rtdserver",, "T&amp;T0", "AVD", 84)</f>
        <v>-</v>
      </c>
      <c r="N87" s="97" t="str">
        <f>RTD("rtdtrading.rtdserver",, "T&amp;T0", "AGR", 84)</f>
        <v>-</v>
      </c>
      <c r="O87" s="102" t="str">
        <f>RTD("rtdtrading.rtdserver",, "T&amp;T0", "AGAG", 84)</f>
        <v>-</v>
      </c>
      <c r="P87" s="96"/>
    </row>
    <row r="88" spans="1:16" x14ac:dyDescent="0.25">
      <c r="A88" s="101" t="str">
        <f>RTD("rtdtrading.rtdserver",, "T&amp;T1", "DAT", 85)</f>
        <v>-</v>
      </c>
      <c r="B88" s="97" t="str">
        <f>RTD("rtdtrading.rtdserver",, "T&amp;T1", "ACP", 85)</f>
        <v>-</v>
      </c>
      <c r="C88" s="97">
        <f>RTD("rtdtrading.rtdserver",, "T&amp;T1", "PRE", 85)</f>
        <v>0</v>
      </c>
      <c r="D88" s="97">
        <f>RTD("rtdtrading.rtdserver",, "T&amp;T1", "QUL", 85)</f>
        <v>0</v>
      </c>
      <c r="E88" s="97" t="str">
        <f>RTD("rtdtrading.rtdserver",, "T&amp;T1", "AVD", 85)</f>
        <v>-</v>
      </c>
      <c r="F88" s="97" t="str">
        <f>RTD("rtdtrading.rtdserver",, "T&amp;T1", "AGR", 85)</f>
        <v>-</v>
      </c>
      <c r="G88" s="102" t="str">
        <f>RTD("rtdtrading.rtdserver",, "T&amp;T1", "AGAG", 85)</f>
        <v>-</v>
      </c>
      <c r="H88" s="94"/>
      <c r="I88" s="101" t="str">
        <f>RTD("rtdtrading.rtdserver",, "T&amp;T0", "DAT", 85)</f>
        <v>-</v>
      </c>
      <c r="J88" s="97" t="str">
        <f>RTD("rtdtrading.rtdserver",, "T&amp;T0", "ACP", 85)</f>
        <v>-</v>
      </c>
      <c r="K88" s="97">
        <f>RTD("rtdtrading.rtdserver",, "T&amp;T0", "PRE", 85)</f>
        <v>0</v>
      </c>
      <c r="L88" s="97">
        <f>RTD("rtdtrading.rtdserver",, "T&amp;T0", "QUL", 85)</f>
        <v>0</v>
      </c>
      <c r="M88" s="97" t="str">
        <f>RTD("rtdtrading.rtdserver",, "T&amp;T0", "AVD", 85)</f>
        <v>-</v>
      </c>
      <c r="N88" s="97" t="str">
        <f>RTD("rtdtrading.rtdserver",, "T&amp;T0", "AGR", 85)</f>
        <v>-</v>
      </c>
      <c r="O88" s="102" t="str">
        <f>RTD("rtdtrading.rtdserver",, "T&amp;T0", "AGAG", 85)</f>
        <v>-</v>
      </c>
      <c r="P88" s="96"/>
    </row>
    <row r="89" spans="1:16" x14ac:dyDescent="0.25">
      <c r="A89" s="101" t="str">
        <f>RTD("rtdtrading.rtdserver",, "T&amp;T1", "DAT", 86)</f>
        <v>-</v>
      </c>
      <c r="B89" s="97" t="str">
        <f>RTD("rtdtrading.rtdserver",, "T&amp;T1", "ACP", 86)</f>
        <v>-</v>
      </c>
      <c r="C89" s="97">
        <f>RTD("rtdtrading.rtdserver",, "T&amp;T1", "PRE", 86)</f>
        <v>0</v>
      </c>
      <c r="D89" s="97">
        <f>RTD("rtdtrading.rtdserver",, "T&amp;T1", "QUL", 86)</f>
        <v>0</v>
      </c>
      <c r="E89" s="97" t="str">
        <f>RTD("rtdtrading.rtdserver",, "T&amp;T1", "AVD", 86)</f>
        <v>-</v>
      </c>
      <c r="F89" s="97" t="str">
        <f>RTD("rtdtrading.rtdserver",, "T&amp;T1", "AGR", 86)</f>
        <v>-</v>
      </c>
      <c r="G89" s="102" t="str">
        <f>RTD("rtdtrading.rtdserver",, "T&amp;T1", "AGAG", 86)</f>
        <v>-</v>
      </c>
      <c r="H89" s="94"/>
      <c r="I89" s="101" t="str">
        <f>RTD("rtdtrading.rtdserver",, "T&amp;T0", "DAT", 86)</f>
        <v>-</v>
      </c>
      <c r="J89" s="97" t="str">
        <f>RTD("rtdtrading.rtdserver",, "T&amp;T0", "ACP", 86)</f>
        <v>-</v>
      </c>
      <c r="K89" s="97">
        <f>RTD("rtdtrading.rtdserver",, "T&amp;T0", "PRE", 86)</f>
        <v>0</v>
      </c>
      <c r="L89" s="97">
        <f>RTD("rtdtrading.rtdserver",, "T&amp;T0", "QUL", 86)</f>
        <v>0</v>
      </c>
      <c r="M89" s="97" t="str">
        <f>RTD("rtdtrading.rtdserver",, "T&amp;T0", "AVD", 86)</f>
        <v>-</v>
      </c>
      <c r="N89" s="97" t="str">
        <f>RTD("rtdtrading.rtdserver",, "T&amp;T0", "AGR", 86)</f>
        <v>-</v>
      </c>
      <c r="O89" s="102" t="str">
        <f>RTD("rtdtrading.rtdserver",, "T&amp;T0", "AGAG", 86)</f>
        <v>-</v>
      </c>
      <c r="P89" s="96"/>
    </row>
    <row r="90" spans="1:16" x14ac:dyDescent="0.25">
      <c r="A90" s="101" t="str">
        <f>RTD("rtdtrading.rtdserver",, "T&amp;T1", "DAT", 87)</f>
        <v>-</v>
      </c>
      <c r="B90" s="97" t="str">
        <f>RTD("rtdtrading.rtdserver",, "T&amp;T1", "ACP", 87)</f>
        <v>-</v>
      </c>
      <c r="C90" s="97">
        <f>RTD("rtdtrading.rtdserver",, "T&amp;T1", "PRE", 87)</f>
        <v>0</v>
      </c>
      <c r="D90" s="97">
        <f>RTD("rtdtrading.rtdserver",, "T&amp;T1", "QUL", 87)</f>
        <v>0</v>
      </c>
      <c r="E90" s="97" t="str">
        <f>RTD("rtdtrading.rtdserver",, "T&amp;T1", "AVD", 87)</f>
        <v>-</v>
      </c>
      <c r="F90" s="97" t="str">
        <f>RTD("rtdtrading.rtdserver",, "T&amp;T1", "AGR", 87)</f>
        <v>-</v>
      </c>
      <c r="G90" s="102" t="str">
        <f>RTD("rtdtrading.rtdserver",, "T&amp;T1", "AGAG", 87)</f>
        <v>-</v>
      </c>
      <c r="H90" s="94"/>
      <c r="I90" s="101" t="str">
        <f>RTD("rtdtrading.rtdserver",, "T&amp;T0", "DAT", 87)</f>
        <v>-</v>
      </c>
      <c r="J90" s="97" t="str">
        <f>RTD("rtdtrading.rtdserver",, "T&amp;T0", "ACP", 87)</f>
        <v>-</v>
      </c>
      <c r="K90" s="97">
        <f>RTD("rtdtrading.rtdserver",, "T&amp;T0", "PRE", 87)</f>
        <v>0</v>
      </c>
      <c r="L90" s="97">
        <f>RTD("rtdtrading.rtdserver",, "T&amp;T0", "QUL", 87)</f>
        <v>0</v>
      </c>
      <c r="M90" s="97" t="str">
        <f>RTD("rtdtrading.rtdserver",, "T&amp;T0", "AVD", 87)</f>
        <v>-</v>
      </c>
      <c r="N90" s="97" t="str">
        <f>RTD("rtdtrading.rtdserver",, "T&amp;T0", "AGR", 87)</f>
        <v>-</v>
      </c>
      <c r="O90" s="102" t="str">
        <f>RTD("rtdtrading.rtdserver",, "T&amp;T0", "AGAG", 87)</f>
        <v>-</v>
      </c>
      <c r="P90" s="96"/>
    </row>
    <row r="91" spans="1:16" x14ac:dyDescent="0.25">
      <c r="A91" s="101" t="str">
        <f>RTD("rtdtrading.rtdserver",, "T&amp;T1", "DAT", 88)</f>
        <v>-</v>
      </c>
      <c r="B91" s="97" t="str">
        <f>RTD("rtdtrading.rtdserver",, "T&amp;T1", "ACP", 88)</f>
        <v>-</v>
      </c>
      <c r="C91" s="97">
        <f>RTD("rtdtrading.rtdserver",, "T&amp;T1", "PRE", 88)</f>
        <v>0</v>
      </c>
      <c r="D91" s="97">
        <f>RTD("rtdtrading.rtdserver",, "T&amp;T1", "QUL", 88)</f>
        <v>0</v>
      </c>
      <c r="E91" s="97" t="str">
        <f>RTD("rtdtrading.rtdserver",, "T&amp;T1", "AVD", 88)</f>
        <v>-</v>
      </c>
      <c r="F91" s="97" t="str">
        <f>RTD("rtdtrading.rtdserver",, "T&amp;T1", "AGR", 88)</f>
        <v>-</v>
      </c>
      <c r="G91" s="102" t="str">
        <f>RTD("rtdtrading.rtdserver",, "T&amp;T1", "AGAG", 88)</f>
        <v>-</v>
      </c>
      <c r="H91" s="94"/>
      <c r="I91" s="101" t="str">
        <f>RTD("rtdtrading.rtdserver",, "T&amp;T0", "DAT", 88)</f>
        <v>-</v>
      </c>
      <c r="J91" s="97" t="str">
        <f>RTD("rtdtrading.rtdserver",, "T&amp;T0", "ACP", 88)</f>
        <v>-</v>
      </c>
      <c r="K91" s="97">
        <f>RTD("rtdtrading.rtdserver",, "T&amp;T0", "PRE", 88)</f>
        <v>0</v>
      </c>
      <c r="L91" s="97">
        <f>RTD("rtdtrading.rtdserver",, "T&amp;T0", "QUL", 88)</f>
        <v>0</v>
      </c>
      <c r="M91" s="97" t="str">
        <f>RTD("rtdtrading.rtdserver",, "T&amp;T0", "AVD", 88)</f>
        <v>-</v>
      </c>
      <c r="N91" s="97" t="str">
        <f>RTD("rtdtrading.rtdserver",, "T&amp;T0", "AGR", 88)</f>
        <v>-</v>
      </c>
      <c r="O91" s="102" t="str">
        <f>RTD("rtdtrading.rtdserver",, "T&amp;T0", "AGAG", 88)</f>
        <v>-</v>
      </c>
      <c r="P91" s="96"/>
    </row>
    <row r="92" spans="1:16" x14ac:dyDescent="0.25">
      <c r="A92" s="101" t="str">
        <f>RTD("rtdtrading.rtdserver",, "T&amp;T1", "DAT", 89)</f>
        <v>-</v>
      </c>
      <c r="B92" s="97" t="str">
        <f>RTD("rtdtrading.rtdserver",, "T&amp;T1", "ACP", 89)</f>
        <v>-</v>
      </c>
      <c r="C92" s="97">
        <f>RTD("rtdtrading.rtdserver",, "T&amp;T1", "PRE", 89)</f>
        <v>0</v>
      </c>
      <c r="D92" s="97">
        <f>RTD("rtdtrading.rtdserver",, "T&amp;T1", "QUL", 89)</f>
        <v>0</v>
      </c>
      <c r="E92" s="97" t="str">
        <f>RTD("rtdtrading.rtdserver",, "T&amp;T1", "AVD", 89)</f>
        <v>-</v>
      </c>
      <c r="F92" s="97" t="str">
        <f>RTD("rtdtrading.rtdserver",, "T&amp;T1", "AGR", 89)</f>
        <v>-</v>
      </c>
      <c r="G92" s="102" t="str">
        <f>RTD("rtdtrading.rtdserver",, "T&amp;T1", "AGAG", 89)</f>
        <v>-</v>
      </c>
      <c r="H92" s="94"/>
      <c r="I92" s="101" t="str">
        <f>RTD("rtdtrading.rtdserver",, "T&amp;T0", "DAT", 89)</f>
        <v>-</v>
      </c>
      <c r="J92" s="97" t="str">
        <f>RTD("rtdtrading.rtdserver",, "T&amp;T0", "ACP", 89)</f>
        <v>-</v>
      </c>
      <c r="K92" s="97">
        <f>RTD("rtdtrading.rtdserver",, "T&amp;T0", "PRE", 89)</f>
        <v>0</v>
      </c>
      <c r="L92" s="97">
        <f>RTD("rtdtrading.rtdserver",, "T&amp;T0", "QUL", 89)</f>
        <v>0</v>
      </c>
      <c r="M92" s="97" t="str">
        <f>RTD("rtdtrading.rtdserver",, "T&amp;T0", "AVD", 89)</f>
        <v>-</v>
      </c>
      <c r="N92" s="97" t="str">
        <f>RTD("rtdtrading.rtdserver",, "T&amp;T0", "AGR", 89)</f>
        <v>-</v>
      </c>
      <c r="O92" s="102" t="str">
        <f>RTD("rtdtrading.rtdserver",, "T&amp;T0", "AGAG", 89)</f>
        <v>-</v>
      </c>
      <c r="P92" s="96"/>
    </row>
    <row r="93" spans="1:16" x14ac:dyDescent="0.25">
      <c r="A93" s="101" t="str">
        <f>RTD("rtdtrading.rtdserver",, "T&amp;T1", "DAT", 90)</f>
        <v>-</v>
      </c>
      <c r="B93" s="97" t="str">
        <f>RTD("rtdtrading.rtdserver",, "T&amp;T1", "ACP", 90)</f>
        <v>-</v>
      </c>
      <c r="C93" s="97">
        <f>RTD("rtdtrading.rtdserver",, "T&amp;T1", "PRE", 90)</f>
        <v>0</v>
      </c>
      <c r="D93" s="97">
        <f>RTD("rtdtrading.rtdserver",, "T&amp;T1", "QUL", 90)</f>
        <v>0</v>
      </c>
      <c r="E93" s="97" t="str">
        <f>RTD("rtdtrading.rtdserver",, "T&amp;T1", "AVD", 90)</f>
        <v>-</v>
      </c>
      <c r="F93" s="97" t="str">
        <f>RTD("rtdtrading.rtdserver",, "T&amp;T1", "AGR", 90)</f>
        <v>-</v>
      </c>
      <c r="G93" s="102" t="str">
        <f>RTD("rtdtrading.rtdserver",, "T&amp;T1", "AGAG", 90)</f>
        <v>-</v>
      </c>
      <c r="H93" s="94"/>
      <c r="I93" s="101" t="str">
        <f>RTD("rtdtrading.rtdserver",, "T&amp;T0", "DAT", 90)</f>
        <v>-</v>
      </c>
      <c r="J93" s="97" t="str">
        <f>RTD("rtdtrading.rtdserver",, "T&amp;T0", "ACP", 90)</f>
        <v>-</v>
      </c>
      <c r="K93" s="97">
        <f>RTD("rtdtrading.rtdserver",, "T&amp;T0", "PRE", 90)</f>
        <v>0</v>
      </c>
      <c r="L93" s="97">
        <f>RTD("rtdtrading.rtdserver",, "T&amp;T0", "QUL", 90)</f>
        <v>0</v>
      </c>
      <c r="M93" s="97" t="str">
        <f>RTD("rtdtrading.rtdserver",, "T&amp;T0", "AVD", 90)</f>
        <v>-</v>
      </c>
      <c r="N93" s="97" t="str">
        <f>RTD("rtdtrading.rtdserver",, "T&amp;T0", "AGR", 90)</f>
        <v>-</v>
      </c>
      <c r="O93" s="102" t="str">
        <f>RTD("rtdtrading.rtdserver",, "T&amp;T0", "AGAG", 90)</f>
        <v>-</v>
      </c>
      <c r="P93" s="96"/>
    </row>
    <row r="94" spans="1:16" x14ac:dyDescent="0.25">
      <c r="A94" s="101" t="str">
        <f>RTD("rtdtrading.rtdserver",, "T&amp;T1", "DAT", 91)</f>
        <v>-</v>
      </c>
      <c r="B94" s="97" t="str">
        <f>RTD("rtdtrading.rtdserver",, "T&amp;T1", "ACP", 91)</f>
        <v>-</v>
      </c>
      <c r="C94" s="97">
        <f>RTD("rtdtrading.rtdserver",, "T&amp;T1", "PRE", 91)</f>
        <v>0</v>
      </c>
      <c r="D94" s="97">
        <f>RTD("rtdtrading.rtdserver",, "T&amp;T1", "QUL", 91)</f>
        <v>0</v>
      </c>
      <c r="E94" s="97" t="str">
        <f>RTD("rtdtrading.rtdserver",, "T&amp;T1", "AVD", 91)</f>
        <v>-</v>
      </c>
      <c r="F94" s="97" t="str">
        <f>RTD("rtdtrading.rtdserver",, "T&amp;T1", "AGR", 91)</f>
        <v>-</v>
      </c>
      <c r="G94" s="102" t="str">
        <f>RTD("rtdtrading.rtdserver",, "T&amp;T1", "AGAG", 91)</f>
        <v>-</v>
      </c>
      <c r="H94" s="94"/>
      <c r="I94" s="101" t="str">
        <f>RTD("rtdtrading.rtdserver",, "T&amp;T0", "DAT", 91)</f>
        <v>-</v>
      </c>
      <c r="J94" s="97" t="str">
        <f>RTD("rtdtrading.rtdserver",, "T&amp;T0", "ACP", 91)</f>
        <v>-</v>
      </c>
      <c r="K94" s="97">
        <f>RTD("rtdtrading.rtdserver",, "T&amp;T0", "PRE", 91)</f>
        <v>0</v>
      </c>
      <c r="L94" s="97">
        <f>RTD("rtdtrading.rtdserver",, "T&amp;T0", "QUL", 91)</f>
        <v>0</v>
      </c>
      <c r="M94" s="97" t="str">
        <f>RTD("rtdtrading.rtdserver",, "T&amp;T0", "AVD", 91)</f>
        <v>-</v>
      </c>
      <c r="N94" s="97" t="str">
        <f>RTD("rtdtrading.rtdserver",, "T&amp;T0", "AGR", 91)</f>
        <v>-</v>
      </c>
      <c r="O94" s="102" t="str">
        <f>RTD("rtdtrading.rtdserver",, "T&amp;T0", "AGAG", 91)</f>
        <v>-</v>
      </c>
      <c r="P94" s="96"/>
    </row>
    <row r="95" spans="1:16" x14ac:dyDescent="0.25">
      <c r="A95" s="101" t="str">
        <f>RTD("rtdtrading.rtdserver",, "T&amp;T1", "DAT", 92)</f>
        <v>-</v>
      </c>
      <c r="B95" s="97" t="str">
        <f>RTD("rtdtrading.rtdserver",, "T&amp;T1", "ACP", 92)</f>
        <v>-</v>
      </c>
      <c r="C95" s="97">
        <f>RTD("rtdtrading.rtdserver",, "T&amp;T1", "PRE", 92)</f>
        <v>0</v>
      </c>
      <c r="D95" s="97">
        <f>RTD("rtdtrading.rtdserver",, "T&amp;T1", "QUL", 92)</f>
        <v>0</v>
      </c>
      <c r="E95" s="97" t="str">
        <f>RTD("rtdtrading.rtdserver",, "T&amp;T1", "AVD", 92)</f>
        <v>-</v>
      </c>
      <c r="F95" s="97" t="str">
        <f>RTD("rtdtrading.rtdserver",, "T&amp;T1", "AGR", 92)</f>
        <v>-</v>
      </c>
      <c r="G95" s="102" t="str">
        <f>RTD("rtdtrading.rtdserver",, "T&amp;T1", "AGAG", 92)</f>
        <v>-</v>
      </c>
      <c r="H95" s="94"/>
      <c r="I95" s="101" t="str">
        <f>RTD("rtdtrading.rtdserver",, "T&amp;T0", "DAT", 92)</f>
        <v>-</v>
      </c>
      <c r="J95" s="97" t="str">
        <f>RTD("rtdtrading.rtdserver",, "T&amp;T0", "ACP", 92)</f>
        <v>-</v>
      </c>
      <c r="K95" s="97">
        <f>RTD("rtdtrading.rtdserver",, "T&amp;T0", "PRE", 92)</f>
        <v>0</v>
      </c>
      <c r="L95" s="97">
        <f>RTD("rtdtrading.rtdserver",, "T&amp;T0", "QUL", 92)</f>
        <v>0</v>
      </c>
      <c r="M95" s="97" t="str">
        <f>RTD("rtdtrading.rtdserver",, "T&amp;T0", "AVD", 92)</f>
        <v>-</v>
      </c>
      <c r="N95" s="97" t="str">
        <f>RTD("rtdtrading.rtdserver",, "T&amp;T0", "AGR", 92)</f>
        <v>-</v>
      </c>
      <c r="O95" s="102" t="str">
        <f>RTD("rtdtrading.rtdserver",, "T&amp;T0", "AGAG", 92)</f>
        <v>-</v>
      </c>
      <c r="P95" s="96"/>
    </row>
    <row r="96" spans="1:16" x14ac:dyDescent="0.25">
      <c r="A96" s="101" t="str">
        <f>RTD("rtdtrading.rtdserver",, "T&amp;T1", "DAT", 93)</f>
        <v>-</v>
      </c>
      <c r="B96" s="97" t="str">
        <f>RTD("rtdtrading.rtdserver",, "T&amp;T1", "ACP", 93)</f>
        <v>-</v>
      </c>
      <c r="C96" s="97">
        <f>RTD("rtdtrading.rtdserver",, "T&amp;T1", "PRE", 93)</f>
        <v>0</v>
      </c>
      <c r="D96" s="97">
        <f>RTD("rtdtrading.rtdserver",, "T&amp;T1", "QUL", 93)</f>
        <v>0</v>
      </c>
      <c r="E96" s="97" t="str">
        <f>RTD("rtdtrading.rtdserver",, "T&amp;T1", "AVD", 93)</f>
        <v>-</v>
      </c>
      <c r="F96" s="97" t="str">
        <f>RTD("rtdtrading.rtdserver",, "T&amp;T1", "AGR", 93)</f>
        <v>-</v>
      </c>
      <c r="G96" s="102" t="str">
        <f>RTD("rtdtrading.rtdserver",, "T&amp;T1", "AGAG", 93)</f>
        <v>-</v>
      </c>
      <c r="H96" s="94"/>
      <c r="I96" s="101" t="str">
        <f>RTD("rtdtrading.rtdserver",, "T&amp;T0", "DAT", 93)</f>
        <v>-</v>
      </c>
      <c r="J96" s="97" t="str">
        <f>RTD("rtdtrading.rtdserver",, "T&amp;T0", "ACP", 93)</f>
        <v>-</v>
      </c>
      <c r="K96" s="97">
        <f>RTD("rtdtrading.rtdserver",, "T&amp;T0", "PRE", 93)</f>
        <v>0</v>
      </c>
      <c r="L96" s="97">
        <f>RTD("rtdtrading.rtdserver",, "T&amp;T0", "QUL", 93)</f>
        <v>0</v>
      </c>
      <c r="M96" s="97" t="str">
        <f>RTD("rtdtrading.rtdserver",, "T&amp;T0", "AVD", 93)</f>
        <v>-</v>
      </c>
      <c r="N96" s="97" t="str">
        <f>RTD("rtdtrading.rtdserver",, "T&amp;T0", "AGR", 93)</f>
        <v>-</v>
      </c>
      <c r="O96" s="102" t="str">
        <f>RTD("rtdtrading.rtdserver",, "T&amp;T0", "AGAG", 93)</f>
        <v>-</v>
      </c>
      <c r="P96" s="96"/>
    </row>
    <row r="97" spans="1:16" x14ac:dyDescent="0.25">
      <c r="A97" s="101" t="str">
        <f>RTD("rtdtrading.rtdserver",, "T&amp;T1", "DAT", 94)</f>
        <v>-</v>
      </c>
      <c r="B97" s="97" t="str">
        <f>RTD("rtdtrading.rtdserver",, "T&amp;T1", "ACP", 94)</f>
        <v>-</v>
      </c>
      <c r="C97" s="97">
        <f>RTD("rtdtrading.rtdserver",, "T&amp;T1", "PRE", 94)</f>
        <v>0</v>
      </c>
      <c r="D97" s="97">
        <f>RTD("rtdtrading.rtdserver",, "T&amp;T1", "QUL", 94)</f>
        <v>0</v>
      </c>
      <c r="E97" s="97" t="str">
        <f>RTD("rtdtrading.rtdserver",, "T&amp;T1", "AVD", 94)</f>
        <v>-</v>
      </c>
      <c r="F97" s="97" t="str">
        <f>RTD("rtdtrading.rtdserver",, "T&amp;T1", "AGR", 94)</f>
        <v>-</v>
      </c>
      <c r="G97" s="102" t="str">
        <f>RTD("rtdtrading.rtdserver",, "T&amp;T1", "AGAG", 94)</f>
        <v>-</v>
      </c>
      <c r="H97" s="94"/>
      <c r="I97" s="101" t="str">
        <f>RTD("rtdtrading.rtdserver",, "T&amp;T0", "DAT", 94)</f>
        <v>-</v>
      </c>
      <c r="J97" s="97" t="str">
        <f>RTD("rtdtrading.rtdserver",, "T&amp;T0", "ACP", 94)</f>
        <v>-</v>
      </c>
      <c r="K97" s="97">
        <f>RTD("rtdtrading.rtdserver",, "T&amp;T0", "PRE", 94)</f>
        <v>0</v>
      </c>
      <c r="L97" s="97">
        <f>RTD("rtdtrading.rtdserver",, "T&amp;T0", "QUL", 94)</f>
        <v>0</v>
      </c>
      <c r="M97" s="97" t="str">
        <f>RTD("rtdtrading.rtdserver",, "T&amp;T0", "AVD", 94)</f>
        <v>-</v>
      </c>
      <c r="N97" s="97" t="str">
        <f>RTD("rtdtrading.rtdserver",, "T&amp;T0", "AGR", 94)</f>
        <v>-</v>
      </c>
      <c r="O97" s="102" t="str">
        <f>RTD("rtdtrading.rtdserver",, "T&amp;T0", "AGAG", 94)</f>
        <v>-</v>
      </c>
      <c r="P97" s="96"/>
    </row>
    <row r="98" spans="1:16" x14ac:dyDescent="0.25">
      <c r="A98" s="101" t="str">
        <f>RTD("rtdtrading.rtdserver",, "T&amp;T1", "DAT", 95)</f>
        <v>-</v>
      </c>
      <c r="B98" s="97" t="str">
        <f>RTD("rtdtrading.rtdserver",, "T&amp;T1", "ACP", 95)</f>
        <v>-</v>
      </c>
      <c r="C98" s="97">
        <f>RTD("rtdtrading.rtdserver",, "T&amp;T1", "PRE", 95)</f>
        <v>0</v>
      </c>
      <c r="D98" s="97">
        <f>RTD("rtdtrading.rtdserver",, "T&amp;T1", "QUL", 95)</f>
        <v>0</v>
      </c>
      <c r="E98" s="97" t="str">
        <f>RTD("rtdtrading.rtdserver",, "T&amp;T1", "AVD", 95)</f>
        <v>-</v>
      </c>
      <c r="F98" s="97" t="str">
        <f>RTD("rtdtrading.rtdserver",, "T&amp;T1", "AGR", 95)</f>
        <v>-</v>
      </c>
      <c r="G98" s="102" t="str">
        <f>RTD("rtdtrading.rtdserver",, "T&amp;T1", "AGAG", 95)</f>
        <v>-</v>
      </c>
      <c r="H98" s="94"/>
      <c r="I98" s="101" t="str">
        <f>RTD("rtdtrading.rtdserver",, "T&amp;T0", "DAT", 95)</f>
        <v>-</v>
      </c>
      <c r="J98" s="97" t="str">
        <f>RTD("rtdtrading.rtdserver",, "T&amp;T0", "ACP", 95)</f>
        <v>-</v>
      </c>
      <c r="K98" s="97">
        <f>RTD("rtdtrading.rtdserver",, "T&amp;T0", "PRE", 95)</f>
        <v>0</v>
      </c>
      <c r="L98" s="97">
        <f>RTD("rtdtrading.rtdserver",, "T&amp;T0", "QUL", 95)</f>
        <v>0</v>
      </c>
      <c r="M98" s="97" t="str">
        <f>RTD("rtdtrading.rtdserver",, "T&amp;T0", "AVD", 95)</f>
        <v>-</v>
      </c>
      <c r="N98" s="97" t="str">
        <f>RTD("rtdtrading.rtdserver",, "T&amp;T0", "AGR", 95)</f>
        <v>-</v>
      </c>
      <c r="O98" s="102" t="str">
        <f>RTD("rtdtrading.rtdserver",, "T&amp;T0", "AGAG", 95)</f>
        <v>-</v>
      </c>
      <c r="P98" s="96"/>
    </row>
    <row r="99" spans="1:16" x14ac:dyDescent="0.25">
      <c r="A99" s="101" t="str">
        <f>RTD("rtdtrading.rtdserver",, "T&amp;T1", "DAT", 96)</f>
        <v>-</v>
      </c>
      <c r="B99" s="97" t="str">
        <f>RTD("rtdtrading.rtdserver",, "T&amp;T1", "ACP", 96)</f>
        <v>-</v>
      </c>
      <c r="C99" s="97">
        <f>RTD("rtdtrading.rtdserver",, "T&amp;T1", "PRE", 96)</f>
        <v>0</v>
      </c>
      <c r="D99" s="97">
        <f>RTD("rtdtrading.rtdserver",, "T&amp;T1", "QUL", 96)</f>
        <v>0</v>
      </c>
      <c r="E99" s="97" t="str">
        <f>RTD("rtdtrading.rtdserver",, "T&amp;T1", "AVD", 96)</f>
        <v>-</v>
      </c>
      <c r="F99" s="97" t="str">
        <f>RTD("rtdtrading.rtdserver",, "T&amp;T1", "AGR", 96)</f>
        <v>-</v>
      </c>
      <c r="G99" s="102" t="str">
        <f>RTD("rtdtrading.rtdserver",, "T&amp;T1", "AGAG", 96)</f>
        <v>-</v>
      </c>
      <c r="H99" s="94"/>
      <c r="I99" s="101" t="str">
        <f>RTD("rtdtrading.rtdserver",, "T&amp;T0", "DAT", 96)</f>
        <v>-</v>
      </c>
      <c r="J99" s="97" t="str">
        <f>RTD("rtdtrading.rtdserver",, "T&amp;T0", "ACP", 96)</f>
        <v>-</v>
      </c>
      <c r="K99" s="97">
        <f>RTD("rtdtrading.rtdserver",, "T&amp;T0", "PRE", 96)</f>
        <v>0</v>
      </c>
      <c r="L99" s="97">
        <f>RTD("rtdtrading.rtdserver",, "T&amp;T0", "QUL", 96)</f>
        <v>0</v>
      </c>
      <c r="M99" s="97" t="str">
        <f>RTD("rtdtrading.rtdserver",, "T&amp;T0", "AVD", 96)</f>
        <v>-</v>
      </c>
      <c r="N99" s="97" t="str">
        <f>RTD("rtdtrading.rtdserver",, "T&amp;T0", "AGR", 96)</f>
        <v>-</v>
      </c>
      <c r="O99" s="102" t="str">
        <f>RTD("rtdtrading.rtdserver",, "T&amp;T0", "AGAG", 96)</f>
        <v>-</v>
      </c>
      <c r="P99" s="96"/>
    </row>
    <row r="100" spans="1:16" x14ac:dyDescent="0.25">
      <c r="A100" s="101" t="str">
        <f>RTD("rtdtrading.rtdserver",, "T&amp;T1", "DAT", 97)</f>
        <v>-</v>
      </c>
      <c r="B100" s="97" t="str">
        <f>RTD("rtdtrading.rtdserver",, "T&amp;T1", "ACP", 97)</f>
        <v>-</v>
      </c>
      <c r="C100" s="97">
        <f>RTD("rtdtrading.rtdserver",, "T&amp;T1", "PRE", 97)</f>
        <v>0</v>
      </c>
      <c r="D100" s="97">
        <f>RTD("rtdtrading.rtdserver",, "T&amp;T1", "QUL", 97)</f>
        <v>0</v>
      </c>
      <c r="E100" s="97" t="str">
        <f>RTD("rtdtrading.rtdserver",, "T&amp;T1", "AVD", 97)</f>
        <v>-</v>
      </c>
      <c r="F100" s="97" t="str">
        <f>RTD("rtdtrading.rtdserver",, "T&amp;T1", "AGR", 97)</f>
        <v>-</v>
      </c>
      <c r="G100" s="102" t="str">
        <f>RTD("rtdtrading.rtdserver",, "T&amp;T1", "AGAG", 97)</f>
        <v>-</v>
      </c>
      <c r="H100" s="94"/>
      <c r="I100" s="101" t="str">
        <f>RTD("rtdtrading.rtdserver",, "T&amp;T0", "DAT", 97)</f>
        <v>-</v>
      </c>
      <c r="J100" s="97" t="str">
        <f>RTD("rtdtrading.rtdserver",, "T&amp;T0", "ACP", 97)</f>
        <v>-</v>
      </c>
      <c r="K100" s="97">
        <f>RTD("rtdtrading.rtdserver",, "T&amp;T0", "PRE", 97)</f>
        <v>0</v>
      </c>
      <c r="L100" s="97">
        <f>RTD("rtdtrading.rtdserver",, "T&amp;T0", "QUL", 97)</f>
        <v>0</v>
      </c>
      <c r="M100" s="97" t="str">
        <f>RTD("rtdtrading.rtdserver",, "T&amp;T0", "AVD", 97)</f>
        <v>-</v>
      </c>
      <c r="N100" s="97" t="str">
        <f>RTD("rtdtrading.rtdserver",, "T&amp;T0", "AGR", 97)</f>
        <v>-</v>
      </c>
      <c r="O100" s="102" t="str">
        <f>RTD("rtdtrading.rtdserver",, "T&amp;T0", "AGAG", 97)</f>
        <v>-</v>
      </c>
      <c r="P100" s="96"/>
    </row>
    <row r="101" spans="1:16" x14ac:dyDescent="0.25">
      <c r="A101" s="101" t="str">
        <f>RTD("rtdtrading.rtdserver",, "T&amp;T1", "DAT", 98)</f>
        <v>-</v>
      </c>
      <c r="B101" s="97" t="str">
        <f>RTD("rtdtrading.rtdserver",, "T&amp;T1", "ACP", 98)</f>
        <v>-</v>
      </c>
      <c r="C101" s="97">
        <f>RTD("rtdtrading.rtdserver",, "T&amp;T1", "PRE", 98)</f>
        <v>0</v>
      </c>
      <c r="D101" s="97">
        <f>RTD("rtdtrading.rtdserver",, "T&amp;T1", "QUL", 98)</f>
        <v>0</v>
      </c>
      <c r="E101" s="97" t="str">
        <f>RTD("rtdtrading.rtdserver",, "T&amp;T1", "AVD", 98)</f>
        <v>-</v>
      </c>
      <c r="F101" s="97" t="str">
        <f>RTD("rtdtrading.rtdserver",, "T&amp;T1", "AGR", 98)</f>
        <v>-</v>
      </c>
      <c r="G101" s="102" t="str">
        <f>RTD("rtdtrading.rtdserver",, "T&amp;T1", "AGAG", 98)</f>
        <v>-</v>
      </c>
      <c r="H101" s="94"/>
      <c r="I101" s="101" t="str">
        <f>RTD("rtdtrading.rtdserver",, "T&amp;T0", "DAT", 98)</f>
        <v>-</v>
      </c>
      <c r="J101" s="97" t="str">
        <f>RTD("rtdtrading.rtdserver",, "T&amp;T0", "ACP", 98)</f>
        <v>-</v>
      </c>
      <c r="K101" s="97">
        <f>RTD("rtdtrading.rtdserver",, "T&amp;T0", "PRE", 98)</f>
        <v>0</v>
      </c>
      <c r="L101" s="97">
        <f>RTD("rtdtrading.rtdserver",, "T&amp;T0", "QUL", 98)</f>
        <v>0</v>
      </c>
      <c r="M101" s="97" t="str">
        <f>RTD("rtdtrading.rtdserver",, "T&amp;T0", "AVD", 98)</f>
        <v>-</v>
      </c>
      <c r="N101" s="97" t="str">
        <f>RTD("rtdtrading.rtdserver",, "T&amp;T0", "AGR", 98)</f>
        <v>-</v>
      </c>
      <c r="O101" s="102" t="str">
        <f>RTD("rtdtrading.rtdserver",, "T&amp;T0", "AGAG", 98)</f>
        <v>-</v>
      </c>
      <c r="P101" s="96"/>
    </row>
    <row r="102" spans="1:16" x14ac:dyDescent="0.25">
      <c r="A102" s="103" t="str">
        <f>RTD("rtdtrading.rtdserver",, "T&amp;T1", "DAT", 99)</f>
        <v>-</v>
      </c>
      <c r="B102" s="104" t="str">
        <f>RTD("rtdtrading.rtdserver",, "T&amp;T1", "ACP", 99)</f>
        <v>-</v>
      </c>
      <c r="C102" s="104">
        <f>RTD("rtdtrading.rtdserver",, "T&amp;T1", "PRE", 99)</f>
        <v>0</v>
      </c>
      <c r="D102" s="104">
        <f>RTD("rtdtrading.rtdserver",, "T&amp;T1", "QUL", 99)</f>
        <v>0</v>
      </c>
      <c r="E102" s="104" t="str">
        <f>RTD("rtdtrading.rtdserver",, "T&amp;T1", "AVD", 99)</f>
        <v>-</v>
      </c>
      <c r="F102" s="104" t="str">
        <f>RTD("rtdtrading.rtdserver",, "T&amp;T1", "AGR", 99)</f>
        <v>-</v>
      </c>
      <c r="G102" s="105" t="str">
        <f>RTD("rtdtrading.rtdserver",, "T&amp;T1", "AGAG", 99)</f>
        <v>-</v>
      </c>
      <c r="H102" s="94"/>
      <c r="I102" s="103" t="str">
        <f>RTD("rtdtrading.rtdserver",, "T&amp;T0", "DAT", 99)</f>
        <v>-</v>
      </c>
      <c r="J102" s="104" t="str">
        <f>RTD("rtdtrading.rtdserver",, "T&amp;T0", "ACP", 99)</f>
        <v>-</v>
      </c>
      <c r="K102" s="104">
        <f>RTD("rtdtrading.rtdserver",, "T&amp;T0", "PRE", 99)</f>
        <v>0</v>
      </c>
      <c r="L102" s="104">
        <f>RTD("rtdtrading.rtdserver",, "T&amp;T0", "QUL", 99)</f>
        <v>0</v>
      </c>
      <c r="M102" s="104" t="str">
        <f>RTD("rtdtrading.rtdserver",, "T&amp;T0", "AVD", 99)</f>
        <v>-</v>
      </c>
      <c r="N102" s="104" t="str">
        <f>RTD("rtdtrading.rtdserver",, "T&amp;T0", "AGR", 99)</f>
        <v>-</v>
      </c>
      <c r="O102" s="105" t="str">
        <f>RTD("rtdtrading.rtdserver",, "T&amp;T0", "AGAG", 99)</f>
        <v>-</v>
      </c>
      <c r="P102" s="96"/>
    </row>
    <row r="103" spans="1:16" x14ac:dyDescent="0.25">
      <c r="A103" s="99"/>
      <c r="B103" s="99"/>
      <c r="C103" s="99"/>
      <c r="D103" s="99"/>
      <c r="E103" s="99"/>
      <c r="F103" s="99"/>
      <c r="G103" s="99"/>
      <c r="I103" s="99"/>
      <c r="J103" s="99"/>
      <c r="K103" s="99"/>
      <c r="L103" s="99"/>
      <c r="M103" s="99"/>
      <c r="N103" s="99"/>
      <c r="O103" s="9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saldo</vt:lpstr>
      <vt:lpstr>fluxortd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Sperb</dc:creator>
  <cp:lastModifiedBy>Marcelo Sperb</cp:lastModifiedBy>
  <dcterms:created xsi:type="dcterms:W3CDTF">2025-09-06T23:13:54Z</dcterms:created>
  <dcterms:modified xsi:type="dcterms:W3CDTF">2025-09-08T07:07:10Z</dcterms:modified>
</cp:coreProperties>
</file>