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ACD5C9BB-4271-4689-AA43-20B84CE47F74}" xr6:coauthVersionLast="47" xr6:coauthVersionMax="47" xr10:uidLastSave="{00000000-0000-0000-0000-000000000000}"/>
  <bookViews>
    <workbookView xWindow="-110" yWindow="-110" windowWidth="19420" windowHeight="10300" activeTab="6" xr2:uid="{00000000-000D-0000-FFFF-FFFF00000000}"/>
  </bookViews>
  <sheets>
    <sheet name="Financials&gt;" sheetId="7" r:id="rId1"/>
    <sheet name="HistoricalFS" sheetId="9" r:id="rId2"/>
    <sheet name="Profit &amp; Loss" sheetId="1" state="hidden" r:id="rId3"/>
    <sheet name="Quarters" sheetId="3" state="hidden" r:id="rId4"/>
    <sheet name="Balance Sheet" sheetId="2" state="hidden" r:id="rId5"/>
    <sheet name="Cash Flow" sheetId="4" state="hidden" r:id="rId6"/>
    <sheet name="Ratio Analysis" sheetId="11" r:id="rId7"/>
    <sheet name="Forecasting" sheetId="13" r:id="rId8"/>
    <sheet name="Data" sheetId="15" r:id="rId9"/>
    <sheet name="Data&gt;" sheetId="8" r:id="rId10"/>
    <sheet name="Customization" sheetId="5" state="hidden" r:id="rId11"/>
    <sheet name="Data Sheet" sheetId="6" r:id="rId12"/>
    <sheet name="Cash Flow Data" sheetId="10" r:id="rId13"/>
  </sheets>
  <externalReferences>
    <externalReference r:id="rId14"/>
    <externalReference r:id="rId15"/>
  </externalReference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7" i="15" l="1"/>
  <c r="E24" i="15"/>
  <c r="P22" i="15"/>
  <c r="O22" i="15"/>
  <c r="N22" i="15"/>
  <c r="M22" i="15"/>
  <c r="L22" i="15"/>
  <c r="K22" i="15"/>
  <c r="J22" i="15"/>
  <c r="I22" i="15"/>
  <c r="H22" i="15"/>
  <c r="G22" i="15"/>
  <c r="F22" i="15"/>
  <c r="E22" i="15"/>
  <c r="P15" i="15"/>
  <c r="P37" i="15" s="1"/>
  <c r="O15" i="15"/>
  <c r="O37" i="15" s="1"/>
  <c r="N15" i="15"/>
  <c r="N24" i="15" s="1"/>
  <c r="M15" i="15"/>
  <c r="M24" i="15" s="1"/>
  <c r="L15" i="15"/>
  <c r="L24" i="15" s="1"/>
  <c r="K15" i="15"/>
  <c r="K24" i="15" s="1"/>
  <c r="J15" i="15"/>
  <c r="J24" i="15" s="1"/>
  <c r="I15" i="15"/>
  <c r="I37" i="15" s="1"/>
  <c r="H15" i="15"/>
  <c r="H37" i="15" s="1"/>
  <c r="G15" i="15"/>
  <c r="G37" i="15" s="1"/>
  <c r="F15" i="15"/>
  <c r="F24" i="15" s="1"/>
  <c r="E15" i="15"/>
  <c r="P9" i="15"/>
  <c r="P11" i="15" s="1"/>
  <c r="P13" i="15" s="1"/>
  <c r="P14" i="15" s="1"/>
  <c r="O9" i="15"/>
  <c r="O11" i="15" s="1"/>
  <c r="O13" i="15" s="1"/>
  <c r="O14" i="15" s="1"/>
  <c r="N9" i="15"/>
  <c r="N11" i="15" s="1"/>
  <c r="N13" i="15" s="1"/>
  <c r="N14" i="15" s="1"/>
  <c r="M9" i="15"/>
  <c r="M11" i="15" s="1"/>
  <c r="M13" i="15" s="1"/>
  <c r="M14" i="15" s="1"/>
  <c r="L9" i="15"/>
  <c r="L11" i="15" s="1"/>
  <c r="L13" i="15" s="1"/>
  <c r="L14" i="15" s="1"/>
  <c r="K9" i="15"/>
  <c r="K11" i="15" s="1"/>
  <c r="K13" i="15" s="1"/>
  <c r="K14" i="15" s="1"/>
  <c r="J9" i="15"/>
  <c r="J11" i="15" s="1"/>
  <c r="J13" i="15" s="1"/>
  <c r="J14" i="15" s="1"/>
  <c r="I9" i="15"/>
  <c r="I11" i="15" s="1"/>
  <c r="I13" i="15" s="1"/>
  <c r="I14" i="15" s="1"/>
  <c r="H9" i="15"/>
  <c r="H11" i="15" s="1"/>
  <c r="H13" i="15" s="1"/>
  <c r="H14" i="15" s="1"/>
  <c r="G9" i="15"/>
  <c r="G11" i="15" s="1"/>
  <c r="G13" i="15" s="1"/>
  <c r="G14" i="15" s="1"/>
  <c r="F9" i="15"/>
  <c r="F11" i="15" s="1"/>
  <c r="F13" i="15" s="1"/>
  <c r="F14" i="15" s="1"/>
  <c r="E9" i="15"/>
  <c r="E11" i="15" s="1"/>
  <c r="E13" i="15" s="1"/>
  <c r="E14" i="15" s="1"/>
  <c r="T7" i="15"/>
  <c r="S18" i="15" s="1"/>
  <c r="I4" i="13" a="1"/>
  <c r="I4" i="13" s="1"/>
  <c r="C34" i="6"/>
  <c r="D34" i="6"/>
  <c r="E34" i="6"/>
  <c r="F34" i="6"/>
  <c r="G34" i="6"/>
  <c r="H34" i="6"/>
  <c r="I34" i="6"/>
  <c r="J34" i="6"/>
  <c r="K34" i="6"/>
  <c r="B34" i="6"/>
  <c r="L2" i="13"/>
  <c r="G2" i="13"/>
  <c r="B2" i="13"/>
  <c r="D4" i="13" a="1"/>
  <c r="D4" i="13" s="1"/>
  <c r="M4" i="13"/>
  <c r="M5" i="13" s="1"/>
  <c r="M6" i="13" s="1"/>
  <c r="M7" i="13" s="1"/>
  <c r="M8" i="13" s="1"/>
  <c r="M9" i="13" s="1"/>
  <c r="M10" i="13" s="1"/>
  <c r="M11" i="13" s="1"/>
  <c r="M12" i="13" s="1"/>
  <c r="M13" i="13" s="1"/>
  <c r="M14" i="13" s="1"/>
  <c r="M15" i="13" s="1"/>
  <c r="M16" i="13" s="1"/>
  <c r="M17" i="13" s="1"/>
  <c r="M18" i="13" s="1"/>
  <c r="H4" i="13"/>
  <c r="H5" i="13" s="1"/>
  <c r="H6" i="13" s="1"/>
  <c r="H7" i="13" s="1"/>
  <c r="H8" i="13" s="1"/>
  <c r="H9" i="13" s="1"/>
  <c r="H10" i="13" s="1"/>
  <c r="H11" i="13" s="1"/>
  <c r="H12" i="13" s="1"/>
  <c r="H13" i="13" s="1"/>
  <c r="H14" i="13" s="1"/>
  <c r="H15" i="13" s="1"/>
  <c r="H16" i="13" s="1"/>
  <c r="H17" i="13" s="1"/>
  <c r="H18" i="13" s="1"/>
  <c r="C4" i="13"/>
  <c r="C5" i="13" s="1"/>
  <c r="C6" i="13" s="1"/>
  <c r="C7" i="13" s="1"/>
  <c r="C8" i="13" s="1"/>
  <c r="C9" i="13" s="1"/>
  <c r="C10" i="13" s="1"/>
  <c r="C11" i="13" s="1"/>
  <c r="C12" i="13" s="1"/>
  <c r="C13" i="13" s="1"/>
  <c r="C14" i="13" s="1"/>
  <c r="C15" i="13" s="1"/>
  <c r="C16" i="13" s="1"/>
  <c r="C17" i="13" s="1"/>
  <c r="C18" i="13" s="1"/>
  <c r="L9" i="13"/>
  <c r="L10" i="13" s="1"/>
  <c r="L11" i="13" s="1"/>
  <c r="L12" i="13" s="1"/>
  <c r="L13" i="13" s="1"/>
  <c r="L14" i="13" s="1"/>
  <c r="L8" i="13"/>
  <c r="L7" i="13"/>
  <c r="B7" i="13"/>
  <c r="B8" i="13" s="1"/>
  <c r="B9" i="13" s="1"/>
  <c r="B10" i="13" s="1"/>
  <c r="B11" i="13" s="1"/>
  <c r="B12" i="13" s="1"/>
  <c r="B13" i="13" s="1"/>
  <c r="B14" i="13" s="1"/>
  <c r="L6" i="13"/>
  <c r="B6" i="13"/>
  <c r="L5" i="13"/>
  <c r="G5" i="13"/>
  <c r="G6" i="13" s="1"/>
  <c r="G7" i="13" s="1"/>
  <c r="G8" i="13" s="1"/>
  <c r="G9" i="13" s="1"/>
  <c r="G10" i="13" s="1"/>
  <c r="G11" i="13" s="1"/>
  <c r="G12" i="13" s="1"/>
  <c r="G13" i="13" s="1"/>
  <c r="G14" i="13" s="1"/>
  <c r="B5" i="13"/>
  <c r="Q10" i="15" l="1"/>
  <c r="Q19" i="15"/>
  <c r="G24" i="15"/>
  <c r="O24" i="15"/>
  <c r="J37" i="15"/>
  <c r="Q12" i="15"/>
  <c r="S15" i="15"/>
  <c r="S19" i="15"/>
  <c r="H24" i="15"/>
  <c r="P24" i="15"/>
  <c r="K37" i="15"/>
  <c r="I24" i="15"/>
  <c r="L37" i="15"/>
  <c r="Q14" i="15"/>
  <c r="Q20" i="15"/>
  <c r="Q7" i="15"/>
  <c r="Q9" i="15" s="1"/>
  <c r="S14" i="15"/>
  <c r="S16" i="15"/>
  <c r="S20" i="15"/>
  <c r="S22" i="15"/>
  <c r="S24" i="15"/>
  <c r="M37" i="15"/>
  <c r="Q16" i="15"/>
  <c r="S7" i="15"/>
  <c r="Q17" i="15"/>
  <c r="Q21" i="15"/>
  <c r="Q23" i="15"/>
  <c r="N37" i="15"/>
  <c r="S9" i="15"/>
  <c r="S17" i="15"/>
  <c r="S21" i="15"/>
  <c r="S23" i="15"/>
  <c r="S13" i="15"/>
  <c r="Q18" i="15"/>
  <c r="S11" i="15"/>
  <c r="Q8" i="15"/>
  <c r="S8" i="15"/>
  <c r="S10" i="15"/>
  <c r="S12" i="15"/>
  <c r="I7" i="13"/>
  <c r="I6" i="13"/>
  <c r="I10" i="13"/>
  <c r="I8" i="13"/>
  <c r="J8" i="13" s="1"/>
  <c r="I13" i="13"/>
  <c r="J13" i="13" s="1"/>
  <c r="I5" i="13"/>
  <c r="J5" i="13" s="1"/>
  <c r="I11" i="13"/>
  <c r="J12" i="13" s="1"/>
  <c r="I9" i="13"/>
  <c r="J10" i="13" s="1"/>
  <c r="I12" i="13"/>
  <c r="D11" i="13"/>
  <c r="D9" i="13"/>
  <c r="E9" i="13" s="1"/>
  <c r="D8" i="13"/>
  <c r="D10" i="13"/>
  <c r="D7" i="13"/>
  <c r="D6" i="13"/>
  <c r="D13" i="13"/>
  <c r="D5" i="13"/>
  <c r="E5" i="13" s="1"/>
  <c r="D12" i="13"/>
  <c r="E12" i="13" s="1"/>
  <c r="B15" i="13"/>
  <c r="G15" i="13"/>
  <c r="L15" i="13"/>
  <c r="D14" i="13"/>
  <c r="E14" i="13" s="1"/>
  <c r="E10" i="13"/>
  <c r="J6" i="13"/>
  <c r="Q22" i="15" l="1"/>
  <c r="Q15" i="15"/>
  <c r="Q37" i="15" s="1"/>
  <c r="Q11" i="15"/>
  <c r="Q13" i="15" s="1"/>
  <c r="I14" i="13"/>
  <c r="J14" i="13" s="1"/>
  <c r="E7" i="13"/>
  <c r="E8" i="13"/>
  <c r="E6" i="13"/>
  <c r="I15" i="13"/>
  <c r="J15" i="13" s="1"/>
  <c r="G16" i="13"/>
  <c r="J7" i="13"/>
  <c r="J11" i="13"/>
  <c r="E11" i="13"/>
  <c r="B16" i="13"/>
  <c r="D15" i="13"/>
  <c r="E15" i="13" s="1"/>
  <c r="J9" i="13"/>
  <c r="L16" i="13"/>
  <c r="E13" i="13"/>
  <c r="Q24" i="15" l="1"/>
  <c r="D16" i="13"/>
  <c r="E16" i="13" s="1"/>
  <c r="B17" i="13"/>
  <c r="L17" i="13"/>
  <c r="G17" i="13"/>
  <c r="I16" i="13"/>
  <c r="J16" i="13" s="1"/>
  <c r="B18" i="13" l="1"/>
  <c r="D18" i="13" s="1"/>
  <c r="D17" i="13"/>
  <c r="E17" i="13" s="1"/>
  <c r="I17" i="13"/>
  <c r="J17" i="13" s="1"/>
  <c r="G18" i="13"/>
  <c r="I18" i="13" s="1"/>
  <c r="L18" i="13"/>
  <c r="J18" i="13" l="1"/>
  <c r="E18" i="13"/>
  <c r="D38" i="11" l="1"/>
  <c r="E38" i="11"/>
  <c r="F38" i="11"/>
  <c r="G38" i="11"/>
  <c r="H38" i="11"/>
  <c r="I38" i="11"/>
  <c r="J38" i="11"/>
  <c r="K38" i="11"/>
  <c r="L38" i="11"/>
  <c r="D40" i="11"/>
  <c r="E40" i="11"/>
  <c r="F40" i="11"/>
  <c r="G40" i="11"/>
  <c r="H40" i="11"/>
  <c r="I40" i="11"/>
  <c r="J40" i="11"/>
  <c r="K40" i="11"/>
  <c r="L40" i="11"/>
  <c r="C40" i="11"/>
  <c r="C38" i="11"/>
  <c r="D27" i="11"/>
  <c r="E27" i="11"/>
  <c r="F27" i="11"/>
  <c r="G27" i="11"/>
  <c r="H27" i="11"/>
  <c r="I27" i="11"/>
  <c r="J27" i="11"/>
  <c r="K27" i="11"/>
  <c r="L27" i="11"/>
  <c r="D28" i="11"/>
  <c r="E28" i="11"/>
  <c r="F28" i="11"/>
  <c r="G28" i="11"/>
  <c r="H28" i="11"/>
  <c r="I28" i="11"/>
  <c r="J28" i="11"/>
  <c r="K28" i="11"/>
  <c r="L28" i="11"/>
  <c r="D29" i="11"/>
  <c r="E29" i="11"/>
  <c r="F29" i="11"/>
  <c r="G29" i="11"/>
  <c r="H29" i="11"/>
  <c r="I29" i="11"/>
  <c r="J29" i="11"/>
  <c r="K29" i="11"/>
  <c r="L29" i="11"/>
  <c r="D30" i="11"/>
  <c r="E30" i="11"/>
  <c r="F30" i="11"/>
  <c r="G30" i="11"/>
  <c r="H30" i="11"/>
  <c r="I30" i="11"/>
  <c r="J30" i="11"/>
  <c r="K30" i="11"/>
  <c r="L30" i="11"/>
  <c r="D31" i="11"/>
  <c r="E31" i="11"/>
  <c r="F31" i="11"/>
  <c r="G31" i="11"/>
  <c r="H31" i="11"/>
  <c r="I31" i="11"/>
  <c r="J31" i="11"/>
  <c r="K31" i="11"/>
  <c r="L31" i="11"/>
  <c r="C31" i="11"/>
  <c r="C30" i="11"/>
  <c r="C29" i="11"/>
  <c r="C28" i="11"/>
  <c r="C27" i="11"/>
  <c r="L3" i="11" l="1"/>
  <c r="K3" i="11"/>
  <c r="J3" i="11"/>
  <c r="I3" i="11"/>
  <c r="H3" i="11"/>
  <c r="G3" i="11"/>
  <c r="F3" i="11"/>
  <c r="E3" i="11"/>
  <c r="D3" i="11"/>
  <c r="C3" i="11"/>
  <c r="B2" i="11"/>
  <c r="G35" i="11"/>
  <c r="K34" i="11"/>
  <c r="C34" i="11"/>
  <c r="L35" i="11"/>
  <c r="K35" i="11"/>
  <c r="J35" i="11"/>
  <c r="I35" i="11"/>
  <c r="H35" i="11"/>
  <c r="F35" i="11"/>
  <c r="E35" i="11"/>
  <c r="D35" i="11"/>
  <c r="C35" i="11"/>
  <c r="L34" i="11"/>
  <c r="J34" i="11"/>
  <c r="I34" i="11"/>
  <c r="H34" i="11"/>
  <c r="G34" i="11"/>
  <c r="F34" i="11"/>
  <c r="E34" i="11"/>
  <c r="D34" i="11"/>
  <c r="L33" i="11"/>
  <c r="K33" i="11"/>
  <c r="J33" i="11"/>
  <c r="I33" i="11"/>
  <c r="H33" i="11"/>
  <c r="G33" i="11"/>
  <c r="F33" i="11"/>
  <c r="E33" i="11"/>
  <c r="D33" i="11"/>
  <c r="C33" i="11"/>
  <c r="D114" i="9"/>
  <c r="E114" i="9"/>
  <c r="F114" i="9"/>
  <c r="G114" i="9"/>
  <c r="H114" i="9"/>
  <c r="I114" i="9"/>
  <c r="J114" i="9"/>
  <c r="K114" i="9"/>
  <c r="L114" i="9"/>
  <c r="C114" i="9"/>
  <c r="D112" i="9"/>
  <c r="E112" i="9"/>
  <c r="F112" i="9"/>
  <c r="G112" i="9"/>
  <c r="H112" i="9"/>
  <c r="H116" i="9" s="1"/>
  <c r="I112" i="9"/>
  <c r="J112" i="9"/>
  <c r="K112" i="9"/>
  <c r="L112" i="9"/>
  <c r="C112" i="9"/>
  <c r="D110" i="9"/>
  <c r="E110" i="9"/>
  <c r="F110" i="9"/>
  <c r="G110" i="9"/>
  <c r="H110" i="9"/>
  <c r="I110" i="9"/>
  <c r="I116" i="9" s="1"/>
  <c r="J110" i="9"/>
  <c r="K110" i="9"/>
  <c r="L110" i="9"/>
  <c r="C110" i="9"/>
  <c r="E116" i="9"/>
  <c r="L116" i="9"/>
  <c r="G116" i="9"/>
  <c r="F116" i="9"/>
  <c r="D116" i="9"/>
  <c r="F36" i="11" l="1"/>
  <c r="G36" i="11"/>
  <c r="O30" i="11"/>
  <c r="N38" i="11"/>
  <c r="O31" i="11"/>
  <c r="J36" i="11"/>
  <c r="O38" i="11"/>
  <c r="O40" i="11"/>
  <c r="O28" i="11"/>
  <c r="N40" i="11"/>
  <c r="L36" i="11"/>
  <c r="E36" i="11"/>
  <c r="O35" i="11"/>
  <c r="N35" i="11"/>
  <c r="K36" i="11"/>
  <c r="H36" i="11"/>
  <c r="O33" i="11"/>
  <c r="N33" i="11"/>
  <c r="I36" i="11"/>
  <c r="D36" i="11"/>
  <c r="O34" i="11"/>
  <c r="C36" i="11"/>
  <c r="N27" i="11"/>
  <c r="N29" i="11"/>
  <c r="N31" i="11"/>
  <c r="N34" i="11"/>
  <c r="O27" i="11"/>
  <c r="O29" i="11"/>
  <c r="N28" i="11"/>
  <c r="N30" i="11"/>
  <c r="K116" i="9"/>
  <c r="J116" i="9"/>
  <c r="C116" i="9"/>
  <c r="O36" i="11" l="1"/>
  <c r="N36" i="11"/>
  <c r="C97" i="9" l="1"/>
  <c r="D97" i="9"/>
  <c r="E97" i="9"/>
  <c r="F97" i="9"/>
  <c r="G97" i="9"/>
  <c r="H97" i="9"/>
  <c r="I97" i="9"/>
  <c r="J97" i="9"/>
  <c r="K97" i="9"/>
  <c r="L97" i="9"/>
  <c r="C98" i="9"/>
  <c r="D98" i="9"/>
  <c r="E98" i="9"/>
  <c r="F98" i="9"/>
  <c r="G98" i="9"/>
  <c r="H98" i="9"/>
  <c r="I98" i="9"/>
  <c r="J98" i="9"/>
  <c r="K98" i="9"/>
  <c r="L98" i="9"/>
  <c r="C99" i="9"/>
  <c r="D99" i="9"/>
  <c r="E99" i="9"/>
  <c r="F99" i="9"/>
  <c r="G99" i="9"/>
  <c r="H99" i="9"/>
  <c r="I99" i="9"/>
  <c r="J99" i="9"/>
  <c r="K99" i="9"/>
  <c r="L99" i="9"/>
  <c r="C100" i="9"/>
  <c r="D100" i="9"/>
  <c r="E100" i="9"/>
  <c r="F100" i="9"/>
  <c r="G100" i="9"/>
  <c r="H100" i="9"/>
  <c r="I100" i="9"/>
  <c r="J100" i="9"/>
  <c r="K100" i="9"/>
  <c r="L100" i="9"/>
  <c r="C101" i="9"/>
  <c r="D101" i="9"/>
  <c r="E101" i="9"/>
  <c r="F101" i="9"/>
  <c r="G101" i="9"/>
  <c r="H101" i="9"/>
  <c r="I101" i="9"/>
  <c r="J101" i="9"/>
  <c r="K101" i="9"/>
  <c r="L101" i="9"/>
  <c r="C102" i="9"/>
  <c r="D102" i="9"/>
  <c r="E102" i="9"/>
  <c r="F102" i="9"/>
  <c r="G102" i="9"/>
  <c r="H102" i="9"/>
  <c r="I102" i="9"/>
  <c r="J102" i="9"/>
  <c r="K102" i="9"/>
  <c r="L102" i="9"/>
  <c r="C103" i="9"/>
  <c r="D103" i="9"/>
  <c r="E103" i="9"/>
  <c r="F103" i="9"/>
  <c r="G103" i="9"/>
  <c r="H103" i="9"/>
  <c r="I103" i="9"/>
  <c r="J103" i="9"/>
  <c r="K103" i="9"/>
  <c r="L103" i="9"/>
  <c r="C104" i="9"/>
  <c r="D104" i="9"/>
  <c r="E104" i="9"/>
  <c r="F104" i="9"/>
  <c r="G104" i="9"/>
  <c r="H104" i="9"/>
  <c r="I104" i="9"/>
  <c r="J104" i="9"/>
  <c r="K104" i="9"/>
  <c r="L104" i="9"/>
  <c r="D96" i="9"/>
  <c r="E96" i="9"/>
  <c r="F96" i="9"/>
  <c r="G96" i="9"/>
  <c r="H96" i="9"/>
  <c r="I96" i="9"/>
  <c r="J96" i="9"/>
  <c r="K96" i="9"/>
  <c r="L96" i="9"/>
  <c r="C96" i="9"/>
  <c r="C82" i="9"/>
  <c r="D82" i="9"/>
  <c r="E82" i="9"/>
  <c r="F82" i="9"/>
  <c r="G82" i="9"/>
  <c r="H82" i="9"/>
  <c r="I82" i="9"/>
  <c r="J82" i="9"/>
  <c r="K82" i="9"/>
  <c r="L82" i="9"/>
  <c r="C83" i="9"/>
  <c r="D83" i="9"/>
  <c r="E83" i="9"/>
  <c r="F83" i="9"/>
  <c r="G83" i="9"/>
  <c r="H83" i="9"/>
  <c r="I83" i="9"/>
  <c r="J83" i="9"/>
  <c r="K83" i="9"/>
  <c r="L83" i="9"/>
  <c r="C84" i="9"/>
  <c r="D84" i="9"/>
  <c r="E84" i="9"/>
  <c r="F84" i="9"/>
  <c r="G84" i="9"/>
  <c r="H84" i="9"/>
  <c r="I84" i="9"/>
  <c r="J84" i="9"/>
  <c r="K84" i="9"/>
  <c r="L84" i="9"/>
  <c r="C85" i="9"/>
  <c r="D85" i="9"/>
  <c r="E85" i="9"/>
  <c r="F85" i="9"/>
  <c r="G85" i="9"/>
  <c r="H85" i="9"/>
  <c r="I85" i="9"/>
  <c r="J85" i="9"/>
  <c r="K85" i="9"/>
  <c r="L85" i="9"/>
  <c r="C86" i="9"/>
  <c r="D86" i="9"/>
  <c r="E86" i="9"/>
  <c r="F86" i="9"/>
  <c r="G86" i="9"/>
  <c r="H86" i="9"/>
  <c r="I86" i="9"/>
  <c r="J86" i="9"/>
  <c r="K86" i="9"/>
  <c r="L86" i="9"/>
  <c r="C87" i="9"/>
  <c r="D87" i="9"/>
  <c r="E87" i="9"/>
  <c r="F87" i="9"/>
  <c r="G87" i="9"/>
  <c r="H87" i="9"/>
  <c r="I87" i="9"/>
  <c r="J87" i="9"/>
  <c r="K87" i="9"/>
  <c r="L87" i="9"/>
  <c r="C88" i="9"/>
  <c r="D88" i="9"/>
  <c r="E88" i="9"/>
  <c r="F88" i="9"/>
  <c r="G88" i="9"/>
  <c r="H88" i="9"/>
  <c r="I88" i="9"/>
  <c r="J88" i="9"/>
  <c r="K88" i="9"/>
  <c r="L88" i="9"/>
  <c r="C89" i="9"/>
  <c r="D89" i="9"/>
  <c r="E89" i="9"/>
  <c r="F89" i="9"/>
  <c r="G89" i="9"/>
  <c r="H89" i="9"/>
  <c r="I89" i="9"/>
  <c r="J89" i="9"/>
  <c r="K89" i="9"/>
  <c r="L89" i="9"/>
  <c r="C90" i="9"/>
  <c r="D90" i="9"/>
  <c r="E90" i="9"/>
  <c r="F90" i="9"/>
  <c r="G90" i="9"/>
  <c r="H90" i="9"/>
  <c r="I90" i="9"/>
  <c r="J90" i="9"/>
  <c r="K90" i="9"/>
  <c r="L90" i="9"/>
  <c r="C91" i="9"/>
  <c r="D91" i="9"/>
  <c r="E91" i="9"/>
  <c r="F91" i="9"/>
  <c r="G91" i="9"/>
  <c r="H91" i="9"/>
  <c r="I91" i="9"/>
  <c r="J91" i="9"/>
  <c r="K91" i="9"/>
  <c r="L91" i="9"/>
  <c r="C92" i="9"/>
  <c r="D92" i="9"/>
  <c r="E92" i="9"/>
  <c r="F92" i="9"/>
  <c r="G92" i="9"/>
  <c r="H92" i="9"/>
  <c r="I92" i="9"/>
  <c r="J92" i="9"/>
  <c r="K92" i="9"/>
  <c r="L92" i="9"/>
  <c r="D81" i="9"/>
  <c r="E81" i="9"/>
  <c r="F81" i="9"/>
  <c r="G81" i="9"/>
  <c r="H81" i="9"/>
  <c r="I81" i="9"/>
  <c r="J81" i="9"/>
  <c r="K81" i="9"/>
  <c r="L81" i="9"/>
  <c r="C81" i="9"/>
  <c r="D77" i="9"/>
  <c r="E77" i="9"/>
  <c r="F77" i="9"/>
  <c r="G77" i="9"/>
  <c r="H77" i="9"/>
  <c r="I77" i="9"/>
  <c r="J77" i="9"/>
  <c r="K77" i="9"/>
  <c r="L77" i="9"/>
  <c r="C77" i="9"/>
  <c r="D76" i="9"/>
  <c r="E76" i="9"/>
  <c r="F76" i="9"/>
  <c r="G76" i="9"/>
  <c r="H76" i="9"/>
  <c r="I76" i="9"/>
  <c r="J76" i="9"/>
  <c r="K76" i="9"/>
  <c r="L76" i="9"/>
  <c r="C76" i="9"/>
  <c r="D75" i="9"/>
  <c r="E75" i="9"/>
  <c r="F75" i="9"/>
  <c r="G75" i="9"/>
  <c r="H75" i="9"/>
  <c r="I75" i="9"/>
  <c r="J75" i="9"/>
  <c r="K75" i="9"/>
  <c r="L75" i="9"/>
  <c r="C75" i="9"/>
  <c r="D74" i="9"/>
  <c r="E74" i="9"/>
  <c r="F74" i="9"/>
  <c r="G74" i="9"/>
  <c r="H74" i="9"/>
  <c r="I74" i="9"/>
  <c r="J74" i="9"/>
  <c r="K74" i="9"/>
  <c r="L74" i="9"/>
  <c r="C74" i="9"/>
  <c r="D73" i="9"/>
  <c r="E73" i="9"/>
  <c r="F73" i="9"/>
  <c r="G73" i="9"/>
  <c r="H73" i="9"/>
  <c r="I73" i="9"/>
  <c r="J73" i="9"/>
  <c r="K73" i="9"/>
  <c r="L73" i="9"/>
  <c r="C73" i="9"/>
  <c r="D72" i="9"/>
  <c r="E72" i="9"/>
  <c r="F72" i="9"/>
  <c r="G72" i="9"/>
  <c r="H72" i="9"/>
  <c r="I72" i="9"/>
  <c r="J72" i="9"/>
  <c r="K72" i="9"/>
  <c r="L72" i="9"/>
  <c r="C72" i="9"/>
  <c r="D71" i="9"/>
  <c r="E71" i="9"/>
  <c r="F71" i="9"/>
  <c r="G71" i="9"/>
  <c r="H71" i="9"/>
  <c r="I71" i="9"/>
  <c r="J71" i="9"/>
  <c r="K71" i="9"/>
  <c r="L71" i="9"/>
  <c r="C71" i="9"/>
  <c r="D70" i="9"/>
  <c r="E70" i="9"/>
  <c r="F70" i="9"/>
  <c r="G70" i="9"/>
  <c r="H70" i="9"/>
  <c r="I70" i="9"/>
  <c r="J70" i="9"/>
  <c r="K70" i="9"/>
  <c r="L70" i="9"/>
  <c r="C70" i="9"/>
  <c r="D57" i="9" l="1"/>
  <c r="E57" i="9"/>
  <c r="F57" i="9"/>
  <c r="G57" i="9"/>
  <c r="H57" i="9"/>
  <c r="I57" i="9"/>
  <c r="J57" i="9"/>
  <c r="K57" i="9"/>
  <c r="L57" i="9"/>
  <c r="C57" i="9"/>
  <c r="D56" i="9"/>
  <c r="E56" i="9"/>
  <c r="F56" i="9"/>
  <c r="G56" i="9"/>
  <c r="H56" i="9"/>
  <c r="I56" i="9"/>
  <c r="J56" i="9"/>
  <c r="K56" i="9"/>
  <c r="L56" i="9"/>
  <c r="C56" i="9"/>
  <c r="C60" i="9"/>
  <c r="D60" i="9"/>
  <c r="E60" i="9"/>
  <c r="F60" i="9"/>
  <c r="G60" i="9"/>
  <c r="H60" i="9"/>
  <c r="H62" i="9" s="1"/>
  <c r="I60" i="9"/>
  <c r="I62" i="9" s="1"/>
  <c r="J60" i="9"/>
  <c r="K60" i="9"/>
  <c r="L60" i="9"/>
  <c r="C61" i="9"/>
  <c r="D61" i="9"/>
  <c r="E61" i="9"/>
  <c r="F61" i="9"/>
  <c r="F62" i="9" s="1"/>
  <c r="G61" i="9"/>
  <c r="G62" i="9" s="1"/>
  <c r="H61" i="9"/>
  <c r="I61" i="9"/>
  <c r="J61" i="9"/>
  <c r="K61" i="9"/>
  <c r="L61" i="9"/>
  <c r="D59" i="9"/>
  <c r="E59" i="9"/>
  <c r="F59" i="9"/>
  <c r="G59" i="9"/>
  <c r="H59" i="9"/>
  <c r="I59" i="9"/>
  <c r="J59" i="9"/>
  <c r="K59" i="9"/>
  <c r="L59" i="9"/>
  <c r="C59" i="9"/>
  <c r="C54" i="9"/>
  <c r="D54" i="9"/>
  <c r="E54" i="9"/>
  <c r="F54" i="9"/>
  <c r="G54" i="9"/>
  <c r="H54" i="9"/>
  <c r="I54" i="9"/>
  <c r="J54" i="9"/>
  <c r="K54" i="9"/>
  <c r="L54" i="9"/>
  <c r="C55" i="9"/>
  <c r="D55" i="9"/>
  <c r="E55" i="9"/>
  <c r="F55" i="9"/>
  <c r="G55" i="9"/>
  <c r="H55" i="9"/>
  <c r="I55" i="9"/>
  <c r="J55" i="9"/>
  <c r="K55" i="9"/>
  <c r="L55" i="9"/>
  <c r="D53" i="9"/>
  <c r="E53" i="9"/>
  <c r="F53" i="9"/>
  <c r="G53" i="9"/>
  <c r="H53" i="9"/>
  <c r="I53" i="9"/>
  <c r="J53" i="9"/>
  <c r="K53" i="9"/>
  <c r="L53" i="9"/>
  <c r="C53" i="9"/>
  <c r="D51" i="9"/>
  <c r="E51" i="9"/>
  <c r="F51" i="9"/>
  <c r="G51" i="9"/>
  <c r="H51" i="9"/>
  <c r="I51" i="9"/>
  <c r="J51" i="9"/>
  <c r="K51" i="9"/>
  <c r="L51" i="9"/>
  <c r="C51" i="9"/>
  <c r="C48" i="9"/>
  <c r="D48" i="9"/>
  <c r="E48" i="9"/>
  <c r="F48" i="9"/>
  <c r="G48" i="9"/>
  <c r="H48" i="9"/>
  <c r="I48" i="9"/>
  <c r="J48" i="9"/>
  <c r="K48" i="9"/>
  <c r="L48" i="9"/>
  <c r="C49" i="9"/>
  <c r="D49" i="9"/>
  <c r="E49" i="9"/>
  <c r="F49" i="9"/>
  <c r="G49" i="9"/>
  <c r="H49" i="9"/>
  <c r="I49" i="9"/>
  <c r="J49" i="9"/>
  <c r="K49" i="9"/>
  <c r="L49" i="9"/>
  <c r="C50" i="9"/>
  <c r="D50" i="9"/>
  <c r="E50" i="9"/>
  <c r="F50" i="9"/>
  <c r="G50" i="9"/>
  <c r="H50" i="9"/>
  <c r="I50" i="9"/>
  <c r="J50" i="9"/>
  <c r="K50" i="9"/>
  <c r="L50" i="9"/>
  <c r="D47" i="9"/>
  <c r="E47" i="9"/>
  <c r="F47" i="9"/>
  <c r="G47" i="9"/>
  <c r="H47" i="9"/>
  <c r="I47" i="9"/>
  <c r="J47" i="9"/>
  <c r="K47" i="9"/>
  <c r="L47" i="9"/>
  <c r="C47" i="9"/>
  <c r="M41" i="9"/>
  <c r="D41" i="9"/>
  <c r="E41" i="9"/>
  <c r="F41" i="9"/>
  <c r="G41" i="9"/>
  <c r="G9" i="11" s="1"/>
  <c r="H41" i="9"/>
  <c r="I41" i="9"/>
  <c r="J41" i="9"/>
  <c r="K41" i="9"/>
  <c r="L41" i="9"/>
  <c r="C41" i="9"/>
  <c r="M36" i="9"/>
  <c r="D36" i="9"/>
  <c r="E36" i="9"/>
  <c r="F36" i="9"/>
  <c r="G36" i="9"/>
  <c r="H36" i="9"/>
  <c r="I36" i="9"/>
  <c r="J36" i="9"/>
  <c r="K36" i="9"/>
  <c r="L36" i="9"/>
  <c r="C36" i="9"/>
  <c r="M30" i="9"/>
  <c r="D30" i="9"/>
  <c r="E30" i="9"/>
  <c r="F30" i="9"/>
  <c r="G30" i="9"/>
  <c r="H30" i="9"/>
  <c r="I30" i="9"/>
  <c r="J30" i="9"/>
  <c r="K30" i="9"/>
  <c r="L30" i="9"/>
  <c r="C30" i="9"/>
  <c r="M24" i="9"/>
  <c r="D24" i="9"/>
  <c r="D25" i="9" s="1"/>
  <c r="D18" i="11" s="1"/>
  <c r="E24" i="9"/>
  <c r="F24" i="9"/>
  <c r="G24" i="9"/>
  <c r="H24" i="9"/>
  <c r="H25" i="9" s="1"/>
  <c r="H18" i="11" s="1"/>
  <c r="I24" i="9"/>
  <c r="J24" i="9"/>
  <c r="K24" i="9"/>
  <c r="L24" i="9"/>
  <c r="L25" i="9" s="1"/>
  <c r="L18" i="11" s="1"/>
  <c r="C24" i="9"/>
  <c r="M21" i="9"/>
  <c r="D21" i="9"/>
  <c r="E21" i="9"/>
  <c r="E22" i="9" s="1"/>
  <c r="F21" i="9"/>
  <c r="G21" i="9"/>
  <c r="H21" i="9"/>
  <c r="I21" i="9"/>
  <c r="I22" i="9" s="1"/>
  <c r="J21" i="9"/>
  <c r="K21" i="9"/>
  <c r="L21" i="9"/>
  <c r="C21" i="9"/>
  <c r="C22" i="9" s="1"/>
  <c r="M18" i="9"/>
  <c r="C51" i="6"/>
  <c r="D51" i="6"/>
  <c r="E51" i="6"/>
  <c r="F51" i="6"/>
  <c r="G51" i="6"/>
  <c r="H51" i="6"/>
  <c r="I51" i="6"/>
  <c r="J51" i="6"/>
  <c r="K51" i="6"/>
  <c r="B51" i="6"/>
  <c r="D15" i="9"/>
  <c r="E15" i="9"/>
  <c r="E16" i="9" s="1"/>
  <c r="E17" i="11" s="1"/>
  <c r="F15" i="9"/>
  <c r="G15" i="9"/>
  <c r="H15" i="9"/>
  <c r="I15" i="9"/>
  <c r="J15" i="9"/>
  <c r="K15" i="9"/>
  <c r="L15" i="9"/>
  <c r="L16" i="9" s="1"/>
  <c r="L17" i="11" s="1"/>
  <c r="C15" i="9"/>
  <c r="M9" i="9"/>
  <c r="M6" i="9"/>
  <c r="D9" i="9"/>
  <c r="E9" i="9"/>
  <c r="F9" i="9"/>
  <c r="G9" i="9"/>
  <c r="H9" i="9"/>
  <c r="I9" i="9"/>
  <c r="J9" i="9"/>
  <c r="J10" i="9" s="1"/>
  <c r="K9" i="9"/>
  <c r="K12" i="9" s="1"/>
  <c r="L9" i="9"/>
  <c r="C9" i="9"/>
  <c r="C10" i="9" s="1"/>
  <c r="D6" i="9"/>
  <c r="E6" i="9"/>
  <c r="F6" i="9"/>
  <c r="G6" i="9"/>
  <c r="H6" i="9"/>
  <c r="I6" i="9"/>
  <c r="J6" i="9"/>
  <c r="K6" i="9"/>
  <c r="K7" i="9" s="1"/>
  <c r="K5" i="11" s="1"/>
  <c r="L6" i="9"/>
  <c r="C6" i="9"/>
  <c r="D3" i="9"/>
  <c r="E3" i="9"/>
  <c r="F3" i="9"/>
  <c r="G3" i="9"/>
  <c r="H3" i="9"/>
  <c r="I3" i="9"/>
  <c r="J3" i="9"/>
  <c r="K3" i="9"/>
  <c r="L3" i="9"/>
  <c r="C3" i="9"/>
  <c r="E105" i="9"/>
  <c r="J105" i="9"/>
  <c r="F105" i="9"/>
  <c r="L105" i="9"/>
  <c r="K105" i="9"/>
  <c r="I105" i="9"/>
  <c r="H105" i="9"/>
  <c r="G105" i="9"/>
  <c r="D105" i="9"/>
  <c r="C105" i="9"/>
  <c r="L93" i="9"/>
  <c r="K93" i="9"/>
  <c r="J93" i="9"/>
  <c r="I93" i="9"/>
  <c r="H93" i="9"/>
  <c r="G93" i="9"/>
  <c r="F93" i="9"/>
  <c r="E93" i="9"/>
  <c r="D93" i="9"/>
  <c r="C93" i="9"/>
  <c r="L78" i="9"/>
  <c r="K78" i="9"/>
  <c r="J78" i="9"/>
  <c r="I78" i="9"/>
  <c r="H78" i="9"/>
  <c r="G78" i="9"/>
  <c r="F78" i="9"/>
  <c r="E78" i="9"/>
  <c r="D78" i="9"/>
  <c r="C78" i="9"/>
  <c r="J62" i="9"/>
  <c r="L62" i="9"/>
  <c r="K62" i="9"/>
  <c r="E62" i="9"/>
  <c r="D62" i="9"/>
  <c r="C62" i="9"/>
  <c r="I25" i="9"/>
  <c r="I18" i="11" s="1"/>
  <c r="E25" i="9"/>
  <c r="E18" i="11" s="1"/>
  <c r="G22" i="9"/>
  <c r="J22" i="9"/>
  <c r="F22" i="9"/>
  <c r="J16" i="9"/>
  <c r="J17" i="11" s="1"/>
  <c r="I16" i="9"/>
  <c r="I17" i="11" s="1"/>
  <c r="G16" i="9"/>
  <c r="G17" i="11" s="1"/>
  <c r="F16" i="9"/>
  <c r="F17" i="11" s="1"/>
  <c r="C12" i="9"/>
  <c r="C18" i="9" s="1"/>
  <c r="L10" i="9"/>
  <c r="I10" i="9"/>
  <c r="H10" i="9"/>
  <c r="G10" i="9"/>
  <c r="E10" i="9"/>
  <c r="D10" i="9"/>
  <c r="E7" i="9"/>
  <c r="E5" i="11" s="1"/>
  <c r="D7" i="9"/>
  <c r="D5" i="11" s="1"/>
  <c r="J25" i="9"/>
  <c r="J18" i="11" s="1"/>
  <c r="I12" i="9"/>
  <c r="H22" i="9"/>
  <c r="G25" i="9"/>
  <c r="G18" i="11" s="1"/>
  <c r="F25" i="9"/>
  <c r="F18" i="11" s="1"/>
  <c r="D16" i="9"/>
  <c r="D17" i="11" s="1"/>
  <c r="B2" i="9"/>
  <c r="G107" i="9" l="1"/>
  <c r="K107" i="9"/>
  <c r="E9" i="11"/>
  <c r="J9" i="11"/>
  <c r="H9" i="11"/>
  <c r="L9" i="11"/>
  <c r="I9" i="11"/>
  <c r="F9" i="11"/>
  <c r="D9" i="11"/>
  <c r="C21" i="11"/>
  <c r="C25" i="11"/>
  <c r="C13" i="11"/>
  <c r="K9" i="11"/>
  <c r="I107" i="9"/>
  <c r="D107" i="9"/>
  <c r="L107" i="9"/>
  <c r="H107" i="9"/>
  <c r="E107" i="9"/>
  <c r="C107" i="9"/>
  <c r="F64" i="9"/>
  <c r="G64" i="9"/>
  <c r="M27" i="9"/>
  <c r="M28" i="9" s="1"/>
  <c r="K18" i="9"/>
  <c r="C16" i="9"/>
  <c r="C17" i="11" s="1"/>
  <c r="M10" i="9"/>
  <c r="M7" i="9"/>
  <c r="M25" i="9"/>
  <c r="M19" i="9"/>
  <c r="M22" i="9"/>
  <c r="L7" i="9"/>
  <c r="L5" i="11" s="1"/>
  <c r="K25" i="9"/>
  <c r="K18" i="11" s="1"/>
  <c r="K16" i="9"/>
  <c r="K17" i="11" s="1"/>
  <c r="K10" i="9"/>
  <c r="K22" i="9"/>
  <c r="C25" i="9"/>
  <c r="C18" i="11" s="1"/>
  <c r="F107" i="9"/>
  <c r="H64" i="9"/>
  <c r="C19" i="9"/>
  <c r="C12" i="11" s="1"/>
  <c r="C27" i="9"/>
  <c r="I64" i="9"/>
  <c r="J64" i="9"/>
  <c r="J107" i="9"/>
  <c r="C64" i="9"/>
  <c r="C39" i="11" s="1"/>
  <c r="K64" i="9"/>
  <c r="D64" i="9"/>
  <c r="L64" i="9"/>
  <c r="I18" i="9"/>
  <c r="I13" i="9"/>
  <c r="I11" i="11" s="1"/>
  <c r="E64" i="9"/>
  <c r="F10" i="9"/>
  <c r="F7" i="9"/>
  <c r="F5" i="11" s="1"/>
  <c r="E12" i="9"/>
  <c r="M12" i="9"/>
  <c r="M13" i="9" s="1"/>
  <c r="M16" i="9"/>
  <c r="G7" i="9"/>
  <c r="G5" i="11" s="1"/>
  <c r="F12" i="9"/>
  <c r="C13" i="9"/>
  <c r="C11" i="11" s="1"/>
  <c r="K13" i="9"/>
  <c r="K11" i="11" s="1"/>
  <c r="H7" i="9"/>
  <c r="H5" i="11" s="1"/>
  <c r="G12" i="9"/>
  <c r="I7" i="9"/>
  <c r="I5" i="11" s="1"/>
  <c r="H12" i="9"/>
  <c r="H16" i="9"/>
  <c r="H17" i="11" s="1"/>
  <c r="D22" i="9"/>
  <c r="L22" i="9"/>
  <c r="J7" i="9"/>
  <c r="J5" i="11" s="1"/>
  <c r="J12" i="9"/>
  <c r="D12" i="9"/>
  <c r="L12" i="9"/>
  <c r="G66" i="9" l="1"/>
  <c r="G39" i="11"/>
  <c r="L66" i="9"/>
  <c r="L39" i="11"/>
  <c r="D66" i="9"/>
  <c r="D39" i="11"/>
  <c r="H66" i="9"/>
  <c r="H39" i="11"/>
  <c r="K66" i="9"/>
  <c r="K39" i="11"/>
  <c r="F66" i="9"/>
  <c r="F39" i="11"/>
  <c r="J66" i="9"/>
  <c r="J39" i="11"/>
  <c r="E66" i="9"/>
  <c r="E39" i="11"/>
  <c r="I66" i="9"/>
  <c r="I39" i="11"/>
  <c r="C66" i="9"/>
  <c r="N5" i="11"/>
  <c r="O5" i="11"/>
  <c r="C19" i="11"/>
  <c r="I21" i="11"/>
  <c r="I25" i="11"/>
  <c r="I13" i="11"/>
  <c r="I19" i="11" s="1"/>
  <c r="O17" i="11"/>
  <c r="N17" i="11"/>
  <c r="O18" i="11"/>
  <c r="N18" i="11"/>
  <c r="K19" i="9"/>
  <c r="K12" i="11" s="1"/>
  <c r="K25" i="11"/>
  <c r="K21" i="11"/>
  <c r="K13" i="11"/>
  <c r="K19" i="11" s="1"/>
  <c r="O9" i="11"/>
  <c r="N9" i="11"/>
  <c r="M33" i="9"/>
  <c r="M38" i="9" s="1"/>
  <c r="M31" i="9"/>
  <c r="K27" i="9"/>
  <c r="C33" i="9"/>
  <c r="C23" i="11" s="1"/>
  <c r="C28" i="9"/>
  <c r="C14" i="11" s="1"/>
  <c r="L18" i="9"/>
  <c r="L13" i="9"/>
  <c r="L11" i="11" s="1"/>
  <c r="E18" i="9"/>
  <c r="E13" i="9"/>
  <c r="E11" i="11" s="1"/>
  <c r="H18" i="9"/>
  <c r="I6" i="11" s="1"/>
  <c r="H13" i="9"/>
  <c r="H11" i="11" s="1"/>
  <c r="D18" i="9"/>
  <c r="D13" i="9"/>
  <c r="D11" i="11" s="1"/>
  <c r="I19" i="9"/>
  <c r="I12" i="11" s="1"/>
  <c r="I27" i="9"/>
  <c r="J18" i="9"/>
  <c r="K6" i="11" s="1"/>
  <c r="J13" i="9"/>
  <c r="J11" i="11" s="1"/>
  <c r="G18" i="9"/>
  <c r="G13" i="9"/>
  <c r="G11" i="11" s="1"/>
  <c r="F18" i="9"/>
  <c r="F13" i="9"/>
  <c r="F11" i="11" s="1"/>
  <c r="C31" i="9"/>
  <c r="O39" i="11" l="1"/>
  <c r="N39" i="11"/>
  <c r="M34" i="9"/>
  <c r="O11" i="11"/>
  <c r="F21" i="11"/>
  <c r="F25" i="11"/>
  <c r="F13" i="11"/>
  <c r="F19" i="11" s="1"/>
  <c r="F6" i="11"/>
  <c r="L25" i="11"/>
  <c r="L21" i="11"/>
  <c r="L13" i="11"/>
  <c r="L19" i="11" s="1"/>
  <c r="L6" i="11"/>
  <c r="D21" i="11"/>
  <c r="D25" i="11"/>
  <c r="D13" i="11"/>
  <c r="D6" i="11"/>
  <c r="G21" i="11"/>
  <c r="G25" i="11"/>
  <c r="G13" i="11"/>
  <c r="G19" i="11" s="1"/>
  <c r="G6" i="11"/>
  <c r="K31" i="9"/>
  <c r="H21" i="11"/>
  <c r="H25" i="11"/>
  <c r="H13" i="11"/>
  <c r="H19" i="11" s="1"/>
  <c r="H6" i="11"/>
  <c r="J25" i="11"/>
  <c r="J21" i="11"/>
  <c r="J13" i="11"/>
  <c r="J19" i="11" s="1"/>
  <c r="J6" i="11"/>
  <c r="N11" i="11"/>
  <c r="E21" i="11"/>
  <c r="E25" i="11"/>
  <c r="E13" i="11"/>
  <c r="E19" i="11" s="1"/>
  <c r="E6" i="11"/>
  <c r="K28" i="9"/>
  <c r="K14" i="11" s="1"/>
  <c r="K33" i="9"/>
  <c r="I33" i="9"/>
  <c r="I28" i="9"/>
  <c r="I14" i="11" s="1"/>
  <c r="I31" i="9"/>
  <c r="J19" i="9"/>
  <c r="J12" i="11" s="1"/>
  <c r="J27" i="9"/>
  <c r="J7" i="11" s="1"/>
  <c r="H19" i="9"/>
  <c r="H12" i="11" s="1"/>
  <c r="H27" i="9"/>
  <c r="C34" i="9"/>
  <c r="C15" i="11" s="1"/>
  <c r="C38" i="9"/>
  <c r="M42" i="9"/>
  <c r="M44" i="9" s="1"/>
  <c r="F19" i="9"/>
  <c r="F12" i="11" s="1"/>
  <c r="F27" i="9"/>
  <c r="E19" i="9"/>
  <c r="E12" i="11" s="1"/>
  <c r="E27" i="9"/>
  <c r="E7" i="11" s="1"/>
  <c r="G27" i="9"/>
  <c r="G7" i="11" s="1"/>
  <c r="G19" i="9"/>
  <c r="G12" i="11" s="1"/>
  <c r="D19" i="9"/>
  <c r="D12" i="11" s="1"/>
  <c r="D27" i="9"/>
  <c r="D7" i="11" s="1"/>
  <c r="L19" i="9"/>
  <c r="L12" i="11" s="1"/>
  <c r="L27" i="9"/>
  <c r="L7" i="11" s="1"/>
  <c r="O6" i="11" l="1"/>
  <c r="K38" i="9"/>
  <c r="K42" i="9" s="1"/>
  <c r="K44" i="9" s="1"/>
  <c r="K22" i="11" s="1"/>
  <c r="K23" i="11"/>
  <c r="K7" i="11"/>
  <c r="N6" i="11"/>
  <c r="D19" i="11"/>
  <c r="O13" i="11"/>
  <c r="N13" i="11"/>
  <c r="N25" i="11"/>
  <c r="O25" i="11"/>
  <c r="H7" i="11"/>
  <c r="F7" i="11"/>
  <c r="N21" i="11"/>
  <c r="O21" i="11"/>
  <c r="I7" i="11"/>
  <c r="O12" i="11"/>
  <c r="N12" i="11"/>
  <c r="I23" i="11"/>
  <c r="K34" i="9"/>
  <c r="K15" i="11" s="1"/>
  <c r="C42" i="9"/>
  <c r="C44" i="9" s="1"/>
  <c r="C22" i="11" s="1"/>
  <c r="F31" i="9"/>
  <c r="F33" i="9"/>
  <c r="F28" i="9"/>
  <c r="F14" i="11" s="1"/>
  <c r="H33" i="9"/>
  <c r="I8" i="11" s="1"/>
  <c r="H28" i="9"/>
  <c r="H14" i="11" s="1"/>
  <c r="H31" i="9"/>
  <c r="G33" i="9"/>
  <c r="G28" i="9"/>
  <c r="G14" i="11" s="1"/>
  <c r="G31" i="9"/>
  <c r="E31" i="9"/>
  <c r="E33" i="9"/>
  <c r="E28" i="9"/>
  <c r="E14" i="11" s="1"/>
  <c r="L28" i="9"/>
  <c r="L14" i="11" s="1"/>
  <c r="L33" i="9"/>
  <c r="L31" i="9"/>
  <c r="D28" i="9"/>
  <c r="D14" i="11" s="1"/>
  <c r="D33" i="9"/>
  <c r="D31" i="9"/>
  <c r="I38" i="9"/>
  <c r="I34" i="9"/>
  <c r="I15" i="11" s="1"/>
  <c r="J28" i="9"/>
  <c r="J14" i="11" s="1"/>
  <c r="J33" i="9"/>
  <c r="J31" i="9"/>
  <c r="N7" i="11" l="1"/>
  <c r="K24" i="11"/>
  <c r="O7" i="11"/>
  <c r="N14" i="11"/>
  <c r="J23" i="11"/>
  <c r="J8" i="11"/>
  <c r="G23" i="11"/>
  <c r="G8" i="11"/>
  <c r="L8" i="11"/>
  <c r="L23" i="11"/>
  <c r="N19" i="11"/>
  <c r="O19" i="11"/>
  <c r="O14" i="11"/>
  <c r="D8" i="11"/>
  <c r="D23" i="11"/>
  <c r="C24" i="11"/>
  <c r="H23" i="11"/>
  <c r="H8" i="11"/>
  <c r="E8" i="11"/>
  <c r="E23" i="11"/>
  <c r="F8" i="11"/>
  <c r="F23" i="11"/>
  <c r="K8" i="11"/>
  <c r="D34" i="9"/>
  <c r="D15" i="11" s="1"/>
  <c r="D38" i="9"/>
  <c r="N4" i="13" s="1" a="1"/>
  <c r="I42" i="9"/>
  <c r="I44" i="9"/>
  <c r="I22" i="11" s="1"/>
  <c r="I24" i="11" s="1"/>
  <c r="L34" i="9"/>
  <c r="L15" i="11" s="1"/>
  <c r="L38" i="9"/>
  <c r="H34" i="9"/>
  <c r="H15" i="11" s="1"/>
  <c r="H38" i="9"/>
  <c r="E34" i="9"/>
  <c r="E15" i="11" s="1"/>
  <c r="E38" i="9"/>
  <c r="J38" i="9"/>
  <c r="J34" i="9"/>
  <c r="J15" i="11" s="1"/>
  <c r="G34" i="9"/>
  <c r="G15" i="11" s="1"/>
  <c r="G38" i="9"/>
  <c r="F34" i="9"/>
  <c r="F15" i="11" s="1"/>
  <c r="F38" i="9"/>
  <c r="N4" i="13" l="1"/>
  <c r="N7" i="13"/>
  <c r="N5" i="13"/>
  <c r="N11" i="13"/>
  <c r="N8" i="13"/>
  <c r="N12" i="13"/>
  <c r="N13" i="13"/>
  <c r="O13" i="13" s="1"/>
  <c r="N10" i="13"/>
  <c r="N9" i="13"/>
  <c r="O9" i="13" s="1"/>
  <c r="N6" i="13"/>
  <c r="O6" i="13" s="1"/>
  <c r="O15" i="11"/>
  <c r="O8" i="11"/>
  <c r="N8" i="11"/>
  <c r="N15" i="11"/>
  <c r="N23" i="11"/>
  <c r="O23" i="11"/>
  <c r="J42" i="9"/>
  <c r="J44" i="9" s="1"/>
  <c r="J22" i="11" s="1"/>
  <c r="J24" i="11" s="1"/>
  <c r="J39" i="9"/>
  <c r="K39" i="9"/>
  <c r="E39" i="9"/>
  <c r="E42" i="9"/>
  <c r="E44" i="9" s="1"/>
  <c r="E22" i="11" s="1"/>
  <c r="E24" i="11" s="1"/>
  <c r="D39" i="9"/>
  <c r="D42" i="9"/>
  <c r="D44" i="9" s="1"/>
  <c r="D22" i="11" s="1"/>
  <c r="F39" i="9"/>
  <c r="F42" i="9"/>
  <c r="F44" i="9" s="1"/>
  <c r="F22" i="11" s="1"/>
  <c r="F24" i="11" s="1"/>
  <c r="G39" i="9"/>
  <c r="G42" i="9"/>
  <c r="G44" i="9" s="1"/>
  <c r="G22" i="11" s="1"/>
  <c r="G24" i="11" s="1"/>
  <c r="L39" i="9"/>
  <c r="L42" i="9"/>
  <c r="L44" i="9" s="1"/>
  <c r="L22" i="11" s="1"/>
  <c r="L24" i="11" s="1"/>
  <c r="M39" i="9"/>
  <c r="H39" i="9"/>
  <c r="H44" i="9"/>
  <c r="H22" i="11" s="1"/>
  <c r="H24" i="11" s="1"/>
  <c r="H42" i="9"/>
  <c r="I39" i="9"/>
  <c r="C6" i="3"/>
  <c r="D6" i="3"/>
  <c r="E6" i="3"/>
  <c r="F6" i="3"/>
  <c r="G6" i="3"/>
  <c r="H6" i="3"/>
  <c r="I6" i="3"/>
  <c r="L6" i="1" s="1"/>
  <c r="J6" i="3"/>
  <c r="K6" i="3"/>
  <c r="B6" i="3"/>
  <c r="C5" i="1"/>
  <c r="D5" i="1"/>
  <c r="E5" i="1"/>
  <c r="F5" i="1"/>
  <c r="G5" i="1"/>
  <c r="H5" i="1"/>
  <c r="I5" i="1"/>
  <c r="J5" i="1"/>
  <c r="K5" i="1"/>
  <c r="B5" i="1"/>
  <c r="F13" i="1"/>
  <c r="J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E21" i="2" s="1"/>
  <c r="F18" i="2"/>
  <c r="G18" i="2"/>
  <c r="H18" i="2"/>
  <c r="I18" i="2"/>
  <c r="J18" i="2"/>
  <c r="K18" i="2"/>
  <c r="B17" i="2"/>
  <c r="C4" i="2"/>
  <c r="D4" i="2"/>
  <c r="E4" i="2"/>
  <c r="F24" i="2" s="1"/>
  <c r="E5" i="2"/>
  <c r="F4" i="2"/>
  <c r="G4" i="2"/>
  <c r="H4" i="2"/>
  <c r="I4" i="2"/>
  <c r="I5" i="2"/>
  <c r="J4" i="2"/>
  <c r="J5" i="2"/>
  <c r="K4" i="2"/>
  <c r="C5" i="2"/>
  <c r="D5" i="2"/>
  <c r="F5" i="2"/>
  <c r="F23" i="2" s="1"/>
  <c r="G5" i="2"/>
  <c r="H5" i="2"/>
  <c r="H23" i="2" s="1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F16" i="2" s="1"/>
  <c r="G7" i="2"/>
  <c r="H7" i="2"/>
  <c r="H16" i="2" s="1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K16" i="2" s="1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D14" i="3" s="1"/>
  <c r="E4" i="3"/>
  <c r="F4" i="3"/>
  <c r="G4" i="3"/>
  <c r="H4" i="3"/>
  <c r="L4" i="1" s="1"/>
  <c r="L23" i="1" s="1"/>
  <c r="I4" i="3"/>
  <c r="J4" i="3"/>
  <c r="J14" i="3" s="1"/>
  <c r="K4" i="3"/>
  <c r="C5" i="3"/>
  <c r="D5" i="3"/>
  <c r="E5" i="3"/>
  <c r="F5" i="3"/>
  <c r="G5" i="3"/>
  <c r="H5" i="3"/>
  <c r="I5" i="3"/>
  <c r="L5" i="1" s="1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L10" i="1" s="1"/>
  <c r="C11" i="3"/>
  <c r="D11" i="3"/>
  <c r="E11" i="3"/>
  <c r="F11" i="3"/>
  <c r="G11" i="3"/>
  <c r="H11" i="3"/>
  <c r="I11" i="3"/>
  <c r="J11" i="3"/>
  <c r="L11" i="1" s="1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E6" i="1" s="1"/>
  <c r="E19" i="1" s="1"/>
  <c r="F4" i="1"/>
  <c r="G4" i="1"/>
  <c r="G6" i="1" s="1"/>
  <c r="G19" i="1" s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C13" i="1" s="1"/>
  <c r="C14" i="1" s="1"/>
  <c r="D12" i="1"/>
  <c r="E12" i="1"/>
  <c r="F12" i="1"/>
  <c r="G12" i="1"/>
  <c r="G23" i="2" s="1"/>
  <c r="H12" i="1"/>
  <c r="I12" i="1"/>
  <c r="I13" i="1" s="1"/>
  <c r="J12" i="1"/>
  <c r="K12" i="1"/>
  <c r="K13" i="1" s="1"/>
  <c r="K14" i="1" s="1"/>
  <c r="C15" i="1"/>
  <c r="D15" i="1"/>
  <c r="E15" i="1"/>
  <c r="F15" i="1"/>
  <c r="F14" i="1"/>
  <c r="G15" i="1"/>
  <c r="H15" i="1"/>
  <c r="I15" i="1"/>
  <c r="J15" i="1"/>
  <c r="J14" i="1"/>
  <c r="K15" i="1"/>
  <c r="B15" i="1"/>
  <c r="H13" i="1"/>
  <c r="B7" i="1"/>
  <c r="B4" i="1"/>
  <c r="B20" i="2" s="1"/>
  <c r="A1" i="1"/>
  <c r="A1" i="3" s="1"/>
  <c r="E1" i="6"/>
  <c r="H1" i="1" s="1"/>
  <c r="E1" i="2"/>
  <c r="E1" i="3"/>
  <c r="D16" i="2"/>
  <c r="C23" i="2"/>
  <c r="C16" i="2"/>
  <c r="D23" i="2"/>
  <c r="I6" i="1"/>
  <c r="I19" i="1" s="1"/>
  <c r="J6" i="1"/>
  <c r="J19" i="1" s="1"/>
  <c r="K6" i="1"/>
  <c r="K19" i="1"/>
  <c r="C6" i="1"/>
  <c r="C19" i="1" s="1"/>
  <c r="D6" i="1"/>
  <c r="D19" i="1" s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H14" i="3"/>
  <c r="F14" i="3"/>
  <c r="B12" i="3"/>
  <c r="B11" i="3"/>
  <c r="B10" i="3"/>
  <c r="B9" i="3"/>
  <c r="B8" i="3"/>
  <c r="B7" i="3"/>
  <c r="B4" i="3"/>
  <c r="B14" i="3" s="1"/>
  <c r="B3" i="3"/>
  <c r="L15" i="1"/>
  <c r="B12" i="1"/>
  <c r="B13" i="1" s="1"/>
  <c r="B11" i="1"/>
  <c r="B10" i="1"/>
  <c r="B9" i="1"/>
  <c r="B8" i="1"/>
  <c r="B3" i="1"/>
  <c r="E14" i="3"/>
  <c r="G14" i="3"/>
  <c r="K20" i="2"/>
  <c r="D20" i="2"/>
  <c r="J20" i="2"/>
  <c r="C20" i="2"/>
  <c r="L12" i="1"/>
  <c r="L13" i="1" s="1"/>
  <c r="L14" i="1" s="1"/>
  <c r="L25" i="1" s="1"/>
  <c r="A1" i="2"/>
  <c r="A1" i="4" s="1"/>
  <c r="H23" i="1"/>
  <c r="I23" i="1"/>
  <c r="J23" i="1"/>
  <c r="O10" i="13" l="1"/>
  <c r="O8" i="13"/>
  <c r="O12" i="13"/>
  <c r="O11" i="13"/>
  <c r="O5" i="13"/>
  <c r="O7" i="13"/>
  <c r="N15" i="13"/>
  <c r="N14" i="13"/>
  <c r="O14" i="13" s="1"/>
  <c r="N16" i="13"/>
  <c r="O16" i="13" s="1"/>
  <c r="N17" i="13"/>
  <c r="N18" i="13"/>
  <c r="D24" i="11"/>
  <c r="N22" i="11"/>
  <c r="O22" i="11"/>
  <c r="L19" i="1"/>
  <c r="L24" i="1" s="1"/>
  <c r="N11" i="1"/>
  <c r="M11" i="1"/>
  <c r="I23" i="2"/>
  <c r="E20" i="2"/>
  <c r="G20" i="2"/>
  <c r="F20" i="2"/>
  <c r="G16" i="2"/>
  <c r="E24" i="2"/>
  <c r="G13" i="1"/>
  <c r="G14" i="1" s="1"/>
  <c r="D24" i="2"/>
  <c r="I14" i="3"/>
  <c r="I24" i="2"/>
  <c r="E14" i="1"/>
  <c r="J24" i="2"/>
  <c r="K23" i="2"/>
  <c r="I14" i="1"/>
  <c r="K25" i="1" s="1"/>
  <c r="M25" i="1" s="1"/>
  <c r="M14" i="1" s="1"/>
  <c r="C24" i="2"/>
  <c r="H24" i="2"/>
  <c r="B23" i="2"/>
  <c r="H14" i="1"/>
  <c r="G24" i="2"/>
  <c r="D13" i="1"/>
  <c r="E13" i="1" s="1"/>
  <c r="K24" i="1"/>
  <c r="L8" i="1"/>
  <c r="N8" i="1" s="1"/>
  <c r="L7" i="1"/>
  <c r="J23" i="2"/>
  <c r="E23" i="2"/>
  <c r="B14" i="1"/>
  <c r="I24" i="1"/>
  <c r="K14" i="3"/>
  <c r="C14" i="3"/>
  <c r="I16" i="2"/>
  <c r="K24" i="2"/>
  <c r="J25" i="1"/>
  <c r="M24" i="1"/>
  <c r="M9" i="1"/>
  <c r="N9" i="1"/>
  <c r="N23" i="1"/>
  <c r="N4" i="1" s="1"/>
  <c r="I25" i="1"/>
  <c r="I20" i="2"/>
  <c r="J24" i="1"/>
  <c r="H20" i="2"/>
  <c r="K23" i="1"/>
  <c r="M23" i="1" s="1"/>
  <c r="M4" i="1" s="1"/>
  <c r="H6" i="1"/>
  <c r="H19" i="1" s="1"/>
  <c r="F6" i="1"/>
  <c r="F19" i="1" s="1"/>
  <c r="H24" i="1" s="1"/>
  <c r="E1" i="4"/>
  <c r="O15" i="13" l="1"/>
  <c r="O18" i="13"/>
  <c r="O17" i="13"/>
  <c r="O24" i="11"/>
  <c r="N24" i="11"/>
  <c r="N24" i="1"/>
  <c r="D14" i="1"/>
  <c r="H25" i="1" s="1"/>
  <c r="N25" i="1" s="1"/>
  <c r="N14" i="1" s="1"/>
  <c r="N15" i="1" s="1"/>
  <c r="M8" i="1"/>
  <c r="N6" i="1"/>
  <c r="N10" i="1" s="1"/>
  <c r="N12" i="1" s="1"/>
  <c r="N13" i="1" s="1"/>
  <c r="M6" i="1"/>
  <c r="M10" i="1" s="1"/>
  <c r="M12" i="1" s="1"/>
  <c r="M13" i="1" s="1"/>
  <c r="M15" i="1" s="1"/>
  <c r="N5" i="1" l="1"/>
  <c r="M5" i="1"/>
</calcChain>
</file>

<file path=xl/sharedStrings.xml><?xml version="1.0" encoding="utf-8"?>
<sst xmlns="http://schemas.openxmlformats.org/spreadsheetml/2006/main" count="367" uniqueCount="233">
  <si>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</si>
  <si>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</si>
  <si>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</si>
  <si>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</si>
  <si>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</si>
  <si>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</si>
  <si>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</si>
  <si>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</si>
  <si>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</si>
  <si>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</si>
  <si>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</si>
  <si>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</si>
  <si>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</si>
  <si>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</si>
  <si>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</si>
  <si>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</si>
  <si>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</si>
  <si>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</si>
  <si>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</si>
  <si>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</si>
  <si>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</si>
  <si>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</si>
  <si>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</si>
  <si>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</si>
  <si>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</si>
  <si>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</si>
  <si>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</si>
  <si>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</si>
  <si>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</si>
  <si>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</si>
  <si>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</si>
  <si>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</si>
  <si>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</si>
  <si>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</si>
  <si>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</si>
  <si>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</si>
  <si>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</si>
  <si>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</si>
  <si>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</si>
  <si>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</si>
  <si>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</si>
  <si>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</si>
  <si>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</si>
  <si>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</si>
  <si>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</si>
  <si>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</si>
  <si>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</si>
  <si>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</si>
  <si>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</si>
  <si>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</si>
  <si>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</si>
  <si>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</si>
  <si>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</si>
  <si>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</si>
  <si>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</si>
  <si>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</si>
  <si>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</si>
  <si>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</si>
  <si>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</si>
  <si>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</si>
  <si>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</si>
  <si>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</si>
  <si>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</si>
  <si>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TATA MOTORS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</si>
  <si>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</si>
  <si>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</si>
  <si>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</si>
  <si>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</si>
  <si>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</si>
  <si>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</si>
  <si>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</si>
  <si>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</si>
  <si>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</si>
  <si>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</si>
  <si>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</si>
  <si>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</si>
  <si>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</si>
  <si>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</si>
  <si>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</si>
  <si>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</si>
  <si>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</si>
  <si>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</si>
  <si>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</si>
  <si>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</si>
  <si>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</si>
  <si>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</si>
  <si>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</si>
  <si>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</si>
  <si>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</si>
  <si>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</si>
  <si>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</si>
  <si>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</si>
  <si>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</si>
  <si>
    <t>F</t>
  </si>
  <si>
    <t>Years</t>
  </si>
  <si>
    <t>LTM</t>
  </si>
  <si>
    <t>#</t>
  </si>
  <si>
    <t>Income Statement</t>
  </si>
  <si>
    <t>-</t>
  </si>
  <si>
    <t>COGS</t>
  </si>
  <si>
    <t>COGS % Sales</t>
  </si>
  <si>
    <t>Gross Profit</t>
  </si>
  <si>
    <t>Gross Margins</t>
  </si>
  <si>
    <t>Selling &amp; General Expenses</t>
  </si>
  <si>
    <t>S&amp;G Exp % Sales</t>
  </si>
  <si>
    <t>EBITDA</t>
  </si>
  <si>
    <t>EBITDA Margins</t>
  </si>
  <si>
    <t>Interest % Sales</t>
  </si>
  <si>
    <t>Depreciation%Sales</t>
  </si>
  <si>
    <t>Earnings Before Tax</t>
  </si>
  <si>
    <t>EBT % Sales</t>
  </si>
  <si>
    <t>Effective Tax Rate</t>
  </si>
  <si>
    <t>Net Profit</t>
  </si>
  <si>
    <t>Net Margins</t>
  </si>
  <si>
    <t>No of Equity Shares</t>
  </si>
  <si>
    <t>Earnings per Share</t>
  </si>
  <si>
    <t>EPS Growth %</t>
  </si>
  <si>
    <t>Dividend per Share</t>
  </si>
  <si>
    <t>Dividend payout ratio</t>
  </si>
  <si>
    <t>Retained Earnings</t>
  </si>
  <si>
    <t>Balance Sheet</t>
  </si>
  <si>
    <t>Total Liabilities</t>
  </si>
  <si>
    <t>Fixed Assets Net Block</t>
  </si>
  <si>
    <t>Total Non Current Assets</t>
  </si>
  <si>
    <t>Total Current Assets</t>
  </si>
  <si>
    <t>Total Assets</t>
  </si>
  <si>
    <t>Check</t>
  </si>
  <si>
    <t>Cash Flow Statements</t>
  </si>
  <si>
    <t>Operating Activities</t>
  </si>
  <si>
    <t>Profit from operations</t>
  </si>
  <si>
    <t>Payables</t>
  </si>
  <si>
    <t>Loans Advances</t>
  </si>
  <si>
    <t>Other WC items</t>
  </si>
  <si>
    <t>Working capital changes</t>
  </si>
  <si>
    <t>Direct taxes</t>
  </si>
  <si>
    <t>Cash from Operating Activities</t>
  </si>
  <si>
    <t>Investing Activities</t>
  </si>
  <si>
    <t>Fixed assets purchased</t>
  </si>
  <si>
    <t>Fixed assets sold</t>
  </si>
  <si>
    <t>Investments purchased</t>
  </si>
  <si>
    <t>Investments sold</t>
  </si>
  <si>
    <t>Interest received</t>
  </si>
  <si>
    <t>Dividends received</t>
  </si>
  <si>
    <t>Invest in subsidiaries</t>
  </si>
  <si>
    <t>Investment in group cos</t>
  </si>
  <si>
    <t>Redemp n Canc of Shares</t>
  </si>
  <si>
    <t>Acquisition of companies</t>
  </si>
  <si>
    <t>Inter corporate deposits</t>
  </si>
  <si>
    <t>Other investing items</t>
  </si>
  <si>
    <t>Cash from Investing Activities</t>
  </si>
  <si>
    <t>Financing Activities</t>
  </si>
  <si>
    <t>Proceeds from shares</t>
  </si>
  <si>
    <t>Redemption of debentures</t>
  </si>
  <si>
    <t>Proceeds from borrowings</t>
  </si>
  <si>
    <t>Repayment of borrowings</t>
  </si>
  <si>
    <t>Proceeds from deposits</t>
  </si>
  <si>
    <t>Interest paid fin</t>
  </si>
  <si>
    <t>Dividends paid</t>
  </si>
  <si>
    <t>Financial liabilities</t>
  </si>
  <si>
    <t>Other financing items</t>
  </si>
  <si>
    <t>Cash from Financing Activities</t>
  </si>
  <si>
    <t>Cash from Operating Activity -</t>
  </si>
  <si>
    <t>Cash from Investing Activity -</t>
  </si>
  <si>
    <t>Loans to subsidiaries</t>
  </si>
  <si>
    <t>Cash from Financing Activity -</t>
  </si>
  <si>
    <t>Trend</t>
  </si>
  <si>
    <t>Mean</t>
  </si>
  <si>
    <t>Median</t>
  </si>
  <si>
    <t>SalesGrowth</t>
  </si>
  <si>
    <t>EBITDA Growth</t>
  </si>
  <si>
    <t>EBIT Growth</t>
  </si>
  <si>
    <t>Net Profit Growth</t>
  </si>
  <si>
    <t>Dividend Growth</t>
  </si>
  <si>
    <t>Gross Margin</t>
  </si>
  <si>
    <t>EBITDA Margin</t>
  </si>
  <si>
    <t>EBIT Margin</t>
  </si>
  <si>
    <t>EBT Margin</t>
  </si>
  <si>
    <t>Net Profit Margin</t>
  </si>
  <si>
    <t>SalesExpenses%Sales</t>
  </si>
  <si>
    <t>OperatingIncome%Sales</t>
  </si>
  <si>
    <t>Return on Capital Employed</t>
  </si>
  <si>
    <t>Retained Earnings%</t>
  </si>
  <si>
    <t>Return on Equity%</t>
  </si>
  <si>
    <t>Self Sustained Growth Rate</t>
  </si>
  <si>
    <t>Interest Coverage Ratio</t>
  </si>
  <si>
    <t>Debtor Turnover Ratio</t>
  </si>
  <si>
    <t>Creditor Turnover Ratio</t>
  </si>
  <si>
    <t>Fixed Asset Turnover</t>
  </si>
  <si>
    <t>Capital Turnover Ratio</t>
  </si>
  <si>
    <t>Payable Days</t>
  </si>
  <si>
    <t>Inventory Days</t>
  </si>
  <si>
    <t>Cash Conversion Cycle (in days)</t>
  </si>
  <si>
    <t>CFO/Sales</t>
  </si>
  <si>
    <t>CFO/Total Assets</t>
  </si>
  <si>
    <t>CFO/Total Debt</t>
  </si>
  <si>
    <t>Year Weight</t>
  </si>
  <si>
    <t>Year</t>
  </si>
  <si>
    <t>EPS Growth</t>
  </si>
  <si>
    <t>Indicator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</si>
  <si>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</si>
  <si>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</si>
  <si>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</si>
  <si>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</si>
  <si>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</si>
  <si>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</si>
  <si>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</si>
  <si>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</si>
  <si>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</si>
  <si>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</si>
  <si>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</si>
  <si>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</si>
  <si>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Var. between selected period and T-1 period</t>
  </si>
  <si>
    <t>Selected month</t>
  </si>
  <si>
    <t>Income</t>
  </si>
  <si>
    <t>Cost of Goods Sold</t>
  </si>
  <si>
    <t xml:space="preserve">Gross Profit </t>
  </si>
  <si>
    <t xml:space="preserve">Total Operating Expenses  </t>
  </si>
  <si>
    <t>Operating Profit (EBIT)</t>
  </si>
  <si>
    <t xml:space="preserve">Taxes    </t>
  </si>
  <si>
    <t xml:space="preserve">Net Profit   </t>
  </si>
  <si>
    <t>Net Profit Margin %</t>
  </si>
  <si>
    <t>Cash at EOM</t>
  </si>
  <si>
    <t>Quick Ratio</t>
  </si>
  <si>
    <t>Current Ratio</t>
  </si>
  <si>
    <t>Accounts Receivable</t>
  </si>
  <si>
    <t>Accounts Payable</t>
  </si>
  <si>
    <t>Income Budget</t>
  </si>
  <si>
    <t>% of Income Budget</t>
  </si>
  <si>
    <t>Expenses Budget</t>
  </si>
  <si>
    <t>% of Expenses Budget</t>
  </si>
  <si>
    <t>% Net Profit Target</t>
  </si>
  <si>
    <t>Months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</si>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</sst>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 * #,##0.00_ ;_ * \-#,##0.00_ ;_ * &quot;-&quot;??_ ;_ @_ "/>
    <numFmt numFmtId="164" formatCode="_(* #,##0.00_);_(* \(#,##0.00\);_(* &quot;-&quot;??_);_(@_)"/>
    <numFmt numFmtId="165" formatCode="[$-409]mmm\-yy;@"/>
    <numFmt numFmtId="166" formatCode="&quot;₹&quot;\ #,##0.0;\(&quot;₹&quot;\ #,##0.0\);\-"/>
    <numFmt numFmtId="167" formatCode="&quot;₹&quot;\ #,##0.00"/>
    <numFmt numFmtId="168" formatCode="0.00&quot;x&quot;"/>
    <numFmt numFmtId="169" formatCode="yyyy&quot;A&quot;"/>
    <numFmt numFmtId="170" formatCode="#,##0.0"/>
    <numFmt numFmtId="171" formatCode="yyyy&quot;E&quot;"/>
    <numFmt numFmtId="172" formatCode="0.0%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i/>
      <sz val="11"/>
      <color theme="0" tint="-0.499984740745262"/>
      <name val="calibri"/>
      <family val="2"/>
    </font>
    <font>
      <i/>
      <sz val="11"/>
      <color theme="1"/>
      <name val="calibri"/>
      <family val="2"/>
    </font>
    <font>
      <i/>
      <sz val="11"/>
      <color rgb="FF7F7F7F"/>
      <name val="Calibri"/>
      <family val="2"/>
    </font>
    <font>
      <sz val="12"/>
      <color rgb="FFFF0000"/>
      <name val="CALIBRI"/>
      <family val="2"/>
    </font>
    <font>
      <sz val="11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b/>
      <i/>
      <sz val="11"/>
      <color theme="1" tint="0.249977111117893"/>
      <name val="Segoe UI"/>
      <family val="2"/>
    </font>
    <font>
      <i/>
      <sz val="11"/>
      <color theme="1" tint="0.34998626667073579"/>
      <name val="Segoe UI"/>
      <family val="2"/>
    </font>
    <font>
      <b/>
      <i/>
      <sz val="11"/>
      <color theme="1" tint="0.34998626667073579"/>
      <name val="Segoe UI"/>
      <family val="2"/>
    </font>
    <font>
      <i/>
      <sz val="11"/>
      <color rgb="FF435361"/>
      <name val="Segoe UI"/>
      <family val="2"/>
    </font>
    <font>
      <b/>
      <i/>
      <sz val="12"/>
      <color theme="1" tint="0.249977111117893"/>
      <name val="Segoe UI"/>
      <family val="2"/>
    </font>
    <font>
      <b/>
      <sz val="11"/>
      <color theme="1"/>
      <name val="Century Gothic"/>
      <family val="2"/>
    </font>
  </fonts>
  <fills count="15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1EFF5"/>
        <bgColor indexed="64"/>
      </patternFill>
    </fill>
    <fill>
      <patternFill patternType="solid">
        <fgColor rgb="FFF4E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 style="hair">
        <color rgb="FF002060"/>
      </top>
      <bottom/>
      <diagonal/>
    </border>
    <border>
      <left/>
      <right/>
      <top/>
      <bottom style="hair">
        <color rgb="FF002060"/>
      </bottom>
      <diagonal/>
    </border>
    <border>
      <left/>
      <right style="thin">
        <color theme="0" tint="-0.24994659260841701"/>
      </right>
      <top/>
      <bottom style="medium">
        <color theme="1" tint="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theme="1" tint="0.24994659260841701"/>
      </bottom>
      <diagonal/>
    </border>
    <border>
      <left style="thin">
        <color theme="0" tint="-0.24994659260841701"/>
      </left>
      <right/>
      <top/>
      <bottom style="medium">
        <color theme="1" tint="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medium">
        <color indexed="64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8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  <xf numFmtId="0" fontId="14" fillId="0" borderId="0" applyNumberFormat="0" applyFill="0" applyBorder="0" applyAlignment="0" applyProtection="0"/>
  </cellStyleXfs>
  <cellXfs count="121">
    <xf numFmtId="0" fontId="0" fillId="0" borderId="0" xfId="0"/>
    <xf numFmtId="43" fontId="1" fillId="0" borderId="0" xfId="1" applyFont="1" applyBorder="1"/>
    <xf numFmtId="0" fontId="1" fillId="0" borderId="0" xfId="0" applyFont="1"/>
    <xf numFmtId="0" fontId="8" fillId="0" borderId="0" xfId="0" applyFont="1"/>
    <xf numFmtId="43" fontId="0" fillId="0" borderId="0" xfId="1" applyFont="1" applyBorder="1"/>
    <xf numFmtId="10" fontId="0" fillId="0" borderId="0" xfId="0" applyNumberFormat="1"/>
    <xf numFmtId="43" fontId="3" fillId="0" borderId="0" xfId="1" applyFont="1" applyBorder="1"/>
    <xf numFmtId="9" fontId="3" fillId="0" borderId="0" xfId="1" applyNumberFormat="1" applyFont="1" applyBorder="1"/>
    <xf numFmtId="43" fontId="2" fillId="2" borderId="0" xfId="3" applyNumberFormat="1" applyFont="1" applyBorder="1"/>
    <xf numFmtId="43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/>
    <xf numFmtId="165" fontId="2" fillId="5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center"/>
    </xf>
    <xf numFmtId="43" fontId="0" fillId="0" borderId="0" xfId="1" applyFont="1" applyBorder="1" applyAlignment="1">
      <alignment horizontal="center"/>
    </xf>
    <xf numFmtId="43" fontId="1" fillId="0" borderId="0" xfId="1" applyFont="1" applyBorder="1" applyAlignment="1">
      <alignment horizontal="center"/>
    </xf>
    <xf numFmtId="10" fontId="1" fillId="0" borderId="0" xfId="0" applyNumberFormat="1" applyFont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/>
    <xf numFmtId="0" fontId="0" fillId="0" borderId="0" xfId="0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9" fillId="0" borderId="0" xfId="0" applyFont="1"/>
    <xf numFmtId="164" fontId="0" fillId="0" borderId="0" xfId="1" applyNumberFormat="1" applyFont="1" applyBorder="1"/>
    <xf numFmtId="0" fontId="10" fillId="0" borderId="0" xfId="0" applyFont="1"/>
    <xf numFmtId="17" fontId="10" fillId="0" borderId="0" xfId="0" applyNumberFormat="1" applyFont="1"/>
    <xf numFmtId="17" fontId="10" fillId="0" borderId="0" xfId="0" applyNumberFormat="1" applyFont="1" applyAlignment="1">
      <alignment horizontal="right"/>
    </xf>
    <xf numFmtId="0" fontId="11" fillId="6" borderId="0" xfId="0" applyFont="1" applyFill="1"/>
    <xf numFmtId="0" fontId="0" fillId="6" borderId="0" xfId="0" applyFill="1"/>
    <xf numFmtId="166" fontId="0" fillId="0" borderId="0" xfId="0" applyNumberFormat="1"/>
    <xf numFmtId="0" fontId="12" fillId="0" borderId="0" xfId="0" applyFont="1"/>
    <xf numFmtId="0" fontId="12" fillId="0" borderId="0" xfId="0" applyFont="1" applyAlignment="1">
      <alignment horizontal="right"/>
    </xf>
    <xf numFmtId="10" fontId="12" fillId="0" borderId="0" xfId="6" applyNumberFormat="1" applyFont="1"/>
    <xf numFmtId="167" fontId="0" fillId="0" borderId="0" xfId="0" applyNumberFormat="1"/>
    <xf numFmtId="10" fontId="0" fillId="0" borderId="0" xfId="6" applyNumberFormat="1" applyFont="1"/>
    <xf numFmtId="0" fontId="11" fillId="0" borderId="0" xfId="0" applyFont="1"/>
    <xf numFmtId="166" fontId="11" fillId="0" borderId="0" xfId="0" applyNumberFormat="1" applyFont="1"/>
    <xf numFmtId="0" fontId="13" fillId="0" borderId="0" xfId="0" applyFont="1"/>
    <xf numFmtId="0" fontId="10" fillId="5" borderId="0" xfId="0" applyFont="1" applyFill="1"/>
    <xf numFmtId="17" fontId="10" fillId="5" borderId="0" xfId="0" applyNumberFormat="1" applyFont="1" applyFill="1"/>
    <xf numFmtId="17" fontId="10" fillId="5" borderId="0" xfId="0" applyNumberFormat="1" applyFont="1" applyFill="1" applyAlignment="1">
      <alignment horizontal="right"/>
    </xf>
    <xf numFmtId="43" fontId="0" fillId="0" borderId="0" xfId="0" applyNumberFormat="1"/>
    <xf numFmtId="17" fontId="0" fillId="0" borderId="0" xfId="0" applyNumberFormat="1"/>
    <xf numFmtId="3" fontId="0" fillId="0" borderId="0" xfId="0" applyNumberFormat="1"/>
    <xf numFmtId="0" fontId="0" fillId="0" borderId="1" xfId="0" applyBorder="1"/>
    <xf numFmtId="10" fontId="0" fillId="0" borderId="1" xfId="6" applyNumberFormat="1" applyFont="1" applyBorder="1"/>
    <xf numFmtId="10" fontId="0" fillId="0" borderId="0" xfId="6" applyNumberFormat="1" applyFont="1" applyBorder="1"/>
    <xf numFmtId="0" fontId="0" fillId="0" borderId="2" xfId="0" applyBorder="1"/>
    <xf numFmtId="10" fontId="0" fillId="0" borderId="2" xfId="6" applyNumberFormat="1" applyFont="1" applyBorder="1"/>
    <xf numFmtId="168" fontId="0" fillId="0" borderId="0" xfId="0" applyNumberFormat="1"/>
    <xf numFmtId="1" fontId="0" fillId="0" borderId="0" xfId="0" applyNumberFormat="1"/>
    <xf numFmtId="17" fontId="10" fillId="5" borderId="0" xfId="0" applyNumberFormat="1" applyFont="1" applyFill="1" applyAlignment="1">
      <alignment horizontal="center"/>
    </xf>
    <xf numFmtId="0" fontId="10" fillId="7" borderId="0" xfId="0" applyFont="1" applyFill="1"/>
    <xf numFmtId="0" fontId="10" fillId="7" borderId="0" xfId="0" applyFont="1" applyFill="1" applyAlignment="1">
      <alignment horizontal="right"/>
    </xf>
    <xf numFmtId="169" fontId="0" fillId="0" borderId="0" xfId="0" applyNumberFormat="1" applyAlignment="1">
      <alignment horizontal="right"/>
    </xf>
    <xf numFmtId="170" fontId="0" fillId="0" borderId="0" xfId="0" applyNumberFormat="1"/>
    <xf numFmtId="0" fontId="0" fillId="8" borderId="0" xfId="0" applyFill="1" applyAlignment="1">
      <alignment horizontal="left"/>
    </xf>
    <xf numFmtId="171" fontId="0" fillId="8" borderId="0" xfId="0" applyNumberFormat="1" applyFill="1" applyAlignment="1">
      <alignment horizontal="right"/>
    </xf>
    <xf numFmtId="170" fontId="0" fillId="8" borderId="0" xfId="0" applyNumberFormat="1" applyFill="1"/>
    <xf numFmtId="10" fontId="0" fillId="8" borderId="0" xfId="6" applyNumberFormat="1" applyFont="1" applyFill="1"/>
    <xf numFmtId="0" fontId="16" fillId="0" borderId="0" xfId="0" applyFont="1" applyAlignment="1">
      <alignment vertical="center"/>
    </xf>
    <xf numFmtId="0" fontId="0" fillId="0" borderId="0" xfId="0" applyAlignment="1">
      <alignment vertical="center"/>
    </xf>
    <xf numFmtId="0" fontId="17" fillId="0" borderId="0" xfId="0" applyFont="1" applyAlignment="1">
      <alignment horizontal="left" vertical="center"/>
    </xf>
    <xf numFmtId="0" fontId="16" fillId="9" borderId="0" xfId="0" applyFont="1" applyFill="1" applyAlignment="1">
      <alignment vertical="center"/>
    </xf>
    <xf numFmtId="0" fontId="16" fillId="0" borderId="0" xfId="0" applyFont="1" applyAlignment="1">
      <alignment horizontal="center" vertical="center"/>
    </xf>
    <xf numFmtId="9" fontId="16" fillId="0" borderId="0" xfId="6" applyFont="1" applyAlignment="1">
      <alignment vertical="center"/>
    </xf>
    <xf numFmtId="0" fontId="0" fillId="9" borderId="0" xfId="0" applyFill="1" applyAlignment="1">
      <alignment vertical="center"/>
    </xf>
    <xf numFmtId="0" fontId="1" fillId="0" borderId="0" xfId="0" applyFont="1" applyAlignment="1">
      <alignment vertical="center"/>
    </xf>
    <xf numFmtId="0" fontId="18" fillId="0" borderId="0" xfId="7" applyFont="1" applyFill="1" applyBorder="1" applyAlignment="1">
      <alignment horizontal="center" vertical="center"/>
    </xf>
    <xf numFmtId="0" fontId="18" fillId="10" borderId="3" xfId="7" applyFont="1" applyFill="1" applyBorder="1" applyAlignment="1">
      <alignment horizontal="left" vertical="center"/>
    </xf>
    <xf numFmtId="0" fontId="18" fillId="10" borderId="4" xfId="7" applyFont="1" applyFill="1" applyBorder="1" applyAlignment="1">
      <alignment horizontal="center" vertical="center"/>
    </xf>
    <xf numFmtId="0" fontId="18" fillId="10" borderId="5" xfId="7" applyFont="1" applyFill="1" applyBorder="1" applyAlignment="1">
      <alignment horizontal="center" vertical="center"/>
    </xf>
    <xf numFmtId="0" fontId="18" fillId="9" borderId="0" xfId="7" applyFont="1" applyFill="1" applyBorder="1" applyAlignment="1">
      <alignment horizontal="center" vertical="center"/>
    </xf>
    <xf numFmtId="0" fontId="18" fillId="10" borderId="3" xfId="7" applyFont="1" applyFill="1" applyBorder="1" applyAlignment="1">
      <alignment horizontal="center" vertical="center" wrapText="1"/>
    </xf>
    <xf numFmtId="0" fontId="18" fillId="10" borderId="4" xfId="7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9" fillId="0" borderId="0" xfId="7" applyFont="1" applyFill="1" applyBorder="1" applyAlignment="1" applyProtection="1">
      <alignment horizontal="center" vertical="center"/>
    </xf>
    <xf numFmtId="0" fontId="20" fillId="11" borderId="6" xfId="7" applyFont="1" applyFill="1" applyBorder="1" applyAlignment="1" applyProtection="1">
      <alignment vertical="center"/>
      <protection hidden="1"/>
    </xf>
    <xf numFmtId="0" fontId="19" fillId="11" borderId="7" xfId="7" applyFont="1" applyFill="1" applyBorder="1" applyAlignment="1" applyProtection="1">
      <alignment horizontal="center" vertical="center"/>
      <protection hidden="1"/>
    </xf>
    <xf numFmtId="0" fontId="19" fillId="9" borderId="0" xfId="7" applyFont="1" applyFill="1" applyBorder="1" applyAlignment="1" applyProtection="1">
      <alignment horizontal="center" vertical="center"/>
      <protection hidden="1"/>
    </xf>
    <xf numFmtId="172" fontId="21" fillId="0" borderId="0" xfId="6" applyNumberFormat="1" applyFont="1" applyFill="1" applyAlignment="1">
      <alignment horizontal="center" vertical="center"/>
    </xf>
    <xf numFmtId="0" fontId="20" fillId="12" borderId="7" xfId="7" applyFont="1" applyFill="1" applyBorder="1" applyAlignment="1" applyProtection="1">
      <alignment horizontal="center" vertical="center"/>
      <protection hidden="1"/>
    </xf>
    <xf numFmtId="0" fontId="19" fillId="0" borderId="0" xfId="7" applyFont="1" applyFill="1" applyBorder="1" applyAlignment="1" applyProtection="1">
      <alignment horizontal="center" vertical="center"/>
      <protection hidden="1"/>
    </xf>
    <xf numFmtId="0" fontId="20" fillId="11" borderId="8" xfId="7" applyFont="1" applyFill="1" applyBorder="1" applyAlignment="1" applyProtection="1">
      <alignment vertical="center"/>
      <protection hidden="1"/>
    </xf>
    <xf numFmtId="1" fontId="19" fillId="11" borderId="7" xfId="7" applyNumberFormat="1" applyFont="1" applyFill="1" applyBorder="1" applyAlignment="1" applyProtection="1">
      <alignment horizontal="center" vertical="center"/>
      <protection hidden="1"/>
    </xf>
    <xf numFmtId="1" fontId="19" fillId="9" borderId="0" xfId="7" applyNumberFormat="1" applyFont="1" applyFill="1" applyBorder="1" applyAlignment="1" applyProtection="1">
      <alignment horizontal="center" vertical="center"/>
      <protection hidden="1"/>
    </xf>
    <xf numFmtId="0" fontId="20" fillId="11" borderId="9" xfId="7" applyFont="1" applyFill="1" applyBorder="1" applyAlignment="1" applyProtection="1">
      <alignment vertical="center"/>
      <protection hidden="1"/>
    </xf>
    <xf numFmtId="1" fontId="19" fillId="11" borderId="10" xfId="7" applyNumberFormat="1" applyFont="1" applyFill="1" applyBorder="1" applyAlignment="1" applyProtection="1">
      <alignment horizontal="center" vertical="center"/>
      <protection hidden="1"/>
    </xf>
    <xf numFmtId="10" fontId="19" fillId="11" borderId="7" xfId="6" applyNumberFormat="1" applyFont="1" applyFill="1" applyBorder="1" applyAlignment="1" applyProtection="1">
      <alignment horizontal="center" vertical="center"/>
      <protection hidden="1"/>
    </xf>
    <xf numFmtId="10" fontId="19" fillId="9" borderId="0" xfId="6" applyNumberFormat="1" applyFont="1" applyFill="1" applyBorder="1" applyAlignment="1" applyProtection="1">
      <alignment horizontal="center" vertical="center"/>
      <protection hidden="1"/>
    </xf>
    <xf numFmtId="0" fontId="20" fillId="0" borderId="0" xfId="7" applyFont="1" applyFill="1" applyBorder="1" applyAlignment="1" applyProtection="1">
      <alignment horizontal="center" vertical="center"/>
    </xf>
    <xf numFmtId="0" fontId="20" fillId="11" borderId="11" xfId="7" applyFont="1" applyFill="1" applyBorder="1" applyAlignment="1" applyProtection="1">
      <alignment vertical="center"/>
      <protection hidden="1"/>
    </xf>
    <xf numFmtId="1" fontId="19" fillId="11" borderId="12" xfId="7" applyNumberFormat="1" applyFont="1" applyFill="1" applyBorder="1" applyAlignment="1" applyProtection="1">
      <alignment horizontal="center" vertical="center"/>
      <protection hidden="1"/>
    </xf>
    <xf numFmtId="1" fontId="20" fillId="9" borderId="0" xfId="7" applyNumberFormat="1" applyFont="1" applyFill="1" applyBorder="1" applyAlignment="1" applyProtection="1">
      <alignment horizontal="center" vertical="center"/>
      <protection hidden="1"/>
    </xf>
    <xf numFmtId="0" fontId="20" fillId="11" borderId="13" xfId="7" applyFont="1" applyFill="1" applyBorder="1" applyAlignment="1" applyProtection="1">
      <alignment vertical="center"/>
      <protection hidden="1"/>
    </xf>
    <xf numFmtId="0" fontId="19" fillId="11" borderId="10" xfId="7" applyFont="1" applyFill="1" applyBorder="1" applyAlignment="1" applyProtection="1">
      <alignment horizontal="center" vertical="center"/>
      <protection hidden="1"/>
    </xf>
    <xf numFmtId="2" fontId="19" fillId="11" borderId="7" xfId="7" applyNumberFormat="1" applyFont="1" applyFill="1" applyBorder="1" applyAlignment="1" applyProtection="1">
      <alignment horizontal="center" vertical="center"/>
      <protection hidden="1"/>
    </xf>
    <xf numFmtId="2" fontId="19" fillId="11" borderId="10" xfId="7" applyNumberFormat="1" applyFont="1" applyFill="1" applyBorder="1" applyAlignment="1" applyProtection="1">
      <alignment horizontal="center" vertical="center"/>
      <protection hidden="1"/>
    </xf>
    <xf numFmtId="2" fontId="19" fillId="9" borderId="0" xfId="7" applyNumberFormat="1" applyFont="1" applyFill="1" applyBorder="1" applyAlignment="1" applyProtection="1">
      <alignment horizontal="center" vertical="center"/>
      <protection hidden="1"/>
    </xf>
    <xf numFmtId="0" fontId="20" fillId="11" borderId="14" xfId="7" applyFont="1" applyFill="1" applyBorder="1" applyAlignment="1" applyProtection="1">
      <alignment vertical="center"/>
      <protection hidden="1"/>
    </xf>
    <xf numFmtId="9" fontId="19" fillId="11" borderId="7" xfId="6" applyFont="1" applyFill="1" applyBorder="1" applyAlignment="1" applyProtection="1">
      <alignment horizontal="center" vertical="center"/>
      <protection hidden="1"/>
    </xf>
    <xf numFmtId="9" fontId="19" fillId="9" borderId="0" xfId="6" applyFont="1" applyFill="1" applyBorder="1" applyAlignment="1" applyProtection="1">
      <alignment horizontal="center" vertical="center"/>
      <protection hidden="1"/>
    </xf>
    <xf numFmtId="0" fontId="20" fillId="0" borderId="0" xfId="7" applyFont="1" applyFill="1" applyBorder="1" applyAlignment="1" applyProtection="1">
      <alignment vertical="center"/>
      <protection hidden="1"/>
    </xf>
    <xf numFmtId="9" fontId="19" fillId="0" borderId="0" xfId="6" applyFont="1" applyFill="1" applyBorder="1" applyAlignment="1" applyProtection="1">
      <alignment horizontal="center" vertical="center"/>
      <protection hidden="1"/>
    </xf>
    <xf numFmtId="172" fontId="21" fillId="0" borderId="0" xfId="6" applyNumberFormat="1" applyFont="1" applyFill="1" applyAlignment="1">
      <alignment vertical="center"/>
    </xf>
    <xf numFmtId="172" fontId="23" fillId="10" borderId="15" xfId="0" applyNumberFormat="1" applyFont="1" applyFill="1" applyBorder="1" applyAlignment="1" applyProtection="1">
      <alignment horizontal="center" vertical="center"/>
      <protection locked="0"/>
    </xf>
    <xf numFmtId="4" fontId="5" fillId="0" borderId="0" xfId="0" applyNumberFormat="1" applyFont="1" applyAlignment="1">
      <alignment vertical="center"/>
    </xf>
    <xf numFmtId="4" fontId="5" fillId="9" borderId="0" xfId="0" applyNumberFormat="1" applyFont="1" applyFill="1" applyAlignment="1">
      <alignment vertical="center"/>
    </xf>
    <xf numFmtId="0" fontId="23" fillId="0" borderId="0" xfId="0" applyFont="1" applyAlignment="1" applyProtection="1">
      <alignment vertical="center"/>
      <protection hidden="1"/>
    </xf>
    <xf numFmtId="0" fontId="23" fillId="14" borderId="0" xfId="0" applyFont="1" applyFill="1" applyAlignment="1" applyProtection="1">
      <alignment vertical="center"/>
      <protection hidden="1"/>
    </xf>
    <xf numFmtId="0" fontId="10" fillId="5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2" fillId="13" borderId="15" xfId="7" applyFont="1" applyFill="1" applyBorder="1" applyAlignment="1">
      <alignment horizontal="left" vertical="center"/>
    </xf>
    <xf numFmtId="0" fontId="22" fillId="13" borderId="16" xfId="7" applyFont="1" applyFill="1" applyBorder="1" applyAlignment="1">
      <alignment horizontal="left" vertical="center"/>
    </xf>
    <xf numFmtId="43" fontId="4" fillId="0" borderId="0" xfId="2" applyNumberFormat="1" applyBorder="1" applyAlignment="1" applyProtection="1">
      <alignment horizontal="center"/>
    </xf>
    <xf numFmtId="43" fontId="2" fillId="4" borderId="0" xfId="5" applyNumberFormat="1" applyFont="1" applyBorder="1" applyAlignment="1">
      <alignment horizontal="center"/>
    </xf>
  </cellXfs>
  <cellStyles count="8">
    <cellStyle name="60% - Accent1" xfId="3" builtinId="32"/>
    <cellStyle name="60% - Accent3" xfId="4" builtinId="40"/>
    <cellStyle name="Accent6" xfId="5" builtinId="49"/>
    <cellStyle name="Comma" xfId="1" builtinId="3"/>
    <cellStyle name="Explanatory Text" xfId="7" builtinId="5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Downloads\TAMO-%20FS%20Analysis.xlsx" TargetMode="External"/><Relationship Id="rId1" Type="http://schemas.openxmlformats.org/officeDocument/2006/relationships/externalLinkPath" Target="TAMO-%20FS%20Analysi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Downloads\PL-final\P&amp;L%20final.xlsm" TargetMode="External"/><Relationship Id="rId1" Type="http://schemas.openxmlformats.org/officeDocument/2006/relationships/externalLinkPath" Target="PL-final/P&amp;L%20fina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inancials&gt;"/>
      <sheetName val="HistoricalFS"/>
      <sheetName val="Data&gt;"/>
      <sheetName val="Data Sheet"/>
      <sheetName val="Cash Flow Data"/>
    </sheetNames>
    <sheetDataSet>
      <sheetData sheetId="0"/>
      <sheetData sheetId="1"/>
      <sheetData sheetId="2"/>
      <sheetData sheetId="3">
        <row r="1">
          <cell r="B1" t="str">
            <v>TATA MOTORS LTD</v>
          </cell>
        </row>
      </sheetData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hartsDataSheet"/>
      <sheetName val="data"/>
      <sheetName val="dashboard"/>
      <sheetName val="calc"/>
      <sheetName val="Statement"/>
    </sheetNames>
    <sheetDataSet>
      <sheetData sheetId="0"/>
      <sheetData sheetId="1"/>
      <sheetData sheetId="2">
        <row r="5">
          <cell r="V5" t="str">
            <v>FEB</v>
          </cell>
        </row>
      </sheetData>
      <sheetData sheetId="3"/>
      <sheetData sheetId="4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ED752-EE89-4C68-9BFA-15D8A907209D}">
  <sheetPr>
    <tabColor rgb="FF0275D8"/>
  </sheetPr>
  <dimension ref="A1"/>
  <sheetViews>
    <sheetView workbookViewId="0">
      <selection activeCell="F15" sqref="F15"/>
    </sheetView>
  </sheetViews>
  <sheetFormatPr defaultRowHeight="14.5" x14ac:dyDescent="0.35"/>
  <sheetData>
    <row r="1" spans="1:1" x14ac:dyDescent="0.35">
      <c r="A1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F8A93-6E1F-4B07-86A2-0CAC36316534}">
  <dimension ref="A2:M116"/>
  <sheetViews>
    <sheetView zoomScale="83" zoomScaleNormal="83" workbookViewId="0">
      <pane ySplit="3" topLeftCell="A92" activePane="bottomLeft" state="frozen"/>
      <selection pane="bottomLeft" activeCell="B2" sqref="B2:M2"/>
    </sheetView>
  </sheetViews>
  <sheetFormatPr defaultRowHeight="14.5" outlineLevelRow="1" x14ac:dyDescent="0.35"/>
  <cols>
    <col min="1" max="1" width="1.81640625" customWidth="1"/>
    <col min="2" max="2" width="28.453125" bestFit="1" customWidth="1"/>
    <col min="3" max="13" width="13" customWidth="1"/>
  </cols>
  <sheetData>
    <row r="2" spans="1:13" x14ac:dyDescent="0.35">
      <c r="B2" s="112" t="str">
        <f>"Historical Financial Statement - "&amp;'[1]Data Sheet'!B1</f>
        <v>Historical Financial Statement - TATA MOTORS LTD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</row>
    <row r="3" spans="1:13" x14ac:dyDescent="0.35">
      <c r="B3" s="39" t="s">
        <v>94</v>
      </c>
      <c r="C3" s="40">
        <f>'Data Sheet'!B16</f>
        <v>42094</v>
      </c>
      <c r="D3" s="40">
        <f>'Data Sheet'!C16</f>
        <v>42460</v>
      </c>
      <c r="E3" s="40">
        <f>'Data Sheet'!D16</f>
        <v>42825</v>
      </c>
      <c r="F3" s="40">
        <f>'Data Sheet'!E16</f>
        <v>43190</v>
      </c>
      <c r="G3" s="40">
        <f>'Data Sheet'!F16</f>
        <v>43555</v>
      </c>
      <c r="H3" s="40">
        <f>'Data Sheet'!G16</f>
        <v>43921</v>
      </c>
      <c r="I3" s="40">
        <f>'Data Sheet'!H16</f>
        <v>44286</v>
      </c>
      <c r="J3" s="40">
        <f>'Data Sheet'!I16</f>
        <v>44651</v>
      </c>
      <c r="K3" s="40">
        <f>'Data Sheet'!J16</f>
        <v>45016</v>
      </c>
      <c r="L3" s="40">
        <f>'Data Sheet'!K16</f>
        <v>45382</v>
      </c>
      <c r="M3" s="41" t="s">
        <v>95</v>
      </c>
    </row>
    <row r="4" spans="1:13" x14ac:dyDescent="0.35">
      <c r="B4" s="25"/>
      <c r="C4" s="26"/>
      <c r="D4" s="26"/>
      <c r="E4" s="26"/>
      <c r="F4" s="26"/>
      <c r="G4" s="26"/>
      <c r="H4" s="26"/>
      <c r="I4" s="26"/>
      <c r="J4" s="26"/>
      <c r="K4" s="26"/>
      <c r="L4" s="26"/>
      <c r="M4" s="27"/>
    </row>
    <row r="5" spans="1:13" x14ac:dyDescent="0.35">
      <c r="A5" t="s">
        <v>96</v>
      </c>
      <c r="B5" s="28" t="s">
        <v>97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</row>
    <row r="6" spans="1:13" hidden="1" outlineLevel="1" x14ac:dyDescent="0.35">
      <c r="B6" t="s">
        <v>6</v>
      </c>
      <c r="C6" s="30">
        <f>IFERROR('Data Sheet'!B17,0)</f>
        <v>263158.98</v>
      </c>
      <c r="D6" s="30">
        <f>IFERROR('Data Sheet'!C17,0)</f>
        <v>273045.59999999998</v>
      </c>
      <c r="E6" s="30">
        <f>IFERROR('Data Sheet'!D17,0)</f>
        <v>269692.51</v>
      </c>
      <c r="F6" s="30">
        <f>IFERROR('Data Sheet'!E17,0)</f>
        <v>291550.48</v>
      </c>
      <c r="G6" s="30">
        <f>IFERROR('Data Sheet'!F17,0)</f>
        <v>301938.40000000002</v>
      </c>
      <c r="H6" s="30">
        <f>IFERROR('Data Sheet'!G17,0)</f>
        <v>261067.97</v>
      </c>
      <c r="I6" s="30">
        <f>IFERROR('Data Sheet'!H17,0)</f>
        <v>249794.75</v>
      </c>
      <c r="J6" s="30">
        <f>IFERROR('Data Sheet'!I17,0)</f>
        <v>278453.62</v>
      </c>
      <c r="K6" s="30">
        <f>IFERROR('Data Sheet'!J17,0)</f>
        <v>345966.97</v>
      </c>
      <c r="L6" s="30">
        <f>IFERROR('Data Sheet'!K17,0)</f>
        <v>437927.77</v>
      </c>
      <c r="M6" s="30">
        <f>IFERROR(SUM('Data Sheet'!J42:K42),0)</f>
        <v>209498</v>
      </c>
    </row>
    <row r="7" spans="1:13" hidden="1" outlineLevel="1" x14ac:dyDescent="0.35">
      <c r="B7" s="31" t="s">
        <v>22</v>
      </c>
      <c r="C7" s="32" t="s">
        <v>98</v>
      </c>
      <c r="D7" s="33">
        <f>D6/C6-1</f>
        <v>3.75690010654397E-2</v>
      </c>
      <c r="E7" s="33">
        <f t="shared" ref="E7:M7" si="0">E6/D6-1</f>
        <v>-1.2280329732469508E-2</v>
      </c>
      <c r="F7" s="33">
        <f t="shared" si="0"/>
        <v>8.104774581985974E-2</v>
      </c>
      <c r="G7" s="33">
        <f t="shared" si="0"/>
        <v>3.5629919045237157E-2</v>
      </c>
      <c r="H7" s="33">
        <f t="shared" si="0"/>
        <v>-0.135360159555724</v>
      </c>
      <c r="I7" s="33">
        <f t="shared" si="0"/>
        <v>-4.3181168490336042E-2</v>
      </c>
      <c r="J7" s="33">
        <f t="shared" si="0"/>
        <v>0.11472967306158344</v>
      </c>
      <c r="K7" s="33">
        <f t="shared" si="0"/>
        <v>0.24245815155859707</v>
      </c>
      <c r="L7" s="33">
        <f t="shared" si="0"/>
        <v>0.26580803363974326</v>
      </c>
      <c r="M7" s="33">
        <f t="shared" si="0"/>
        <v>-0.52161517411878222</v>
      </c>
    </row>
    <row r="8" spans="1:13" hidden="1" outlineLevel="1" x14ac:dyDescent="0.35"/>
    <row r="9" spans="1:13" hidden="1" outlineLevel="1" x14ac:dyDescent="0.35">
      <c r="B9" t="s">
        <v>99</v>
      </c>
      <c r="C9" s="30">
        <f>IFERROR(SUM('Data Sheet'!B18,'Data Sheet'!B20:B22)-1*'Data Sheet'!B19,0)</f>
        <v>202856.88</v>
      </c>
      <c r="D9" s="30">
        <f>IFERROR(SUM('Data Sheet'!C18,'Data Sheet'!C20:C22)-1*'Data Sheet'!C19,0)</f>
        <v>205509.07</v>
      </c>
      <c r="E9" s="30">
        <f>IFERROR(SUM('Data Sheet'!D18,'Data Sheet'!D20:D22)-1*'Data Sheet'!D19,0)</f>
        <v>205454.23999999996</v>
      </c>
      <c r="F9" s="30">
        <f>IFERROR(SUM('Data Sheet'!E18,'Data Sheet'!E20:E22)-1*'Data Sheet'!E19,0)</f>
        <v>228429.83</v>
      </c>
      <c r="G9" s="30">
        <f>IFERROR(SUM('Data Sheet'!F18,'Data Sheet'!F20:F22)-1*'Data Sheet'!F19,0)</f>
        <v>242845.53</v>
      </c>
      <c r="H9" s="30">
        <f>IFERROR(SUM('Data Sheet'!G18,'Data Sheet'!G20:G22)-1*'Data Sheet'!G19,0)</f>
        <v>210376.07000000004</v>
      </c>
      <c r="I9" s="30">
        <f>IFERROR(SUM('Data Sheet'!H18,'Data Sheet'!H20:H22)-1*'Data Sheet'!H19,0)</f>
        <v>195326.04</v>
      </c>
      <c r="J9" s="30">
        <f>IFERROR(SUM('Data Sheet'!I18,'Data Sheet'!I20:I22)-1*'Data Sheet'!I19,0)</f>
        <v>223300.00999999998</v>
      </c>
      <c r="K9" s="30">
        <f>IFERROR(SUM('Data Sheet'!J18,'Data Sheet'!J20:J22)-1*'Data Sheet'!J19,0)</f>
        <v>274403.64</v>
      </c>
      <c r="L9" s="30">
        <f>IFERROR(SUM('Data Sheet'!K18,'Data Sheet'!K20:K22)-1*'Data Sheet'!K19,0)</f>
        <v>334551.78999999998</v>
      </c>
      <c r="M9" s="30">
        <f>IFERROR(SUM('Data Sheet'!J43:K43),0)</f>
        <v>181554</v>
      </c>
    </row>
    <row r="10" spans="1:13" hidden="1" outlineLevel="1" x14ac:dyDescent="0.35">
      <c r="B10" s="31" t="s">
        <v>100</v>
      </c>
      <c r="C10" s="33">
        <f>C9/C6</f>
        <v>0.77085296500237244</v>
      </c>
      <c r="D10" s="33">
        <f t="shared" ref="D10:M10" si="1">D9/D6</f>
        <v>0.75265475803309057</v>
      </c>
      <c r="E10" s="33">
        <f t="shared" si="1"/>
        <v>0.76180921746770036</v>
      </c>
      <c r="F10" s="33">
        <f t="shared" si="1"/>
        <v>0.78350009919380004</v>
      </c>
      <c r="G10" s="33">
        <f t="shared" si="1"/>
        <v>0.80428832503583503</v>
      </c>
      <c r="H10" s="33">
        <f t="shared" si="1"/>
        <v>0.80582872728508226</v>
      </c>
      <c r="I10" s="33">
        <f t="shared" si="1"/>
        <v>0.7819461377791167</v>
      </c>
      <c r="J10" s="33">
        <f t="shared" si="1"/>
        <v>0.80192891728252624</v>
      </c>
      <c r="K10" s="33">
        <f t="shared" si="1"/>
        <v>0.79314982005363122</v>
      </c>
      <c r="L10" s="33">
        <f t="shared" si="1"/>
        <v>0.76394285295038489</v>
      </c>
      <c r="M10" s="33">
        <f t="shared" si="1"/>
        <v>0.86661447841984174</v>
      </c>
    </row>
    <row r="11" spans="1:13" hidden="1" outlineLevel="1" x14ac:dyDescent="0.35"/>
    <row r="12" spans="1:13" hidden="1" outlineLevel="1" x14ac:dyDescent="0.35">
      <c r="B12" t="s">
        <v>101</v>
      </c>
      <c r="C12" s="34">
        <f>C6-C9</f>
        <v>60302.099999999977</v>
      </c>
      <c r="D12" s="34">
        <f t="shared" ref="D12:M12" si="2">D6-D9</f>
        <v>67536.52999999997</v>
      </c>
      <c r="E12" s="34">
        <f t="shared" si="2"/>
        <v>64238.270000000048</v>
      </c>
      <c r="F12" s="34">
        <f t="shared" si="2"/>
        <v>63120.649999999994</v>
      </c>
      <c r="G12" s="34">
        <f t="shared" si="2"/>
        <v>59092.870000000024</v>
      </c>
      <c r="H12" s="34">
        <f t="shared" si="2"/>
        <v>50691.899999999965</v>
      </c>
      <c r="I12" s="34">
        <f t="shared" si="2"/>
        <v>54468.709999999992</v>
      </c>
      <c r="J12" s="34">
        <f t="shared" si="2"/>
        <v>55153.610000000015</v>
      </c>
      <c r="K12" s="34">
        <f t="shared" si="2"/>
        <v>71563.329999999958</v>
      </c>
      <c r="L12" s="34">
        <f t="shared" si="2"/>
        <v>103375.98000000004</v>
      </c>
      <c r="M12" s="34">
        <f t="shared" si="2"/>
        <v>27944</v>
      </c>
    </row>
    <row r="13" spans="1:13" hidden="1" outlineLevel="1" x14ac:dyDescent="0.35">
      <c r="B13" s="31" t="s">
        <v>102</v>
      </c>
      <c r="C13" s="33">
        <f>C12/C6</f>
        <v>0.22914703499762759</v>
      </c>
      <c r="D13" s="33">
        <f t="shared" ref="D13:M13" si="3">D12/D6</f>
        <v>0.24734524196690946</v>
      </c>
      <c r="E13" s="33">
        <f t="shared" si="3"/>
        <v>0.23819078253229964</v>
      </c>
      <c r="F13" s="33">
        <f t="shared" si="3"/>
        <v>0.21649990080619999</v>
      </c>
      <c r="G13" s="33">
        <f t="shared" si="3"/>
        <v>0.19571167496416494</v>
      </c>
      <c r="H13" s="33">
        <f t="shared" si="3"/>
        <v>0.19417127271491774</v>
      </c>
      <c r="I13" s="33">
        <f t="shared" si="3"/>
        <v>0.2180538622208833</v>
      </c>
      <c r="J13" s="33">
        <f t="shared" si="3"/>
        <v>0.19807108271747378</v>
      </c>
      <c r="K13" s="33">
        <f t="shared" si="3"/>
        <v>0.20685017994636876</v>
      </c>
      <c r="L13" s="33">
        <f t="shared" si="3"/>
        <v>0.23605714704961514</v>
      </c>
      <c r="M13" s="33">
        <f t="shared" si="3"/>
        <v>0.13338552158015829</v>
      </c>
    </row>
    <row r="14" spans="1:13" hidden="1" outlineLevel="1" x14ac:dyDescent="0.35"/>
    <row r="15" spans="1:13" hidden="1" outlineLevel="1" x14ac:dyDescent="0.35">
      <c r="B15" t="s">
        <v>103</v>
      </c>
      <c r="C15" s="34">
        <f>IFERROR(SUM('Data Sheet'!B23:B24),0)</f>
        <v>21063.449999999997</v>
      </c>
      <c r="D15" s="34">
        <f>IFERROR(SUM('Data Sheet'!C23:C24),0)</f>
        <v>29141.280000000002</v>
      </c>
      <c r="E15" s="34">
        <f>IFERROR(SUM('Data Sheet'!D23:D24),0)</f>
        <v>34649.58</v>
      </c>
      <c r="F15" s="34">
        <f>IFERROR(SUM('Data Sheet'!E23:E24),0)</f>
        <v>31662.97</v>
      </c>
      <c r="G15" s="34">
        <f>IFERROR(SUM('Data Sheet'!F23:F24),0)</f>
        <v>34428.54</v>
      </c>
      <c r="H15" s="34">
        <f>IFERROR(SUM('Data Sheet'!G23:G24),0)</f>
        <v>32704.83</v>
      </c>
      <c r="I15" s="34">
        <f>IFERROR(SUM('Data Sheet'!H23:H24),0)</f>
        <v>22181.280000000002</v>
      </c>
      <c r="J15" s="34">
        <f>IFERROR(SUM('Data Sheet'!I23:I24),0)</f>
        <v>30433.52</v>
      </c>
      <c r="K15" s="34">
        <f>IFERROR(SUM('Data Sheet'!J23:J24),0)</f>
        <v>39747.53</v>
      </c>
      <c r="L15" s="34">
        <f>IFERROR(SUM('Data Sheet'!K23:K24),0)</f>
        <v>43837.64</v>
      </c>
      <c r="M15" s="34"/>
    </row>
    <row r="16" spans="1:13" hidden="1" outlineLevel="1" x14ac:dyDescent="0.35">
      <c r="B16" s="31" t="s">
        <v>104</v>
      </c>
      <c r="C16" s="33">
        <f>C15/C6</f>
        <v>8.0040779911823637E-2</v>
      </c>
      <c r="D16" s="33">
        <f t="shared" ref="D16:M16" si="4">D15/D6</f>
        <v>0.10672678849247161</v>
      </c>
      <c r="E16" s="33">
        <f t="shared" si="4"/>
        <v>0.12847809529452636</v>
      </c>
      <c r="F16" s="33">
        <f t="shared" si="4"/>
        <v>0.10860201636437025</v>
      </c>
      <c r="G16" s="33">
        <f t="shared" si="4"/>
        <v>0.11402504616835751</v>
      </c>
      <c r="H16" s="33">
        <f t="shared" si="4"/>
        <v>0.12527323822987554</v>
      </c>
      <c r="I16" s="33">
        <f t="shared" si="4"/>
        <v>8.8798023177028354E-2</v>
      </c>
      <c r="J16" s="33">
        <f t="shared" si="4"/>
        <v>0.10929475436519734</v>
      </c>
      <c r="K16" s="33">
        <f t="shared" si="4"/>
        <v>0.11488822184383672</v>
      </c>
      <c r="L16" s="33">
        <f t="shared" si="4"/>
        <v>0.10010244383451636</v>
      </c>
      <c r="M16" s="33">
        <f t="shared" si="4"/>
        <v>0</v>
      </c>
    </row>
    <row r="17" spans="2:13" hidden="1" outlineLevel="1" x14ac:dyDescent="0.35"/>
    <row r="18" spans="2:13" hidden="1" outlineLevel="1" x14ac:dyDescent="0.35">
      <c r="B18" t="s">
        <v>105</v>
      </c>
      <c r="C18" s="34">
        <f t="shared" ref="C18:L18" si="5">C12-C15</f>
        <v>39238.64999999998</v>
      </c>
      <c r="D18" s="34">
        <f t="shared" si="5"/>
        <v>38395.249999999971</v>
      </c>
      <c r="E18" s="34">
        <f t="shared" si="5"/>
        <v>29588.690000000046</v>
      </c>
      <c r="F18" s="34">
        <f t="shared" si="5"/>
        <v>31457.679999999993</v>
      </c>
      <c r="G18" s="34">
        <f t="shared" si="5"/>
        <v>24664.330000000024</v>
      </c>
      <c r="H18" s="34">
        <f t="shared" si="5"/>
        <v>17987.069999999963</v>
      </c>
      <c r="I18" s="34">
        <f t="shared" si="5"/>
        <v>32287.429999999989</v>
      </c>
      <c r="J18" s="34">
        <f t="shared" si="5"/>
        <v>24720.090000000015</v>
      </c>
      <c r="K18" s="34">
        <f t="shared" si="5"/>
        <v>31815.799999999959</v>
      </c>
      <c r="L18" s="34">
        <f t="shared" si="5"/>
        <v>59538.34000000004</v>
      </c>
      <c r="M18" s="34">
        <f>IFERROR(SUM('Data Sheet'!J51:K51),0)</f>
        <v>31105</v>
      </c>
    </row>
    <row r="19" spans="2:13" hidden="1" outlineLevel="1" x14ac:dyDescent="0.35">
      <c r="B19" s="31" t="s">
        <v>106</v>
      </c>
      <c r="C19" s="33">
        <f>C18/C6</f>
        <v>0.14910625508580397</v>
      </c>
      <c r="D19" s="33">
        <f t="shared" ref="D19:M19" si="6">D18/D6</f>
        <v>0.14061845347443788</v>
      </c>
      <c r="E19" s="33">
        <f t="shared" si="6"/>
        <v>0.10971268723777329</v>
      </c>
      <c r="F19" s="33">
        <f t="shared" si="6"/>
        <v>0.10789788444182975</v>
      </c>
      <c r="G19" s="33">
        <f t="shared" si="6"/>
        <v>8.1686628795807431E-2</v>
      </c>
      <c r="H19" s="33">
        <f t="shared" si="6"/>
        <v>6.8898034485042198E-2</v>
      </c>
      <c r="I19" s="33">
        <f t="shared" si="6"/>
        <v>0.12925583904385496</v>
      </c>
      <c r="J19" s="33">
        <f t="shared" si="6"/>
        <v>8.877632835227646E-2</v>
      </c>
      <c r="K19" s="33">
        <f t="shared" si="6"/>
        <v>9.1961958102532049E-2</v>
      </c>
      <c r="L19" s="33">
        <f t="shared" si="6"/>
        <v>0.13595470321509878</v>
      </c>
      <c r="M19" s="33">
        <f t="shared" si="6"/>
        <v>0.14847397111189606</v>
      </c>
    </row>
    <row r="20" spans="2:13" hidden="1" outlineLevel="1" x14ac:dyDescent="0.35"/>
    <row r="21" spans="2:13" hidden="1" outlineLevel="1" x14ac:dyDescent="0.35">
      <c r="B21" t="s">
        <v>11</v>
      </c>
      <c r="C21" s="34">
        <f>IFERROR('Data Sheet'!B27,0)</f>
        <v>4861.49</v>
      </c>
      <c r="D21" s="34">
        <f>IFERROR('Data Sheet'!C27,0)</f>
        <v>4889.08</v>
      </c>
      <c r="E21" s="34">
        <f>IFERROR('Data Sheet'!D27,0)</f>
        <v>4238.01</v>
      </c>
      <c r="F21" s="34">
        <f>IFERROR('Data Sheet'!E27,0)</f>
        <v>4681.79</v>
      </c>
      <c r="G21" s="34">
        <f>IFERROR('Data Sheet'!F27,0)</f>
        <v>5758.6</v>
      </c>
      <c r="H21" s="34">
        <f>IFERROR('Data Sheet'!G27,0)</f>
        <v>7243.33</v>
      </c>
      <c r="I21" s="34">
        <f>IFERROR('Data Sheet'!H27,0)</f>
        <v>8097.17</v>
      </c>
      <c r="J21" s="34">
        <f>IFERROR('Data Sheet'!I27,0)</f>
        <v>9311.86</v>
      </c>
      <c r="K21" s="34">
        <f>IFERROR('Data Sheet'!J27,0)</f>
        <v>10225.48</v>
      </c>
      <c r="L21" s="34">
        <f>IFERROR('Data Sheet'!K27,0)</f>
        <v>9985.76</v>
      </c>
      <c r="M21" s="34">
        <f>IFERROR(SUM('Data Sheet'!J46:K46),0)</f>
        <v>4122</v>
      </c>
    </row>
    <row r="22" spans="2:13" hidden="1" outlineLevel="1" x14ac:dyDescent="0.35">
      <c r="B22" s="31" t="s">
        <v>107</v>
      </c>
      <c r="C22" s="33">
        <f>C21/C6</f>
        <v>1.8473585814932098E-2</v>
      </c>
      <c r="D22" s="33">
        <f t="shared" ref="D22:M22" si="7">D21/D6</f>
        <v>1.7905727101993223E-2</v>
      </c>
      <c r="E22" s="33">
        <f t="shared" si="7"/>
        <v>1.5714229512714312E-2</v>
      </c>
      <c r="F22" s="33">
        <f t="shared" si="7"/>
        <v>1.605824830060304E-2</v>
      </c>
      <c r="G22" s="33">
        <f t="shared" si="7"/>
        <v>1.9072102124141878E-2</v>
      </c>
      <c r="H22" s="33">
        <f t="shared" si="7"/>
        <v>2.7744996829752802E-2</v>
      </c>
      <c r="I22" s="33">
        <f t="shared" si="7"/>
        <v>3.2415292955516477E-2</v>
      </c>
      <c r="J22" s="33">
        <f t="shared" si="7"/>
        <v>3.3441332168710897E-2</v>
      </c>
      <c r="K22" s="33">
        <f t="shared" si="7"/>
        <v>2.9556231914277829E-2</v>
      </c>
      <c r="L22" s="33">
        <f t="shared" si="7"/>
        <v>2.2802299109736749E-2</v>
      </c>
      <c r="M22" s="33">
        <f t="shared" si="7"/>
        <v>1.9675605495040525E-2</v>
      </c>
    </row>
    <row r="23" spans="2:13" hidden="1" outlineLevel="1" x14ac:dyDescent="0.35"/>
    <row r="24" spans="2:13" hidden="1" outlineLevel="1" x14ac:dyDescent="0.35">
      <c r="B24" t="s">
        <v>10</v>
      </c>
      <c r="C24" s="34">
        <f>IFERROR('Data Sheet'!B26,0)</f>
        <v>13388.63</v>
      </c>
      <c r="D24" s="34">
        <f>IFERROR('Data Sheet'!C26,0)</f>
        <v>16710.78</v>
      </c>
      <c r="E24" s="34">
        <f>IFERROR('Data Sheet'!D26,0)</f>
        <v>17904.990000000002</v>
      </c>
      <c r="F24" s="34">
        <f>IFERROR('Data Sheet'!E26,0)</f>
        <v>21553.59</v>
      </c>
      <c r="G24" s="34">
        <f>IFERROR('Data Sheet'!F26,0)</f>
        <v>23590.63</v>
      </c>
      <c r="H24" s="34">
        <f>IFERROR('Data Sheet'!G26,0)</f>
        <v>21425.43</v>
      </c>
      <c r="I24" s="34">
        <f>IFERROR('Data Sheet'!H26,0)</f>
        <v>23546.71</v>
      </c>
      <c r="J24" s="34">
        <f>IFERROR('Data Sheet'!I26,0)</f>
        <v>24835.69</v>
      </c>
      <c r="K24" s="34">
        <f>IFERROR('Data Sheet'!J26,0)</f>
        <v>24860.36</v>
      </c>
      <c r="L24" s="34">
        <f>IFERROR('Data Sheet'!K26,0)</f>
        <v>27270.13</v>
      </c>
      <c r="M24" s="34">
        <f>IFERROR(SUM('Data Sheet'!J45:K45),0)</f>
        <v>12579</v>
      </c>
    </row>
    <row r="25" spans="2:13" hidden="1" outlineLevel="1" x14ac:dyDescent="0.35">
      <c r="B25" s="31" t="s">
        <v>108</v>
      </c>
      <c r="C25" s="33">
        <f>C24/C6</f>
        <v>5.0876584184966822E-2</v>
      </c>
      <c r="D25" s="33">
        <f t="shared" ref="D25:M25" si="8">D24/D6</f>
        <v>6.1201425695927715E-2</v>
      </c>
      <c r="E25" s="33">
        <f t="shared" si="8"/>
        <v>6.63903865924938E-2</v>
      </c>
      <c r="F25" s="33">
        <f t="shared" si="8"/>
        <v>7.3927472182518786E-2</v>
      </c>
      <c r="G25" s="33">
        <f t="shared" si="8"/>
        <v>7.8130605447998658E-2</v>
      </c>
      <c r="H25" s="33">
        <f t="shared" si="8"/>
        <v>8.206839774331566E-2</v>
      </c>
      <c r="I25" s="33">
        <f t="shared" si="8"/>
        <v>9.4264230933596482E-2</v>
      </c>
      <c r="J25" s="33">
        <f t="shared" si="8"/>
        <v>8.9191478279219347E-2</v>
      </c>
      <c r="K25" s="33">
        <f t="shared" si="8"/>
        <v>7.1857611147098821E-2</v>
      </c>
      <c r="L25" s="33">
        <f t="shared" si="8"/>
        <v>6.2270839777984394E-2</v>
      </c>
      <c r="M25" s="33">
        <f t="shared" si="8"/>
        <v>6.0043532635156424E-2</v>
      </c>
    </row>
    <row r="26" spans="2:13" hidden="1" outlineLevel="1" x14ac:dyDescent="0.35"/>
    <row r="27" spans="2:13" hidden="1" outlineLevel="1" x14ac:dyDescent="0.35">
      <c r="B27" t="s">
        <v>109</v>
      </c>
      <c r="C27" s="34">
        <f>IFERROR(C18-SUM(C24,C21),0)</f>
        <v>20988.529999999981</v>
      </c>
      <c r="D27" s="34">
        <f t="shared" ref="D27:M27" si="9">IFERROR(D18-SUM(D24,D21),0)</f>
        <v>16795.38999999997</v>
      </c>
      <c r="E27" s="34">
        <f t="shared" si="9"/>
        <v>7445.690000000046</v>
      </c>
      <c r="F27" s="34">
        <f t="shared" si="9"/>
        <v>5222.299999999992</v>
      </c>
      <c r="G27" s="34">
        <f t="shared" si="9"/>
        <v>-4684.8999999999796</v>
      </c>
      <c r="H27" s="34">
        <f t="shared" si="9"/>
        <v>-10681.690000000039</v>
      </c>
      <c r="I27" s="30">
        <f t="shared" si="9"/>
        <v>643.549999999992</v>
      </c>
      <c r="J27" s="30">
        <f t="shared" si="9"/>
        <v>-9427.4599999999882</v>
      </c>
      <c r="K27" s="30">
        <f t="shared" si="9"/>
        <v>-3270.0400000000373</v>
      </c>
      <c r="L27" s="30">
        <f t="shared" si="9"/>
        <v>22282.450000000041</v>
      </c>
      <c r="M27" s="30">
        <f t="shared" si="9"/>
        <v>14404</v>
      </c>
    </row>
    <row r="28" spans="2:13" hidden="1" outlineLevel="1" x14ac:dyDescent="0.35">
      <c r="B28" s="31" t="s">
        <v>110</v>
      </c>
      <c r="C28" s="33">
        <f>C27/C6</f>
        <v>7.9756085085905037E-2</v>
      </c>
      <c r="D28" s="33">
        <f t="shared" ref="D28:M28" si="10">D27/D6</f>
        <v>6.1511300676516931E-2</v>
      </c>
      <c r="E28" s="33">
        <f t="shared" si="10"/>
        <v>2.7608071132565179E-2</v>
      </c>
      <c r="F28" s="33">
        <f t="shared" si="10"/>
        <v>1.7912163958707913E-2</v>
      </c>
      <c r="G28" s="33">
        <f t="shared" si="10"/>
        <v>-1.5516078776333117E-2</v>
      </c>
      <c r="H28" s="33">
        <f t="shared" si="10"/>
        <v>-4.0915360088026265E-2</v>
      </c>
      <c r="I28" s="33">
        <f t="shared" si="10"/>
        <v>2.5763151547420113E-3</v>
      </c>
      <c r="J28" s="33">
        <f t="shared" si="10"/>
        <v>-3.3856482095653805E-2</v>
      </c>
      <c r="K28" s="33">
        <f t="shared" si="10"/>
        <v>-9.4518849588445895E-3</v>
      </c>
      <c r="L28" s="33">
        <f t="shared" si="10"/>
        <v>5.0881564327377643E-2</v>
      </c>
      <c r="M28" s="33">
        <f t="shared" si="10"/>
        <v>6.8754832981699113E-2</v>
      </c>
    </row>
    <row r="29" spans="2:13" hidden="1" outlineLevel="1" x14ac:dyDescent="0.35"/>
    <row r="30" spans="2:13" hidden="1" outlineLevel="1" x14ac:dyDescent="0.35">
      <c r="B30" t="s">
        <v>13</v>
      </c>
      <c r="C30" s="30">
        <f>IFERROR('Data Sheet'!B29,0)</f>
        <v>7642.91</v>
      </c>
      <c r="D30" s="30">
        <f>IFERROR('Data Sheet'!C29,0)</f>
        <v>3025.05</v>
      </c>
      <c r="E30" s="30">
        <f>IFERROR('Data Sheet'!D29,0)</f>
        <v>3251.23</v>
      </c>
      <c r="F30" s="30">
        <f>IFERROR('Data Sheet'!E29,0)</f>
        <v>4341.93</v>
      </c>
      <c r="G30" s="30">
        <f>IFERROR('Data Sheet'!F29,0)</f>
        <v>-2437.4499999999998</v>
      </c>
      <c r="H30" s="30">
        <f>IFERROR('Data Sheet'!G29,0)</f>
        <v>395.25</v>
      </c>
      <c r="I30" s="30">
        <f>IFERROR('Data Sheet'!H29,0)</f>
        <v>2541.86</v>
      </c>
      <c r="J30" s="30">
        <f>IFERROR('Data Sheet'!I29,0)</f>
        <v>4231.29</v>
      </c>
      <c r="K30" s="30">
        <f>IFERROR('Data Sheet'!J29,0)</f>
        <v>704.06</v>
      </c>
      <c r="L30" s="30">
        <f>IFERROR('Data Sheet'!K29,0)</f>
        <v>-3851.64</v>
      </c>
      <c r="M30" s="30">
        <f>IFERROR(SUM('Data Sheet'!J48:K48),0)</f>
        <v>5495</v>
      </c>
    </row>
    <row r="31" spans="2:13" hidden="1" outlineLevel="1" x14ac:dyDescent="0.35">
      <c r="B31" s="31" t="s">
        <v>111</v>
      </c>
      <c r="C31" s="33">
        <f>C30/C27</f>
        <v>0.3641469888553418</v>
      </c>
      <c r="D31" s="33">
        <f t="shared" ref="D31:M31" si="11">D30/D27</f>
        <v>0.18011192356950362</v>
      </c>
      <c r="E31" s="33">
        <f t="shared" si="11"/>
        <v>0.43665932908836924</v>
      </c>
      <c r="F31" s="33">
        <f t="shared" si="11"/>
        <v>0.8314210213890445</v>
      </c>
      <c r="G31" s="33">
        <f t="shared" si="11"/>
        <v>0.52027791414971725</v>
      </c>
      <c r="H31" s="33">
        <f t="shared" si="11"/>
        <v>-3.7002571690434617E-2</v>
      </c>
      <c r="I31" s="33">
        <f t="shared" si="11"/>
        <v>3.9497474943672315</v>
      </c>
      <c r="J31" s="33">
        <f t="shared" si="11"/>
        <v>-0.4488260888935095</v>
      </c>
      <c r="K31" s="33">
        <f t="shared" si="11"/>
        <v>-0.21530623478611635</v>
      </c>
      <c r="L31" s="33">
        <f t="shared" si="11"/>
        <v>-0.17285531887202676</v>
      </c>
      <c r="M31" s="33">
        <f t="shared" si="11"/>
        <v>0.38149125242988058</v>
      </c>
    </row>
    <row r="32" spans="2:13" hidden="1" outlineLevel="1" x14ac:dyDescent="0.35"/>
    <row r="33" spans="1:13" hidden="1" outlineLevel="1" x14ac:dyDescent="0.35">
      <c r="B33" t="s">
        <v>112</v>
      </c>
      <c r="C33" s="30">
        <f>IFERROR(C27-C30,0)</f>
        <v>13345.619999999981</v>
      </c>
      <c r="D33" s="30">
        <f t="shared" ref="D33:M33" si="12">IFERROR(D27-D30,0)</f>
        <v>13770.339999999971</v>
      </c>
      <c r="E33" s="30">
        <f t="shared" si="12"/>
        <v>4194.4600000000464</v>
      </c>
      <c r="F33" s="30">
        <f t="shared" si="12"/>
        <v>880.36999999999171</v>
      </c>
      <c r="G33" s="30">
        <f t="shared" si="12"/>
        <v>-2247.4499999999798</v>
      </c>
      <c r="H33" s="30">
        <f t="shared" si="12"/>
        <v>-11076.940000000039</v>
      </c>
      <c r="I33" s="30">
        <f t="shared" si="12"/>
        <v>-1898.3100000000081</v>
      </c>
      <c r="J33" s="30">
        <f t="shared" si="12"/>
        <v>-13658.749999999989</v>
      </c>
      <c r="K33" s="30">
        <f t="shared" si="12"/>
        <v>-3974.1000000000372</v>
      </c>
      <c r="L33" s="30">
        <f t="shared" si="12"/>
        <v>26134.09000000004</v>
      </c>
      <c r="M33" s="30">
        <f t="shared" si="12"/>
        <v>8909</v>
      </c>
    </row>
    <row r="34" spans="1:13" hidden="1" outlineLevel="1" x14ac:dyDescent="0.35">
      <c r="B34" s="31" t="s">
        <v>113</v>
      </c>
      <c r="C34" s="33">
        <f>C33/C6</f>
        <v>5.0713146858982282E-2</v>
      </c>
      <c r="D34" s="33">
        <f t="shared" ref="D34:M34" si="13">D33/D6</f>
        <v>5.0432381990407359E-2</v>
      </c>
      <c r="E34" s="33">
        <f t="shared" si="13"/>
        <v>1.5552749314395296E-2</v>
      </c>
      <c r="F34" s="33">
        <f t="shared" si="13"/>
        <v>3.01961430487095E-3</v>
      </c>
      <c r="G34" s="33">
        <f t="shared" si="13"/>
        <v>-7.4434056747998256E-3</v>
      </c>
      <c r="H34" s="33">
        <f t="shared" si="13"/>
        <v>-4.2429333632923408E-2</v>
      </c>
      <c r="I34" s="33">
        <f t="shared" si="13"/>
        <v>-7.5994791724005731E-3</v>
      </c>
      <c r="J34" s="33">
        <f t="shared" si="13"/>
        <v>-4.9052154538339235E-2</v>
      </c>
      <c r="K34" s="33">
        <f t="shared" si="13"/>
        <v>-1.1486934720964945E-2</v>
      </c>
      <c r="L34" s="33">
        <f t="shared" si="13"/>
        <v>5.9676713353894045E-2</v>
      </c>
      <c r="M34" s="33">
        <f t="shared" si="13"/>
        <v>4.2525465636903452E-2</v>
      </c>
    </row>
    <row r="35" spans="1:13" hidden="1" outlineLevel="1" x14ac:dyDescent="0.35"/>
    <row r="36" spans="1:13" hidden="1" outlineLevel="1" x14ac:dyDescent="0.35">
      <c r="B36" t="s">
        <v>114</v>
      </c>
      <c r="C36">
        <f>IFERROR('Data Sheet'!B93,0)</f>
        <v>288.74</v>
      </c>
      <c r="D36">
        <f>IFERROR('Data Sheet'!C93,0)</f>
        <v>288.72000000000003</v>
      </c>
      <c r="E36">
        <f>IFERROR('Data Sheet'!D93,0)</f>
        <v>288.73</v>
      </c>
      <c r="F36">
        <f>IFERROR('Data Sheet'!E93,0)</f>
        <v>288.73</v>
      </c>
      <c r="G36">
        <f>IFERROR('Data Sheet'!F93,0)</f>
        <v>288.73</v>
      </c>
      <c r="H36">
        <f>IFERROR('Data Sheet'!G93,0)</f>
        <v>308.89999999999998</v>
      </c>
      <c r="I36">
        <f>IFERROR('Data Sheet'!H93,0)</f>
        <v>332.03</v>
      </c>
      <c r="J36">
        <f>IFERROR('Data Sheet'!I93,0)</f>
        <v>332.07</v>
      </c>
      <c r="K36">
        <f>IFERROR('Data Sheet'!J93,0)</f>
        <v>332.13</v>
      </c>
      <c r="L36">
        <f>IFERROR('Data Sheet'!K93,0)</f>
        <v>332.37</v>
      </c>
      <c r="M36" s="42">
        <f>'Data Sheet'!B6</f>
        <v>368.11248477075986</v>
      </c>
    </row>
    <row r="37" spans="1:13" hidden="1" outlineLevel="1" x14ac:dyDescent="0.35"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</row>
    <row r="38" spans="1:13" hidden="1" outlineLevel="1" x14ac:dyDescent="0.35">
      <c r="B38" t="s">
        <v>115</v>
      </c>
      <c r="C38" s="34">
        <f>IFERROR(C33/C36,0)</f>
        <v>46.220198102098706</v>
      </c>
      <c r="D38" s="34">
        <f t="shared" ref="D38:M38" si="14">IFERROR(D33/D36,0)</f>
        <v>47.694444444444336</v>
      </c>
      <c r="E38" s="34">
        <f t="shared" si="14"/>
        <v>14.527274616423808</v>
      </c>
      <c r="F38" s="34">
        <f t="shared" si="14"/>
        <v>3.049111626779315</v>
      </c>
      <c r="G38" s="34">
        <f t="shared" si="14"/>
        <v>-7.7839157690575265</v>
      </c>
      <c r="H38" s="34">
        <f t="shared" si="14"/>
        <v>-35.859307219164904</v>
      </c>
      <c r="I38" s="34">
        <f t="shared" si="14"/>
        <v>-5.7172845827184542</v>
      </c>
      <c r="J38" s="34">
        <f t="shared" si="14"/>
        <v>-41.132140813683833</v>
      </c>
      <c r="K38" s="34">
        <f t="shared" si="14"/>
        <v>-11.965495438533218</v>
      </c>
      <c r="L38" s="34">
        <f t="shared" si="14"/>
        <v>78.629509281824596</v>
      </c>
      <c r="M38" s="34">
        <f t="shared" si="14"/>
        <v>24.201841471223215</v>
      </c>
    </row>
    <row r="39" spans="1:13" hidden="1" outlineLevel="1" x14ac:dyDescent="0.35">
      <c r="B39" s="31" t="s">
        <v>116</v>
      </c>
      <c r="C39" s="33"/>
      <c r="D39" s="33">
        <f>IFERROR(D38/C38-1,0)</f>
        <v>3.189614936502605E-2</v>
      </c>
      <c r="E39" s="33">
        <f t="shared" ref="E39:M39" si="15">IFERROR(E38/D38-1,0)</f>
        <v>-0.69540950134463697</v>
      </c>
      <c r="F39" s="33">
        <f t="shared" si="15"/>
        <v>-0.79011124197155724</v>
      </c>
      <c r="G39" s="33">
        <f t="shared" si="15"/>
        <v>-3.5528470983790919</v>
      </c>
      <c r="H39" s="33">
        <f t="shared" si="15"/>
        <v>3.6068467700681115</v>
      </c>
      <c r="I39" s="33">
        <f t="shared" si="15"/>
        <v>-0.84056344011958861</v>
      </c>
      <c r="J39" s="33">
        <f t="shared" si="15"/>
        <v>6.194349033807641</v>
      </c>
      <c r="K39" s="33">
        <f t="shared" si="15"/>
        <v>-0.70909621522659627</v>
      </c>
      <c r="L39" s="33">
        <f t="shared" si="15"/>
        <v>-7.5713542482001346</v>
      </c>
      <c r="M39" s="33">
        <f t="shared" si="15"/>
        <v>-0.6922040886141263</v>
      </c>
    </row>
    <row r="40" spans="1:13" hidden="1" outlineLevel="1" x14ac:dyDescent="0.35"/>
    <row r="41" spans="1:13" hidden="1" outlineLevel="1" x14ac:dyDescent="0.35">
      <c r="B41" t="s">
        <v>117</v>
      </c>
      <c r="C41" s="30">
        <f>IFERROR('Data Sheet'!B31/C36,0)</f>
        <v>0</v>
      </c>
      <c r="D41" s="30">
        <f>IFERROR('Data Sheet'!C31/D36,0)</f>
        <v>0.23524522028262676</v>
      </c>
      <c r="E41" s="30">
        <f>IFERROR('Data Sheet'!D31/E36,0)</f>
        <v>0</v>
      </c>
      <c r="F41" s="30">
        <f>IFERROR('Data Sheet'!E31/F36,0)</f>
        <v>0</v>
      </c>
      <c r="G41" s="30">
        <f>IFERROR('Data Sheet'!F31/G36,0)</f>
        <v>0</v>
      </c>
      <c r="H41" s="30">
        <f>IFERROR('Data Sheet'!G31/H36,0)</f>
        <v>0</v>
      </c>
      <c r="I41" s="30">
        <f>IFERROR('Data Sheet'!H31/I36,0)</f>
        <v>0</v>
      </c>
      <c r="J41" s="30">
        <f>IFERROR('Data Sheet'!I31/J36,0)</f>
        <v>0</v>
      </c>
      <c r="K41" s="30">
        <f>IFERROR('Data Sheet'!J31/K36,0)</f>
        <v>2.3063860536536898</v>
      </c>
      <c r="L41" s="30">
        <f>IFERROR('Data Sheet'!K31/L36,0)</f>
        <v>6.9184944489574871</v>
      </c>
      <c r="M41" s="30">
        <f>IFERROR('Data Sheet'!L31/M36,0)</f>
        <v>0</v>
      </c>
    </row>
    <row r="42" spans="1:13" hidden="1" outlineLevel="1" x14ac:dyDescent="0.35">
      <c r="B42" s="31" t="s">
        <v>118</v>
      </c>
      <c r="C42" s="33">
        <f>IFERROR(C41/C38,0)</f>
        <v>0</v>
      </c>
      <c r="D42" s="33">
        <f t="shared" ref="D42:M42" si="16">IFERROR(D41/D38,0)</f>
        <v>4.9323400874633563E-3</v>
      </c>
      <c r="E42" s="33">
        <f t="shared" si="16"/>
        <v>0</v>
      </c>
      <c r="F42" s="33">
        <f t="shared" si="16"/>
        <v>0</v>
      </c>
      <c r="G42" s="33">
        <f t="shared" si="16"/>
        <v>0</v>
      </c>
      <c r="H42" s="33">
        <f t="shared" si="16"/>
        <v>0</v>
      </c>
      <c r="I42" s="33">
        <f t="shared" si="16"/>
        <v>0</v>
      </c>
      <c r="J42" s="33">
        <f t="shared" si="16"/>
        <v>0</v>
      </c>
      <c r="K42" s="33">
        <f t="shared" si="16"/>
        <v>-0.19275307616818721</v>
      </c>
      <c r="L42" s="33">
        <f t="shared" si="16"/>
        <v>8.7988523801670396E-2</v>
      </c>
      <c r="M42" s="33">
        <f t="shared" si="16"/>
        <v>0</v>
      </c>
    </row>
    <row r="43" spans="1:13" hidden="1" outlineLevel="1" x14ac:dyDescent="0.35"/>
    <row r="44" spans="1:13" hidden="1" outlineLevel="1" x14ac:dyDescent="0.35">
      <c r="B44" t="s">
        <v>119</v>
      </c>
      <c r="C44" s="35">
        <f>IFERROR(IF(C38&gt;C41,1-C42,0),0)</f>
        <v>1</v>
      </c>
      <c r="D44" s="35">
        <f t="shared" ref="D44:M44" si="17">IFERROR(IF(D38&gt;D41,1-D42,0),0)</f>
        <v>0.99506765991253665</v>
      </c>
      <c r="E44" s="35">
        <f t="shared" si="17"/>
        <v>1</v>
      </c>
      <c r="F44" s="35">
        <f t="shared" si="17"/>
        <v>1</v>
      </c>
      <c r="G44" s="35">
        <f t="shared" si="17"/>
        <v>0</v>
      </c>
      <c r="H44" s="35">
        <f t="shared" si="17"/>
        <v>0</v>
      </c>
      <c r="I44" s="35">
        <f t="shared" si="17"/>
        <v>0</v>
      </c>
      <c r="J44" s="35">
        <f t="shared" si="17"/>
        <v>0</v>
      </c>
      <c r="K44" s="35">
        <f t="shared" si="17"/>
        <v>0</v>
      </c>
      <c r="L44" s="35">
        <f t="shared" si="17"/>
        <v>0.91201147619832956</v>
      </c>
      <c r="M44" s="35">
        <f t="shared" si="17"/>
        <v>1</v>
      </c>
    </row>
    <row r="45" spans="1:13" collapsed="1" x14ac:dyDescent="0.35"/>
    <row r="46" spans="1:13" x14ac:dyDescent="0.35">
      <c r="A46" t="s">
        <v>96</v>
      </c>
      <c r="B46" s="28" t="s">
        <v>120</v>
      </c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</row>
    <row r="47" spans="1:13" hidden="1" outlineLevel="1" x14ac:dyDescent="0.35">
      <c r="B47" t="s">
        <v>24</v>
      </c>
      <c r="C47" s="30">
        <f>IFERROR('Data Sheet'!B57,0)</f>
        <v>643.78</v>
      </c>
      <c r="D47" s="30">
        <f>IFERROR('Data Sheet'!C57,0)</f>
        <v>679.18</v>
      </c>
      <c r="E47" s="30">
        <f>IFERROR('Data Sheet'!D57,0)</f>
        <v>679.22</v>
      </c>
      <c r="F47" s="30">
        <f>IFERROR('Data Sheet'!E57,0)</f>
        <v>679.22</v>
      </c>
      <c r="G47" s="30">
        <f>IFERROR('Data Sheet'!F57,0)</f>
        <v>679.22</v>
      </c>
      <c r="H47" s="30">
        <f>IFERROR('Data Sheet'!G57,0)</f>
        <v>719.54</v>
      </c>
      <c r="I47" s="30">
        <f>IFERROR('Data Sheet'!H57,0)</f>
        <v>765.81</v>
      </c>
      <c r="J47" s="30">
        <f>IFERROR('Data Sheet'!I57,0)</f>
        <v>765.88</v>
      </c>
      <c r="K47" s="30">
        <f>IFERROR('Data Sheet'!J57,0)</f>
        <v>766.02</v>
      </c>
      <c r="L47" s="30">
        <f>IFERROR('Data Sheet'!K57,0)</f>
        <v>766.5</v>
      </c>
    </row>
    <row r="48" spans="1:13" hidden="1" outlineLevel="1" x14ac:dyDescent="0.35">
      <c r="B48" t="s">
        <v>25</v>
      </c>
      <c r="C48" s="30">
        <f>IFERROR('Data Sheet'!B58,0)</f>
        <v>55618.14</v>
      </c>
      <c r="D48" s="30">
        <f>IFERROR('Data Sheet'!C58,0)</f>
        <v>78273.23</v>
      </c>
      <c r="E48" s="30">
        <f>IFERROR('Data Sheet'!D58,0)</f>
        <v>57382.67</v>
      </c>
      <c r="F48" s="30">
        <f>IFERROR('Data Sheet'!E58,0)</f>
        <v>94748.69</v>
      </c>
      <c r="G48" s="30">
        <f>IFERROR('Data Sheet'!F58,0)</f>
        <v>59500.34</v>
      </c>
      <c r="H48" s="30">
        <f>IFERROR('Data Sheet'!G58,0)</f>
        <v>62358.99</v>
      </c>
      <c r="I48" s="30">
        <f>IFERROR('Data Sheet'!H58,0)</f>
        <v>54480.91</v>
      </c>
      <c r="J48" s="30">
        <f>IFERROR('Data Sheet'!I58,0)</f>
        <v>43795.360000000001</v>
      </c>
      <c r="K48" s="30">
        <f>IFERROR('Data Sheet'!J58,0)</f>
        <v>44555.77</v>
      </c>
      <c r="L48" s="30">
        <f>IFERROR('Data Sheet'!K58,0)</f>
        <v>84151.52</v>
      </c>
    </row>
    <row r="49" spans="2:13" hidden="1" outlineLevel="1" x14ac:dyDescent="0.35">
      <c r="B49" t="s">
        <v>71</v>
      </c>
      <c r="C49" s="30">
        <f>IFERROR('Data Sheet'!B59,0)</f>
        <v>73610.39</v>
      </c>
      <c r="D49" s="30">
        <f>IFERROR('Data Sheet'!C59,0)</f>
        <v>69359.960000000006</v>
      </c>
      <c r="E49" s="30">
        <f>IFERROR('Data Sheet'!D59,0)</f>
        <v>78603.98</v>
      </c>
      <c r="F49" s="30">
        <f>IFERROR('Data Sheet'!E59,0)</f>
        <v>88950.47</v>
      </c>
      <c r="G49" s="30">
        <f>IFERROR('Data Sheet'!F59,0)</f>
        <v>106175.34</v>
      </c>
      <c r="H49" s="30">
        <f>IFERROR('Data Sheet'!G59,0)</f>
        <v>124787.64</v>
      </c>
      <c r="I49" s="30">
        <f>IFERROR('Data Sheet'!H59,0)</f>
        <v>142130.57</v>
      </c>
      <c r="J49" s="30">
        <f>IFERROR('Data Sheet'!I59,0)</f>
        <v>146449.03</v>
      </c>
      <c r="K49" s="30">
        <f>IFERROR('Data Sheet'!J59,0)</f>
        <v>134113.44</v>
      </c>
      <c r="L49" s="30">
        <f>IFERROR('Data Sheet'!K59,0)</f>
        <v>107262.5</v>
      </c>
    </row>
    <row r="50" spans="2:13" hidden="1" outlineLevel="1" x14ac:dyDescent="0.35">
      <c r="B50" t="s">
        <v>72</v>
      </c>
      <c r="C50" s="30">
        <f>IFERROR('Data Sheet'!B60,0)</f>
        <v>107442.48</v>
      </c>
      <c r="D50" s="30">
        <f>IFERROR('Data Sheet'!C60,0)</f>
        <v>114871.75</v>
      </c>
      <c r="E50" s="30">
        <f>IFERROR('Data Sheet'!D60,0)</f>
        <v>135914.49</v>
      </c>
      <c r="F50" s="30">
        <f>IFERROR('Data Sheet'!E60,0)</f>
        <v>142813.43</v>
      </c>
      <c r="G50" s="30">
        <f>IFERROR('Data Sheet'!F60,0)</f>
        <v>139348.59</v>
      </c>
      <c r="H50" s="30">
        <f>IFERROR('Data Sheet'!G60,0)</f>
        <v>132313.22</v>
      </c>
      <c r="I50" s="30">
        <f>IFERROR('Data Sheet'!H60,0)</f>
        <v>144192.62</v>
      </c>
      <c r="J50" s="30">
        <f>IFERROR('Data Sheet'!I60,0)</f>
        <v>138051.22</v>
      </c>
      <c r="K50" s="30">
        <f>IFERROR('Data Sheet'!J60,0)</f>
        <v>155239.20000000001</v>
      </c>
      <c r="L50" s="30">
        <f>IFERROR('Data Sheet'!K60,0)</f>
        <v>177340.09</v>
      </c>
    </row>
    <row r="51" spans="2:13" hidden="1" outlineLevel="1" x14ac:dyDescent="0.35">
      <c r="B51" s="36" t="s">
        <v>121</v>
      </c>
      <c r="C51" s="37">
        <f>IFERROR('Data Sheet'!B61,0)</f>
        <v>237314.79</v>
      </c>
      <c r="D51" s="37">
        <f>IFERROR('Data Sheet'!C61,0)</f>
        <v>263184.12</v>
      </c>
      <c r="E51" s="37">
        <f>IFERROR('Data Sheet'!D61,0)</f>
        <v>272580.36</v>
      </c>
      <c r="F51" s="37">
        <f>IFERROR('Data Sheet'!E61,0)</f>
        <v>327191.81</v>
      </c>
      <c r="G51" s="37">
        <f>IFERROR('Data Sheet'!F61,0)</f>
        <v>305703.49</v>
      </c>
      <c r="H51" s="37">
        <f>IFERROR('Data Sheet'!G61,0)</f>
        <v>320179.39</v>
      </c>
      <c r="I51" s="37">
        <f>IFERROR('Data Sheet'!H61,0)</f>
        <v>341569.91</v>
      </c>
      <c r="J51" s="37">
        <f>IFERROR('Data Sheet'!I61,0)</f>
        <v>329061.49</v>
      </c>
      <c r="K51" s="37">
        <f>IFERROR('Data Sheet'!J61,0)</f>
        <v>334674.43</v>
      </c>
      <c r="L51" s="37">
        <f>IFERROR('Data Sheet'!K61,0)</f>
        <v>369520.61</v>
      </c>
      <c r="M51" s="36"/>
    </row>
    <row r="52" spans="2:13" hidden="1" outlineLevel="1" x14ac:dyDescent="0.35"/>
    <row r="53" spans="2:13" hidden="1" outlineLevel="1" x14ac:dyDescent="0.35">
      <c r="B53" t="s">
        <v>122</v>
      </c>
      <c r="C53" s="30">
        <f>IFERROR('Data Sheet'!B62,0)</f>
        <v>88479.49</v>
      </c>
      <c r="D53" s="30">
        <f>IFERROR('Data Sheet'!C62,0)</f>
        <v>107231.76</v>
      </c>
      <c r="E53" s="30">
        <f>IFERROR('Data Sheet'!D62,0)</f>
        <v>95944.08</v>
      </c>
      <c r="F53" s="30">
        <f>IFERROR('Data Sheet'!E62,0)</f>
        <v>121413.86</v>
      </c>
      <c r="G53" s="30">
        <f>IFERROR('Data Sheet'!F62,0)</f>
        <v>111234.47</v>
      </c>
      <c r="H53" s="30">
        <f>IFERROR('Data Sheet'!G62,0)</f>
        <v>127107.14</v>
      </c>
      <c r="I53" s="30">
        <f>IFERROR('Data Sheet'!H62,0)</f>
        <v>138707.60999999999</v>
      </c>
      <c r="J53" s="30">
        <f>IFERROR('Data Sheet'!I62,0)</f>
        <v>138855.45000000001</v>
      </c>
      <c r="K53" s="30">
        <f>IFERROR('Data Sheet'!J62,0)</f>
        <v>132079.76</v>
      </c>
      <c r="L53" s="30">
        <f>IFERROR('Data Sheet'!K62,0)</f>
        <v>121285.46</v>
      </c>
    </row>
    <row r="54" spans="2:13" hidden="1" outlineLevel="1" x14ac:dyDescent="0.35">
      <c r="B54" t="s">
        <v>28</v>
      </c>
      <c r="C54" s="30">
        <f>IFERROR('Data Sheet'!B63,0)</f>
        <v>28640.09</v>
      </c>
      <c r="D54" s="30">
        <f>IFERROR('Data Sheet'!C63,0)</f>
        <v>25918.94</v>
      </c>
      <c r="E54" s="30">
        <f>IFERROR('Data Sheet'!D63,0)</f>
        <v>33698.839999999997</v>
      </c>
      <c r="F54" s="30">
        <f>IFERROR('Data Sheet'!E63,0)</f>
        <v>40033.5</v>
      </c>
      <c r="G54" s="30">
        <f>IFERROR('Data Sheet'!F63,0)</f>
        <v>31883.84</v>
      </c>
      <c r="H54" s="30">
        <f>IFERROR('Data Sheet'!G63,0)</f>
        <v>35622.29</v>
      </c>
      <c r="I54" s="30">
        <f>IFERROR('Data Sheet'!H63,0)</f>
        <v>20963.93</v>
      </c>
      <c r="J54" s="30">
        <f>IFERROR('Data Sheet'!I63,0)</f>
        <v>10251.09</v>
      </c>
      <c r="K54" s="30">
        <f>IFERROR('Data Sheet'!J63,0)</f>
        <v>14274.5</v>
      </c>
      <c r="L54" s="30">
        <f>IFERROR('Data Sheet'!K63,0)</f>
        <v>35698.43</v>
      </c>
    </row>
    <row r="55" spans="2:13" hidden="1" outlineLevel="1" x14ac:dyDescent="0.35">
      <c r="B55" t="s">
        <v>29</v>
      </c>
      <c r="C55" s="30">
        <f>IFERROR('Data Sheet'!B64,0)</f>
        <v>15336.74</v>
      </c>
      <c r="D55" s="30">
        <f>IFERROR('Data Sheet'!C64,0)</f>
        <v>23767.02</v>
      </c>
      <c r="E55" s="30">
        <f>IFERROR('Data Sheet'!D64,0)</f>
        <v>20337.919999999998</v>
      </c>
      <c r="F55" s="30">
        <f>IFERROR('Data Sheet'!E64,0)</f>
        <v>20812.75</v>
      </c>
      <c r="G55" s="30">
        <f>IFERROR('Data Sheet'!F64,0)</f>
        <v>15770.72</v>
      </c>
      <c r="H55" s="30">
        <f>IFERROR('Data Sheet'!G64,0)</f>
        <v>16308.48</v>
      </c>
      <c r="I55" s="30">
        <f>IFERROR('Data Sheet'!H64,0)</f>
        <v>24620.28</v>
      </c>
      <c r="J55" s="30">
        <f>IFERROR('Data Sheet'!I64,0)</f>
        <v>29379.53</v>
      </c>
      <c r="K55" s="30">
        <f>IFERROR('Data Sheet'!J64,0)</f>
        <v>26379.16</v>
      </c>
      <c r="L55" s="30">
        <f>IFERROR('Data Sheet'!K64,0)</f>
        <v>22971.07</v>
      </c>
    </row>
    <row r="56" spans="2:13" hidden="1" outlineLevel="1" x14ac:dyDescent="0.35">
      <c r="B56" t="s">
        <v>73</v>
      </c>
      <c r="C56" s="30">
        <f>IFERROR('Data Sheet'!B65-SUM('Data Sheet'!B67:B69),0)</f>
        <v>30891.17</v>
      </c>
      <c r="D56" s="30">
        <f>IFERROR('Data Sheet'!C65-SUM('Data Sheet'!C67:C69),0)</f>
        <v>29579.359999999986</v>
      </c>
      <c r="E56" s="30">
        <f>IFERROR('Data Sheet'!D65-SUM('Data Sheet'!D67:D69),0)</f>
        <v>37360.780000000013</v>
      </c>
      <c r="F56" s="30">
        <f>IFERROR('Data Sheet'!E65-SUM('Data Sheet'!E67:E69),0)</f>
        <v>48286.860000000015</v>
      </c>
      <c r="G56" s="30">
        <f>IFERROR('Data Sheet'!F65-SUM('Data Sheet'!F67:F69),0)</f>
        <v>56155.739999999991</v>
      </c>
      <c r="H56" s="30">
        <f>IFERROR('Data Sheet'!G65-SUM('Data Sheet'!G67:G69),0)</f>
        <v>58784.94</v>
      </c>
      <c r="I56" s="30">
        <f>IFERROR('Data Sheet'!H65-SUM('Data Sheet'!H67:H69),0)</f>
        <v>61717.959999999992</v>
      </c>
      <c r="J56" s="30">
        <f>IFERROR('Data Sheet'!I65-SUM('Data Sheet'!I67:I69),0)</f>
        <v>62223.770000000019</v>
      </c>
      <c r="K56" s="30">
        <f>IFERROR('Data Sheet'!J65-SUM('Data Sheet'!J67:J69),0)</f>
        <v>68432.090000000011</v>
      </c>
      <c r="L56" s="30">
        <f>IFERROR('Data Sheet'!K65-SUM('Data Sheet'!K67:K69),0)</f>
        <v>79018.859999999986</v>
      </c>
    </row>
    <row r="57" spans="2:13" hidden="1" outlineLevel="1" x14ac:dyDescent="0.35">
      <c r="B57" s="36" t="s">
        <v>123</v>
      </c>
      <c r="C57" s="37">
        <f>SUM(C53:C56)</f>
        <v>163347.49</v>
      </c>
      <c r="D57" s="37">
        <f t="shared" ref="D57:L57" si="18">SUM(D53:D56)</f>
        <v>186497.07999999996</v>
      </c>
      <c r="E57" s="37">
        <f t="shared" si="18"/>
        <v>187341.62</v>
      </c>
      <c r="F57" s="37">
        <f t="shared" si="18"/>
        <v>230546.97</v>
      </c>
      <c r="G57" s="37">
        <f t="shared" si="18"/>
        <v>215044.77</v>
      </c>
      <c r="H57" s="37">
        <f t="shared" si="18"/>
        <v>237822.85</v>
      </c>
      <c r="I57" s="37">
        <f t="shared" si="18"/>
        <v>246009.77999999997</v>
      </c>
      <c r="J57" s="37">
        <f t="shared" si="18"/>
        <v>240709.84000000003</v>
      </c>
      <c r="K57" s="37">
        <f t="shared" si="18"/>
        <v>241165.51</v>
      </c>
      <c r="L57" s="37">
        <f t="shared" si="18"/>
        <v>258973.82</v>
      </c>
    </row>
    <row r="58" spans="2:13" hidden="1" outlineLevel="1" x14ac:dyDescent="0.35">
      <c r="B58" s="36"/>
    </row>
    <row r="59" spans="2:13" hidden="1" outlineLevel="1" x14ac:dyDescent="0.35">
      <c r="B59" t="s">
        <v>78</v>
      </c>
      <c r="C59" s="30">
        <f>IFERROR('Data Sheet'!B67,0)</f>
        <v>12579.2</v>
      </c>
      <c r="D59" s="30">
        <f>IFERROR('Data Sheet'!C67,0)</f>
        <v>13570.91</v>
      </c>
      <c r="E59" s="30">
        <f>IFERROR('Data Sheet'!D67,0)</f>
        <v>14075.55</v>
      </c>
      <c r="F59" s="30">
        <f>IFERROR('Data Sheet'!E67,0)</f>
        <v>19893.3</v>
      </c>
      <c r="G59" s="30">
        <f>IFERROR('Data Sheet'!F67,0)</f>
        <v>18996.169999999998</v>
      </c>
      <c r="H59" s="30">
        <f>IFERROR('Data Sheet'!G67,0)</f>
        <v>11172.69</v>
      </c>
      <c r="I59" s="30">
        <f>IFERROR('Data Sheet'!H67,0)</f>
        <v>12679.08</v>
      </c>
      <c r="J59" s="30">
        <f>IFERROR('Data Sheet'!I67,0)</f>
        <v>12442.12</v>
      </c>
      <c r="K59" s="30">
        <f>IFERROR('Data Sheet'!J67,0)</f>
        <v>15737.97</v>
      </c>
      <c r="L59" s="30">
        <f>IFERROR('Data Sheet'!K67,0)</f>
        <v>16951.810000000001</v>
      </c>
    </row>
    <row r="60" spans="2:13" hidden="1" outlineLevel="1" x14ac:dyDescent="0.35">
      <c r="B60" t="s">
        <v>45</v>
      </c>
      <c r="C60" s="30">
        <f>IFERROR('Data Sheet'!B68,0)</f>
        <v>29272.34</v>
      </c>
      <c r="D60" s="30">
        <f>IFERROR('Data Sheet'!C68,0)</f>
        <v>32655.73</v>
      </c>
      <c r="E60" s="30">
        <f>IFERROR('Data Sheet'!D68,0)</f>
        <v>35085.31</v>
      </c>
      <c r="F60" s="30">
        <f>IFERROR('Data Sheet'!E68,0)</f>
        <v>42137.63</v>
      </c>
      <c r="G60" s="30">
        <f>IFERROR('Data Sheet'!F68,0)</f>
        <v>39013.730000000003</v>
      </c>
      <c r="H60" s="30">
        <f>IFERROR('Data Sheet'!G68,0)</f>
        <v>37456.879999999997</v>
      </c>
      <c r="I60" s="30">
        <f>IFERROR('Data Sheet'!H68,0)</f>
        <v>36088.589999999997</v>
      </c>
      <c r="J60" s="30">
        <f>IFERROR('Data Sheet'!I68,0)</f>
        <v>35240.339999999997</v>
      </c>
      <c r="K60" s="30">
        <f>IFERROR('Data Sheet'!J68,0)</f>
        <v>40755.39</v>
      </c>
      <c r="L60" s="30">
        <f>IFERROR('Data Sheet'!K68,0)</f>
        <v>47788.29</v>
      </c>
    </row>
    <row r="61" spans="2:13" hidden="1" outlineLevel="1" x14ac:dyDescent="0.35">
      <c r="B61" t="s">
        <v>87</v>
      </c>
      <c r="C61" s="30">
        <f>IFERROR('Data Sheet'!B69,0)</f>
        <v>32115.759999999998</v>
      </c>
      <c r="D61" s="30">
        <f>IFERROR('Data Sheet'!C69,0)</f>
        <v>30460.400000000001</v>
      </c>
      <c r="E61" s="30">
        <f>IFERROR('Data Sheet'!D69,0)</f>
        <v>36077.879999999997</v>
      </c>
      <c r="F61" s="30">
        <f>IFERROR('Data Sheet'!E69,0)</f>
        <v>34613.910000000003</v>
      </c>
      <c r="G61" s="30">
        <f>IFERROR('Data Sheet'!F69,0)</f>
        <v>32648.82</v>
      </c>
      <c r="H61" s="30">
        <f>IFERROR('Data Sheet'!G69,0)</f>
        <v>33726.97</v>
      </c>
      <c r="I61" s="30">
        <f>IFERROR('Data Sheet'!H69,0)</f>
        <v>46792.46</v>
      </c>
      <c r="J61" s="30">
        <f>IFERROR('Data Sheet'!I69,0)</f>
        <v>40669.19</v>
      </c>
      <c r="K61" s="30">
        <f>IFERROR('Data Sheet'!J69,0)</f>
        <v>37015.56</v>
      </c>
      <c r="L61" s="30">
        <f>IFERROR('Data Sheet'!K69,0)</f>
        <v>45806.69</v>
      </c>
    </row>
    <row r="62" spans="2:13" hidden="1" outlineLevel="1" x14ac:dyDescent="0.35">
      <c r="B62" s="36" t="s">
        <v>124</v>
      </c>
      <c r="C62" s="37">
        <f>IFERROR(SUM(C59:C61),0)</f>
        <v>73967.3</v>
      </c>
      <c r="D62" s="37">
        <f t="shared" ref="D62:L62" si="19">IFERROR(SUM(D59:D61),0)</f>
        <v>76687.040000000008</v>
      </c>
      <c r="E62" s="37">
        <f t="shared" si="19"/>
        <v>85238.739999999991</v>
      </c>
      <c r="F62" s="37">
        <f t="shared" si="19"/>
        <v>96644.84</v>
      </c>
      <c r="G62" s="37">
        <f t="shared" si="19"/>
        <v>90658.72</v>
      </c>
      <c r="H62" s="37">
        <f t="shared" si="19"/>
        <v>82356.540000000008</v>
      </c>
      <c r="I62" s="37">
        <f t="shared" si="19"/>
        <v>95560.13</v>
      </c>
      <c r="J62" s="37">
        <f t="shared" si="19"/>
        <v>88351.65</v>
      </c>
      <c r="K62" s="37">
        <f t="shared" si="19"/>
        <v>93508.92</v>
      </c>
      <c r="L62" s="37">
        <f t="shared" si="19"/>
        <v>110546.79000000001</v>
      </c>
    </row>
    <row r="63" spans="2:13" hidden="1" outlineLevel="1" x14ac:dyDescent="0.35"/>
    <row r="64" spans="2:13" hidden="1" outlineLevel="1" x14ac:dyDescent="0.35">
      <c r="B64" s="36" t="s">
        <v>125</v>
      </c>
      <c r="C64" s="37">
        <f>IFERROR(C62+C57,0)</f>
        <v>237314.78999999998</v>
      </c>
      <c r="D64" s="37">
        <f t="shared" ref="D64:L64" si="20">IFERROR(D62+D57,0)</f>
        <v>263184.12</v>
      </c>
      <c r="E64" s="37">
        <f t="shared" si="20"/>
        <v>272580.36</v>
      </c>
      <c r="F64" s="37">
        <f t="shared" si="20"/>
        <v>327191.81</v>
      </c>
      <c r="G64" s="37">
        <f t="shared" si="20"/>
        <v>305703.49</v>
      </c>
      <c r="H64" s="37">
        <f t="shared" si="20"/>
        <v>320179.39</v>
      </c>
      <c r="I64" s="37">
        <f t="shared" si="20"/>
        <v>341569.91</v>
      </c>
      <c r="J64" s="37">
        <f t="shared" si="20"/>
        <v>329061.49</v>
      </c>
      <c r="K64" s="37">
        <f t="shared" si="20"/>
        <v>334674.43</v>
      </c>
      <c r="L64" s="37">
        <f t="shared" si="20"/>
        <v>369520.61</v>
      </c>
    </row>
    <row r="65" spans="1:13" hidden="1" outlineLevel="1" x14ac:dyDescent="0.35"/>
    <row r="66" spans="1:13" hidden="1" outlineLevel="1" x14ac:dyDescent="0.35">
      <c r="B66" s="38" t="s">
        <v>126</v>
      </c>
      <c r="C66" s="38" t="b">
        <f>C64=C51</f>
        <v>1</v>
      </c>
      <c r="D66" s="38" t="b">
        <f t="shared" ref="D66:L66" si="21">D64=D51</f>
        <v>1</v>
      </c>
      <c r="E66" s="38" t="b">
        <f t="shared" si="21"/>
        <v>1</v>
      </c>
      <c r="F66" s="38" t="b">
        <f t="shared" si="21"/>
        <v>1</v>
      </c>
      <c r="G66" s="38" t="b">
        <f t="shared" si="21"/>
        <v>1</v>
      </c>
      <c r="H66" s="38" t="b">
        <f t="shared" si="21"/>
        <v>1</v>
      </c>
      <c r="I66" s="38" t="b">
        <f t="shared" si="21"/>
        <v>1</v>
      </c>
      <c r="J66" s="38" t="b">
        <f t="shared" si="21"/>
        <v>1</v>
      </c>
      <c r="K66" s="38" t="b">
        <f t="shared" si="21"/>
        <v>1</v>
      </c>
      <c r="L66" s="38" t="b">
        <f t="shared" si="21"/>
        <v>1</v>
      </c>
    </row>
    <row r="67" spans="1:13" collapsed="1" x14ac:dyDescent="0.35"/>
    <row r="68" spans="1:13" x14ac:dyDescent="0.35">
      <c r="A68" t="s">
        <v>96</v>
      </c>
      <c r="B68" s="28" t="s">
        <v>127</v>
      </c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</row>
    <row r="69" spans="1:13" outlineLevel="1" x14ac:dyDescent="0.35">
      <c r="B69" s="36" t="s">
        <v>128</v>
      </c>
    </row>
    <row r="70" spans="1:13" outlineLevel="1" x14ac:dyDescent="0.35">
      <c r="B70" t="s">
        <v>129</v>
      </c>
      <c r="C70" s="30">
        <f>IFERROR('Cash Flow Data'!E4,0)</f>
        <v>-620</v>
      </c>
      <c r="D70" s="30">
        <f>IFERROR('Cash Flow Data'!F4,0)</f>
        <v>3502</v>
      </c>
      <c r="E70" s="30">
        <f>IFERROR('Cash Flow Data'!G4,0)</f>
        <v>1662</v>
      </c>
      <c r="F70" s="30">
        <f>IFERROR('Cash Flow Data'!H4,0)</f>
        <v>4091</v>
      </c>
      <c r="G70" s="30">
        <f>IFERROR('Cash Flow Data'!I4,0)</f>
        <v>6167</v>
      </c>
      <c r="H70" s="30">
        <f>IFERROR('Cash Flow Data'!J4,0)</f>
        <v>439</v>
      </c>
      <c r="I70" s="30">
        <f>IFERROR('Cash Flow Data'!K4,0)</f>
        <v>1961</v>
      </c>
      <c r="J70" s="30">
        <f>IFERROR('Cash Flow Data'!L4,0)</f>
        <v>2683</v>
      </c>
      <c r="K70" s="30">
        <f>IFERROR('Cash Flow Data'!M4,0)</f>
        <v>5010</v>
      </c>
      <c r="L70" s="30">
        <f>IFERROR('Cash Flow Data'!N4,0)</f>
        <v>8523</v>
      </c>
    </row>
    <row r="71" spans="1:13" outlineLevel="1" x14ac:dyDescent="0.35">
      <c r="B71" t="s">
        <v>78</v>
      </c>
      <c r="C71" s="30">
        <f>IFERROR('Cash Flow Data'!E5,0)</f>
        <v>-20</v>
      </c>
      <c r="D71" s="30">
        <f>IFERROR('Cash Flow Data'!F5,0)</f>
        <v>-678</v>
      </c>
      <c r="E71" s="30">
        <f>IFERROR('Cash Flow Data'!G5,0)</f>
        <v>-199</v>
      </c>
      <c r="F71" s="30">
        <f>IFERROR('Cash Flow Data'!H5,0)</f>
        <v>-1217</v>
      </c>
      <c r="G71" s="30">
        <f>IFERROR('Cash Flow Data'!I5,0)</f>
        <v>164</v>
      </c>
      <c r="H71" s="30">
        <f>IFERROR('Cash Flow Data'!J5,0)</f>
        <v>1168</v>
      </c>
      <c r="I71" s="30">
        <f>IFERROR('Cash Flow Data'!K5,0)</f>
        <v>-142</v>
      </c>
      <c r="J71" s="30">
        <f>IFERROR('Cash Flow Data'!L5,0)</f>
        <v>-1016</v>
      </c>
      <c r="K71" s="30">
        <f>IFERROR('Cash Flow Data'!M5,0)</f>
        <v>-306</v>
      </c>
      <c r="L71" s="30">
        <f>IFERROR('Cash Flow Data'!N5,0)</f>
        <v>-553</v>
      </c>
    </row>
    <row r="72" spans="1:13" outlineLevel="1" x14ac:dyDescent="0.35">
      <c r="B72" t="s">
        <v>45</v>
      </c>
      <c r="C72" s="30">
        <f>IFERROR('Cash Flow Data'!E6,0)</f>
        <v>-940</v>
      </c>
      <c r="D72" s="30">
        <f>IFERROR('Cash Flow Data'!F6,0)</f>
        <v>-235</v>
      </c>
      <c r="E72" s="30">
        <f>IFERROR('Cash Flow Data'!G6,0)</f>
        <v>-572</v>
      </c>
      <c r="F72" s="30">
        <f>IFERROR('Cash Flow Data'!H6,0)</f>
        <v>-278</v>
      </c>
      <c r="G72" s="30">
        <f>IFERROR('Cash Flow Data'!I6,0)</f>
        <v>966</v>
      </c>
      <c r="H72" s="30">
        <f>IFERROR('Cash Flow Data'!J6,0)</f>
        <v>730</v>
      </c>
      <c r="I72" s="30">
        <f>IFERROR('Cash Flow Data'!K6,0)</f>
        <v>-765</v>
      </c>
      <c r="J72" s="30">
        <f>IFERROR('Cash Flow Data'!L6,0)</f>
        <v>-1201</v>
      </c>
      <c r="K72" s="30">
        <f>IFERROR('Cash Flow Data'!M6,0)</f>
        <v>658</v>
      </c>
      <c r="L72" s="30">
        <f>IFERROR('Cash Flow Data'!N6,0)</f>
        <v>-541</v>
      </c>
    </row>
    <row r="73" spans="1:13" outlineLevel="1" x14ac:dyDescent="0.35">
      <c r="B73" t="s">
        <v>130</v>
      </c>
      <c r="C73" s="30">
        <f>IFERROR('Cash Flow Data'!E7,0)</f>
        <v>-843</v>
      </c>
      <c r="D73" s="30">
        <f>IFERROR('Cash Flow Data'!F7,0)</f>
        <v>76</v>
      </c>
      <c r="E73" s="30">
        <f>IFERROR('Cash Flow Data'!G7,0)</f>
        <v>2314</v>
      </c>
      <c r="F73" s="30">
        <f>IFERROR('Cash Flow Data'!H7,0)</f>
        <v>2764</v>
      </c>
      <c r="G73" s="30">
        <f>IFERROR('Cash Flow Data'!I7,0)</f>
        <v>-725</v>
      </c>
      <c r="H73" s="30">
        <f>IFERROR('Cash Flow Data'!J7,0)</f>
        <v>-2689</v>
      </c>
      <c r="I73" s="30">
        <f>IFERROR('Cash Flow Data'!K7,0)</f>
        <v>4965</v>
      </c>
      <c r="J73" s="30">
        <f>IFERROR('Cash Flow Data'!L7,0)</f>
        <v>5285</v>
      </c>
      <c r="K73" s="30">
        <f>IFERROR('Cash Flow Data'!M7,0)</f>
        <v>-957</v>
      </c>
      <c r="L73" s="30">
        <f>IFERROR('Cash Flow Data'!N7,0)</f>
        <v>316</v>
      </c>
    </row>
    <row r="74" spans="1:13" outlineLevel="1" x14ac:dyDescent="0.35">
      <c r="B74" t="s">
        <v>131</v>
      </c>
      <c r="C74" s="30">
        <f>IFERROR('Cash Flow Data'!E8,0)</f>
        <v>0</v>
      </c>
      <c r="D74" s="30">
        <f>IFERROR('Cash Flow Data'!F8,0)</f>
        <v>-55</v>
      </c>
      <c r="E74" s="30">
        <f>IFERROR('Cash Flow Data'!G8,0)</f>
        <v>0</v>
      </c>
      <c r="F74" s="30">
        <f>IFERROR('Cash Flow Data'!H8,0)</f>
        <v>0</v>
      </c>
      <c r="G74" s="30">
        <f>IFERROR('Cash Flow Data'!I8,0)</f>
        <v>0</v>
      </c>
      <c r="H74" s="30">
        <f>IFERROR('Cash Flow Data'!J8,0)</f>
        <v>0</v>
      </c>
      <c r="I74" s="30">
        <f>IFERROR('Cash Flow Data'!K8,0)</f>
        <v>0</v>
      </c>
      <c r="J74" s="30">
        <f>IFERROR('Cash Flow Data'!L8,0)</f>
        <v>0</v>
      </c>
      <c r="K74" s="30">
        <f>IFERROR('Cash Flow Data'!M8,0)</f>
        <v>0</v>
      </c>
      <c r="L74" s="30">
        <f>IFERROR('Cash Flow Data'!N8,0)</f>
        <v>0</v>
      </c>
    </row>
    <row r="75" spans="1:13" outlineLevel="1" x14ac:dyDescent="0.35">
      <c r="B75" t="s">
        <v>132</v>
      </c>
      <c r="C75" s="30">
        <f>IFERROR('Cash Flow Data'!E9,0)</f>
        <v>286</v>
      </c>
      <c r="D75" s="30">
        <f>IFERROR('Cash Flow Data'!F9,0)</f>
        <v>115</v>
      </c>
      <c r="E75" s="30">
        <f>IFERROR('Cash Flow Data'!G9,0)</f>
        <v>-1636</v>
      </c>
      <c r="F75" s="30">
        <f>IFERROR('Cash Flow Data'!H9,0)</f>
        <v>-1217</v>
      </c>
      <c r="G75" s="30">
        <f>IFERROR('Cash Flow Data'!I9,0)</f>
        <v>-97</v>
      </c>
      <c r="H75" s="30">
        <f>IFERROR('Cash Flow Data'!J9,0)</f>
        <v>-1011</v>
      </c>
      <c r="I75" s="30">
        <f>IFERROR('Cash Flow Data'!K9,0)</f>
        <v>725</v>
      </c>
      <c r="J75" s="30">
        <f>IFERROR('Cash Flow Data'!L9,0)</f>
        <v>-314</v>
      </c>
      <c r="K75" s="30">
        <f>IFERROR('Cash Flow Data'!M9,0)</f>
        <v>539</v>
      </c>
      <c r="L75" s="30">
        <f>IFERROR('Cash Flow Data'!N9,0)</f>
        <v>1164</v>
      </c>
    </row>
    <row r="76" spans="1:13" outlineLevel="1" x14ac:dyDescent="0.35">
      <c r="B76" t="s">
        <v>133</v>
      </c>
      <c r="C76" s="30">
        <f>IFERROR('Cash Flow Data'!E10,0)</f>
        <v>-1517</v>
      </c>
      <c r="D76" s="30">
        <f>IFERROR('Cash Flow Data'!F10,0)</f>
        <v>-776</v>
      </c>
      <c r="E76" s="30">
        <f>IFERROR('Cash Flow Data'!G10,0)</f>
        <v>-93</v>
      </c>
      <c r="F76" s="30">
        <f>IFERROR('Cash Flow Data'!H10,0)</f>
        <v>52</v>
      </c>
      <c r="G76" s="30">
        <f>IFERROR('Cash Flow Data'!I10,0)</f>
        <v>308</v>
      </c>
      <c r="H76" s="30">
        <f>IFERROR('Cash Flow Data'!J10,0)</f>
        <v>-1801</v>
      </c>
      <c r="I76" s="30">
        <f>IFERROR('Cash Flow Data'!K10,0)</f>
        <v>4783</v>
      </c>
      <c r="J76" s="30">
        <f>IFERROR('Cash Flow Data'!L10,0)</f>
        <v>2755</v>
      </c>
      <c r="K76" s="30">
        <f>IFERROR('Cash Flow Data'!M10,0)</f>
        <v>-67</v>
      </c>
      <c r="L76" s="30">
        <f>IFERROR('Cash Flow Data'!N10,0)</f>
        <v>385</v>
      </c>
    </row>
    <row r="77" spans="1:13" outlineLevel="1" x14ac:dyDescent="0.35">
      <c r="B77" t="s">
        <v>134</v>
      </c>
      <c r="C77" s="30">
        <f>IFERROR('Cash Flow Data'!E11,0)</f>
        <v>-78</v>
      </c>
      <c r="D77" s="30">
        <f>IFERROR('Cash Flow Data'!F11,0)</f>
        <v>-24</v>
      </c>
      <c r="E77" s="30">
        <f>IFERROR('Cash Flow Data'!G11,0)</f>
        <v>-115</v>
      </c>
      <c r="F77" s="30">
        <f>IFERROR('Cash Flow Data'!H11,0)</f>
        <v>-8</v>
      </c>
      <c r="G77" s="30">
        <f>IFERROR('Cash Flow Data'!I11,0)</f>
        <v>-182</v>
      </c>
      <c r="H77" s="30">
        <f>IFERROR('Cash Flow Data'!J11,0)</f>
        <v>-93</v>
      </c>
      <c r="I77" s="30">
        <f>IFERROR('Cash Flow Data'!K11,0)</f>
        <v>-63</v>
      </c>
      <c r="J77" s="30">
        <f>IFERROR('Cash Flow Data'!L11,0)</f>
        <v>-156</v>
      </c>
      <c r="K77" s="30">
        <f>IFERROR('Cash Flow Data'!M11,0)</f>
        <v>-168</v>
      </c>
      <c r="L77" s="30">
        <f>IFERROR('Cash Flow Data'!N11,0)</f>
        <v>-246</v>
      </c>
    </row>
    <row r="78" spans="1:13" outlineLevel="1" x14ac:dyDescent="0.35">
      <c r="B78" s="36" t="s">
        <v>135</v>
      </c>
      <c r="C78" s="37">
        <f>SUM(C70:C77)</f>
        <v>-3732</v>
      </c>
      <c r="D78" s="37">
        <f t="shared" ref="D78:L78" si="22">SUM(D70:D77)</f>
        <v>1925</v>
      </c>
      <c r="E78" s="37">
        <f t="shared" si="22"/>
        <v>1361</v>
      </c>
      <c r="F78" s="37">
        <f t="shared" si="22"/>
        <v>4187</v>
      </c>
      <c r="G78" s="37">
        <f t="shared" si="22"/>
        <v>6601</v>
      </c>
      <c r="H78" s="37">
        <f t="shared" si="22"/>
        <v>-3257</v>
      </c>
      <c r="I78" s="37">
        <f t="shared" si="22"/>
        <v>11464</v>
      </c>
      <c r="J78" s="37">
        <f t="shared" si="22"/>
        <v>8036</v>
      </c>
      <c r="K78" s="37">
        <f t="shared" si="22"/>
        <v>4709</v>
      </c>
      <c r="L78" s="37">
        <f t="shared" si="22"/>
        <v>9048</v>
      </c>
    </row>
    <row r="79" spans="1:13" outlineLevel="1" x14ac:dyDescent="0.35"/>
    <row r="80" spans="1:13" outlineLevel="1" x14ac:dyDescent="0.35">
      <c r="B80" s="36" t="s">
        <v>136</v>
      </c>
    </row>
    <row r="81" spans="2:12" outlineLevel="1" x14ac:dyDescent="0.35">
      <c r="B81" t="s">
        <v>137</v>
      </c>
      <c r="C81" s="30">
        <f>IFERROR('Cash Flow Data'!E13,0)</f>
        <v>-3079</v>
      </c>
      <c r="D81" s="30">
        <f>IFERROR('Cash Flow Data'!F13,0)</f>
        <v>-3284</v>
      </c>
      <c r="E81" s="30">
        <f>IFERROR('Cash Flow Data'!G13,0)</f>
        <v>-3514</v>
      </c>
      <c r="F81" s="30">
        <f>IFERROR('Cash Flow Data'!H13,0)</f>
        <v>-2823</v>
      </c>
      <c r="G81" s="30">
        <f>IFERROR('Cash Flow Data'!I13,0)</f>
        <v>-4783</v>
      </c>
      <c r="H81" s="30">
        <f>IFERROR('Cash Flow Data'!J13,0)</f>
        <v>-4669</v>
      </c>
      <c r="I81" s="30">
        <f>IFERROR('Cash Flow Data'!K13,0)</f>
        <v>-1856</v>
      </c>
      <c r="J81" s="30">
        <f>IFERROR('Cash Flow Data'!L13,0)</f>
        <v>-1831</v>
      </c>
      <c r="K81" s="30">
        <f>IFERROR('Cash Flow Data'!M13,0)</f>
        <v>-1697</v>
      </c>
      <c r="L81" s="30">
        <f>IFERROR('Cash Flow Data'!N13,0)</f>
        <v>-1991</v>
      </c>
    </row>
    <row r="82" spans="2:12" outlineLevel="1" x14ac:dyDescent="0.35">
      <c r="B82" t="s">
        <v>138</v>
      </c>
      <c r="C82" s="30">
        <f>IFERROR('Cash Flow Data'!E14,0)</f>
        <v>25</v>
      </c>
      <c r="D82" s="30">
        <f>IFERROR('Cash Flow Data'!F14,0)</f>
        <v>34</v>
      </c>
      <c r="E82" s="30">
        <f>IFERROR('Cash Flow Data'!G14,0)</f>
        <v>17</v>
      </c>
      <c r="F82" s="30">
        <f>IFERROR('Cash Flow Data'!H14,0)</f>
        <v>28</v>
      </c>
      <c r="G82" s="30">
        <f>IFERROR('Cash Flow Data'!I14,0)</f>
        <v>30</v>
      </c>
      <c r="H82" s="30">
        <f>IFERROR('Cash Flow Data'!J14,0)</f>
        <v>155</v>
      </c>
      <c r="I82" s="30">
        <f>IFERROR('Cash Flow Data'!K14,0)</f>
        <v>178</v>
      </c>
      <c r="J82" s="30">
        <f>IFERROR('Cash Flow Data'!L14,0)</f>
        <v>100</v>
      </c>
      <c r="K82" s="30">
        <f>IFERROR('Cash Flow Data'!M14,0)</f>
        <v>123</v>
      </c>
      <c r="L82" s="30">
        <f>IFERROR('Cash Flow Data'!N14,0)</f>
        <v>39</v>
      </c>
    </row>
    <row r="83" spans="2:12" outlineLevel="1" x14ac:dyDescent="0.35">
      <c r="B83" t="s">
        <v>139</v>
      </c>
      <c r="C83" s="30">
        <f>IFERROR('Cash Flow Data'!E15,0)</f>
        <v>0</v>
      </c>
      <c r="D83" s="30">
        <f>IFERROR('Cash Flow Data'!F15,0)</f>
        <v>-1669</v>
      </c>
      <c r="E83" s="30">
        <f>IFERROR('Cash Flow Data'!G15,0)</f>
        <v>-537</v>
      </c>
      <c r="F83" s="30">
        <f>IFERROR('Cash Flow Data'!H15,0)</f>
        <v>0</v>
      </c>
      <c r="G83" s="30">
        <f>IFERROR('Cash Flow Data'!I15,0)</f>
        <v>0</v>
      </c>
      <c r="H83" s="30">
        <f>IFERROR('Cash Flow Data'!J15,0)</f>
        <v>0</v>
      </c>
      <c r="I83" s="30">
        <f>IFERROR('Cash Flow Data'!K15,0)</f>
        <v>-673</v>
      </c>
      <c r="J83" s="30">
        <f>IFERROR('Cash Flow Data'!L15,0)</f>
        <v>-3560</v>
      </c>
      <c r="K83" s="30">
        <f>IFERROR('Cash Flow Data'!M15,0)</f>
        <v>0</v>
      </c>
      <c r="L83" s="30">
        <f>IFERROR('Cash Flow Data'!N15,0)</f>
        <v>-42</v>
      </c>
    </row>
    <row r="84" spans="2:12" outlineLevel="1" x14ac:dyDescent="0.35">
      <c r="B84" t="s">
        <v>140</v>
      </c>
      <c r="C84" s="30">
        <f>IFERROR('Cash Flow Data'!E16,0)</f>
        <v>1871</v>
      </c>
      <c r="D84" s="30">
        <f>IFERROR('Cash Flow Data'!F16,0)</f>
        <v>832</v>
      </c>
      <c r="E84" s="30">
        <f>IFERROR('Cash Flow Data'!G16,0)</f>
        <v>0</v>
      </c>
      <c r="F84" s="30">
        <f>IFERROR('Cash Flow Data'!H16,0)</f>
        <v>1026</v>
      </c>
      <c r="G84" s="30">
        <f>IFERROR('Cash Flow Data'!I16,0)</f>
        <v>952</v>
      </c>
      <c r="H84" s="30">
        <f>IFERROR('Cash Flow Data'!J16,0)</f>
        <v>359</v>
      </c>
      <c r="I84" s="30">
        <f>IFERROR('Cash Flow Data'!K16,0)</f>
        <v>4</v>
      </c>
      <c r="J84" s="30">
        <f>IFERROR('Cash Flow Data'!L16,0)</f>
        <v>0</v>
      </c>
      <c r="K84" s="30">
        <f>IFERROR('Cash Flow Data'!M16,0)</f>
        <v>2079</v>
      </c>
      <c r="L84" s="30">
        <f>IFERROR('Cash Flow Data'!N16,0)</f>
        <v>1277</v>
      </c>
    </row>
    <row r="85" spans="2:12" outlineLevel="1" x14ac:dyDescent="0.35">
      <c r="B85" t="s">
        <v>141</v>
      </c>
      <c r="C85" s="30">
        <f>IFERROR('Cash Flow Data'!E17,0)</f>
        <v>80</v>
      </c>
      <c r="D85" s="30">
        <f>IFERROR('Cash Flow Data'!F17,0)</f>
        <v>254</v>
      </c>
      <c r="E85" s="30">
        <f>IFERROR('Cash Flow Data'!G17,0)</f>
        <v>259</v>
      </c>
      <c r="F85" s="30">
        <f>IFERROR('Cash Flow Data'!H17,0)</f>
        <v>399</v>
      </c>
      <c r="G85" s="30">
        <f>IFERROR('Cash Flow Data'!I17,0)</f>
        <v>327</v>
      </c>
      <c r="H85" s="30">
        <f>IFERROR('Cash Flow Data'!J17,0)</f>
        <v>471</v>
      </c>
      <c r="I85" s="30">
        <f>IFERROR('Cash Flow Data'!K17,0)</f>
        <v>154</v>
      </c>
      <c r="J85" s="30">
        <f>IFERROR('Cash Flow Data'!L17,0)</f>
        <v>301</v>
      </c>
      <c r="K85" s="30">
        <f>IFERROR('Cash Flow Data'!M17,0)</f>
        <v>185</v>
      </c>
      <c r="L85" s="30">
        <f>IFERROR('Cash Flow Data'!N17,0)</f>
        <v>180</v>
      </c>
    </row>
    <row r="86" spans="2:12" outlineLevel="1" x14ac:dyDescent="0.35">
      <c r="B86" t="s">
        <v>142</v>
      </c>
      <c r="C86" s="30">
        <f>IFERROR('Cash Flow Data'!E18,0)</f>
        <v>1698</v>
      </c>
      <c r="D86" s="30">
        <f>IFERROR('Cash Flow Data'!F18,0)</f>
        <v>1042</v>
      </c>
      <c r="E86" s="30">
        <f>IFERROR('Cash Flow Data'!G18,0)</f>
        <v>673</v>
      </c>
      <c r="F86" s="30">
        <f>IFERROR('Cash Flow Data'!H18,0)</f>
        <v>1055</v>
      </c>
      <c r="G86" s="30">
        <f>IFERROR('Cash Flow Data'!I18,0)</f>
        <v>1569</v>
      </c>
      <c r="H86" s="30">
        <f>IFERROR('Cash Flow Data'!J18,0)</f>
        <v>241</v>
      </c>
      <c r="I86" s="30">
        <f>IFERROR('Cash Flow Data'!K18,0)</f>
        <v>20</v>
      </c>
      <c r="J86" s="30">
        <f>IFERROR('Cash Flow Data'!L18,0)</f>
        <v>80</v>
      </c>
      <c r="K86" s="30">
        <f>IFERROR('Cash Flow Data'!M18,0)</f>
        <v>319</v>
      </c>
      <c r="L86" s="30">
        <f>IFERROR('Cash Flow Data'!N18,0)</f>
        <v>655</v>
      </c>
    </row>
    <row r="87" spans="2:12" outlineLevel="1" x14ac:dyDescent="0.35">
      <c r="B87" t="s">
        <v>143</v>
      </c>
      <c r="C87" s="30">
        <f>IFERROR('Cash Flow Data'!E19,0)</f>
        <v>-137</v>
      </c>
      <c r="D87" s="30">
        <f>IFERROR('Cash Flow Data'!F19,0)</f>
        <v>-60</v>
      </c>
      <c r="E87" s="30">
        <f>IFERROR('Cash Flow Data'!G19,0)</f>
        <v>-139</v>
      </c>
      <c r="F87" s="30">
        <f>IFERROR('Cash Flow Data'!H19,0)</f>
        <v>-300</v>
      </c>
      <c r="G87" s="30">
        <f>IFERROR('Cash Flow Data'!I19,0)</f>
        <v>-838</v>
      </c>
      <c r="H87" s="30">
        <f>IFERROR('Cash Flow Data'!J19,0)</f>
        <v>-467</v>
      </c>
      <c r="I87" s="30">
        <f>IFERROR('Cash Flow Data'!K19,0)</f>
        <v>0</v>
      </c>
      <c r="J87" s="30">
        <f>IFERROR('Cash Flow Data'!L19,0)</f>
        <v>-871</v>
      </c>
      <c r="K87" s="30">
        <f>IFERROR('Cash Flow Data'!M19,0)</f>
        <v>-191</v>
      </c>
      <c r="L87" s="30">
        <f>IFERROR('Cash Flow Data'!N19,0)</f>
        <v>-678</v>
      </c>
    </row>
    <row r="88" spans="2:12" outlineLevel="1" x14ac:dyDescent="0.35">
      <c r="B88" t="s">
        <v>144</v>
      </c>
      <c r="C88" s="30">
        <f>IFERROR('Cash Flow Data'!E20,0)</f>
        <v>0</v>
      </c>
      <c r="D88" s="30">
        <f>IFERROR('Cash Flow Data'!F20,0)</f>
        <v>-78</v>
      </c>
      <c r="E88" s="30">
        <f>IFERROR('Cash Flow Data'!G20,0)</f>
        <v>0</v>
      </c>
      <c r="F88" s="30">
        <f>IFERROR('Cash Flow Data'!H20,0)</f>
        <v>0</v>
      </c>
      <c r="G88" s="30">
        <f>IFERROR('Cash Flow Data'!I20,0)</f>
        <v>0</v>
      </c>
      <c r="H88" s="30">
        <f>IFERROR('Cash Flow Data'!J20,0)</f>
        <v>-8</v>
      </c>
      <c r="I88" s="30">
        <f>IFERROR('Cash Flow Data'!K20,0)</f>
        <v>-57</v>
      </c>
      <c r="J88" s="30">
        <f>IFERROR('Cash Flow Data'!L20,0)</f>
        <v>-51</v>
      </c>
      <c r="K88" s="30">
        <f>IFERROR('Cash Flow Data'!M20,0)</f>
        <v>-45</v>
      </c>
      <c r="L88" s="30">
        <f>IFERROR('Cash Flow Data'!N20,0)</f>
        <v>-16</v>
      </c>
    </row>
    <row r="89" spans="2:12" outlineLevel="1" x14ac:dyDescent="0.35">
      <c r="B89" t="s">
        <v>145</v>
      </c>
      <c r="C89" s="30">
        <f>IFERROR('Cash Flow Data'!E21,0)</f>
        <v>-159</v>
      </c>
      <c r="D89" s="30">
        <f>IFERROR('Cash Flow Data'!F21,0)</f>
        <v>0</v>
      </c>
      <c r="E89" s="30">
        <f>IFERROR('Cash Flow Data'!G21,0)</f>
        <v>0</v>
      </c>
      <c r="F89" s="30">
        <f>IFERROR('Cash Flow Data'!H21,0)</f>
        <v>-44</v>
      </c>
      <c r="G89" s="30">
        <f>IFERROR('Cash Flow Data'!I21,0)</f>
        <v>0</v>
      </c>
      <c r="H89" s="30">
        <f>IFERROR('Cash Flow Data'!J21,0)</f>
        <v>0</v>
      </c>
      <c r="I89" s="30">
        <f>IFERROR('Cash Flow Data'!K21,0)</f>
        <v>0</v>
      </c>
      <c r="J89" s="30">
        <f>IFERROR('Cash Flow Data'!L21,0)</f>
        <v>0</v>
      </c>
      <c r="K89" s="30">
        <f>IFERROR('Cash Flow Data'!M21,0)</f>
        <v>0</v>
      </c>
      <c r="L89" s="30">
        <f>IFERROR('Cash Flow Data'!N21,0)</f>
        <v>-150</v>
      </c>
    </row>
    <row r="90" spans="2:12" outlineLevel="1" x14ac:dyDescent="0.35">
      <c r="B90" t="s">
        <v>146</v>
      </c>
      <c r="C90" s="30">
        <f>IFERROR('Cash Flow Data'!E22,0)</f>
        <v>0</v>
      </c>
      <c r="D90" s="30">
        <f>IFERROR('Cash Flow Data'!F22,0)</f>
        <v>0</v>
      </c>
      <c r="E90" s="30">
        <f>IFERROR('Cash Flow Data'!G22,0)</f>
        <v>0</v>
      </c>
      <c r="F90" s="30">
        <f>IFERROR('Cash Flow Data'!H22,0)</f>
        <v>0</v>
      </c>
      <c r="G90" s="30">
        <f>IFERROR('Cash Flow Data'!I22,0)</f>
        <v>0</v>
      </c>
      <c r="H90" s="30">
        <f>IFERROR('Cash Flow Data'!J22,0)</f>
        <v>26</v>
      </c>
      <c r="I90" s="30">
        <f>IFERROR('Cash Flow Data'!K22,0)</f>
        <v>10</v>
      </c>
      <c r="J90" s="30">
        <f>IFERROR('Cash Flow Data'!L22,0)</f>
        <v>234</v>
      </c>
      <c r="K90" s="30">
        <f>IFERROR('Cash Flow Data'!M22,0)</f>
        <v>0</v>
      </c>
      <c r="L90" s="30">
        <f>IFERROR('Cash Flow Data'!N22,0)</f>
        <v>3826</v>
      </c>
    </row>
    <row r="91" spans="2:12" outlineLevel="1" x14ac:dyDescent="0.35">
      <c r="B91" t="s">
        <v>147</v>
      </c>
      <c r="C91" s="30">
        <f>IFERROR('Cash Flow Data'!E23,0)</f>
        <v>0</v>
      </c>
      <c r="D91" s="30">
        <f>IFERROR('Cash Flow Data'!F23,0)</f>
        <v>0</v>
      </c>
      <c r="E91" s="30">
        <f>IFERROR('Cash Flow Data'!G23,0)</f>
        <v>0</v>
      </c>
      <c r="F91" s="30">
        <f>IFERROR('Cash Flow Data'!H23,0)</f>
        <v>0</v>
      </c>
      <c r="G91" s="30">
        <f>IFERROR('Cash Flow Data'!I23,0)</f>
        <v>0</v>
      </c>
      <c r="H91" s="30">
        <f>IFERROR('Cash Flow Data'!J23,0)</f>
        <v>0</v>
      </c>
      <c r="I91" s="30">
        <f>IFERROR('Cash Flow Data'!K23,0)</f>
        <v>0</v>
      </c>
      <c r="J91" s="30">
        <f>IFERROR('Cash Flow Data'!L23,0)</f>
        <v>0</v>
      </c>
      <c r="K91" s="30">
        <f>IFERROR('Cash Flow Data'!M23,0)</f>
        <v>0</v>
      </c>
      <c r="L91" s="30">
        <f>IFERROR('Cash Flow Data'!N23,0)</f>
        <v>0</v>
      </c>
    </row>
    <row r="92" spans="2:12" outlineLevel="1" x14ac:dyDescent="0.35">
      <c r="B92" t="s">
        <v>148</v>
      </c>
      <c r="C92" s="30">
        <f>IFERROR('Cash Flow Data'!E24,0)</f>
        <v>-5</v>
      </c>
      <c r="D92" s="30">
        <f>IFERROR('Cash Flow Data'!F24,0)</f>
        <v>-35</v>
      </c>
      <c r="E92" s="30">
        <f>IFERROR('Cash Flow Data'!G24,0)</f>
        <v>20</v>
      </c>
      <c r="F92" s="30">
        <f>IFERROR('Cash Flow Data'!H24,0)</f>
        <v>60</v>
      </c>
      <c r="G92" s="30">
        <f>IFERROR('Cash Flow Data'!I24,0)</f>
        <v>-2</v>
      </c>
      <c r="H92" s="30">
        <f>IFERROR('Cash Flow Data'!J24,0)</f>
        <v>-10</v>
      </c>
      <c r="I92" s="30">
        <f>IFERROR('Cash Flow Data'!K24,0)</f>
        <v>-30</v>
      </c>
      <c r="J92" s="30">
        <f>IFERROR('Cash Flow Data'!L24,0)</f>
        <v>0</v>
      </c>
      <c r="K92" s="30">
        <f>IFERROR('Cash Flow Data'!M24,0)</f>
        <v>-15</v>
      </c>
      <c r="L92" s="30">
        <f>IFERROR('Cash Flow Data'!N24,0)</f>
        <v>-95</v>
      </c>
    </row>
    <row r="93" spans="2:12" outlineLevel="1" x14ac:dyDescent="0.35">
      <c r="B93" s="36" t="s">
        <v>149</v>
      </c>
      <c r="C93" s="36">
        <f>SUM(C81:C92)</f>
        <v>294</v>
      </c>
      <c r="D93" s="36">
        <f t="shared" ref="D93:L93" si="23">SUM(D81:D92)</f>
        <v>-2964</v>
      </c>
      <c r="E93" s="36">
        <f t="shared" si="23"/>
        <v>-3221</v>
      </c>
      <c r="F93" s="36">
        <f t="shared" si="23"/>
        <v>-599</v>
      </c>
      <c r="G93" s="36">
        <f t="shared" si="23"/>
        <v>-2745</v>
      </c>
      <c r="H93" s="36">
        <f t="shared" si="23"/>
        <v>-3902</v>
      </c>
      <c r="I93" s="36">
        <f t="shared" si="23"/>
        <v>-2250</v>
      </c>
      <c r="J93" s="36">
        <f t="shared" si="23"/>
        <v>-5598</v>
      </c>
      <c r="K93" s="36">
        <f t="shared" si="23"/>
        <v>758</v>
      </c>
      <c r="L93" s="36">
        <f t="shared" si="23"/>
        <v>3005</v>
      </c>
    </row>
    <row r="94" spans="2:12" outlineLevel="1" x14ac:dyDescent="0.35"/>
    <row r="95" spans="2:12" outlineLevel="1" x14ac:dyDescent="0.35">
      <c r="B95" s="36" t="s">
        <v>150</v>
      </c>
    </row>
    <row r="96" spans="2:12" outlineLevel="1" x14ac:dyDescent="0.35">
      <c r="B96" t="s">
        <v>151</v>
      </c>
      <c r="C96" s="30">
        <f>IFERROR('Cash Flow Data'!E26,0)</f>
        <v>2632</v>
      </c>
      <c r="D96" s="30">
        <f>IFERROR('Cash Flow Data'!F26,0)</f>
        <v>-79</v>
      </c>
      <c r="E96" s="30">
        <f>IFERROR('Cash Flow Data'!G26,0)</f>
        <v>1209</v>
      </c>
      <c r="F96" s="30">
        <f>IFERROR('Cash Flow Data'!H26,0)</f>
        <v>-3106</v>
      </c>
      <c r="G96" s="30">
        <f>IFERROR('Cash Flow Data'!I26,0)</f>
        <v>-2530</v>
      </c>
      <c r="H96" s="30">
        <f>IFERROR('Cash Flow Data'!J26,0)</f>
        <v>7749</v>
      </c>
      <c r="I96" s="30">
        <f>IFERROR('Cash Flow Data'!K26,0)</f>
        <v>-3472</v>
      </c>
      <c r="J96" s="30">
        <f>IFERROR('Cash Flow Data'!L26,0)</f>
        <v>-516</v>
      </c>
      <c r="K96" s="30">
        <f>IFERROR('Cash Flow Data'!M26,0)</f>
        <v>-7021</v>
      </c>
      <c r="L96" s="30">
        <f>IFERROR('Cash Flow Data'!N26,0)</f>
        <v>-7930</v>
      </c>
    </row>
    <row r="97" spans="2:12" outlineLevel="1" x14ac:dyDescent="0.35">
      <c r="B97" t="s">
        <v>152</v>
      </c>
      <c r="C97" s="30">
        <f>IFERROR('Cash Flow Data'!E27,0)</f>
        <v>0</v>
      </c>
      <c r="D97" s="30">
        <f>IFERROR('Cash Flow Data'!F27,0)</f>
        <v>7433</v>
      </c>
      <c r="E97" s="30">
        <f>IFERROR('Cash Flow Data'!G27,0)</f>
        <v>5</v>
      </c>
      <c r="F97" s="30">
        <f>IFERROR('Cash Flow Data'!H27,0)</f>
        <v>0</v>
      </c>
      <c r="G97" s="30">
        <f>IFERROR('Cash Flow Data'!I27,0)</f>
        <v>0</v>
      </c>
      <c r="H97" s="30">
        <f>IFERROR('Cash Flow Data'!J27,0)</f>
        <v>3889</v>
      </c>
      <c r="I97" s="30">
        <f>IFERROR('Cash Flow Data'!K27,0)</f>
        <v>2603</v>
      </c>
      <c r="J97" s="30">
        <f>IFERROR('Cash Flow Data'!L27,0)</f>
        <v>19</v>
      </c>
      <c r="K97" s="30">
        <f>IFERROR('Cash Flow Data'!M27,0)</f>
        <v>20</v>
      </c>
      <c r="L97" s="30">
        <f>IFERROR('Cash Flow Data'!N27,0)</f>
        <v>82</v>
      </c>
    </row>
    <row r="98" spans="2:12" outlineLevel="1" x14ac:dyDescent="0.35">
      <c r="B98" t="s">
        <v>153</v>
      </c>
      <c r="C98" s="30">
        <f>IFERROR('Cash Flow Data'!E28,0)</f>
        <v>0</v>
      </c>
      <c r="D98" s="30">
        <f>IFERROR('Cash Flow Data'!F28,0)</f>
        <v>0</v>
      </c>
      <c r="E98" s="30">
        <f>IFERROR('Cash Flow Data'!G28,0)</f>
        <v>0</v>
      </c>
      <c r="F98" s="30">
        <f>IFERROR('Cash Flow Data'!H28,0)</f>
        <v>0</v>
      </c>
      <c r="G98" s="30">
        <f>IFERROR('Cash Flow Data'!I28,0)</f>
        <v>0</v>
      </c>
      <c r="H98" s="30">
        <f>IFERROR('Cash Flow Data'!J28,0)</f>
        <v>0</v>
      </c>
      <c r="I98" s="30">
        <f>IFERROR('Cash Flow Data'!K28,0)</f>
        <v>0</v>
      </c>
      <c r="J98" s="30">
        <f>IFERROR('Cash Flow Data'!L28,0)</f>
        <v>0</v>
      </c>
      <c r="K98" s="30">
        <f>IFERROR('Cash Flow Data'!M28,0)</f>
        <v>0</v>
      </c>
      <c r="L98" s="30">
        <f>IFERROR('Cash Flow Data'!N28,0)</f>
        <v>0</v>
      </c>
    </row>
    <row r="99" spans="2:12" outlineLevel="1" x14ac:dyDescent="0.35">
      <c r="B99" t="s">
        <v>154</v>
      </c>
      <c r="C99" s="30">
        <f>IFERROR('Cash Flow Data'!E29,0)</f>
        <v>12817</v>
      </c>
      <c r="D99" s="30">
        <f>IFERROR('Cash Flow Data'!F29,0)</f>
        <v>3587</v>
      </c>
      <c r="E99" s="30">
        <f>IFERROR('Cash Flow Data'!G29,0)</f>
        <v>10687</v>
      </c>
      <c r="F99" s="30">
        <f>IFERROR('Cash Flow Data'!H29,0)</f>
        <v>6406</v>
      </c>
      <c r="G99" s="30">
        <f>IFERROR('Cash Flow Data'!I29,0)</f>
        <v>8805</v>
      </c>
      <c r="H99" s="30">
        <f>IFERROR('Cash Flow Data'!J29,0)</f>
        <v>15462</v>
      </c>
      <c r="I99" s="30">
        <f>IFERROR('Cash Flow Data'!K29,0)</f>
        <v>6985</v>
      </c>
      <c r="J99" s="30">
        <f>IFERROR('Cash Flow Data'!L29,0)</f>
        <v>10408</v>
      </c>
      <c r="K99" s="30">
        <f>IFERROR('Cash Flow Data'!M29,0)</f>
        <v>887</v>
      </c>
      <c r="L99" s="30">
        <f>IFERROR('Cash Flow Data'!N29,0)</f>
        <v>783</v>
      </c>
    </row>
    <row r="100" spans="2:12" outlineLevel="1" x14ac:dyDescent="0.35">
      <c r="B100" t="s">
        <v>155</v>
      </c>
      <c r="C100" s="30">
        <f>IFERROR('Cash Flow Data'!E30,0)</f>
        <v>-6890</v>
      </c>
      <c r="D100" s="30">
        <f>IFERROR('Cash Flow Data'!F30,0)</f>
        <v>-9013</v>
      </c>
      <c r="E100" s="30">
        <f>IFERROR('Cash Flow Data'!G30,0)</f>
        <v>-7473</v>
      </c>
      <c r="F100" s="30">
        <f>IFERROR('Cash Flow Data'!H30,0)</f>
        <v>-7410</v>
      </c>
      <c r="G100" s="30">
        <f>IFERROR('Cash Flow Data'!I30,0)</f>
        <v>-8977</v>
      </c>
      <c r="H100" s="30">
        <f>IFERROR('Cash Flow Data'!J30,0)</f>
        <v>-9128</v>
      </c>
      <c r="I100" s="30">
        <f>IFERROR('Cash Flow Data'!K30,0)</f>
        <v>-10438</v>
      </c>
      <c r="J100" s="30">
        <f>IFERROR('Cash Flow Data'!L30,0)</f>
        <v>-8517</v>
      </c>
      <c r="K100" s="30">
        <f>IFERROR('Cash Flow Data'!M30,0)</f>
        <v>-5852</v>
      </c>
      <c r="L100" s="30">
        <f>IFERROR('Cash Flow Data'!N30,0)</f>
        <v>-6031</v>
      </c>
    </row>
    <row r="101" spans="2:12" outlineLevel="1" x14ac:dyDescent="0.35">
      <c r="B101" t="s">
        <v>156</v>
      </c>
      <c r="C101" s="30">
        <f>IFERROR('Cash Flow Data'!E31,0)</f>
        <v>-1845</v>
      </c>
      <c r="D101" s="30">
        <f>IFERROR('Cash Flow Data'!F31,0)</f>
        <v>-2086</v>
      </c>
      <c r="E101" s="30">
        <f>IFERROR('Cash Flow Data'!G31,0)</f>
        <v>-1936</v>
      </c>
      <c r="F101" s="30">
        <f>IFERROR('Cash Flow Data'!H31,0)</f>
        <v>-2098</v>
      </c>
      <c r="G101" s="30">
        <f>IFERROR('Cash Flow Data'!I31,0)</f>
        <v>-2355</v>
      </c>
      <c r="H101" s="30">
        <f>IFERROR('Cash Flow Data'!J31,0)</f>
        <v>-2270</v>
      </c>
      <c r="I101" s="30">
        <f>IFERROR('Cash Flow Data'!K31,0)</f>
        <v>-2427</v>
      </c>
      <c r="J101" s="30">
        <f>IFERROR('Cash Flow Data'!L31,0)</f>
        <v>-2272</v>
      </c>
      <c r="K101" s="30">
        <f>IFERROR('Cash Flow Data'!M31,0)</f>
        <v>-2008</v>
      </c>
      <c r="L101" s="30">
        <f>IFERROR('Cash Flow Data'!N31,0)</f>
        <v>-1840</v>
      </c>
    </row>
    <row r="102" spans="2:12" outlineLevel="1" x14ac:dyDescent="0.35">
      <c r="B102" t="s">
        <v>157</v>
      </c>
      <c r="C102" s="30">
        <f>IFERROR('Cash Flow Data'!E32,0)</f>
        <v>-649</v>
      </c>
      <c r="D102" s="30">
        <f>IFERROR('Cash Flow Data'!F32,0)</f>
        <v>0</v>
      </c>
      <c r="E102" s="30">
        <f>IFERROR('Cash Flow Data'!G32,0)</f>
        <v>-73</v>
      </c>
      <c r="F102" s="30">
        <f>IFERROR('Cash Flow Data'!H32,0)</f>
        <v>-3</v>
      </c>
      <c r="G102" s="30">
        <f>IFERROR('Cash Flow Data'!I32,0)</f>
        <v>-3</v>
      </c>
      <c r="H102" s="30">
        <f>IFERROR('Cash Flow Data'!J32,0)</f>
        <v>-4</v>
      </c>
      <c r="I102" s="30">
        <f>IFERROR('Cash Flow Data'!K32,0)</f>
        <v>-2</v>
      </c>
      <c r="J102" s="30">
        <f>IFERROR('Cash Flow Data'!L32,0)</f>
        <v>-2</v>
      </c>
      <c r="K102" s="30">
        <f>IFERROR('Cash Flow Data'!M32,0)</f>
        <v>0</v>
      </c>
      <c r="L102" s="30">
        <f>IFERROR('Cash Flow Data'!N32,0)</f>
        <v>-769</v>
      </c>
    </row>
    <row r="103" spans="2:12" outlineLevel="1" x14ac:dyDescent="0.35">
      <c r="B103" t="s">
        <v>158</v>
      </c>
      <c r="C103" s="30">
        <f>IFERROR('Cash Flow Data'!E33,0)</f>
        <v>0</v>
      </c>
      <c r="D103" s="30">
        <f>IFERROR('Cash Flow Data'!F33,0)</f>
        <v>0</v>
      </c>
      <c r="E103" s="30">
        <f>IFERROR('Cash Flow Data'!G33,0)</f>
        <v>0</v>
      </c>
      <c r="F103" s="30">
        <f>IFERROR('Cash Flow Data'!H33,0)</f>
        <v>0</v>
      </c>
      <c r="G103" s="30">
        <f>IFERROR('Cash Flow Data'!I33,0)</f>
        <v>0</v>
      </c>
      <c r="H103" s="30">
        <f>IFERROR('Cash Flow Data'!J33,0)</f>
        <v>-194</v>
      </c>
      <c r="I103" s="30">
        <f>IFERROR('Cash Flow Data'!K33,0)</f>
        <v>-192</v>
      </c>
      <c r="J103" s="30">
        <f>IFERROR('Cash Flow Data'!L33,0)</f>
        <v>-152</v>
      </c>
      <c r="K103" s="30">
        <f>IFERROR('Cash Flow Data'!M33,0)</f>
        <v>-68</v>
      </c>
      <c r="L103" s="30">
        <f>IFERROR('Cash Flow Data'!N33,0)</f>
        <v>-155</v>
      </c>
    </row>
    <row r="104" spans="2:12" outlineLevel="1" x14ac:dyDescent="0.35">
      <c r="B104" t="s">
        <v>159</v>
      </c>
      <c r="C104" s="30">
        <f>IFERROR('Cash Flow Data'!E34,0)</f>
        <v>-801</v>
      </c>
      <c r="D104" s="30">
        <f>IFERROR('Cash Flow Data'!F34,0)</f>
        <v>0</v>
      </c>
      <c r="E104" s="30">
        <f>IFERROR('Cash Flow Data'!G34,0)</f>
        <v>0</v>
      </c>
      <c r="F104" s="30">
        <f>IFERROR('Cash Flow Data'!H34,0)</f>
        <v>0</v>
      </c>
      <c r="G104" s="30">
        <f>IFERROR('Cash Flow Data'!I34,0)</f>
        <v>0</v>
      </c>
      <c r="H104" s="30">
        <f>IFERROR('Cash Flow Data'!J34,0)</f>
        <v>-7</v>
      </c>
      <c r="I104" s="30">
        <f>IFERROR('Cash Flow Data'!K34,0)</f>
        <v>0</v>
      </c>
      <c r="J104" s="30">
        <f>IFERROR('Cash Flow Data'!L34,0)</f>
        <v>0</v>
      </c>
      <c r="K104" s="30">
        <f>IFERROR('Cash Flow Data'!M34,0)</f>
        <v>0</v>
      </c>
      <c r="L104" s="30">
        <f>IFERROR('Cash Flow Data'!N34,0)</f>
        <v>0</v>
      </c>
    </row>
    <row r="105" spans="2:12" outlineLevel="1" x14ac:dyDescent="0.35">
      <c r="B105" s="36" t="s">
        <v>160</v>
      </c>
      <c r="C105" s="37">
        <f>SUM(C96:C104)</f>
        <v>5264</v>
      </c>
      <c r="D105" s="37">
        <f t="shared" ref="D105:L105" si="24">SUM(D96:D104)</f>
        <v>-158</v>
      </c>
      <c r="E105" s="37">
        <f t="shared" si="24"/>
        <v>2419</v>
      </c>
      <c r="F105" s="37">
        <f t="shared" si="24"/>
        <v>-6211</v>
      </c>
      <c r="G105" s="37">
        <f t="shared" si="24"/>
        <v>-5060</v>
      </c>
      <c r="H105" s="37">
        <f t="shared" si="24"/>
        <v>15497</v>
      </c>
      <c r="I105" s="37">
        <f t="shared" si="24"/>
        <v>-6943</v>
      </c>
      <c r="J105" s="37">
        <f t="shared" si="24"/>
        <v>-1032</v>
      </c>
      <c r="K105" s="37">
        <f t="shared" si="24"/>
        <v>-14042</v>
      </c>
      <c r="L105" s="37">
        <f t="shared" si="24"/>
        <v>-15860</v>
      </c>
    </row>
    <row r="106" spans="2:12" outlineLevel="1" x14ac:dyDescent="0.35"/>
    <row r="107" spans="2:12" outlineLevel="1" x14ac:dyDescent="0.35">
      <c r="B107" s="36" t="s">
        <v>35</v>
      </c>
      <c r="C107" s="37">
        <f>IFERROR(C78+C93+C105,0)</f>
        <v>1826</v>
      </c>
      <c r="D107" s="37">
        <f t="shared" ref="D107:L107" si="25">IFERROR(D78+D93+D105,0)</f>
        <v>-1197</v>
      </c>
      <c r="E107" s="37">
        <f t="shared" si="25"/>
        <v>559</v>
      </c>
      <c r="F107" s="37">
        <f t="shared" si="25"/>
        <v>-2623</v>
      </c>
      <c r="G107" s="37">
        <f t="shared" si="25"/>
        <v>-1204</v>
      </c>
      <c r="H107" s="37">
        <f t="shared" si="25"/>
        <v>8338</v>
      </c>
      <c r="I107" s="37">
        <f t="shared" si="25"/>
        <v>2271</v>
      </c>
      <c r="J107" s="37">
        <f t="shared" si="25"/>
        <v>1406</v>
      </c>
      <c r="K107" s="37">
        <f t="shared" si="25"/>
        <v>-8575</v>
      </c>
      <c r="L107" s="37">
        <f t="shared" si="25"/>
        <v>-3807</v>
      </c>
    </row>
    <row r="108" spans="2:12" outlineLevel="1" x14ac:dyDescent="0.35"/>
    <row r="109" spans="2:12" x14ac:dyDescent="0.35">
      <c r="B109" s="36"/>
    </row>
    <row r="110" spans="2:12" x14ac:dyDescent="0.35">
      <c r="B110" t="s">
        <v>135</v>
      </c>
      <c r="C110" s="30">
        <f>'Data Sheet'!B82</f>
        <v>35531.26</v>
      </c>
      <c r="D110" s="30">
        <f>'Data Sheet'!C82</f>
        <v>37899.54</v>
      </c>
      <c r="E110" s="30">
        <f>'Data Sheet'!D82</f>
        <v>30199.25</v>
      </c>
      <c r="F110" s="30">
        <f>'Data Sheet'!E82</f>
        <v>23857.42</v>
      </c>
      <c r="G110" s="30">
        <f>'Data Sheet'!F82</f>
        <v>18890.75</v>
      </c>
      <c r="H110" s="30">
        <f>'Data Sheet'!G82</f>
        <v>26632.94</v>
      </c>
      <c r="I110" s="30">
        <f>'Data Sheet'!H82</f>
        <v>29000.51</v>
      </c>
      <c r="J110" s="30">
        <f>'Data Sheet'!I82</f>
        <v>14282.83</v>
      </c>
      <c r="K110" s="30">
        <f>'Data Sheet'!J82</f>
        <v>35388.01</v>
      </c>
      <c r="L110" s="30">
        <f>'Data Sheet'!K82</f>
        <v>67915.360000000001</v>
      </c>
    </row>
    <row r="112" spans="2:12" x14ac:dyDescent="0.35">
      <c r="B112" t="s">
        <v>149</v>
      </c>
      <c r="C112" s="30">
        <f>'Data Sheet'!B83</f>
        <v>-36232.35</v>
      </c>
      <c r="D112" s="30">
        <f>'Data Sheet'!C83</f>
        <v>-36693.9</v>
      </c>
      <c r="E112" s="30">
        <f>'Data Sheet'!D83</f>
        <v>-39571.4</v>
      </c>
      <c r="F112" s="30">
        <f>'Data Sheet'!E83</f>
        <v>-25139.14</v>
      </c>
      <c r="G112" s="30">
        <f>'Data Sheet'!F83</f>
        <v>-20878.07</v>
      </c>
      <c r="H112" s="30">
        <f>'Data Sheet'!G83</f>
        <v>-33114.550000000003</v>
      </c>
      <c r="I112" s="30">
        <f>'Data Sheet'!H83</f>
        <v>-25672.5</v>
      </c>
      <c r="J112" s="30">
        <f>'Data Sheet'!I83</f>
        <v>-4443.66</v>
      </c>
      <c r="K112" s="30">
        <f>'Data Sheet'!J83</f>
        <v>-15417.17</v>
      </c>
      <c r="L112" s="30">
        <f>'Data Sheet'!K83</f>
        <v>-22781.56</v>
      </c>
    </row>
    <row r="114" spans="2:12" x14ac:dyDescent="0.35">
      <c r="B114" t="s">
        <v>160</v>
      </c>
      <c r="C114" s="30">
        <f>'Data Sheet'!B84</f>
        <v>5201.4399999999996</v>
      </c>
      <c r="D114" s="30">
        <f>'Data Sheet'!C84</f>
        <v>-3795.12</v>
      </c>
      <c r="E114" s="30">
        <f>'Data Sheet'!D84</f>
        <v>6205.3</v>
      </c>
      <c r="F114" s="30">
        <f>'Data Sheet'!E84</f>
        <v>2011.71</v>
      </c>
      <c r="G114" s="30">
        <f>'Data Sheet'!F84</f>
        <v>8830.3700000000008</v>
      </c>
      <c r="H114" s="30">
        <f>'Data Sheet'!G84</f>
        <v>3389.61</v>
      </c>
      <c r="I114" s="30">
        <f>'Data Sheet'!H84</f>
        <v>9904.2000000000007</v>
      </c>
      <c r="J114" s="30">
        <f>'Data Sheet'!I84</f>
        <v>-3380.17</v>
      </c>
      <c r="K114" s="30">
        <f>'Data Sheet'!J84</f>
        <v>-26242.9</v>
      </c>
      <c r="L114" s="30">
        <f>'Data Sheet'!K84</f>
        <v>-37005.99</v>
      </c>
    </row>
    <row r="116" spans="2:12" x14ac:dyDescent="0.35">
      <c r="B116" s="36" t="s">
        <v>35</v>
      </c>
      <c r="C116" s="37">
        <f t="shared" ref="C116:L116" si="26">IFERROR(C110+C112+C114,0)</f>
        <v>4500.3500000000031</v>
      </c>
      <c r="D116" s="37">
        <f t="shared" si="26"/>
        <v>-2589.4800000000005</v>
      </c>
      <c r="E116" s="37">
        <f t="shared" si="26"/>
        <v>-3166.8500000000013</v>
      </c>
      <c r="F116" s="37">
        <f t="shared" si="26"/>
        <v>729.98999999999887</v>
      </c>
      <c r="G116" s="37">
        <f t="shared" si="26"/>
        <v>6843.0500000000011</v>
      </c>
      <c r="H116" s="37">
        <f t="shared" si="26"/>
        <v>-3092.0000000000041</v>
      </c>
      <c r="I116" s="37">
        <f t="shared" si="26"/>
        <v>13232.21</v>
      </c>
      <c r="J116" s="37">
        <f t="shared" si="26"/>
        <v>6459</v>
      </c>
      <c r="K116" s="37">
        <f t="shared" si="26"/>
        <v>-6272.0599999999977</v>
      </c>
      <c r="L116" s="37">
        <f t="shared" si="26"/>
        <v>8127.8100000000049</v>
      </c>
    </row>
  </sheetData>
  <mergeCells count="1">
    <mergeCell ref="B2:M2"/>
  </mergeCells>
  <pageMargins left="0.7" right="0.7" top="0.75" bottom="0.75" header="0.3" footer="0.3"/>
  <ignoredErrors>
    <ignoredError sqref="M6 M9 C15:D15 E15:L15 M21 M24 M30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zoomScale="120" zoomScaleNormal="120" zoomScaleSheetLayoutView="100" zoomScalePageLayoutView="120" workbookViewId="0">
      <pane xSplit="1" ySplit="4" topLeftCell="B5" activePane="bottomRight" state="frozen"/>
      <selection activeCell="I2" sqref="I2"/>
      <selection pane="topRight" activeCell="I2" sqref="I2"/>
      <selection pane="bottomLeft" activeCell="I2" sqref="I2"/>
      <selection pane="bottomRight" activeCell="C1" sqref="C1"/>
    </sheetView>
  </sheetViews>
  <sheetFormatPr defaultColWidth="8.81640625" defaultRowHeight="14.5" x14ac:dyDescent="0.35"/>
  <cols>
    <col min="1" max="1" width="20.6328125" customWidth="1"/>
    <col min="2" max="6" width="13.453125" customWidth="1"/>
    <col min="7" max="7" width="14.81640625" bestFit="1" customWidth="1"/>
    <col min="8" max="11" width="13.453125" customWidth="1"/>
    <col min="12" max="12" width="13.36328125" customWidth="1"/>
    <col min="13" max="14" width="12.1796875" customWidth="1"/>
  </cols>
  <sheetData>
    <row r="1" spans="1:14" s="2" customFormat="1" x14ac:dyDescent="0.35">
      <c r="A1" s="2" t="str">
        <f>'Data Sheet'!B1</f>
        <v>TATA MOTORS LTD</v>
      </c>
      <c r="H1" t="str">
        <f>UPDATE</f>
        <v/>
      </c>
      <c r="J1" s="3"/>
      <c r="K1" s="3"/>
      <c r="M1" s="2" t="s">
        <v>1</v>
      </c>
    </row>
    <row r="3" spans="1:14" s="2" customFormat="1" x14ac:dyDescent="0.35">
      <c r="A3" s="11" t="s">
        <v>2</v>
      </c>
      <c r="B3" s="12">
        <f>'Data Sheet'!B16</f>
        <v>42094</v>
      </c>
      <c r="C3" s="12">
        <f>'Data Sheet'!C16</f>
        <v>42460</v>
      </c>
      <c r="D3" s="12">
        <f>'Data Sheet'!D16</f>
        <v>42825</v>
      </c>
      <c r="E3" s="12">
        <f>'Data Sheet'!E16</f>
        <v>43190</v>
      </c>
      <c r="F3" s="12">
        <f>'Data Sheet'!F16</f>
        <v>43555</v>
      </c>
      <c r="G3" s="12">
        <f>'Data Sheet'!G16</f>
        <v>43921</v>
      </c>
      <c r="H3" s="12">
        <f>'Data Sheet'!H16</f>
        <v>44286</v>
      </c>
      <c r="I3" s="12">
        <f>'Data Sheet'!I16</f>
        <v>44651</v>
      </c>
      <c r="J3" s="12">
        <f>'Data Sheet'!J16</f>
        <v>45016</v>
      </c>
      <c r="K3" s="12">
        <f>'Data Sheet'!K16</f>
        <v>45382</v>
      </c>
      <c r="L3" s="13" t="s">
        <v>3</v>
      </c>
      <c r="M3" s="13" t="s">
        <v>4</v>
      </c>
      <c r="N3" s="13" t="s">
        <v>5</v>
      </c>
    </row>
    <row r="4" spans="1:14" s="2" customFormat="1" x14ac:dyDescent="0.35">
      <c r="A4" s="2" t="s">
        <v>6</v>
      </c>
      <c r="B4" s="1">
        <f>'Data Sheet'!B17</f>
        <v>263158.98</v>
      </c>
      <c r="C4" s="1">
        <f>'Data Sheet'!C17</f>
        <v>273045.59999999998</v>
      </c>
      <c r="D4" s="1">
        <f>'Data Sheet'!D17</f>
        <v>269692.51</v>
      </c>
      <c r="E4" s="1">
        <f>'Data Sheet'!E17</f>
        <v>291550.48</v>
      </c>
      <c r="F4" s="1">
        <f>'Data Sheet'!F17</f>
        <v>301938.40000000002</v>
      </c>
      <c r="G4" s="1">
        <f>'Data Sheet'!G17</f>
        <v>261067.97</v>
      </c>
      <c r="H4" s="1">
        <f>'Data Sheet'!H17</f>
        <v>249794.75</v>
      </c>
      <c r="I4" s="1">
        <f>'Data Sheet'!I17</f>
        <v>278453.62</v>
      </c>
      <c r="J4" s="1">
        <f>'Data Sheet'!J17</f>
        <v>345966.97</v>
      </c>
      <c r="K4" s="1">
        <f>'Data Sheet'!K17</f>
        <v>437927.77</v>
      </c>
      <c r="L4" s="1">
        <f>SUM(Quarters!H4:K4)</f>
        <v>440061.14</v>
      </c>
      <c r="M4" s="1">
        <f>$K4+M23*K4</f>
        <v>554332.48941993783</v>
      </c>
      <c r="N4" s="1">
        <f>$K4+N23*L4</f>
        <v>463548.20148789859</v>
      </c>
    </row>
    <row r="5" spans="1:14" x14ac:dyDescent="0.35">
      <c r="A5" t="s">
        <v>7</v>
      </c>
      <c r="B5" s="6">
        <f>SUM('Data Sheet'!B18,'Data Sheet'!B20:B24, -1*'Data Sheet'!B19)</f>
        <v>223920.33000000002</v>
      </c>
      <c r="C5" s="6">
        <f>SUM('Data Sheet'!C18,'Data Sheet'!C20:C24, -1*'Data Sheet'!C19)</f>
        <v>234650.35</v>
      </c>
      <c r="D5" s="6">
        <f>SUM('Data Sheet'!D18,'Data Sheet'!D20:D24, -1*'Data Sheet'!D19)</f>
        <v>240103.81999999998</v>
      </c>
      <c r="E5" s="6">
        <f>SUM('Data Sheet'!E18,'Data Sheet'!E20:E24, -1*'Data Sheet'!E19)</f>
        <v>260092.80000000002</v>
      </c>
      <c r="F5" s="6">
        <f>SUM('Data Sheet'!F18,'Data Sheet'!F20:F24, -1*'Data Sheet'!F19)</f>
        <v>277274.07</v>
      </c>
      <c r="G5" s="6">
        <f>SUM('Data Sheet'!G18,'Data Sheet'!G20:G24, -1*'Data Sheet'!G19)</f>
        <v>243080.90000000005</v>
      </c>
      <c r="H5" s="6">
        <f>SUM('Data Sheet'!H18,'Data Sheet'!H20:H24, -1*'Data Sheet'!H19)</f>
        <v>217507.32</v>
      </c>
      <c r="I5" s="6">
        <f>SUM('Data Sheet'!I18,'Data Sheet'!I20:I24, -1*'Data Sheet'!I19)</f>
        <v>253733.52999999997</v>
      </c>
      <c r="J5" s="6">
        <f>SUM('Data Sheet'!J18,'Data Sheet'!J20:J24, -1*'Data Sheet'!J19)</f>
        <v>314151.17000000004</v>
      </c>
      <c r="K5" s="6">
        <f>SUM('Data Sheet'!K18,'Data Sheet'!K20:K24, -1*'Data Sheet'!K19)</f>
        <v>378389.43</v>
      </c>
      <c r="L5" s="6">
        <f>SUM(Quarters!H5:K5)</f>
        <v>379563.77</v>
      </c>
      <c r="M5" s="6">
        <f t="shared" ref="M5:N5" si="0">M4-M6</f>
        <v>478125.67480445269</v>
      </c>
      <c r="N5" s="6">
        <f t="shared" si="0"/>
        <v>415952.35835570883</v>
      </c>
    </row>
    <row r="6" spans="1:14" s="2" customFormat="1" x14ac:dyDescent="0.35">
      <c r="A6" s="2" t="s">
        <v>8</v>
      </c>
      <c r="B6" s="1">
        <f>B4-B5</f>
        <v>39238.649999999965</v>
      </c>
      <c r="C6" s="1">
        <f t="shared" ref="C6:K6" si="1">C4-C5</f>
        <v>38395.249999999971</v>
      </c>
      <c r="D6" s="1">
        <f t="shared" si="1"/>
        <v>29588.690000000031</v>
      </c>
      <c r="E6" s="1">
        <f t="shared" si="1"/>
        <v>31457.679999999964</v>
      </c>
      <c r="F6" s="1">
        <f t="shared" si="1"/>
        <v>24664.330000000016</v>
      </c>
      <c r="G6" s="1">
        <f t="shared" si="1"/>
        <v>17987.069999999949</v>
      </c>
      <c r="H6" s="1">
        <f t="shared" si="1"/>
        <v>32287.429999999993</v>
      </c>
      <c r="I6" s="1">
        <f t="shared" si="1"/>
        <v>24720.090000000026</v>
      </c>
      <c r="J6" s="1">
        <f t="shared" si="1"/>
        <v>31815.79999999993</v>
      </c>
      <c r="K6" s="1">
        <f t="shared" si="1"/>
        <v>59538.340000000026</v>
      </c>
      <c r="L6" s="1">
        <f>SUM(Quarters!H6:K6)</f>
        <v>60497.37</v>
      </c>
      <c r="M6" s="1">
        <f>M4*M24</f>
        <v>76206.814615485171</v>
      </c>
      <c r="N6" s="1">
        <f>N4*N24</f>
        <v>47595.843132189773</v>
      </c>
    </row>
    <row r="7" spans="1:14" x14ac:dyDescent="0.35">
      <c r="A7" t="s">
        <v>9</v>
      </c>
      <c r="B7" s="6">
        <f>'Data Sheet'!B25</f>
        <v>714.03</v>
      </c>
      <c r="C7" s="6">
        <f>'Data Sheet'!C25</f>
        <v>-2669.62</v>
      </c>
      <c r="D7" s="6">
        <f>'Data Sheet'!D25</f>
        <v>1869.1</v>
      </c>
      <c r="E7" s="6">
        <f>'Data Sheet'!E25</f>
        <v>5932.73</v>
      </c>
      <c r="F7" s="6">
        <f>'Data Sheet'!F25</f>
        <v>-26686.25</v>
      </c>
      <c r="G7" s="6">
        <f>'Data Sheet'!G25</f>
        <v>101.71</v>
      </c>
      <c r="H7" s="6">
        <f>'Data Sheet'!H25</f>
        <v>-11117.83</v>
      </c>
      <c r="I7" s="6">
        <f>'Data Sheet'!I25</f>
        <v>2424.0500000000002</v>
      </c>
      <c r="J7" s="6">
        <f>'Data Sheet'!J25</f>
        <v>6663.97</v>
      </c>
      <c r="K7" s="6">
        <f>'Data Sheet'!K25</f>
        <v>5672.66</v>
      </c>
      <c r="L7" s="6">
        <f>SUM(Quarters!H7:K7)</f>
        <v>6616.76</v>
      </c>
      <c r="M7" s="6">
        <v>0</v>
      </c>
      <c r="N7" s="6">
        <v>0</v>
      </c>
    </row>
    <row r="8" spans="1:14" x14ac:dyDescent="0.35">
      <c r="A8" t="s">
        <v>10</v>
      </c>
      <c r="B8" s="6">
        <f>'Data Sheet'!B26</f>
        <v>13388.63</v>
      </c>
      <c r="C8" s="6">
        <f>'Data Sheet'!C26</f>
        <v>16710.78</v>
      </c>
      <c r="D8" s="6">
        <f>'Data Sheet'!D26</f>
        <v>17904.990000000002</v>
      </c>
      <c r="E8" s="6">
        <f>'Data Sheet'!E26</f>
        <v>21553.59</v>
      </c>
      <c r="F8" s="6">
        <f>'Data Sheet'!F26</f>
        <v>23590.63</v>
      </c>
      <c r="G8" s="6">
        <f>'Data Sheet'!G26</f>
        <v>21425.43</v>
      </c>
      <c r="H8" s="6">
        <f>'Data Sheet'!H26</f>
        <v>23546.71</v>
      </c>
      <c r="I8" s="6">
        <f>'Data Sheet'!I26</f>
        <v>24835.69</v>
      </c>
      <c r="J8" s="6">
        <f>'Data Sheet'!J26</f>
        <v>24860.36</v>
      </c>
      <c r="K8" s="6">
        <f>'Data Sheet'!K26</f>
        <v>27270.13</v>
      </c>
      <c r="L8" s="6">
        <f>SUM(Quarters!H8:K8)</f>
        <v>26580</v>
      </c>
      <c r="M8" s="6">
        <f>+$L8</f>
        <v>26580</v>
      </c>
      <c r="N8" s="6">
        <f>+$L8</f>
        <v>26580</v>
      </c>
    </row>
    <row r="9" spans="1:14" x14ac:dyDescent="0.35">
      <c r="A9" t="s">
        <v>11</v>
      </c>
      <c r="B9" s="6">
        <f>'Data Sheet'!B27</f>
        <v>4861.49</v>
      </c>
      <c r="C9" s="6">
        <f>'Data Sheet'!C27</f>
        <v>4889.08</v>
      </c>
      <c r="D9" s="6">
        <f>'Data Sheet'!D27</f>
        <v>4238.01</v>
      </c>
      <c r="E9" s="6">
        <f>'Data Sheet'!E27</f>
        <v>4681.79</v>
      </c>
      <c r="F9" s="6">
        <f>'Data Sheet'!F27</f>
        <v>5758.6</v>
      </c>
      <c r="G9" s="6">
        <f>'Data Sheet'!G27</f>
        <v>7243.33</v>
      </c>
      <c r="H9" s="6">
        <f>'Data Sheet'!H27</f>
        <v>8097.17</v>
      </c>
      <c r="I9" s="6">
        <f>'Data Sheet'!I27</f>
        <v>9311.86</v>
      </c>
      <c r="J9" s="6">
        <f>'Data Sheet'!J27</f>
        <v>10225.48</v>
      </c>
      <c r="K9" s="6">
        <f>'Data Sheet'!K27</f>
        <v>9985.76</v>
      </c>
      <c r="L9" s="6">
        <f>SUM(Quarters!H9:K9)</f>
        <v>8840.91</v>
      </c>
      <c r="M9" s="6">
        <f>+$L9</f>
        <v>8840.91</v>
      </c>
      <c r="N9" s="6">
        <f>+$L9</f>
        <v>8840.91</v>
      </c>
    </row>
    <row r="10" spans="1:14" x14ac:dyDescent="0.35">
      <c r="A10" t="s">
        <v>12</v>
      </c>
      <c r="B10" s="6">
        <f>'Data Sheet'!B28</f>
        <v>21702.560000000001</v>
      </c>
      <c r="C10" s="6">
        <f>'Data Sheet'!C28</f>
        <v>14125.77</v>
      </c>
      <c r="D10" s="6">
        <f>'Data Sheet'!D28</f>
        <v>9314.7900000000009</v>
      </c>
      <c r="E10" s="6">
        <f>'Data Sheet'!E28</f>
        <v>11155.03</v>
      </c>
      <c r="F10" s="6">
        <f>'Data Sheet'!F28</f>
        <v>-31371.15</v>
      </c>
      <c r="G10" s="6">
        <f>'Data Sheet'!G28</f>
        <v>-10579.98</v>
      </c>
      <c r="H10" s="6">
        <f>'Data Sheet'!H28</f>
        <v>-10474.280000000001</v>
      </c>
      <c r="I10" s="6">
        <f>'Data Sheet'!I28</f>
        <v>-7003.41</v>
      </c>
      <c r="J10" s="6">
        <f>'Data Sheet'!J28</f>
        <v>3393.93</v>
      </c>
      <c r="K10" s="6">
        <f>'Data Sheet'!K28</f>
        <v>27955.11</v>
      </c>
      <c r="L10" s="6">
        <f>SUM(Quarters!H10:K10)</f>
        <v>31693.22</v>
      </c>
      <c r="M10" s="6">
        <f>M6+M7-SUM(M8:M9)</f>
        <v>40785.904615485168</v>
      </c>
      <c r="N10" s="6">
        <f>N6+N7-SUM(N8:N9)</f>
        <v>12174.93313218977</v>
      </c>
    </row>
    <row r="11" spans="1:14" x14ac:dyDescent="0.35">
      <c r="A11" t="s">
        <v>13</v>
      </c>
      <c r="B11" s="6">
        <f>'Data Sheet'!B29</f>
        <v>7642.91</v>
      </c>
      <c r="C11" s="6">
        <f>'Data Sheet'!C29</f>
        <v>3025.05</v>
      </c>
      <c r="D11" s="6">
        <f>'Data Sheet'!D29</f>
        <v>3251.23</v>
      </c>
      <c r="E11" s="6">
        <f>'Data Sheet'!E29</f>
        <v>4341.93</v>
      </c>
      <c r="F11" s="6">
        <f>'Data Sheet'!F29</f>
        <v>-2437.4499999999998</v>
      </c>
      <c r="G11" s="6">
        <f>'Data Sheet'!G29</f>
        <v>395.25</v>
      </c>
      <c r="H11" s="6">
        <f>'Data Sheet'!H29</f>
        <v>2541.86</v>
      </c>
      <c r="I11" s="6">
        <f>'Data Sheet'!I29</f>
        <v>4231.29</v>
      </c>
      <c r="J11" s="6">
        <f>'Data Sheet'!J29</f>
        <v>704.06</v>
      </c>
      <c r="K11" s="6">
        <f>'Data Sheet'!K29</f>
        <v>-3851.64</v>
      </c>
      <c r="L11" s="6">
        <f>SUM(Quarters!H11:K11)</f>
        <v>-2123.21</v>
      </c>
      <c r="M11" s="7">
        <f>IF($L10&gt;0,$L11/$L10,0)</f>
        <v>-6.6992561816060336E-2</v>
      </c>
      <c r="N11" s="7">
        <f>IF($L10&gt;0,$L11/$L10,0)</f>
        <v>-6.6992561816060336E-2</v>
      </c>
    </row>
    <row r="12" spans="1:14" s="2" customFormat="1" x14ac:dyDescent="0.35">
      <c r="A12" s="2" t="s">
        <v>14</v>
      </c>
      <c r="B12" s="1">
        <f>'Data Sheet'!B30</f>
        <v>13986.29</v>
      </c>
      <c r="C12" s="1">
        <f>'Data Sheet'!C30</f>
        <v>11579.31</v>
      </c>
      <c r="D12" s="1">
        <f>'Data Sheet'!D30</f>
        <v>7454.36</v>
      </c>
      <c r="E12" s="1">
        <f>'Data Sheet'!E30</f>
        <v>8988.91</v>
      </c>
      <c r="F12" s="1">
        <f>'Data Sheet'!F30</f>
        <v>-28826.23</v>
      </c>
      <c r="G12" s="1">
        <f>'Data Sheet'!G30</f>
        <v>-12070.85</v>
      </c>
      <c r="H12" s="1">
        <f>'Data Sheet'!H30</f>
        <v>-13451.39</v>
      </c>
      <c r="I12" s="1">
        <f>'Data Sheet'!I30</f>
        <v>-11441.47</v>
      </c>
      <c r="J12" s="1">
        <f>'Data Sheet'!J30</f>
        <v>2414.29</v>
      </c>
      <c r="K12" s="1">
        <f>'Data Sheet'!K30</f>
        <v>31399.09</v>
      </c>
      <c r="L12" s="1">
        <f>SUM(Quarters!H12:K12)</f>
        <v>33341.11</v>
      </c>
      <c r="M12" s="1">
        <f>M10-M11*M10</f>
        <v>43518.256851662001</v>
      </c>
      <c r="N12" s="1">
        <f>N10-N11*N10</f>
        <v>12990.563092654394</v>
      </c>
    </row>
    <row r="13" spans="1:14" x14ac:dyDescent="0.35">
      <c r="A13" t="s">
        <v>57</v>
      </c>
      <c r="B13" s="6">
        <f>IF('Data Sheet'!B93&gt;0,B12/'Data Sheet'!B93,0)</f>
        <v>48.439045508069547</v>
      </c>
      <c r="C13" s="6">
        <f>IF('Data Sheet'!C93&gt;0,C12/'Data Sheet'!C93,0)</f>
        <v>40.105673316708227</v>
      </c>
      <c r="D13" s="6">
        <f>IF('Data Sheet'!D93&gt;0,D12/'Data Sheet'!D93,0)</f>
        <v>25.817753610639695</v>
      </c>
      <c r="E13" s="6">
        <f>IF('Data Sheet'!E93&gt;0,E12/'Data Sheet'!E93,0)</f>
        <v>31.132580611644094</v>
      </c>
      <c r="F13" s="6">
        <f>IF('Data Sheet'!F93&gt;0,F12/'Data Sheet'!F93,0)</f>
        <v>-99.838014754268684</v>
      </c>
      <c r="G13" s="6">
        <f>IF('Data Sheet'!G93&gt;0,G12/'Data Sheet'!G93,0)</f>
        <v>-39.076885723535128</v>
      </c>
      <c r="H13" s="6">
        <f>IF('Data Sheet'!H93&gt;0,H12/'Data Sheet'!H93,0)</f>
        <v>-40.512574164985097</v>
      </c>
      <c r="I13" s="6">
        <f>IF('Data Sheet'!I93&gt;0,I12/'Data Sheet'!I93,0)</f>
        <v>-34.454994428885477</v>
      </c>
      <c r="J13" s="6">
        <f>IF('Data Sheet'!J93&gt;0,J12/'Data Sheet'!J93,0)</f>
        <v>7.2691114924878812</v>
      </c>
      <c r="K13" s="6">
        <f>IF('Data Sheet'!K93&gt;0,K12/'Data Sheet'!K93,0)</f>
        <v>94.470289135601888</v>
      </c>
      <c r="L13" s="6">
        <f>IF('Data Sheet'!$B6&gt;0,'Profit &amp; Loss'!L12/'Data Sheet'!$B6,0)</f>
        <v>90.573157334674491</v>
      </c>
      <c r="M13" s="6">
        <f>IF('Data Sheet'!$B6&gt;0,'Profit &amp; Loss'!M12/'Data Sheet'!$B6,0)</f>
        <v>118.2199970173866</v>
      </c>
      <c r="N13" s="6">
        <f>IF('Data Sheet'!$B6&gt;0,'Profit &amp; Loss'!N12/'Data Sheet'!$B6,0)</f>
        <v>35.2896563688792</v>
      </c>
    </row>
    <row r="14" spans="1:14" x14ac:dyDescent="0.35">
      <c r="A14" t="s">
        <v>16</v>
      </c>
      <c r="B14" s="6">
        <f>IF(B15&gt;0,B15/B13,"")</f>
        <v>11.238247869878288</v>
      </c>
      <c r="C14" s="6">
        <f t="shared" ref="C14:K14" si="2">IF(C15&gt;0,C15/C13,"")</f>
        <v>9.6395339618681959</v>
      </c>
      <c r="D14" s="6">
        <f t="shared" si="2"/>
        <v>18.043785180753279</v>
      </c>
      <c r="E14" s="6">
        <f t="shared" si="2"/>
        <v>10.4986478338308</v>
      </c>
      <c r="F14" s="6">
        <f t="shared" si="2"/>
        <v>-1.7453271725092045</v>
      </c>
      <c r="G14" s="6">
        <f t="shared" si="2"/>
        <v>-1.8182103994333454</v>
      </c>
      <c r="H14" s="6">
        <f t="shared" si="2"/>
        <v>-7.4495389695786081</v>
      </c>
      <c r="I14" s="6">
        <f t="shared" si="2"/>
        <v>-12.588886087189845</v>
      </c>
      <c r="J14" s="6">
        <f t="shared" si="2"/>
        <v>57.88878055246056</v>
      </c>
      <c r="K14" s="6">
        <f t="shared" si="2"/>
        <v>10.509124181624372</v>
      </c>
      <c r="L14" s="6">
        <f t="shared" ref="L14" si="3">IF(L13&gt;0,L15/L13,0)</f>
        <v>8.6090628056474419</v>
      </c>
      <c r="M14" s="6">
        <f>M25</f>
        <v>25.668989179910792</v>
      </c>
      <c r="N14" s="6">
        <f>N25</f>
        <v>8.6090628056474419</v>
      </c>
    </row>
    <row r="15" spans="1:14" s="2" customFormat="1" x14ac:dyDescent="0.35">
      <c r="A15" s="2" t="s">
        <v>58</v>
      </c>
      <c r="B15" s="1">
        <f>'Data Sheet'!B90</f>
        <v>544.37</v>
      </c>
      <c r="C15" s="1">
        <f>'Data Sheet'!C90</f>
        <v>386.6</v>
      </c>
      <c r="D15" s="1">
        <f>'Data Sheet'!D90</f>
        <v>465.85</v>
      </c>
      <c r="E15" s="1">
        <f>'Data Sheet'!E90</f>
        <v>326.85000000000002</v>
      </c>
      <c r="F15" s="1">
        <f>'Data Sheet'!F90</f>
        <v>174.25</v>
      </c>
      <c r="G15" s="1">
        <f>'Data Sheet'!G90</f>
        <v>71.05</v>
      </c>
      <c r="H15" s="1">
        <f>'Data Sheet'!H90</f>
        <v>301.8</v>
      </c>
      <c r="I15" s="1">
        <f>'Data Sheet'!I90</f>
        <v>433.75</v>
      </c>
      <c r="J15" s="1">
        <f>'Data Sheet'!J90</f>
        <v>420.8</v>
      </c>
      <c r="K15" s="1">
        <f>'Data Sheet'!K90</f>
        <v>992.8</v>
      </c>
      <c r="L15" s="1">
        <f>'Data Sheet'!B8</f>
        <v>779.75</v>
      </c>
      <c r="M15" s="8">
        <f>M13*M14</f>
        <v>3034.5878242883828</v>
      </c>
      <c r="N15" s="9">
        <f>N13*N14</f>
        <v>303.81086806939726</v>
      </c>
    </row>
    <row r="17" spans="1:14" s="2" customFormat="1" x14ac:dyDescent="0.35">
      <c r="A17" s="2" t="s">
        <v>15</v>
      </c>
    </row>
    <row r="18" spans="1:14" x14ac:dyDescent="0.35">
      <c r="A18" t="s">
        <v>17</v>
      </c>
      <c r="B18" s="5">
        <f>IF('Data Sheet'!B30&gt;0, 'Data Sheet'!B31/'Data Sheet'!B30, 0)</f>
        <v>0</v>
      </c>
      <c r="C18" s="5">
        <f>IF('Data Sheet'!C30&gt;0, 'Data Sheet'!C31/'Data Sheet'!C30, 0)</f>
        <v>5.8656344808110331E-3</v>
      </c>
      <c r="D18" s="5">
        <f>IF('Data Sheet'!D30&gt;0, 'Data Sheet'!D31/'Data Sheet'!D30, 0)</f>
        <v>0</v>
      </c>
      <c r="E18" s="5">
        <f>IF('Data Sheet'!E30&gt;0, 'Data Sheet'!E31/'Data Sheet'!E30, 0)</f>
        <v>0</v>
      </c>
      <c r="F18" s="5">
        <f>IF('Data Sheet'!F30&gt;0, 'Data Sheet'!F31/'Data Sheet'!F30, 0)</f>
        <v>0</v>
      </c>
      <c r="G18" s="5">
        <f>IF('Data Sheet'!G30&gt;0, 'Data Sheet'!G31/'Data Sheet'!G30, 0)</f>
        <v>0</v>
      </c>
      <c r="H18" s="5">
        <f>IF('Data Sheet'!H30&gt;0, 'Data Sheet'!H31/'Data Sheet'!H30, 0)</f>
        <v>0</v>
      </c>
      <c r="I18" s="5">
        <f>IF('Data Sheet'!I30&gt;0, 'Data Sheet'!I31/'Data Sheet'!I30, 0)</f>
        <v>0</v>
      </c>
      <c r="J18" s="5">
        <f>IF('Data Sheet'!J30&gt;0, 'Data Sheet'!J31/'Data Sheet'!J30, 0)</f>
        <v>0.31728582730326516</v>
      </c>
      <c r="K18" s="5">
        <f>IF('Data Sheet'!K30&gt;0, 'Data Sheet'!K31/'Data Sheet'!K30, 0)</f>
        <v>7.3234606480633679E-2</v>
      </c>
    </row>
    <row r="19" spans="1:14" x14ac:dyDescent="0.35">
      <c r="A19" t="s">
        <v>18</v>
      </c>
      <c r="B19" s="5">
        <f t="shared" ref="B19:L19" si="4">IF(B6&gt;0,B6/B4,0)</f>
        <v>0.14910625508580391</v>
      </c>
      <c r="C19" s="5">
        <f t="shared" ref="C19:K19" si="5">IF(C6&gt;0,C6/C4,0)</f>
        <v>0.14061845347443788</v>
      </c>
      <c r="D19" s="5">
        <f t="shared" si="5"/>
        <v>0.10971268723777323</v>
      </c>
      <c r="E19" s="5">
        <f t="shared" si="5"/>
        <v>0.10789788444182964</v>
      </c>
      <c r="F19" s="5">
        <f t="shared" si="5"/>
        <v>8.1686628795807403E-2</v>
      </c>
      <c r="G19" s="5">
        <f t="shared" si="5"/>
        <v>6.8898034485042142E-2</v>
      </c>
      <c r="H19" s="5">
        <f t="shared" si="5"/>
        <v>0.12925583904385499</v>
      </c>
      <c r="I19" s="5">
        <f t="shared" si="5"/>
        <v>8.8776328352276501E-2</v>
      </c>
      <c r="J19" s="5">
        <f t="shared" si="5"/>
        <v>9.1961958102531965E-2</v>
      </c>
      <c r="K19" s="5">
        <f t="shared" si="5"/>
        <v>0.13595470321509875</v>
      </c>
      <c r="L19" s="5">
        <f t="shared" si="4"/>
        <v>0.13747491996225797</v>
      </c>
    </row>
    <row r="20" spans="1:14" x14ac:dyDescent="0.3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4" x14ac:dyDescent="0.35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4" s="2" customFormat="1" x14ac:dyDescent="0.35">
      <c r="A22" s="11"/>
      <c r="B22" s="12"/>
      <c r="C22" s="12"/>
      <c r="D22" s="12"/>
      <c r="E22" s="12"/>
      <c r="F22" s="12"/>
      <c r="G22" s="12" t="s">
        <v>19</v>
      </c>
      <c r="H22" s="12" t="s">
        <v>65</v>
      </c>
      <c r="I22" s="12" t="s">
        <v>66</v>
      </c>
      <c r="J22" s="12" t="s">
        <v>67</v>
      </c>
      <c r="K22" s="12" t="s">
        <v>68</v>
      </c>
      <c r="L22" s="13" t="s">
        <v>69</v>
      </c>
      <c r="M22" s="13" t="s">
        <v>20</v>
      </c>
      <c r="N22" s="13" t="s">
        <v>21</v>
      </c>
    </row>
    <row r="23" spans="1:14" s="2" customFormat="1" x14ac:dyDescent="0.35">
      <c r="A23"/>
      <c r="B23"/>
      <c r="C23"/>
      <c r="D23"/>
      <c r="E23"/>
      <c r="F23"/>
      <c r="G23" t="s">
        <v>22</v>
      </c>
      <c r="H23" s="5">
        <f>IF(B4=0,"",POWER($K4/B4,1/9)-1)</f>
        <v>5.822016342524261E-2</v>
      </c>
      <c r="I23" s="5">
        <f>IF(D4=0,"",POWER($K4/D4,1/7)-1)</f>
        <v>7.1707397937264439E-2</v>
      </c>
      <c r="J23" s="5">
        <f>IF(F4=0,"",POWER($K4/F4,1/5)-1)</f>
        <v>7.7201196827101359E-2</v>
      </c>
      <c r="K23" s="5">
        <f>IF(H4=0,"",POWER($K4/H4, 1/3)-1)</f>
        <v>0.20579383686046926</v>
      </c>
      <c r="L23" s="5">
        <f>IF(ISERROR(MAX(IF(J4=0,"",(K4-J4)/J4),IF(K4=0,"",(L4-K4)/K4))),"",MAX(IF(J4=0,"",(K4-J4)/J4),IF(K4=0,"",(L4-K4)/K4)))</f>
        <v>0.26580803363974326</v>
      </c>
      <c r="M23" s="16">
        <f>MAX(K23:L23)</f>
        <v>0.26580803363974326</v>
      </c>
      <c r="N23" s="16">
        <f>MIN(H23:L23)</f>
        <v>5.822016342524261E-2</v>
      </c>
    </row>
    <row r="24" spans="1:14" x14ac:dyDescent="0.35">
      <c r="G24" t="s">
        <v>18</v>
      </c>
      <c r="H24" s="5">
        <f>IF(SUM(B4:$K$4)=0,"",SUMPRODUCT(B19:$K$19,B4:$K$4)/SUM(B4:$K$4))</f>
        <v>0.11091087169046339</v>
      </c>
      <c r="I24" s="5">
        <f>IF(SUM(E4:$K$4)=0,"",SUMPRODUCT(E19:$K$19,E4:$K$4)/SUM(E4:$K$4))</f>
        <v>0.10267722532288223</v>
      </c>
      <c r="J24" s="5">
        <f>IF(SUM(G4:$K$4)=0,"",SUMPRODUCT(G19:$K$19,G4:$K$4)/SUM(G4:$K$4))</f>
        <v>0.10573834122754838</v>
      </c>
      <c r="K24" s="5">
        <f>IF(SUM(I4:$K$4)=0, "", SUMPRODUCT(I19:$K$19,I4:$K$4)/SUM(I4:$K$4))</f>
        <v>0.10926192798000836</v>
      </c>
      <c r="L24" s="5">
        <f>L19</f>
        <v>0.13747491996225797</v>
      </c>
      <c r="M24" s="16">
        <f>MAX(K24:L24)</f>
        <v>0.13747491996225797</v>
      </c>
      <c r="N24" s="16">
        <f>MIN(H24:L24)</f>
        <v>0.10267722532288223</v>
      </c>
    </row>
    <row r="25" spans="1:14" x14ac:dyDescent="0.35">
      <c r="G25" t="s">
        <v>23</v>
      </c>
      <c r="H25" s="6">
        <f>IF(ISERROR(AVERAGEIF(B14:$L14,"&gt;0")),"",AVERAGEIF(B14:$L14,"&gt;0"))</f>
        <v>18.061026055151849</v>
      </c>
      <c r="I25" s="6">
        <f>IF(ISERROR(AVERAGEIF(E14:$L14,"&gt;0")),"",AVERAGEIF(E14:$L14,"&gt;0"))</f>
        <v>21.876403843390793</v>
      </c>
      <c r="J25" s="6">
        <f>IF(ISERROR(AVERAGEIF(G14:$L14,"&gt;0")),"",AVERAGEIF(G14:$L14,"&gt;0"))</f>
        <v>25.668989179910792</v>
      </c>
      <c r="K25" s="6">
        <f>IF(ISERROR(AVERAGEIF(I14:$L14,"&gt;0")),"",AVERAGEIF(I14:$L14,"&gt;0"))</f>
        <v>25.668989179910792</v>
      </c>
      <c r="L25" s="6">
        <f>L14</f>
        <v>8.6090628056474419</v>
      </c>
      <c r="M25" s="1">
        <f>MAX(K25:L25)</f>
        <v>25.668989179910792</v>
      </c>
      <c r="N25" s="1">
        <f>MIN(H25:L25)</f>
        <v>8.6090628056474419</v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defaultColWidth="8.81640625" defaultRowHeight="14.5" x14ac:dyDescent="0.35"/>
  <cols>
    <col min="1" max="1" width="20.6328125" customWidth="1"/>
    <col min="2" max="11" width="13.453125" bestFit="1" customWidth="1"/>
  </cols>
  <sheetData>
    <row r="1" spans="1:11" s="2" customFormat="1" x14ac:dyDescent="0.35">
      <c r="A1" s="2" t="str">
        <f>'Profit &amp; Loss'!A1</f>
        <v>TATA MOTORS LTD</v>
      </c>
      <c r="E1" t="str">
        <f>UPDATE</f>
        <v/>
      </c>
      <c r="J1" s="2" t="s">
        <v>1</v>
      </c>
    </row>
    <row r="3" spans="1:11" s="2" customFormat="1" x14ac:dyDescent="0.35">
      <c r="A3" s="11" t="s">
        <v>2</v>
      </c>
      <c r="B3" s="12">
        <f>'Data Sheet'!B41</f>
        <v>44742</v>
      </c>
      <c r="C3" s="12">
        <f>'Data Sheet'!C41</f>
        <v>44834</v>
      </c>
      <c r="D3" s="12">
        <f>'Data Sheet'!D41</f>
        <v>44926</v>
      </c>
      <c r="E3" s="12">
        <f>'Data Sheet'!E41</f>
        <v>45016</v>
      </c>
      <c r="F3" s="12">
        <f>'Data Sheet'!F41</f>
        <v>45107</v>
      </c>
      <c r="G3" s="12">
        <f>'Data Sheet'!G41</f>
        <v>45199</v>
      </c>
      <c r="H3" s="12">
        <f>'Data Sheet'!H41</f>
        <v>45291</v>
      </c>
      <c r="I3" s="12">
        <f>'Data Sheet'!I41</f>
        <v>45382</v>
      </c>
      <c r="J3" s="12">
        <f>'Data Sheet'!J41</f>
        <v>45473</v>
      </c>
      <c r="K3" s="12">
        <f>'Data Sheet'!K41</f>
        <v>45565</v>
      </c>
    </row>
    <row r="4" spans="1:11" s="2" customFormat="1" x14ac:dyDescent="0.35">
      <c r="A4" s="2" t="s">
        <v>6</v>
      </c>
      <c r="B4" s="1">
        <f>'Data Sheet'!B42</f>
        <v>71934.66</v>
      </c>
      <c r="C4" s="1">
        <f>'Data Sheet'!C42</f>
        <v>79611.37</v>
      </c>
      <c r="D4" s="1">
        <f>'Data Sheet'!D42</f>
        <v>88488.59</v>
      </c>
      <c r="E4" s="1">
        <f>'Data Sheet'!E42</f>
        <v>105932.35</v>
      </c>
      <c r="F4" s="1">
        <f>'Data Sheet'!F42</f>
        <v>102236</v>
      </c>
      <c r="G4" s="1">
        <f>'Data Sheet'!G42</f>
        <v>105129</v>
      </c>
      <c r="H4" s="1">
        <f>'Data Sheet'!H42</f>
        <v>110577.14</v>
      </c>
      <c r="I4" s="1">
        <f>'Data Sheet'!I42</f>
        <v>119986</v>
      </c>
      <c r="J4" s="1">
        <f>'Data Sheet'!J42</f>
        <v>108048</v>
      </c>
      <c r="K4" s="1">
        <f>'Data Sheet'!K42</f>
        <v>101450</v>
      </c>
    </row>
    <row r="5" spans="1:11" x14ac:dyDescent="0.35">
      <c r="A5" t="s">
        <v>7</v>
      </c>
      <c r="B5" s="6">
        <f>'Data Sheet'!B43</f>
        <v>69521.929999999993</v>
      </c>
      <c r="C5" s="6">
        <f>'Data Sheet'!C43</f>
        <v>74039.06</v>
      </c>
      <c r="D5" s="6">
        <f>'Data Sheet'!D43</f>
        <v>77668.350000000006</v>
      </c>
      <c r="E5" s="6">
        <f>'Data Sheet'!E43</f>
        <v>92817.95</v>
      </c>
      <c r="F5" s="6">
        <f>'Data Sheet'!F43</f>
        <v>89019</v>
      </c>
      <c r="G5" s="6">
        <f>'Data Sheet'!G43</f>
        <v>91362</v>
      </c>
      <c r="H5" s="6">
        <f>'Data Sheet'!H43</f>
        <v>95158.77</v>
      </c>
      <c r="I5" s="6">
        <f>'Data Sheet'!I43</f>
        <v>102851</v>
      </c>
      <c r="J5" s="6">
        <f>'Data Sheet'!J43</f>
        <v>92263</v>
      </c>
      <c r="K5" s="6">
        <f>'Data Sheet'!K43</f>
        <v>89291</v>
      </c>
    </row>
    <row r="6" spans="1:11" s="2" customFormat="1" x14ac:dyDescent="0.35">
      <c r="A6" s="2" t="s">
        <v>8</v>
      </c>
      <c r="B6" s="1">
        <f>'Data Sheet'!B50</f>
        <v>2412.73</v>
      </c>
      <c r="C6" s="1">
        <f>'Data Sheet'!C50</f>
        <v>5572.31</v>
      </c>
      <c r="D6" s="1">
        <f>'Data Sheet'!D50</f>
        <v>10820.24</v>
      </c>
      <c r="E6" s="1">
        <f>'Data Sheet'!E50</f>
        <v>13114.4</v>
      </c>
      <c r="F6" s="1">
        <f>'Data Sheet'!F50</f>
        <v>13217</v>
      </c>
      <c r="G6" s="1">
        <f>'Data Sheet'!G50</f>
        <v>13767</v>
      </c>
      <c r="H6" s="1">
        <f>'Data Sheet'!H50</f>
        <v>15418.37</v>
      </c>
      <c r="I6" s="1">
        <f>'Data Sheet'!I50</f>
        <v>17135</v>
      </c>
      <c r="J6" s="1">
        <f>'Data Sheet'!J50</f>
        <v>15785</v>
      </c>
      <c r="K6" s="1">
        <f>'Data Sheet'!K50</f>
        <v>12159</v>
      </c>
    </row>
    <row r="7" spans="1:11" x14ac:dyDescent="0.35">
      <c r="A7" t="s">
        <v>9</v>
      </c>
      <c r="B7" s="6">
        <f>'Data Sheet'!B44</f>
        <v>2380.98</v>
      </c>
      <c r="C7" s="6">
        <f>'Data Sheet'!C44</f>
        <v>1351.14</v>
      </c>
      <c r="D7" s="6">
        <f>'Data Sheet'!D44</f>
        <v>1129.98</v>
      </c>
      <c r="E7" s="6">
        <f>'Data Sheet'!E44</f>
        <v>1452.86</v>
      </c>
      <c r="F7" s="6">
        <f>'Data Sheet'!F44</f>
        <v>895</v>
      </c>
      <c r="G7" s="6">
        <f>'Data Sheet'!G44</f>
        <v>1557</v>
      </c>
      <c r="H7" s="6">
        <f>'Data Sheet'!H44</f>
        <v>1603.76</v>
      </c>
      <c r="I7" s="6">
        <f>'Data Sheet'!I44</f>
        <v>1619</v>
      </c>
      <c r="J7" s="6">
        <f>'Data Sheet'!J44</f>
        <v>1747</v>
      </c>
      <c r="K7" s="6">
        <f>'Data Sheet'!K44</f>
        <v>1647</v>
      </c>
    </row>
    <row r="8" spans="1:11" x14ac:dyDescent="0.35">
      <c r="A8" t="s">
        <v>10</v>
      </c>
      <c r="B8" s="6">
        <f>'Data Sheet'!B45</f>
        <v>5841.04</v>
      </c>
      <c r="C8" s="6">
        <f>'Data Sheet'!C45</f>
        <v>5897.34</v>
      </c>
      <c r="D8" s="6">
        <f>'Data Sheet'!D45</f>
        <v>6071.78</v>
      </c>
      <c r="E8" s="6">
        <f>'Data Sheet'!E45</f>
        <v>7050.2</v>
      </c>
      <c r="F8" s="6">
        <f>'Data Sheet'!F45</f>
        <v>6633</v>
      </c>
      <c r="G8" s="6">
        <f>'Data Sheet'!G45</f>
        <v>6637</v>
      </c>
      <c r="H8" s="6">
        <f>'Data Sheet'!H45</f>
        <v>6850</v>
      </c>
      <c r="I8" s="6">
        <f>'Data Sheet'!I45</f>
        <v>7151</v>
      </c>
      <c r="J8" s="6">
        <f>'Data Sheet'!J45</f>
        <v>6574</v>
      </c>
      <c r="K8" s="6">
        <f>'Data Sheet'!K45</f>
        <v>6005</v>
      </c>
    </row>
    <row r="9" spans="1:11" x14ac:dyDescent="0.35">
      <c r="A9" t="s">
        <v>11</v>
      </c>
      <c r="B9" s="6">
        <f>'Data Sheet'!B46</f>
        <v>2420.7199999999998</v>
      </c>
      <c r="C9" s="6">
        <f>'Data Sheet'!C46</f>
        <v>2487.2600000000002</v>
      </c>
      <c r="D9" s="6">
        <f>'Data Sheet'!D46</f>
        <v>2675.83</v>
      </c>
      <c r="E9" s="6">
        <f>'Data Sheet'!E46</f>
        <v>2641.67</v>
      </c>
      <c r="F9" s="6">
        <f>'Data Sheet'!F46</f>
        <v>2615</v>
      </c>
      <c r="G9" s="6">
        <f>'Data Sheet'!G46</f>
        <v>2652</v>
      </c>
      <c r="H9" s="6">
        <f>'Data Sheet'!H46</f>
        <v>2484.91</v>
      </c>
      <c r="I9" s="6">
        <f>'Data Sheet'!I46</f>
        <v>2234</v>
      </c>
      <c r="J9" s="6">
        <f>'Data Sheet'!J46</f>
        <v>2088</v>
      </c>
      <c r="K9" s="6">
        <f>'Data Sheet'!K46</f>
        <v>2034</v>
      </c>
    </row>
    <row r="10" spans="1:11" x14ac:dyDescent="0.35">
      <c r="A10" t="s">
        <v>12</v>
      </c>
      <c r="B10" s="6">
        <f>'Data Sheet'!B47</f>
        <v>-3468.05</v>
      </c>
      <c r="C10" s="6">
        <f>'Data Sheet'!C47</f>
        <v>-1461.15</v>
      </c>
      <c r="D10" s="6">
        <f>'Data Sheet'!D47</f>
        <v>3202.61</v>
      </c>
      <c r="E10" s="6">
        <f>'Data Sheet'!E47</f>
        <v>4875.3900000000003</v>
      </c>
      <c r="F10" s="6">
        <f>'Data Sheet'!F47</f>
        <v>4864</v>
      </c>
      <c r="G10" s="6">
        <f>'Data Sheet'!G47</f>
        <v>6035</v>
      </c>
      <c r="H10" s="6">
        <f>'Data Sheet'!H47</f>
        <v>7687.22</v>
      </c>
      <c r="I10" s="6">
        <f>'Data Sheet'!I47</f>
        <v>9369</v>
      </c>
      <c r="J10" s="6">
        <f>'Data Sheet'!J47</f>
        <v>8870</v>
      </c>
      <c r="K10" s="6">
        <f>'Data Sheet'!K47</f>
        <v>5767</v>
      </c>
    </row>
    <row r="11" spans="1:11" x14ac:dyDescent="0.35">
      <c r="A11" t="s">
        <v>13</v>
      </c>
      <c r="B11" s="6">
        <f>'Data Sheet'!B48</f>
        <v>1518.96</v>
      </c>
      <c r="C11" s="6">
        <f>'Data Sheet'!C48</f>
        <v>-457.08</v>
      </c>
      <c r="D11" s="6">
        <f>'Data Sheet'!D48</f>
        <v>262.83</v>
      </c>
      <c r="E11" s="6">
        <f>'Data Sheet'!E48</f>
        <v>-620.65</v>
      </c>
      <c r="F11" s="6">
        <f>'Data Sheet'!F48</f>
        <v>1563</v>
      </c>
      <c r="G11" s="6">
        <f>'Data Sheet'!G48</f>
        <v>2203</v>
      </c>
      <c r="H11" s="6">
        <f>'Data Sheet'!H48</f>
        <v>541.79</v>
      </c>
      <c r="I11" s="6">
        <f>'Data Sheet'!I48</f>
        <v>-8160</v>
      </c>
      <c r="J11" s="6">
        <f>'Data Sheet'!J48</f>
        <v>3178</v>
      </c>
      <c r="K11" s="6">
        <f>'Data Sheet'!K48</f>
        <v>2317</v>
      </c>
    </row>
    <row r="12" spans="1:11" s="2" customFormat="1" x14ac:dyDescent="0.35">
      <c r="A12" s="2" t="s">
        <v>14</v>
      </c>
      <c r="B12" s="1">
        <f>'Data Sheet'!B49</f>
        <v>-5006.6000000000004</v>
      </c>
      <c r="C12" s="1">
        <f>'Data Sheet'!C49</f>
        <v>-944.61</v>
      </c>
      <c r="D12" s="1">
        <f>'Data Sheet'!D49</f>
        <v>2957.71</v>
      </c>
      <c r="E12" s="1">
        <f>'Data Sheet'!E49</f>
        <v>5407.79</v>
      </c>
      <c r="F12" s="1">
        <f>'Data Sheet'!F49</f>
        <v>3203</v>
      </c>
      <c r="G12" s="1">
        <f>'Data Sheet'!G49</f>
        <v>3764</v>
      </c>
      <c r="H12" s="1">
        <f>'Data Sheet'!H49</f>
        <v>7025.11</v>
      </c>
      <c r="I12" s="1">
        <f>'Data Sheet'!I49</f>
        <v>17407</v>
      </c>
      <c r="J12" s="1">
        <f>'Data Sheet'!J49</f>
        <v>5566</v>
      </c>
      <c r="K12" s="1">
        <f>'Data Sheet'!K49</f>
        <v>3343</v>
      </c>
    </row>
    <row r="14" spans="1:11" s="2" customFormat="1" x14ac:dyDescent="0.35">
      <c r="A14" s="2" t="s">
        <v>18</v>
      </c>
      <c r="B14" s="10">
        <f>IF(B4&gt;0,B6/B4,"")</f>
        <v>3.3540576962482339E-2</v>
      </c>
      <c r="C14" s="10">
        <f t="shared" ref="C14:K14" si="0">IF(C4&gt;0,C6/C4,"")</f>
        <v>6.9993896600447914E-2</v>
      </c>
      <c r="D14" s="10">
        <f t="shared" si="0"/>
        <v>0.12227836379808968</v>
      </c>
      <c r="E14" s="10">
        <f t="shared" si="0"/>
        <v>0.1237997646611257</v>
      </c>
      <c r="F14" s="10">
        <f t="shared" si="0"/>
        <v>0.12927931452717242</v>
      </c>
      <c r="G14" s="10">
        <f t="shared" si="0"/>
        <v>0.1309534001084382</v>
      </c>
      <c r="H14" s="10">
        <f t="shared" si="0"/>
        <v>0.13943542037712317</v>
      </c>
      <c r="I14" s="10">
        <f t="shared" si="0"/>
        <v>0.14280832763822446</v>
      </c>
      <c r="J14" s="10">
        <f t="shared" si="0"/>
        <v>0.14609247741744411</v>
      </c>
      <c r="K14" s="10">
        <f t="shared" si="0"/>
        <v>0.11985214391325777</v>
      </c>
    </row>
    <row r="22" s="23" customFormat="1" x14ac:dyDescent="0.35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F11" sqref="F11"/>
    </sheetView>
  </sheetViews>
  <sheetFormatPr defaultColWidth="8.81640625" defaultRowHeight="14.5" x14ac:dyDescent="0.35"/>
  <cols>
    <col min="1" max="1" width="22.81640625" bestFit="1" customWidth="1"/>
    <col min="2" max="2" width="13.453125" customWidth="1"/>
    <col min="3" max="11" width="15.453125" customWidth="1"/>
  </cols>
  <sheetData>
    <row r="1" spans="1:11" s="2" customFormat="1" x14ac:dyDescent="0.35">
      <c r="A1" s="2" t="str">
        <f>'Profit &amp; Loss'!A1</f>
        <v>TATA MOTORS LTD</v>
      </c>
      <c r="E1" t="str">
        <f>UPDATE</f>
        <v/>
      </c>
      <c r="G1"/>
      <c r="J1" s="2" t="s">
        <v>1</v>
      </c>
    </row>
    <row r="2" spans="1:11" x14ac:dyDescent="0.35">
      <c r="G2" s="2"/>
      <c r="H2" s="2"/>
    </row>
    <row r="3" spans="1:11" x14ac:dyDescent="0.35">
      <c r="A3" s="11" t="s">
        <v>2</v>
      </c>
      <c r="B3" s="12">
        <f>'Data Sheet'!B56</f>
        <v>42094</v>
      </c>
      <c r="C3" s="12">
        <f>'Data Sheet'!C56</f>
        <v>42460</v>
      </c>
      <c r="D3" s="12">
        <f>'Data Sheet'!D56</f>
        <v>42825</v>
      </c>
      <c r="E3" s="12">
        <f>'Data Sheet'!E56</f>
        <v>43190</v>
      </c>
      <c r="F3" s="12">
        <f>'Data Sheet'!F56</f>
        <v>43555</v>
      </c>
      <c r="G3" s="12">
        <f>'Data Sheet'!G56</f>
        <v>43921</v>
      </c>
      <c r="H3" s="12">
        <f>'Data Sheet'!H56</f>
        <v>44286</v>
      </c>
      <c r="I3" s="12">
        <f>'Data Sheet'!I56</f>
        <v>44651</v>
      </c>
      <c r="J3" s="12">
        <f>'Data Sheet'!J56</f>
        <v>45016</v>
      </c>
      <c r="K3" s="12">
        <f>'Data Sheet'!K56</f>
        <v>45382</v>
      </c>
    </row>
    <row r="4" spans="1:11" x14ac:dyDescent="0.35">
      <c r="A4" t="s">
        <v>24</v>
      </c>
      <c r="B4" s="14">
        <f>'Data Sheet'!B57</f>
        <v>643.78</v>
      </c>
      <c r="C4" s="14">
        <f>'Data Sheet'!C57</f>
        <v>679.18</v>
      </c>
      <c r="D4" s="14">
        <f>'Data Sheet'!D57</f>
        <v>679.22</v>
      </c>
      <c r="E4" s="14">
        <f>'Data Sheet'!E57</f>
        <v>679.22</v>
      </c>
      <c r="F4" s="14">
        <f>'Data Sheet'!F57</f>
        <v>679.22</v>
      </c>
      <c r="G4" s="14">
        <f>'Data Sheet'!G57</f>
        <v>719.54</v>
      </c>
      <c r="H4" s="14">
        <f>'Data Sheet'!H57</f>
        <v>765.81</v>
      </c>
      <c r="I4" s="14">
        <f>'Data Sheet'!I57</f>
        <v>765.88</v>
      </c>
      <c r="J4" s="14">
        <f>'Data Sheet'!J57</f>
        <v>766.02</v>
      </c>
      <c r="K4" s="14">
        <f>'Data Sheet'!K57</f>
        <v>766.5</v>
      </c>
    </row>
    <row r="5" spans="1:11" x14ac:dyDescent="0.35">
      <c r="A5" t="s">
        <v>25</v>
      </c>
      <c r="B5" s="14">
        <f>'Data Sheet'!B58</f>
        <v>55618.14</v>
      </c>
      <c r="C5" s="14">
        <f>'Data Sheet'!C58</f>
        <v>78273.23</v>
      </c>
      <c r="D5" s="14">
        <f>'Data Sheet'!D58</f>
        <v>57382.67</v>
      </c>
      <c r="E5" s="14">
        <f>'Data Sheet'!E58</f>
        <v>94748.69</v>
      </c>
      <c r="F5" s="14">
        <f>'Data Sheet'!F58</f>
        <v>59500.34</v>
      </c>
      <c r="G5" s="14">
        <f>'Data Sheet'!G58</f>
        <v>62358.99</v>
      </c>
      <c r="H5" s="14">
        <f>'Data Sheet'!H58</f>
        <v>54480.91</v>
      </c>
      <c r="I5" s="14">
        <f>'Data Sheet'!I58</f>
        <v>43795.360000000001</v>
      </c>
      <c r="J5" s="14">
        <f>'Data Sheet'!J58</f>
        <v>44555.77</v>
      </c>
      <c r="K5" s="14">
        <f>'Data Sheet'!K58</f>
        <v>84151.52</v>
      </c>
    </row>
    <row r="6" spans="1:11" x14ac:dyDescent="0.35">
      <c r="A6" t="s">
        <v>71</v>
      </c>
      <c r="B6" s="14">
        <f>'Data Sheet'!B59</f>
        <v>73610.39</v>
      </c>
      <c r="C6" s="14">
        <f>'Data Sheet'!C59</f>
        <v>69359.960000000006</v>
      </c>
      <c r="D6" s="14">
        <f>'Data Sheet'!D59</f>
        <v>78603.98</v>
      </c>
      <c r="E6" s="14">
        <f>'Data Sheet'!E59</f>
        <v>88950.47</v>
      </c>
      <c r="F6" s="14">
        <f>'Data Sheet'!F59</f>
        <v>106175.34</v>
      </c>
      <c r="G6" s="14">
        <f>'Data Sheet'!G59</f>
        <v>124787.64</v>
      </c>
      <c r="H6" s="14">
        <f>'Data Sheet'!H59</f>
        <v>142130.57</v>
      </c>
      <c r="I6" s="14">
        <f>'Data Sheet'!I59</f>
        <v>146449.03</v>
      </c>
      <c r="J6" s="14">
        <f>'Data Sheet'!J59</f>
        <v>134113.44</v>
      </c>
      <c r="K6" s="14">
        <f>'Data Sheet'!K59</f>
        <v>107262.5</v>
      </c>
    </row>
    <row r="7" spans="1:11" x14ac:dyDescent="0.35">
      <c r="A7" t="s">
        <v>72</v>
      </c>
      <c r="B7" s="14">
        <f>'Data Sheet'!B60</f>
        <v>107442.48</v>
      </c>
      <c r="C7" s="14">
        <f>'Data Sheet'!C60</f>
        <v>114871.75</v>
      </c>
      <c r="D7" s="14">
        <f>'Data Sheet'!D60</f>
        <v>135914.49</v>
      </c>
      <c r="E7" s="14">
        <f>'Data Sheet'!E60</f>
        <v>142813.43</v>
      </c>
      <c r="F7" s="14">
        <f>'Data Sheet'!F60</f>
        <v>139348.59</v>
      </c>
      <c r="G7" s="14">
        <f>'Data Sheet'!G60</f>
        <v>132313.22</v>
      </c>
      <c r="H7" s="14">
        <f>'Data Sheet'!H60</f>
        <v>144192.62</v>
      </c>
      <c r="I7" s="14">
        <f>'Data Sheet'!I60</f>
        <v>138051.22</v>
      </c>
      <c r="J7" s="14">
        <f>'Data Sheet'!J60</f>
        <v>155239.20000000001</v>
      </c>
      <c r="K7" s="14">
        <f>'Data Sheet'!K60</f>
        <v>177340.09</v>
      </c>
    </row>
    <row r="8" spans="1:11" s="2" customFormat="1" x14ac:dyDescent="0.35">
      <c r="A8" s="2" t="s">
        <v>26</v>
      </c>
      <c r="B8" s="15">
        <f>'Data Sheet'!B61</f>
        <v>237314.79</v>
      </c>
      <c r="C8" s="15">
        <f>'Data Sheet'!C61</f>
        <v>263184.12</v>
      </c>
      <c r="D8" s="15">
        <f>'Data Sheet'!D61</f>
        <v>272580.36</v>
      </c>
      <c r="E8" s="15">
        <f>'Data Sheet'!E61</f>
        <v>327191.81</v>
      </c>
      <c r="F8" s="15">
        <f>'Data Sheet'!F61</f>
        <v>305703.49</v>
      </c>
      <c r="G8" s="15">
        <f>'Data Sheet'!G61</f>
        <v>320179.39</v>
      </c>
      <c r="H8" s="15">
        <f>'Data Sheet'!H61</f>
        <v>341569.91</v>
      </c>
      <c r="I8" s="15">
        <f>'Data Sheet'!I61</f>
        <v>329061.49</v>
      </c>
      <c r="J8" s="15">
        <f>'Data Sheet'!J61</f>
        <v>334674.43</v>
      </c>
      <c r="K8" s="15">
        <f>'Data Sheet'!K61</f>
        <v>369520.61</v>
      </c>
    </row>
    <row r="9" spans="1:11" s="2" customFormat="1" x14ac:dyDescent="0.35"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1" x14ac:dyDescent="0.35">
      <c r="A10" t="s">
        <v>27</v>
      </c>
      <c r="B10" s="14">
        <f>'Data Sheet'!B62</f>
        <v>88479.49</v>
      </c>
      <c r="C10" s="14">
        <f>'Data Sheet'!C62</f>
        <v>107231.76</v>
      </c>
      <c r="D10" s="14">
        <f>'Data Sheet'!D62</f>
        <v>95944.08</v>
      </c>
      <c r="E10" s="14">
        <f>'Data Sheet'!E62</f>
        <v>121413.86</v>
      </c>
      <c r="F10" s="14">
        <f>'Data Sheet'!F62</f>
        <v>111234.47</v>
      </c>
      <c r="G10" s="14">
        <f>'Data Sheet'!G62</f>
        <v>127107.14</v>
      </c>
      <c r="H10" s="14">
        <f>'Data Sheet'!H62</f>
        <v>138707.60999999999</v>
      </c>
      <c r="I10" s="14">
        <f>'Data Sheet'!I62</f>
        <v>138855.45000000001</v>
      </c>
      <c r="J10" s="14">
        <f>'Data Sheet'!J62</f>
        <v>132079.76</v>
      </c>
      <c r="K10" s="14">
        <f>'Data Sheet'!K62</f>
        <v>121285.46</v>
      </c>
    </row>
    <row r="11" spans="1:11" x14ac:dyDescent="0.35">
      <c r="A11" t="s">
        <v>28</v>
      </c>
      <c r="B11" s="14">
        <f>'Data Sheet'!B63</f>
        <v>28640.09</v>
      </c>
      <c r="C11" s="14">
        <f>'Data Sheet'!C63</f>
        <v>25918.94</v>
      </c>
      <c r="D11" s="14">
        <f>'Data Sheet'!D63</f>
        <v>33698.839999999997</v>
      </c>
      <c r="E11" s="14">
        <f>'Data Sheet'!E63</f>
        <v>40033.5</v>
      </c>
      <c r="F11" s="14">
        <f>'Data Sheet'!F63</f>
        <v>31883.84</v>
      </c>
      <c r="G11" s="14">
        <f>'Data Sheet'!G63</f>
        <v>35622.29</v>
      </c>
      <c r="H11" s="14">
        <f>'Data Sheet'!H63</f>
        <v>20963.93</v>
      </c>
      <c r="I11" s="14">
        <f>'Data Sheet'!I63</f>
        <v>10251.09</v>
      </c>
      <c r="J11" s="14">
        <f>'Data Sheet'!J63</f>
        <v>14274.5</v>
      </c>
      <c r="K11" s="14">
        <f>'Data Sheet'!K63</f>
        <v>35698.43</v>
      </c>
    </row>
    <row r="12" spans="1:11" x14ac:dyDescent="0.35">
      <c r="A12" t="s">
        <v>29</v>
      </c>
      <c r="B12" s="14">
        <f>'Data Sheet'!B64</f>
        <v>15336.74</v>
      </c>
      <c r="C12" s="14">
        <f>'Data Sheet'!C64</f>
        <v>23767.02</v>
      </c>
      <c r="D12" s="14">
        <f>'Data Sheet'!D64</f>
        <v>20337.919999999998</v>
      </c>
      <c r="E12" s="14">
        <f>'Data Sheet'!E64</f>
        <v>20812.75</v>
      </c>
      <c r="F12" s="14">
        <f>'Data Sheet'!F64</f>
        <v>15770.72</v>
      </c>
      <c r="G12" s="14">
        <f>'Data Sheet'!G64</f>
        <v>16308.48</v>
      </c>
      <c r="H12" s="14">
        <f>'Data Sheet'!H64</f>
        <v>24620.28</v>
      </c>
      <c r="I12" s="14">
        <f>'Data Sheet'!I64</f>
        <v>29379.53</v>
      </c>
      <c r="J12" s="14">
        <f>'Data Sheet'!J64</f>
        <v>26379.16</v>
      </c>
      <c r="K12" s="14">
        <f>'Data Sheet'!K64</f>
        <v>22971.07</v>
      </c>
    </row>
    <row r="13" spans="1:11" x14ac:dyDescent="0.35">
      <c r="A13" t="s">
        <v>73</v>
      </c>
      <c r="B13" s="14">
        <f>'Data Sheet'!B65</f>
        <v>104858.47</v>
      </c>
      <c r="C13" s="14">
        <f>'Data Sheet'!C65</f>
        <v>106266.4</v>
      </c>
      <c r="D13" s="14">
        <f>'Data Sheet'!D65</f>
        <v>122599.52</v>
      </c>
      <c r="E13" s="14">
        <f>'Data Sheet'!E65</f>
        <v>144931.70000000001</v>
      </c>
      <c r="F13" s="14">
        <f>'Data Sheet'!F65</f>
        <v>146814.46</v>
      </c>
      <c r="G13" s="14">
        <f>'Data Sheet'!G65</f>
        <v>141141.48000000001</v>
      </c>
      <c r="H13" s="14">
        <f>'Data Sheet'!H65</f>
        <v>157278.09</v>
      </c>
      <c r="I13" s="14">
        <f>'Data Sheet'!I65</f>
        <v>150575.42000000001</v>
      </c>
      <c r="J13" s="14">
        <f>'Data Sheet'!J65</f>
        <v>161941.01</v>
      </c>
      <c r="K13" s="14">
        <f>'Data Sheet'!K65</f>
        <v>189565.65</v>
      </c>
    </row>
    <row r="14" spans="1:11" s="2" customFormat="1" x14ac:dyDescent="0.35">
      <c r="A14" s="2" t="s">
        <v>26</v>
      </c>
      <c r="B14" s="14">
        <f>'Data Sheet'!B66</f>
        <v>237314.79</v>
      </c>
      <c r="C14" s="14">
        <f>'Data Sheet'!C66</f>
        <v>263184.12</v>
      </c>
      <c r="D14" s="14">
        <f>'Data Sheet'!D66</f>
        <v>272580.36</v>
      </c>
      <c r="E14" s="14">
        <f>'Data Sheet'!E66</f>
        <v>327191.81</v>
      </c>
      <c r="F14" s="14">
        <f>'Data Sheet'!F66</f>
        <v>305703.49</v>
      </c>
      <c r="G14" s="14">
        <f>'Data Sheet'!G66</f>
        <v>320179.39</v>
      </c>
      <c r="H14" s="14">
        <f>'Data Sheet'!H66</f>
        <v>341569.91</v>
      </c>
      <c r="I14" s="14">
        <f>'Data Sheet'!I66</f>
        <v>329061.49</v>
      </c>
      <c r="J14" s="14">
        <f>'Data Sheet'!J66</f>
        <v>334674.43</v>
      </c>
      <c r="K14" s="14">
        <f>'Data Sheet'!K66</f>
        <v>369520.61</v>
      </c>
    </row>
    <row r="15" spans="1:11" x14ac:dyDescent="0.35"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35">
      <c r="A16" t="s">
        <v>30</v>
      </c>
      <c r="B16" s="4">
        <f>B13-B7</f>
        <v>-2584.0099999999948</v>
      </c>
      <c r="C16" s="4">
        <f t="shared" ref="C16:K16" si="0">C13-C7</f>
        <v>-8605.3500000000058</v>
      </c>
      <c r="D16" s="4">
        <f t="shared" si="0"/>
        <v>-13314.969999999987</v>
      </c>
      <c r="E16" s="4">
        <f t="shared" si="0"/>
        <v>2118.2700000000186</v>
      </c>
      <c r="F16" s="4">
        <f t="shared" si="0"/>
        <v>7465.8699999999953</v>
      </c>
      <c r="G16" s="4">
        <f t="shared" si="0"/>
        <v>8828.2600000000093</v>
      </c>
      <c r="H16" s="4">
        <f t="shared" si="0"/>
        <v>13085.470000000001</v>
      </c>
      <c r="I16" s="4">
        <f t="shared" si="0"/>
        <v>12524.200000000012</v>
      </c>
      <c r="J16" s="4">
        <f t="shared" si="0"/>
        <v>6701.8099999999977</v>
      </c>
      <c r="K16" s="4">
        <f t="shared" si="0"/>
        <v>12225.559999999998</v>
      </c>
    </row>
    <row r="17" spans="1:11" x14ac:dyDescent="0.35">
      <c r="A17" t="s">
        <v>44</v>
      </c>
      <c r="B17" s="4">
        <f>'Data Sheet'!B67</f>
        <v>12579.2</v>
      </c>
      <c r="C17" s="4">
        <f>'Data Sheet'!C67</f>
        <v>13570.91</v>
      </c>
      <c r="D17" s="4">
        <f>'Data Sheet'!D67</f>
        <v>14075.55</v>
      </c>
      <c r="E17" s="4">
        <f>'Data Sheet'!E67</f>
        <v>19893.3</v>
      </c>
      <c r="F17" s="4">
        <f>'Data Sheet'!F67</f>
        <v>18996.169999999998</v>
      </c>
      <c r="G17" s="4">
        <f>'Data Sheet'!G67</f>
        <v>11172.69</v>
      </c>
      <c r="H17" s="4">
        <f>'Data Sheet'!H67</f>
        <v>12679.08</v>
      </c>
      <c r="I17" s="4">
        <f>'Data Sheet'!I67</f>
        <v>12442.12</v>
      </c>
      <c r="J17" s="4">
        <f>'Data Sheet'!J67</f>
        <v>15737.97</v>
      </c>
      <c r="K17" s="4">
        <f>'Data Sheet'!K67</f>
        <v>16951.810000000001</v>
      </c>
    </row>
    <row r="18" spans="1:11" x14ac:dyDescent="0.35">
      <c r="A18" t="s">
        <v>45</v>
      </c>
      <c r="B18" s="4">
        <f>'Data Sheet'!B68</f>
        <v>29272.34</v>
      </c>
      <c r="C18" s="4">
        <f>'Data Sheet'!C68</f>
        <v>32655.73</v>
      </c>
      <c r="D18" s="4">
        <f>'Data Sheet'!D68</f>
        <v>35085.31</v>
      </c>
      <c r="E18" s="4">
        <f>'Data Sheet'!E68</f>
        <v>42137.63</v>
      </c>
      <c r="F18" s="4">
        <f>'Data Sheet'!F68</f>
        <v>39013.730000000003</v>
      </c>
      <c r="G18" s="4">
        <f>'Data Sheet'!G68</f>
        <v>37456.879999999997</v>
      </c>
      <c r="H18" s="4">
        <f>'Data Sheet'!H68</f>
        <v>36088.589999999997</v>
      </c>
      <c r="I18" s="4">
        <f>'Data Sheet'!I68</f>
        <v>35240.339999999997</v>
      </c>
      <c r="J18" s="4">
        <f>'Data Sheet'!J68</f>
        <v>40755.39</v>
      </c>
      <c r="K18" s="4">
        <f>'Data Sheet'!K68</f>
        <v>47788.29</v>
      </c>
    </row>
    <row r="20" spans="1:11" x14ac:dyDescent="0.35">
      <c r="A20" t="s">
        <v>46</v>
      </c>
      <c r="B20" s="4">
        <f>IF('Profit &amp; Loss'!B4&gt;0,'Balance Sheet'!B17/('Profit &amp; Loss'!B4/365),0)</f>
        <v>17.447278447423685</v>
      </c>
      <c r="C20" s="4">
        <f>IF('Profit &amp; Loss'!C4&gt;0,'Balance Sheet'!C17/('Profit &amp; Loss'!C4/365),0)</f>
        <v>18.141226776772818</v>
      </c>
      <c r="D20" s="4">
        <f>IF('Profit &amp; Loss'!D4&gt;0,'Balance Sheet'!D17/('Profit &amp; Loss'!D4/365),0)</f>
        <v>19.049753180019717</v>
      </c>
      <c r="E20" s="4">
        <f>IF('Profit &amp; Loss'!E4&gt;0,'Balance Sheet'!E17/('Profit &amp; Loss'!E4/365),0)</f>
        <v>24.904964999543132</v>
      </c>
      <c r="F20" s="4">
        <f>IF('Profit &amp; Loss'!F4&gt;0,'Balance Sheet'!F17/('Profit &amp; Loss'!F4/365),0)</f>
        <v>22.963631157878556</v>
      </c>
      <c r="G20" s="4">
        <f>IF('Profit &amp; Loss'!G4&gt;0,'Balance Sheet'!G17/('Profit &amp; Loss'!G4/365),0)</f>
        <v>15.62057517051977</v>
      </c>
      <c r="H20" s="4">
        <f>IF('Profit &amp; Loss'!H4&gt;0,'Balance Sheet'!H17/('Profit &amp; Loss'!H4/365),0)</f>
        <v>18.526667193766084</v>
      </c>
      <c r="I20" s="4">
        <f>IF('Profit &amp; Loss'!I4&gt;0,'Balance Sheet'!I17/('Profit &amp; Loss'!I4/365),0)</f>
        <v>16.309264717046958</v>
      </c>
      <c r="J20" s="4">
        <f>IF('Profit &amp; Loss'!J4&gt;0,'Balance Sheet'!J17/('Profit &amp; Loss'!J4/365),0)</f>
        <v>16.603778823163381</v>
      </c>
      <c r="K20" s="4">
        <f>IF('Profit &amp; Loss'!K4&gt;0,'Balance Sheet'!K17/('Profit &amp; Loss'!K4/365),0)</f>
        <v>14.128838301348189</v>
      </c>
    </row>
    <row r="21" spans="1:11" x14ac:dyDescent="0.35">
      <c r="A21" t="s">
        <v>47</v>
      </c>
      <c r="B21" s="4">
        <f>IF('Balance Sheet'!B18&gt;0,'Profit &amp; Loss'!B4/'Balance Sheet'!B18,0)</f>
        <v>8.9900219797938927</v>
      </c>
      <c r="C21" s="4">
        <f>IF('Balance Sheet'!C18&gt;0,'Profit &amp; Loss'!C4/'Balance Sheet'!C18,0)</f>
        <v>8.3613381173839922</v>
      </c>
      <c r="D21" s="4">
        <f>IF('Balance Sheet'!D18&gt;0,'Profit &amp; Loss'!D4/'Balance Sheet'!D18,0)</f>
        <v>7.6867643466738649</v>
      </c>
      <c r="E21" s="4">
        <f>IF('Balance Sheet'!E18&gt;0,'Profit &amp; Loss'!E4/'Balance Sheet'!E18,0)</f>
        <v>6.9190051742350009</v>
      </c>
      <c r="F21" s="4">
        <f>IF('Balance Sheet'!F18&gt;0,'Profit &amp; Loss'!F4/'Balance Sheet'!F18,0)</f>
        <v>7.7392856309817084</v>
      </c>
      <c r="G21" s="4">
        <f>IF('Balance Sheet'!G18&gt;0,'Profit &amp; Loss'!G4/'Balance Sheet'!G18,0)</f>
        <v>6.9698269049637886</v>
      </c>
      <c r="H21" s="4">
        <f>IF('Balance Sheet'!H18&gt;0,'Profit &amp; Loss'!H4/'Balance Sheet'!H18,0)</f>
        <v>6.9217098811563442</v>
      </c>
      <c r="I21" s="4">
        <f>IF('Balance Sheet'!I18&gt;0,'Profit &amp; Loss'!I4/'Balance Sheet'!I18,0)</f>
        <v>7.9015588385356104</v>
      </c>
      <c r="J21" s="4">
        <f>IF('Balance Sheet'!J18&gt;0,'Profit &amp; Loss'!J4/'Balance Sheet'!J18,0)</f>
        <v>8.4888641723217457</v>
      </c>
      <c r="K21" s="4">
        <f>IF('Balance Sheet'!K18&gt;0,'Profit &amp; Loss'!K4/'Balance Sheet'!K18,0)</f>
        <v>9.1639137956181322</v>
      </c>
    </row>
    <row r="23" spans="1:11" s="2" customFormat="1" x14ac:dyDescent="0.35">
      <c r="A23" s="2" t="s">
        <v>59</v>
      </c>
      <c r="B23" s="10">
        <f>IF(SUM('Balance Sheet'!B4:B5)&gt;0,'Profit &amp; Loss'!B12/SUM('Balance Sheet'!B4:B5),"")</f>
        <v>0.24859247604774243</v>
      </c>
      <c r="C23" s="10">
        <f>IF(SUM('Balance Sheet'!C4:C5)&gt;0,'Profit &amp; Loss'!C12/SUM('Balance Sheet'!C4:C5),"")</f>
        <v>0.14666189417143824</v>
      </c>
      <c r="D23" s="10">
        <f>IF(SUM('Balance Sheet'!D4:D5)&gt;0,'Profit &amp; Loss'!D12/SUM('Balance Sheet'!D4:D5),"")</f>
        <v>0.1283864510783235</v>
      </c>
      <c r="E23" s="10">
        <f>IF(SUM('Balance Sheet'!E4:E5)&gt;0,'Profit &amp; Loss'!E12/SUM('Balance Sheet'!E4:E5),"")</f>
        <v>9.4195817554843228E-2</v>
      </c>
      <c r="F23" s="10">
        <f>IF(SUM('Balance Sheet'!F4:F5)&gt;0,'Profit &amp; Loss'!F12/SUM('Balance Sheet'!F4:F5),"")</f>
        <v>-0.47900366835516911</v>
      </c>
      <c r="G23" s="10">
        <f>IF(SUM('Balance Sheet'!G4:G5)&gt;0,'Profit &amp; Loss'!G12/SUM('Balance Sheet'!G4:G5),"")</f>
        <v>-0.19136225907610721</v>
      </c>
      <c r="H23" s="10">
        <f>IF(SUM('Balance Sheet'!H4:H5)&gt;0,'Profit &amp; Loss'!H12/SUM('Balance Sheet'!H4:H5),"")</f>
        <v>-0.24347852687001145</v>
      </c>
      <c r="I23" s="10">
        <f>IF(SUM('Balance Sheet'!I4:I5)&gt;0,'Profit &amp; Loss'!I12/SUM('Balance Sheet'!I4:I5),"")</f>
        <v>-0.25675833975894746</v>
      </c>
      <c r="J23" s="10">
        <f>IF(SUM('Balance Sheet'!J4:J5)&gt;0,'Profit &amp; Loss'!J12/SUM('Balance Sheet'!J4:J5),"")</f>
        <v>5.326996131441411E-2</v>
      </c>
      <c r="K23" s="10">
        <f>IF(SUM('Balance Sheet'!K4:K5)&gt;0,'Profit &amp; Loss'!K12/SUM('Balance Sheet'!K4:K5),"")</f>
        <v>0.36975767922992081</v>
      </c>
    </row>
    <row r="24" spans="1:11" s="2" customFormat="1" x14ac:dyDescent="0.35">
      <c r="A24" s="2" t="s">
        <v>60</v>
      </c>
      <c r="B24" s="10"/>
      <c r="C24" s="10">
        <f>IF((B4+B5+B6+C4+C5+C6)&gt;0,('Profit &amp; Loss'!C10+'Profit &amp; Loss'!C9)*2/(B4+B5+B6+C4+C5+C6),"")</f>
        <v>0.1367066655144345</v>
      </c>
      <c r="D24" s="10">
        <f>IF((C4+C5+C6+D4+D5+D6)&gt;0,('Profit &amp; Loss'!D10+'Profit &amp; Loss'!D9)*2/(C4+C5+C6+D4+D5+D6),"")</f>
        <v>9.5114630506525702E-2</v>
      </c>
      <c r="E24" s="10">
        <f>IF((D4+D5+D6+E4+E5+E6)&gt;0,('Profit &amp; Loss'!E10+'Profit &amp; Loss'!E9)*2/(D4+D5+D6+E4+E5+E6),"")</f>
        <v>9.8658175625322669E-2</v>
      </c>
      <c r="F24" s="10">
        <f>IF((E4+E5+E6+F4+F5+F6)&gt;0,('Profit &amp; Loss'!F10+'Profit &amp; Loss'!F9)*2/(E4+E5+E6+F4+F5+F6),"")</f>
        <v>-0.14605143828951733</v>
      </c>
      <c r="G24" s="10">
        <f>IF((F4+F5+F6+G4+G5+G6)&gt;0,('Profit &amp; Loss'!G10+'Profit &amp; Loss'!G9)*2/(F4+F5+F6+G4+G5+G6),"")</f>
        <v>-1.8839364919766063E-2</v>
      </c>
      <c r="H24" s="10">
        <f>IF((G4+G5+G6+H4+H5+H6)&gt;0,('Profit &amp; Loss'!H10+'Profit &amp; Loss'!H9)*2/(G4+G5+G6+H4+H5+H6),"")</f>
        <v>-1.2340819491134259E-2</v>
      </c>
      <c r="I24" s="10">
        <f>IF((H4+H5+H6+I4+I5+I6)&gt;0,('Profit &amp; Loss'!I10+'Profit &amp; Loss'!I9)*2/(H4+H5+H6+I4+I5+I6),"")</f>
        <v>1.1887352931695343E-2</v>
      </c>
      <c r="J24" s="10">
        <f>IF((I4+I5+I6+J4+J5+J6)&gt;0,('Profit &amp; Loss'!J10+'Profit &amp; Loss'!J9)*2/(I4+I5+I6+J4+J5+J6),"")</f>
        <v>7.3529898460097373E-2</v>
      </c>
      <c r="K24" s="10">
        <f>IF((J4+J5+J6+K4+K5+K6)&gt;0,('Profit &amp; Loss'!K10+'Profit &amp; Loss'!K9)*2/(J4+J5+J6+K4+K5+K6),"")</f>
        <v>0.20419409026662622</v>
      </c>
    </row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8"/>
  <sheetViews>
    <sheetView zoomScale="83" zoomScaleNormal="83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defaultColWidth="8.81640625" defaultRowHeight="14.5" x14ac:dyDescent="0.35"/>
  <cols>
    <col min="1" max="1" width="26.81640625" bestFit="1" customWidth="1"/>
    <col min="2" max="6" width="13.453125" customWidth="1"/>
    <col min="7" max="11" width="13.453125" bestFit="1" customWidth="1"/>
  </cols>
  <sheetData>
    <row r="1" spans="1:11" s="2" customFormat="1" x14ac:dyDescent="0.35">
      <c r="A1" s="2" t="str">
        <f>'Balance Sheet'!A1</f>
        <v>TATA MOTORS LTD</v>
      </c>
      <c r="E1" t="str">
        <f>UPDATE</f>
        <v/>
      </c>
      <c r="F1"/>
      <c r="J1" s="2" t="s">
        <v>1</v>
      </c>
    </row>
    <row r="3" spans="1:11" s="2" customFormat="1" x14ac:dyDescent="0.35">
      <c r="A3" s="11" t="s">
        <v>2</v>
      </c>
      <c r="B3" s="12">
        <f>'Data Sheet'!B81</f>
        <v>42094</v>
      </c>
      <c r="C3" s="12">
        <f>'Data Sheet'!C81</f>
        <v>42460</v>
      </c>
      <c r="D3" s="12">
        <f>'Data Sheet'!D81</f>
        <v>42825</v>
      </c>
      <c r="E3" s="12">
        <f>'Data Sheet'!E81</f>
        <v>43190</v>
      </c>
      <c r="F3" s="12">
        <f>'Data Sheet'!F81</f>
        <v>43555</v>
      </c>
      <c r="G3" s="12">
        <f>'Data Sheet'!G81</f>
        <v>43921</v>
      </c>
      <c r="H3" s="12">
        <f>'Data Sheet'!H81</f>
        <v>44286</v>
      </c>
      <c r="I3" s="12">
        <f>'Data Sheet'!I81</f>
        <v>44651</v>
      </c>
      <c r="J3" s="12">
        <f>'Data Sheet'!J81</f>
        <v>45016</v>
      </c>
      <c r="K3" s="12">
        <f>'Data Sheet'!K81</f>
        <v>45382</v>
      </c>
    </row>
    <row r="4" spans="1:11" s="2" customFormat="1" x14ac:dyDescent="0.35">
      <c r="A4" s="2" t="s">
        <v>32</v>
      </c>
      <c r="B4" s="1">
        <f>'Data Sheet'!B82</f>
        <v>35531.26</v>
      </c>
      <c r="C4" s="1">
        <f>'Data Sheet'!C82</f>
        <v>37899.54</v>
      </c>
      <c r="D4" s="1">
        <f>'Data Sheet'!D82</f>
        <v>30199.25</v>
      </c>
      <c r="E4" s="1">
        <f>'Data Sheet'!E82</f>
        <v>23857.42</v>
      </c>
      <c r="F4" s="1">
        <f>'Data Sheet'!F82</f>
        <v>18890.75</v>
      </c>
      <c r="G4" s="1">
        <f>'Data Sheet'!G82</f>
        <v>26632.94</v>
      </c>
      <c r="H4" s="1">
        <f>'Data Sheet'!H82</f>
        <v>29000.51</v>
      </c>
      <c r="I4" s="1">
        <f>'Data Sheet'!I82</f>
        <v>14282.83</v>
      </c>
      <c r="J4" s="1">
        <f>'Data Sheet'!J82</f>
        <v>35388.01</v>
      </c>
      <c r="K4" s="1">
        <f>'Data Sheet'!K82</f>
        <v>67915.360000000001</v>
      </c>
    </row>
    <row r="5" spans="1:11" x14ac:dyDescent="0.35">
      <c r="A5" t="s">
        <v>33</v>
      </c>
      <c r="B5" s="6">
        <f>'Data Sheet'!B83</f>
        <v>-36232.35</v>
      </c>
      <c r="C5" s="6">
        <f>'Data Sheet'!C83</f>
        <v>-36693.9</v>
      </c>
      <c r="D5" s="6">
        <f>'Data Sheet'!D83</f>
        <v>-39571.4</v>
      </c>
      <c r="E5" s="6">
        <f>'Data Sheet'!E83</f>
        <v>-25139.14</v>
      </c>
      <c r="F5" s="6">
        <f>'Data Sheet'!F83</f>
        <v>-20878.07</v>
      </c>
      <c r="G5" s="6">
        <f>'Data Sheet'!G83</f>
        <v>-33114.550000000003</v>
      </c>
      <c r="H5" s="6">
        <f>'Data Sheet'!H83</f>
        <v>-25672.5</v>
      </c>
      <c r="I5" s="6">
        <f>'Data Sheet'!I83</f>
        <v>-4443.66</v>
      </c>
      <c r="J5" s="6">
        <f>'Data Sheet'!J83</f>
        <v>-15417.17</v>
      </c>
      <c r="K5" s="6">
        <f>'Data Sheet'!K83</f>
        <v>-22781.56</v>
      </c>
    </row>
    <row r="6" spans="1:11" x14ac:dyDescent="0.35">
      <c r="A6" t="s">
        <v>34</v>
      </c>
      <c r="B6" s="6">
        <f>'Data Sheet'!B84</f>
        <v>5201.4399999999996</v>
      </c>
      <c r="C6" s="6">
        <f>'Data Sheet'!C84</f>
        <v>-3795.12</v>
      </c>
      <c r="D6" s="6">
        <f>'Data Sheet'!D84</f>
        <v>6205.3</v>
      </c>
      <c r="E6" s="6">
        <f>'Data Sheet'!E84</f>
        <v>2011.71</v>
      </c>
      <c r="F6" s="6">
        <f>'Data Sheet'!F84</f>
        <v>8830.3700000000008</v>
      </c>
      <c r="G6" s="6">
        <f>'Data Sheet'!G84</f>
        <v>3389.61</v>
      </c>
      <c r="H6" s="6">
        <f>'Data Sheet'!H84</f>
        <v>9904.2000000000007</v>
      </c>
      <c r="I6" s="6">
        <f>'Data Sheet'!I84</f>
        <v>-3380.17</v>
      </c>
      <c r="J6" s="6">
        <f>'Data Sheet'!J84</f>
        <v>-26242.9</v>
      </c>
      <c r="K6" s="6">
        <f>'Data Sheet'!K84</f>
        <v>-37005.99</v>
      </c>
    </row>
    <row r="7" spans="1:11" s="2" customFormat="1" x14ac:dyDescent="0.35">
      <c r="A7" s="2" t="s">
        <v>35</v>
      </c>
      <c r="B7" s="1">
        <f>'Data Sheet'!B85</f>
        <v>4500.3500000000004</v>
      </c>
      <c r="C7" s="1">
        <f>'Data Sheet'!C85</f>
        <v>-2589.48</v>
      </c>
      <c r="D7" s="1">
        <f>'Data Sheet'!D85</f>
        <v>-3166.85</v>
      </c>
      <c r="E7" s="1">
        <f>'Data Sheet'!E85</f>
        <v>729.99</v>
      </c>
      <c r="F7" s="1">
        <f>'Data Sheet'!F85</f>
        <v>6843.05</v>
      </c>
      <c r="G7" s="1">
        <f>'Data Sheet'!G85</f>
        <v>-3092</v>
      </c>
      <c r="H7" s="1">
        <f>'Data Sheet'!H85</f>
        <v>13232.21</v>
      </c>
      <c r="I7" s="1">
        <f>'Data Sheet'!I85</f>
        <v>6459</v>
      </c>
      <c r="J7" s="1">
        <f>'Data Sheet'!J85</f>
        <v>-6272.06</v>
      </c>
      <c r="K7" s="1">
        <f>'Data Sheet'!K85</f>
        <v>8127.81</v>
      </c>
    </row>
    <row r="8" spans="1:11" x14ac:dyDescent="0.35">
      <c r="B8" s="6"/>
      <c r="C8" s="6"/>
      <c r="D8" s="6"/>
      <c r="E8" s="6"/>
      <c r="F8" s="6"/>
      <c r="G8" s="6"/>
      <c r="H8" s="6"/>
      <c r="I8" s="6"/>
      <c r="J8" s="6"/>
      <c r="K8" s="6"/>
    </row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CE9D7-9439-4E17-8C32-29AE4A1E647C}">
  <dimension ref="B2:O40"/>
  <sheetViews>
    <sheetView tabSelected="1" workbookViewId="0">
      <pane ySplit="3" topLeftCell="A4" activePane="bottomLeft" state="frozen"/>
      <selection pane="bottomLeft" activeCell="D5" sqref="D5"/>
    </sheetView>
  </sheetViews>
  <sheetFormatPr defaultRowHeight="14.5" x14ac:dyDescent="0.35"/>
  <cols>
    <col min="1" max="1" width="1.81640625" customWidth="1"/>
    <col min="2" max="2" width="29.26953125" bestFit="1" customWidth="1"/>
    <col min="3" max="3" width="12.7265625" bestFit="1" customWidth="1"/>
    <col min="10" max="10" width="10" customWidth="1"/>
    <col min="11" max="12" width="10" bestFit="1" customWidth="1"/>
    <col min="13" max="13" width="12.81640625" customWidth="1"/>
    <col min="14" max="14" width="8.81640625" bestFit="1" customWidth="1"/>
    <col min="15" max="15" width="7.81640625" bestFit="1" customWidth="1"/>
  </cols>
  <sheetData>
    <row r="2" spans="2:15" x14ac:dyDescent="0.35">
      <c r="B2" s="112" t="str">
        <f>"Ratio Analysis of - "&amp;'Data Sheet'!B1</f>
        <v>Ratio Analysis of - TATA MOTORS LTD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</row>
    <row r="3" spans="2:15" x14ac:dyDescent="0.35">
      <c r="B3" s="39" t="s">
        <v>94</v>
      </c>
      <c r="C3" s="40">
        <f>'Data Sheet'!B16</f>
        <v>42094</v>
      </c>
      <c r="D3" s="40">
        <f>'Data Sheet'!C16</f>
        <v>42460</v>
      </c>
      <c r="E3" s="40">
        <f>'Data Sheet'!D16</f>
        <v>42825</v>
      </c>
      <c r="F3" s="40">
        <f>'Data Sheet'!E16</f>
        <v>43190</v>
      </c>
      <c r="G3" s="40">
        <f>'Data Sheet'!F16</f>
        <v>43555</v>
      </c>
      <c r="H3" s="40">
        <f>'Data Sheet'!G16</f>
        <v>43921</v>
      </c>
      <c r="I3" s="40">
        <f>'Data Sheet'!H16</f>
        <v>44286</v>
      </c>
      <c r="J3" s="40">
        <f>'Data Sheet'!I16</f>
        <v>44651</v>
      </c>
      <c r="K3" s="40">
        <f>'Data Sheet'!J16</f>
        <v>45016</v>
      </c>
      <c r="L3" s="40">
        <f>'Data Sheet'!K16</f>
        <v>45382</v>
      </c>
      <c r="M3" s="52" t="s">
        <v>165</v>
      </c>
      <c r="N3" s="41" t="s">
        <v>166</v>
      </c>
      <c r="O3" s="41" t="s">
        <v>167</v>
      </c>
    </row>
    <row r="5" spans="2:15" x14ac:dyDescent="0.35">
      <c r="B5" s="45" t="s">
        <v>168</v>
      </c>
      <c r="C5" s="45"/>
      <c r="D5" s="46">
        <f>IFERROR(HistoricalFS!D7,0)</f>
        <v>3.75690010654397E-2</v>
      </c>
      <c r="E5" s="46">
        <f>IFERROR(HistoricalFS!E7,0)</f>
        <v>-1.2280329732469508E-2</v>
      </c>
      <c r="F5" s="46">
        <f>IFERROR(HistoricalFS!F7,0)</f>
        <v>8.104774581985974E-2</v>
      </c>
      <c r="G5" s="46">
        <f>IFERROR(HistoricalFS!G7,0)</f>
        <v>3.5629919045237157E-2</v>
      </c>
      <c r="H5" s="46">
        <f>IFERROR(HistoricalFS!H7,0)</f>
        <v>-0.135360159555724</v>
      </c>
      <c r="I5" s="46">
        <f>IFERROR(HistoricalFS!I7,0)</f>
        <v>-4.3181168490336042E-2</v>
      </c>
      <c r="J5" s="46">
        <f>IFERROR(HistoricalFS!J7,0)</f>
        <v>0.11472967306158344</v>
      </c>
      <c r="K5" s="46">
        <f>IFERROR(HistoricalFS!K7,0)</f>
        <v>0.24245815155859707</v>
      </c>
      <c r="L5" s="46">
        <f>IFERROR(HistoricalFS!L7,0)</f>
        <v>0.26580803363974326</v>
      </c>
      <c r="M5" s="45"/>
      <c r="N5" s="46">
        <f>IFERROR(AVERAGE(D5:L5),0)</f>
        <v>6.5157874045770087E-2</v>
      </c>
      <c r="O5" s="46">
        <f>IFERROR(MEDIAN(C5:L5),0)</f>
        <v>3.75690010654397E-2</v>
      </c>
    </row>
    <row r="6" spans="2:15" x14ac:dyDescent="0.35">
      <c r="B6" t="s">
        <v>169</v>
      </c>
      <c r="D6" s="47">
        <f>IFERROR(HistoricalFS!D18/HistoricalFS!C18-1,0)</f>
        <v>-2.1494113584437979E-2</v>
      </c>
      <c r="E6" s="47">
        <f>IFERROR(HistoricalFS!E18/HistoricalFS!D18-1,0)</f>
        <v>-0.22936587208052905</v>
      </c>
      <c r="F6" s="47">
        <f>IFERROR(HistoricalFS!F18/HistoricalFS!E18-1,0)</f>
        <v>6.3165689322506102E-2</v>
      </c>
      <c r="G6" s="47">
        <f>IFERROR(HistoricalFS!G18/HistoricalFS!F18-1,0)</f>
        <v>-0.21595203460649259</v>
      </c>
      <c r="H6" s="47">
        <f>IFERROR(HistoricalFS!H18/HistoricalFS!G18-1,0)</f>
        <v>-0.27072537547138131</v>
      </c>
      <c r="I6" s="47">
        <f>IFERROR(HistoricalFS!I18/HistoricalFS!H18-1,0)</f>
        <v>0.79503554497758966</v>
      </c>
      <c r="J6" s="47">
        <f>IFERROR(HistoricalFS!J18/HistoricalFS!I18-1,0)</f>
        <v>-0.234374182150762</v>
      </c>
      <c r="K6" s="47">
        <f>IFERROR(HistoricalFS!K18/HistoricalFS!J18-1,0)</f>
        <v>0.28704223973294352</v>
      </c>
      <c r="L6" s="47">
        <f>IFERROR(HistoricalFS!L18/HistoricalFS!K18-1,0)</f>
        <v>0.87134505497269021</v>
      </c>
      <c r="N6" s="47">
        <f t="shared" ref="N6:N9" si="0">IFERROR(AVERAGE(D6:L6),0)</f>
        <v>0.11607521679023629</v>
      </c>
      <c r="O6" s="47">
        <f t="shared" ref="O6:O9" si="1">IFERROR(MEDIAN(C6:L6),0)</f>
        <v>-2.1494113584437979E-2</v>
      </c>
    </row>
    <row r="7" spans="2:15" x14ac:dyDescent="0.35">
      <c r="B7" t="s">
        <v>170</v>
      </c>
      <c r="D7" s="47">
        <f>IFERROR(HistoricalFS!D27/HistoricalFS!C27-1,0)</f>
        <v>-0.19978245260625749</v>
      </c>
      <c r="E7" s="47">
        <f>IFERROR(HistoricalFS!E27/HistoricalFS!D27-1,0)</f>
        <v>-0.55668251823863213</v>
      </c>
      <c r="F7" s="47">
        <f>IFERROR(HistoricalFS!F27/HistoricalFS!E27-1,0)</f>
        <v>-0.29861436616351744</v>
      </c>
      <c r="G7" s="47">
        <f>IFERROR(HistoricalFS!G27/HistoricalFS!F27-1,0)</f>
        <v>-1.897095149646705</v>
      </c>
      <c r="H7" s="47">
        <f>IFERROR(HistoricalFS!H27/HistoricalFS!G27-1,0)</f>
        <v>1.2800251873039095</v>
      </c>
      <c r="I7" s="47">
        <f>IFERROR(HistoricalFS!I27/HistoricalFS!H27-1,0)</f>
        <v>-1.0602479570180365</v>
      </c>
      <c r="J7" s="47">
        <f>IFERROR(HistoricalFS!J27/HistoricalFS!I27-1,0)</f>
        <v>-15.64914925025267</v>
      </c>
      <c r="K7" s="47">
        <f>IFERROR(HistoricalFS!K27/HistoricalFS!J27-1,0)</f>
        <v>-0.65313668793078505</v>
      </c>
      <c r="L7" s="47">
        <f>IFERROR(HistoricalFS!L27/HistoricalFS!K27-1,0)</f>
        <v>-7.8141215397976129</v>
      </c>
      <c r="N7" s="47">
        <f t="shared" si="0"/>
        <v>-2.9832005260389232</v>
      </c>
      <c r="O7" s="47">
        <f t="shared" si="1"/>
        <v>-0.65313668793078505</v>
      </c>
    </row>
    <row r="8" spans="2:15" x14ac:dyDescent="0.35">
      <c r="B8" t="s">
        <v>171</v>
      </c>
      <c r="D8" s="47">
        <f>IFERROR(HistoricalFS!D33/HistoricalFS!C33-1,0)</f>
        <v>3.1824673563310757E-2</v>
      </c>
      <c r="E8" s="47">
        <f>IFERROR(HistoricalFS!E33/HistoricalFS!D33-1,0)</f>
        <v>-0.69539895165986787</v>
      </c>
      <c r="F8" s="47">
        <f>IFERROR(HistoricalFS!F33/HistoricalFS!E33-1,0)</f>
        <v>-0.79011124197155724</v>
      </c>
      <c r="G8" s="47">
        <f>IFERROR(HistoricalFS!G33/HistoricalFS!F33-1,0)</f>
        <v>-3.5528470983790919</v>
      </c>
      <c r="H8" s="47">
        <f>IFERROR(HistoricalFS!H33/HistoricalFS!G33-1,0)</f>
        <v>3.9286702707513577</v>
      </c>
      <c r="I8" s="47">
        <f>IFERROR(HistoricalFS!I33/HistoricalFS!H33-1,0)</f>
        <v>-0.82862505348950144</v>
      </c>
      <c r="J8" s="47">
        <f>IFERROR(HistoricalFS!J33/HistoricalFS!I33-1,0)</f>
        <v>6.1952157445306248</v>
      </c>
      <c r="K8" s="47">
        <f>IFERROR(HistoricalFS!K33/HistoricalFS!J33-1,0)</f>
        <v>-0.7090436533357708</v>
      </c>
      <c r="L8" s="47">
        <f>IFERROR(HistoricalFS!L33/HistoricalFS!K33-1,0)</f>
        <v>-7.5761027654059525</v>
      </c>
      <c r="N8" s="47">
        <f t="shared" si="0"/>
        <v>-0.44404645282182759</v>
      </c>
      <c r="O8" s="47">
        <f t="shared" si="1"/>
        <v>-0.7090436533357708</v>
      </c>
    </row>
    <row r="9" spans="2:15" x14ac:dyDescent="0.35">
      <c r="B9" s="48" t="s">
        <v>172</v>
      </c>
      <c r="C9" s="48"/>
      <c r="D9" s="47">
        <f>IFERROR(HistoricalFS!D41/HistoricalFS!C41-1,0)</f>
        <v>0</v>
      </c>
      <c r="E9" s="47">
        <f>IFERROR(HistoricalFS!E41/HistoricalFS!D41-1,0)</f>
        <v>-1</v>
      </c>
      <c r="F9" s="47">
        <f>IFERROR(HistoricalFS!F41/HistoricalFS!E41-1,0)</f>
        <v>0</v>
      </c>
      <c r="G9" s="47">
        <f>IFERROR(HistoricalFS!G41/HistoricalFS!F41-1,0)</f>
        <v>0</v>
      </c>
      <c r="H9" s="47">
        <f>IFERROR(HistoricalFS!H41/HistoricalFS!G41-1,0)</f>
        <v>0</v>
      </c>
      <c r="I9" s="47">
        <f>IFERROR(HistoricalFS!I41/HistoricalFS!H41-1,0)</f>
        <v>0</v>
      </c>
      <c r="J9" s="47">
        <f>IFERROR(HistoricalFS!J41/HistoricalFS!I41-1,0)</f>
        <v>0</v>
      </c>
      <c r="K9" s="47">
        <f>IFERROR(HistoricalFS!K41/HistoricalFS!J41-1,0)</f>
        <v>0</v>
      </c>
      <c r="L9" s="47">
        <f>IFERROR(HistoricalFS!L41/HistoricalFS!K41-1,0)</f>
        <v>1.9997122285739932</v>
      </c>
      <c r="M9" s="48"/>
      <c r="N9" s="49">
        <f t="shared" si="0"/>
        <v>0.11107913650822147</v>
      </c>
      <c r="O9" s="49">
        <f t="shared" si="1"/>
        <v>0</v>
      </c>
    </row>
    <row r="11" spans="2:15" x14ac:dyDescent="0.35">
      <c r="B11" s="45" t="s">
        <v>173</v>
      </c>
      <c r="C11" s="46">
        <f>IFERROR(HistoricalFS!C13,0)</f>
        <v>0.22914703499762759</v>
      </c>
      <c r="D11" s="46">
        <f>IFERROR(HistoricalFS!D13,0)</f>
        <v>0.24734524196690946</v>
      </c>
      <c r="E11" s="46">
        <f>IFERROR(HistoricalFS!E13,0)</f>
        <v>0.23819078253229964</v>
      </c>
      <c r="F11" s="46">
        <f>IFERROR(HistoricalFS!F13,0)</f>
        <v>0.21649990080619999</v>
      </c>
      <c r="G11" s="46">
        <f>IFERROR(HistoricalFS!G13,0)</f>
        <v>0.19571167496416494</v>
      </c>
      <c r="H11" s="46">
        <f>IFERROR(HistoricalFS!H13,0)</f>
        <v>0.19417127271491774</v>
      </c>
      <c r="I11" s="46">
        <f>IFERROR(HistoricalFS!I13,0)</f>
        <v>0.2180538622208833</v>
      </c>
      <c r="J11" s="46">
        <f>IFERROR(HistoricalFS!J13,0)</f>
        <v>0.19807108271747378</v>
      </c>
      <c r="K11" s="46">
        <f>IFERROR(HistoricalFS!K13,0)</f>
        <v>0.20685017994636876</v>
      </c>
      <c r="L11" s="46">
        <f>IFERROR(HistoricalFS!L13,0)</f>
        <v>0.23605714704961514</v>
      </c>
      <c r="M11" s="45"/>
      <c r="N11" s="46">
        <f>IFERROR(AVERAGE(C11:L11),0)</f>
        <v>0.21800981799164604</v>
      </c>
      <c r="O11" s="46">
        <f t="shared" ref="O11:O15" si="2">IFERROR(MEDIAN(C11:L11),0)</f>
        <v>0.21727688151354163</v>
      </c>
    </row>
    <row r="12" spans="2:15" x14ac:dyDescent="0.35">
      <c r="B12" t="s">
        <v>174</v>
      </c>
      <c r="C12" s="47">
        <f>IFERROR(HistoricalFS!C19,0)</f>
        <v>0.14910625508580397</v>
      </c>
      <c r="D12" s="47">
        <f>IFERROR(HistoricalFS!D19,0)</f>
        <v>0.14061845347443788</v>
      </c>
      <c r="E12" s="47">
        <f>IFERROR(HistoricalFS!E19,0)</f>
        <v>0.10971268723777329</v>
      </c>
      <c r="F12" s="47">
        <f>IFERROR(HistoricalFS!F19,0)</f>
        <v>0.10789788444182975</v>
      </c>
      <c r="G12" s="47">
        <f>IFERROR(HistoricalFS!G19,0)</f>
        <v>8.1686628795807431E-2</v>
      </c>
      <c r="H12" s="47">
        <f>IFERROR(HistoricalFS!H19,0)</f>
        <v>6.8898034485042198E-2</v>
      </c>
      <c r="I12" s="47">
        <f>IFERROR(HistoricalFS!I19,0)</f>
        <v>0.12925583904385496</v>
      </c>
      <c r="J12" s="47">
        <f>IFERROR(HistoricalFS!J19,0)</f>
        <v>8.877632835227646E-2</v>
      </c>
      <c r="K12" s="47">
        <f>IFERROR(HistoricalFS!K19,0)</f>
        <v>9.1961958102532049E-2</v>
      </c>
      <c r="L12" s="47">
        <f>IFERROR(HistoricalFS!L19,0)</f>
        <v>0.13595470321509878</v>
      </c>
      <c r="N12" s="47">
        <f t="shared" ref="N12:N40" si="3">IFERROR(AVERAGE(C12:L12),0)</f>
        <v>0.11038687722344567</v>
      </c>
      <c r="O12" s="47">
        <f t="shared" si="2"/>
        <v>0.10880528583980152</v>
      </c>
    </row>
    <row r="13" spans="2:15" x14ac:dyDescent="0.35">
      <c r="B13" t="s">
        <v>175</v>
      </c>
      <c r="C13" s="47">
        <f>IFERROR((HistoricalFS!C18-HistoricalFS!C24)/HistoricalFS!C6,0)</f>
        <v>9.8229670900837146E-2</v>
      </c>
      <c r="D13" s="47">
        <f>IFERROR((HistoricalFS!D18-HistoricalFS!D24)/HistoricalFS!D6,0)</f>
        <v>7.941702777851016E-2</v>
      </c>
      <c r="E13" s="47">
        <f>IFERROR((HistoricalFS!E18-HistoricalFS!E24)/HistoricalFS!E6,0)</f>
        <v>4.3322300645279484E-2</v>
      </c>
      <c r="F13" s="47">
        <f>IFERROR((HistoricalFS!F18-HistoricalFS!F24)/HistoricalFS!F6,0)</f>
        <v>3.3970412259310953E-2</v>
      </c>
      <c r="G13" s="47">
        <f>IFERROR((HistoricalFS!G18-HistoricalFS!G24)/HistoricalFS!G6,0)</f>
        <v>3.5560233478087663E-3</v>
      </c>
      <c r="H13" s="47">
        <f>IFERROR((HistoricalFS!H18-HistoricalFS!H24)/HistoricalFS!H6,0)</f>
        <v>-1.3170363258273456E-2</v>
      </c>
      <c r="I13" s="47">
        <f>IFERROR((HistoricalFS!I18-HistoricalFS!I24)/HistoricalFS!I6,0)</f>
        <v>3.4991608110258483E-2</v>
      </c>
      <c r="J13" s="47">
        <f>IFERROR((HistoricalFS!J18-HistoricalFS!J24)/HistoricalFS!J6,0)</f>
        <v>-4.1514992694289269E-4</v>
      </c>
      <c r="K13" s="47">
        <f>IFERROR((HistoricalFS!K18-HistoricalFS!K24)/HistoricalFS!K6,0)</f>
        <v>2.0104346955433228E-2</v>
      </c>
      <c r="L13" s="47">
        <f>IFERROR((HistoricalFS!L18-HistoricalFS!L24)/HistoricalFS!L6,0)</f>
        <v>7.3683863437114389E-2</v>
      </c>
      <c r="N13" s="47">
        <f t="shared" si="3"/>
        <v>3.7368974024933624E-2</v>
      </c>
      <c r="O13" s="47">
        <f t="shared" si="2"/>
        <v>3.4481010184784722E-2</v>
      </c>
    </row>
    <row r="14" spans="2:15" x14ac:dyDescent="0.35">
      <c r="B14" t="s">
        <v>176</v>
      </c>
      <c r="C14" s="47">
        <f>IFERROR(HistoricalFS!C28,0)</f>
        <v>7.9756085085905037E-2</v>
      </c>
      <c r="D14" s="47">
        <f>IFERROR(HistoricalFS!D28,0)</f>
        <v>6.1511300676516931E-2</v>
      </c>
      <c r="E14" s="47">
        <f>IFERROR(HistoricalFS!E28,0)</f>
        <v>2.7608071132565179E-2</v>
      </c>
      <c r="F14" s="47">
        <f>IFERROR(HistoricalFS!F28,0)</f>
        <v>1.7912163958707913E-2</v>
      </c>
      <c r="G14" s="47">
        <f>IFERROR(HistoricalFS!G28,0)</f>
        <v>-1.5516078776333117E-2</v>
      </c>
      <c r="H14" s="47">
        <f>IFERROR(HistoricalFS!H28,0)</f>
        <v>-4.0915360088026265E-2</v>
      </c>
      <c r="I14" s="47">
        <f>IFERROR(HistoricalFS!I28,0)</f>
        <v>2.5763151547420113E-3</v>
      </c>
      <c r="J14" s="47">
        <f>IFERROR(HistoricalFS!J28,0)</f>
        <v>-3.3856482095653805E-2</v>
      </c>
      <c r="K14" s="47">
        <f>IFERROR(HistoricalFS!K28,0)</f>
        <v>-9.4518849588445895E-3</v>
      </c>
      <c r="L14" s="47">
        <f>IFERROR(HistoricalFS!L28,0)</f>
        <v>5.0881564327377643E-2</v>
      </c>
      <c r="N14" s="47">
        <f t="shared" si="3"/>
        <v>1.4050569441695698E-2</v>
      </c>
      <c r="O14" s="47">
        <f t="shared" si="2"/>
        <v>1.0244239556724962E-2</v>
      </c>
    </row>
    <row r="15" spans="2:15" x14ac:dyDescent="0.35">
      <c r="B15" t="s">
        <v>177</v>
      </c>
      <c r="C15" s="47">
        <f>IFERROR(HistoricalFS!C34,0)</f>
        <v>5.0713146858982282E-2</v>
      </c>
      <c r="D15" s="47">
        <f>IFERROR(HistoricalFS!D34,0)</f>
        <v>5.0432381990407359E-2</v>
      </c>
      <c r="E15" s="47">
        <f>IFERROR(HistoricalFS!E34,0)</f>
        <v>1.5552749314395296E-2</v>
      </c>
      <c r="F15" s="47">
        <f>IFERROR(HistoricalFS!F34,0)</f>
        <v>3.01961430487095E-3</v>
      </c>
      <c r="G15" s="47">
        <f>IFERROR(HistoricalFS!G34,0)</f>
        <v>-7.4434056747998256E-3</v>
      </c>
      <c r="H15" s="47">
        <f>IFERROR(HistoricalFS!H34,0)</f>
        <v>-4.2429333632923408E-2</v>
      </c>
      <c r="I15" s="47">
        <f>IFERROR(HistoricalFS!I34,0)</f>
        <v>-7.5994791724005731E-3</v>
      </c>
      <c r="J15" s="47">
        <f>IFERROR(HistoricalFS!J34,0)</f>
        <v>-4.9052154538339235E-2</v>
      </c>
      <c r="K15" s="47">
        <f>IFERROR(HistoricalFS!K34,0)</f>
        <v>-1.1486934720964945E-2</v>
      </c>
      <c r="L15" s="47">
        <f>IFERROR(HistoricalFS!L34,0)</f>
        <v>5.9676713353894045E-2</v>
      </c>
      <c r="N15" s="47">
        <f t="shared" si="3"/>
        <v>6.1383298083121946E-3</v>
      </c>
      <c r="O15" s="47">
        <f t="shared" si="2"/>
        <v>-2.2118956849644378E-3</v>
      </c>
    </row>
    <row r="17" spans="2:15" x14ac:dyDescent="0.35">
      <c r="B17" t="s">
        <v>178</v>
      </c>
      <c r="C17" s="47">
        <f>IFERROR(HistoricalFS!C16,0)</f>
        <v>8.0040779911823637E-2</v>
      </c>
      <c r="D17" s="47">
        <f>IFERROR(HistoricalFS!D16,0)</f>
        <v>0.10672678849247161</v>
      </c>
      <c r="E17" s="47">
        <f>IFERROR(HistoricalFS!E16,0)</f>
        <v>0.12847809529452636</v>
      </c>
      <c r="F17" s="47">
        <f>IFERROR(HistoricalFS!F16,0)</f>
        <v>0.10860201636437025</v>
      </c>
      <c r="G17" s="47">
        <f>IFERROR(HistoricalFS!G16,0)</f>
        <v>0.11402504616835751</v>
      </c>
      <c r="H17" s="47">
        <f>IFERROR(HistoricalFS!H16,0)</f>
        <v>0.12527323822987554</v>
      </c>
      <c r="I17" s="47">
        <f>IFERROR(HistoricalFS!I16,0)</f>
        <v>8.8798023177028354E-2</v>
      </c>
      <c r="J17" s="47">
        <f>IFERROR(HistoricalFS!J16,0)</f>
        <v>0.10929475436519734</v>
      </c>
      <c r="K17" s="47">
        <f>IFERROR(HistoricalFS!K16,0)</f>
        <v>0.11488822184383672</v>
      </c>
      <c r="L17" s="47">
        <f>IFERROR(HistoricalFS!L16,0)</f>
        <v>0.10010244383451636</v>
      </c>
      <c r="N17" s="47">
        <f t="shared" si="3"/>
        <v>0.10762294076820036</v>
      </c>
      <c r="O17" s="47">
        <f t="shared" ref="O17:O19" si="4">IFERROR(MEDIAN(C17:L17),0)</f>
        <v>0.1089483853647838</v>
      </c>
    </row>
    <row r="18" spans="2:15" x14ac:dyDescent="0.35">
      <c r="B18" t="s">
        <v>108</v>
      </c>
      <c r="C18" s="47">
        <f>IFERROR(HistoricalFS!C25,0)</f>
        <v>5.0876584184966822E-2</v>
      </c>
      <c r="D18" s="47">
        <f>IFERROR(HistoricalFS!D25,0)</f>
        <v>6.1201425695927715E-2</v>
      </c>
      <c r="E18" s="47">
        <f>IFERROR(HistoricalFS!E25,0)</f>
        <v>6.63903865924938E-2</v>
      </c>
      <c r="F18" s="47">
        <f>IFERROR(HistoricalFS!F25,0)</f>
        <v>7.3927472182518786E-2</v>
      </c>
      <c r="G18" s="47">
        <f>IFERROR(HistoricalFS!G25,0)</f>
        <v>7.8130605447998658E-2</v>
      </c>
      <c r="H18" s="47">
        <f>IFERROR(HistoricalFS!H25,0)</f>
        <v>8.206839774331566E-2</v>
      </c>
      <c r="I18" s="47">
        <f>IFERROR(HistoricalFS!I25,0)</f>
        <v>9.4264230933596482E-2</v>
      </c>
      <c r="J18" s="47">
        <f>IFERROR(HistoricalFS!J25,0)</f>
        <v>8.9191478279219347E-2</v>
      </c>
      <c r="K18" s="47">
        <f>IFERROR(HistoricalFS!K25,0)</f>
        <v>7.1857611147098821E-2</v>
      </c>
      <c r="L18" s="47">
        <f>IFERROR(HistoricalFS!L25,0)</f>
        <v>6.2270839777984394E-2</v>
      </c>
      <c r="N18" s="47">
        <f t="shared" si="3"/>
        <v>7.3017903198512063E-2</v>
      </c>
      <c r="O18" s="47">
        <f t="shared" si="4"/>
        <v>7.2892541664808796E-2</v>
      </c>
    </row>
    <row r="19" spans="2:15" x14ac:dyDescent="0.35">
      <c r="B19" t="s">
        <v>179</v>
      </c>
      <c r="C19" s="5">
        <f>C13</f>
        <v>9.8229670900837146E-2</v>
      </c>
      <c r="D19" s="5">
        <f t="shared" ref="D19:L19" si="5">D13</f>
        <v>7.941702777851016E-2</v>
      </c>
      <c r="E19" s="5">
        <f t="shared" si="5"/>
        <v>4.3322300645279484E-2</v>
      </c>
      <c r="F19" s="5">
        <f t="shared" si="5"/>
        <v>3.3970412259310953E-2</v>
      </c>
      <c r="G19" s="5">
        <f t="shared" si="5"/>
        <v>3.5560233478087663E-3</v>
      </c>
      <c r="H19" s="5">
        <f t="shared" si="5"/>
        <v>-1.3170363258273456E-2</v>
      </c>
      <c r="I19" s="5">
        <f t="shared" si="5"/>
        <v>3.4991608110258483E-2</v>
      </c>
      <c r="J19" s="5">
        <f t="shared" si="5"/>
        <v>-4.1514992694289269E-4</v>
      </c>
      <c r="K19" s="5">
        <f t="shared" si="5"/>
        <v>2.0104346955433228E-2</v>
      </c>
      <c r="L19" s="5">
        <f t="shared" si="5"/>
        <v>7.3683863437114389E-2</v>
      </c>
      <c r="N19" s="47">
        <f t="shared" si="3"/>
        <v>3.7368974024933624E-2</v>
      </c>
      <c r="O19" s="47">
        <f t="shared" si="4"/>
        <v>3.4481010184784722E-2</v>
      </c>
    </row>
    <row r="21" spans="2:15" x14ac:dyDescent="0.35">
      <c r="B21" t="s">
        <v>180</v>
      </c>
      <c r="C21" s="47">
        <f>IFERROR((HistoricalFS!C18-HistoricalFS!C24)/(SUM(HistoricalFS!C47:C49)),0)</f>
        <v>0.19904181268509033</v>
      </c>
      <c r="D21" s="47">
        <f>IFERROR((HistoricalFS!D18-HistoricalFS!D24)/(SUM(HistoricalFS!D47:D49)),0)</f>
        <v>0.1462081011853561</v>
      </c>
      <c r="E21" s="47">
        <f>IFERROR((HistoricalFS!E18-HistoricalFS!E24)/(SUM(HistoricalFS!E47:E49)),0)</f>
        <v>8.5490986154773282E-2</v>
      </c>
      <c r="F21" s="47">
        <f>IFERROR((HistoricalFS!F18-HistoricalFS!F24)/(SUM(HistoricalFS!F47:F49)),0)</f>
        <v>5.3716113570365424E-2</v>
      </c>
      <c r="G21" s="47">
        <f>IFERROR((HistoricalFS!G18-HistoricalFS!G24)/(SUM(HistoricalFS!G47:G49)),0)</f>
        <v>6.4542733637543747E-3</v>
      </c>
      <c r="H21" s="47">
        <f>IFERROR((HistoricalFS!H18-HistoricalFS!H24)/(SUM(HistoricalFS!H47:H49)),0)</f>
        <v>-1.8302177555437667E-2</v>
      </c>
      <c r="I21" s="47">
        <f>IFERROR((HistoricalFS!I18-HistoricalFS!I24)/(SUM(HistoricalFS!I47:I49)),0)</f>
        <v>4.4284324706251613E-2</v>
      </c>
      <c r="J21" s="47">
        <f>IFERROR((HistoricalFS!J18-HistoricalFS!J24)/(SUM(HistoricalFS!J47:J49)),0)</f>
        <v>-6.0520306054739361E-4</v>
      </c>
      <c r="K21" s="47">
        <f>IFERROR((HistoricalFS!K18-HistoricalFS!K24)/(SUM(HistoricalFS!K47:K49)),0)</f>
        <v>3.8762956416083731E-2</v>
      </c>
      <c r="L21" s="47">
        <f>IFERROR((HistoricalFS!L18-HistoricalFS!L24)/(SUM(HistoricalFS!L47:L49)),0)</f>
        <v>0.16790572738589757</v>
      </c>
      <c r="N21" s="47">
        <f t="shared" si="3"/>
        <v>7.2295691485158756E-2</v>
      </c>
      <c r="O21" s="47">
        <f t="shared" ref="O21:O25" si="6">IFERROR(MEDIAN(C21:L21),0)</f>
        <v>4.9000219138308515E-2</v>
      </c>
    </row>
    <row r="22" spans="2:15" x14ac:dyDescent="0.35">
      <c r="B22" t="s">
        <v>181</v>
      </c>
      <c r="C22" s="47">
        <f>IFERROR(HistoricalFS!C44,0)</f>
        <v>1</v>
      </c>
      <c r="D22" s="47">
        <f>IFERROR(HistoricalFS!D44,0)</f>
        <v>0.99506765991253665</v>
      </c>
      <c r="E22" s="47">
        <f>IFERROR(HistoricalFS!E44,0)</f>
        <v>1</v>
      </c>
      <c r="F22" s="47">
        <f>IFERROR(HistoricalFS!F44,0)</f>
        <v>1</v>
      </c>
      <c r="G22" s="47">
        <f>IFERROR(HistoricalFS!G44,0)</f>
        <v>0</v>
      </c>
      <c r="H22" s="47">
        <f>IFERROR(HistoricalFS!H44,0)</f>
        <v>0</v>
      </c>
      <c r="I22" s="47">
        <f>IFERROR(HistoricalFS!I44,0)</f>
        <v>0</v>
      </c>
      <c r="J22" s="47">
        <f>IFERROR(HistoricalFS!J44,0)</f>
        <v>0</v>
      </c>
      <c r="K22" s="47">
        <f>IFERROR(HistoricalFS!K44,0)</f>
        <v>0</v>
      </c>
      <c r="L22" s="47">
        <f>IFERROR(HistoricalFS!L44,0)</f>
        <v>0.91201147619832956</v>
      </c>
      <c r="N22" s="47">
        <f t="shared" si="3"/>
        <v>0.49070791361108662</v>
      </c>
      <c r="O22" s="47">
        <f t="shared" si="6"/>
        <v>0.45600573809916478</v>
      </c>
    </row>
    <row r="23" spans="2:15" x14ac:dyDescent="0.35">
      <c r="B23" t="s">
        <v>182</v>
      </c>
      <c r="C23" s="47">
        <f>IFERROR(HistoricalFS!C33/SUM(HistoricalFS!C47:C48),0)</f>
        <v>0.2372052002491202</v>
      </c>
      <c r="D23" s="47">
        <f>IFERROR(HistoricalFS!D33/SUM(HistoricalFS!D47:D48),0)</f>
        <v>0.17441316864171685</v>
      </c>
      <c r="E23" s="47">
        <f>IFERROR(HistoricalFS!E33/SUM(HistoricalFS!E47:E48),0)</f>
        <v>7.2241189530689517E-2</v>
      </c>
      <c r="F23" s="47">
        <f>IFERROR(HistoricalFS!F33/SUM(HistoricalFS!F47:F48),0)</f>
        <v>9.2254980749341738E-3</v>
      </c>
      <c r="G23" s="47">
        <f>IFERROR(HistoricalFS!G33/SUM(HistoricalFS!G47:G48),0)</f>
        <v>-3.7345736658758885E-2</v>
      </c>
      <c r="H23" s="47">
        <f>IFERROR(HistoricalFS!H33/SUM(HistoricalFS!H47:H48),0)</f>
        <v>-0.17560555073176307</v>
      </c>
      <c r="I23" s="47">
        <f>IFERROR(HistoricalFS!I33/SUM(HistoricalFS!I47:I48),0)</f>
        <v>-3.4360591904822733E-2</v>
      </c>
      <c r="J23" s="47">
        <f>IFERROR(HistoricalFS!J33/SUM(HistoricalFS!J47:J48),0)</f>
        <v>-0.30651638060341208</v>
      </c>
      <c r="K23" s="47">
        <f>IFERROR(HistoricalFS!K33/SUM(HistoricalFS!K47:K48),0)</f>
        <v>-8.7686298356707396E-2</v>
      </c>
      <c r="L23" s="47">
        <f>IFERROR(HistoricalFS!L33/SUM(HistoricalFS!L47:L48),0)</f>
        <v>0.30775670464290195</v>
      </c>
      <c r="N23" s="47">
        <f t="shared" si="3"/>
        <v>1.5932720288389851E-2</v>
      </c>
      <c r="O23" s="47">
        <f t="shared" si="6"/>
        <v>-1.2567546914944279E-2</v>
      </c>
    </row>
    <row r="24" spans="2:15" x14ac:dyDescent="0.35">
      <c r="B24" t="s">
        <v>183</v>
      </c>
      <c r="C24" s="47">
        <f>IFERROR(C22*C23,0)</f>
        <v>0.2372052002491202</v>
      </c>
      <c r="D24" s="47">
        <f t="shared" ref="D24:K24" si="7">IFERROR(D22*D23,0)</f>
        <v>0.17355290357824379</v>
      </c>
      <c r="E24" s="47">
        <f t="shared" si="7"/>
        <v>7.2241189530689517E-2</v>
      </c>
      <c r="F24" s="47">
        <f t="shared" si="7"/>
        <v>9.2254980749341738E-3</v>
      </c>
      <c r="G24" s="47">
        <f t="shared" si="7"/>
        <v>0</v>
      </c>
      <c r="H24" s="47">
        <f t="shared" si="7"/>
        <v>0</v>
      </c>
      <c r="I24" s="47">
        <f>IFERROR(I22*I23,0)</f>
        <v>0</v>
      </c>
      <c r="J24" s="47">
        <f t="shared" si="7"/>
        <v>0</v>
      </c>
      <c r="K24" s="47">
        <f t="shared" si="7"/>
        <v>0</v>
      </c>
      <c r="L24" s="47">
        <f>IFERROR(L22*L23,0)</f>
        <v>0.28067764651130633</v>
      </c>
      <c r="N24" s="47">
        <f t="shared" si="3"/>
        <v>7.7290243794429406E-2</v>
      </c>
      <c r="O24" s="47">
        <f t="shared" si="6"/>
        <v>4.6127490374670869E-3</v>
      </c>
    </row>
    <row r="25" spans="2:15" x14ac:dyDescent="0.35">
      <c r="B25" t="s">
        <v>184</v>
      </c>
      <c r="C25" s="50">
        <f>((HistoricalFS!C18-HistoricalFS!C24)/HistoricalFS!C21)</f>
        <v>5.3173039541375138</v>
      </c>
      <c r="D25" s="50">
        <f>((HistoricalFS!D18-HistoricalFS!D24)/HistoricalFS!D21)</f>
        <v>4.4352863933500721</v>
      </c>
      <c r="E25" s="50">
        <f>((HistoricalFS!E18-HistoricalFS!E24)/HistoricalFS!E21)</f>
        <v>2.7568835373205922</v>
      </c>
      <c r="F25" s="50">
        <f>((HistoricalFS!F18-HistoricalFS!F24)/HistoricalFS!F21)</f>
        <v>2.1154494328024094</v>
      </c>
      <c r="G25" s="50">
        <f>((HistoricalFS!G18-HistoricalFS!G24)/HistoricalFS!G21)</f>
        <v>0.18645156808947008</v>
      </c>
      <c r="H25" s="50">
        <f>((HistoricalFS!H18-HistoricalFS!H24)/HistoricalFS!H21)</f>
        <v>-0.47469326953211261</v>
      </c>
      <c r="I25" s="50">
        <f>((HistoricalFS!I18-HistoricalFS!I24)/HistoricalFS!I21)</f>
        <v>1.079478385658198</v>
      </c>
      <c r="J25" s="50">
        <f>((HistoricalFS!J18-HistoricalFS!J24)/HistoricalFS!J21)</f>
        <v>-1.2414275987824557E-2</v>
      </c>
      <c r="K25" s="50">
        <f>((HistoricalFS!K18-HistoricalFS!K24)/HistoricalFS!K21)</f>
        <v>0.68020669934320532</v>
      </c>
      <c r="L25" s="50">
        <f>((HistoricalFS!L18-HistoricalFS!L24)/HistoricalFS!L21)</f>
        <v>3.231422545705088</v>
      </c>
      <c r="N25" s="50">
        <f t="shared" si="3"/>
        <v>1.9315374970886612</v>
      </c>
      <c r="O25" s="50">
        <f t="shared" si="6"/>
        <v>1.5974639092303038</v>
      </c>
    </row>
    <row r="27" spans="2:15" x14ac:dyDescent="0.35">
      <c r="B27" t="s">
        <v>185</v>
      </c>
      <c r="C27" s="50">
        <f>HistoricalFS!C6/HistoricalFS!C59</f>
        <v>20.92016821419486</v>
      </c>
      <c r="D27" s="50">
        <f>HistoricalFS!D6/HistoricalFS!D59</f>
        <v>20.119918266350599</v>
      </c>
      <c r="E27" s="50">
        <f>HistoricalFS!E6/HistoricalFS!E59</f>
        <v>19.160353236640844</v>
      </c>
      <c r="F27" s="50">
        <f>HistoricalFS!F6/HistoricalFS!F59</f>
        <v>14.655712224718874</v>
      </c>
      <c r="G27" s="50">
        <f>HistoricalFS!G6/HistoricalFS!G59</f>
        <v>15.894698773489607</v>
      </c>
      <c r="H27" s="50">
        <f>HistoricalFS!H6/HistoricalFS!H59</f>
        <v>23.366617170976728</v>
      </c>
      <c r="I27" s="50">
        <f>HistoricalFS!I6/HistoricalFS!I59</f>
        <v>19.701330853658153</v>
      </c>
      <c r="J27" s="50">
        <f>HistoricalFS!J6/HistoricalFS!J59</f>
        <v>22.379917570317598</v>
      </c>
      <c r="K27" s="50">
        <f>HistoricalFS!K6/HistoricalFS!K59</f>
        <v>21.982947610142858</v>
      </c>
      <c r="L27" s="50">
        <f>HistoricalFS!L6/HistoricalFS!L59</f>
        <v>25.833687966063799</v>
      </c>
      <c r="N27" s="50">
        <f t="shared" si="3"/>
        <v>20.401535188655391</v>
      </c>
      <c r="O27" s="50">
        <f t="shared" ref="O27:O31" si="8">IFERROR(MEDIAN(C27:L27),0)</f>
        <v>20.520043240272727</v>
      </c>
    </row>
    <row r="28" spans="2:15" x14ac:dyDescent="0.35">
      <c r="B28" t="s">
        <v>186</v>
      </c>
      <c r="C28" s="50">
        <f>IFERROR(HistoricalFS!C6/HistoricalFS!C50,0)</f>
        <v>2.4493010585757142</v>
      </c>
      <c r="D28" s="50">
        <f>IFERROR(HistoricalFS!D6/HistoricalFS!D50,0)</f>
        <v>2.3769603927858673</v>
      </c>
      <c r="E28" s="50">
        <f>IFERROR(HistoricalFS!E6/HistoricalFS!E50,0)</f>
        <v>1.9842807783040648</v>
      </c>
      <c r="F28" s="50">
        <f>IFERROR(HistoricalFS!F6/HistoricalFS!F50,0)</f>
        <v>2.0414780318629697</v>
      </c>
      <c r="G28" s="50">
        <f>IFERROR(HistoricalFS!G6/HistoricalFS!G50,0)</f>
        <v>2.1667847518227492</v>
      </c>
      <c r="H28" s="50">
        <f>IFERROR(HistoricalFS!H6/HistoricalFS!H50,0)</f>
        <v>1.9731057108276859</v>
      </c>
      <c r="I28" s="50">
        <f>IFERROR(HistoricalFS!I6/HistoricalFS!I50,0)</f>
        <v>1.7323684804395676</v>
      </c>
      <c r="J28" s="50">
        <f>IFERROR(HistoricalFS!J6/HistoricalFS!J50,0)</f>
        <v>2.0170312149360217</v>
      </c>
      <c r="K28" s="50">
        <f>IFERROR(HistoricalFS!K6/HistoricalFS!K50,0)</f>
        <v>2.2286057258733614</v>
      </c>
      <c r="L28" s="50">
        <f>IFERROR(HistoricalFS!L6/HistoricalFS!L50,0)</f>
        <v>2.4694234112546125</v>
      </c>
      <c r="N28" s="50">
        <f t="shared" si="3"/>
        <v>2.1439339556682615</v>
      </c>
      <c r="O28" s="50">
        <f t="shared" si="8"/>
        <v>2.1041313918428592</v>
      </c>
    </row>
    <row r="29" spans="2:15" x14ac:dyDescent="0.35">
      <c r="B29" t="s">
        <v>47</v>
      </c>
      <c r="C29" s="50">
        <f>IFERROR(HistoricalFS!C6/HistoricalFS!C60,0)</f>
        <v>8.9900219797938927</v>
      </c>
      <c r="D29" s="50">
        <f>IFERROR(HistoricalFS!D6/HistoricalFS!D60,0)</f>
        <v>8.3613381173839922</v>
      </c>
      <c r="E29" s="50">
        <f>IFERROR(HistoricalFS!E6/HistoricalFS!E60,0)</f>
        <v>7.6867643466738649</v>
      </c>
      <c r="F29" s="50">
        <f>IFERROR(HistoricalFS!F6/HistoricalFS!F60,0)</f>
        <v>6.9190051742350009</v>
      </c>
      <c r="G29" s="50">
        <f>IFERROR(HistoricalFS!G6/HistoricalFS!G60,0)</f>
        <v>7.7392856309817084</v>
      </c>
      <c r="H29" s="50">
        <f>IFERROR(HistoricalFS!H6/HistoricalFS!H60,0)</f>
        <v>6.9698269049637886</v>
      </c>
      <c r="I29" s="50">
        <f>IFERROR(HistoricalFS!I6/HistoricalFS!I60,0)</f>
        <v>6.9217098811563442</v>
      </c>
      <c r="J29" s="50">
        <f>IFERROR(HistoricalFS!J6/HistoricalFS!J60,0)</f>
        <v>7.9015588385356104</v>
      </c>
      <c r="K29" s="50">
        <f>IFERROR(HistoricalFS!K6/HistoricalFS!K60,0)</f>
        <v>8.4888641723217457</v>
      </c>
      <c r="L29" s="50">
        <f>IFERROR(HistoricalFS!L6/HistoricalFS!L60,0)</f>
        <v>9.1639137956181322</v>
      </c>
      <c r="N29" s="50">
        <f t="shared" si="3"/>
        <v>7.9142288841664072</v>
      </c>
      <c r="O29" s="50">
        <f t="shared" si="8"/>
        <v>7.8204222347586594</v>
      </c>
    </row>
    <row r="30" spans="2:15" x14ac:dyDescent="0.35">
      <c r="B30" t="s">
        <v>187</v>
      </c>
      <c r="C30" s="50">
        <f>IFERROR(HistoricalFS!C6/HistoricalFS!C53,0)</f>
        <v>2.9742370802544178</v>
      </c>
      <c r="D30" s="50">
        <f>IFERROR(HistoricalFS!D6/HistoricalFS!D53,0)</f>
        <v>2.546312771514708</v>
      </c>
      <c r="E30" s="50">
        <f>IFERROR(HistoricalFS!E6/HistoricalFS!E53,0)</f>
        <v>2.8109343484246239</v>
      </c>
      <c r="F30" s="50">
        <f>IFERROR(HistoricalFS!F6/HistoricalFS!F53,0)</f>
        <v>2.4012948768781421</v>
      </c>
      <c r="G30" s="50">
        <f>IFERROR(HistoricalFS!G6/HistoricalFS!G53,0)</f>
        <v>2.7144319562092578</v>
      </c>
      <c r="H30" s="50">
        <f>IFERROR(HistoricalFS!H6/HistoricalFS!H53,0)</f>
        <v>2.0539205744067566</v>
      </c>
      <c r="I30" s="50">
        <f>IFERROR(HistoricalFS!I6/HistoricalFS!I53,0)</f>
        <v>1.8008727134726064</v>
      </c>
      <c r="J30" s="50">
        <f>IFERROR(HistoricalFS!J6/HistoricalFS!J53,0)</f>
        <v>2.0053488717943728</v>
      </c>
      <c r="K30" s="50">
        <f>IFERROR(HistoricalFS!K6/HistoricalFS!K53,0)</f>
        <v>2.6193791539294131</v>
      </c>
      <c r="L30" s="50">
        <f>IFERROR(HistoricalFS!L6/HistoricalFS!L53,0)</f>
        <v>3.6107194547475023</v>
      </c>
      <c r="N30" s="50">
        <f t="shared" si="3"/>
        <v>2.5537451801631801</v>
      </c>
      <c r="O30" s="50">
        <f t="shared" si="8"/>
        <v>2.5828459627220606</v>
      </c>
    </row>
    <row r="31" spans="2:15" x14ac:dyDescent="0.35">
      <c r="B31" t="s">
        <v>188</v>
      </c>
      <c r="C31" s="50">
        <f>IFERROR(HistoricalFS!C6/SUM(HistoricalFS!C47:C48),0)</f>
        <v>4.6773906756114965</v>
      </c>
      <c r="D31" s="50">
        <f>IFERROR(HistoricalFS!D6/SUM(HistoricalFS!D47:D48),0)</f>
        <v>3.4583567493379874</v>
      </c>
      <c r="E31" s="50">
        <f>IFERROR(HistoricalFS!E6/SUM(HistoricalFS!E47:E48),0)</f>
        <v>4.6449144180459854</v>
      </c>
      <c r="F31" s="50">
        <f>IFERROR(HistoricalFS!F6/SUM(HistoricalFS!F47:F48),0)</f>
        <v>3.0551908765475422</v>
      </c>
      <c r="G31" s="50">
        <f>IFERROR(HistoricalFS!G6/SUM(HistoricalFS!G47:G48),0)</f>
        <v>5.0172915853821474</v>
      </c>
      <c r="H31" s="50">
        <f>IFERROR(HistoricalFS!H6/SUM(HistoricalFS!H47:H48),0)</f>
        <v>4.1387770133514525</v>
      </c>
      <c r="I31" s="50">
        <f>IFERROR(HistoricalFS!I6/SUM(HistoricalFS!I47:I48),0)</f>
        <v>4.5214403678625628</v>
      </c>
      <c r="J31" s="50">
        <f>IFERROR(HistoricalFS!J6/SUM(HistoricalFS!J47:J48),0)</f>
        <v>6.2487852671963351</v>
      </c>
      <c r="K31" s="50">
        <f>IFERROR(HistoricalFS!K6/SUM(HistoricalFS!K47:K48),0)</f>
        <v>7.6335680916398054</v>
      </c>
      <c r="L31" s="50">
        <f>IFERROR(HistoricalFS!L6/SUM(HistoricalFS!L47:L48),0)</f>
        <v>5.1570652495194773</v>
      </c>
      <c r="N31" s="50">
        <f t="shared" si="3"/>
        <v>4.8552780294494795</v>
      </c>
      <c r="O31" s="50">
        <f t="shared" si="8"/>
        <v>4.6611525468287409</v>
      </c>
    </row>
    <row r="33" spans="2:15" x14ac:dyDescent="0.35">
      <c r="B33" t="s">
        <v>46</v>
      </c>
      <c r="C33" s="51">
        <f>IFERROR(365/C27,0)</f>
        <v>17.447278447423685</v>
      </c>
      <c r="D33" s="51">
        <f t="shared" ref="D33:L35" si="9">IFERROR(365/D27,0)</f>
        <v>18.141226776772818</v>
      </c>
      <c r="E33" s="51">
        <f t="shared" si="9"/>
        <v>19.049753180019717</v>
      </c>
      <c r="F33" s="51">
        <f t="shared" si="9"/>
        <v>24.904964999543136</v>
      </c>
      <c r="G33" s="51">
        <f t="shared" si="9"/>
        <v>22.963631157878556</v>
      </c>
      <c r="H33" s="51">
        <f t="shared" si="9"/>
        <v>15.620575170519771</v>
      </c>
      <c r="I33" s="51">
        <f t="shared" si="9"/>
        <v>18.52666719376608</v>
      </c>
      <c r="J33" s="51">
        <f t="shared" si="9"/>
        <v>16.309264717046954</v>
      </c>
      <c r="K33" s="51">
        <f t="shared" si="9"/>
        <v>16.603778823163378</v>
      </c>
      <c r="L33" s="51">
        <f t="shared" si="9"/>
        <v>14.128838301348189</v>
      </c>
      <c r="N33" s="51">
        <f t="shared" si="3"/>
        <v>18.369597876748227</v>
      </c>
      <c r="O33" s="51">
        <f t="shared" ref="O33:O40" si="10">IFERROR(MEDIAN(C33:L33),0)</f>
        <v>17.794252612098251</v>
      </c>
    </row>
    <row r="34" spans="2:15" x14ac:dyDescent="0.35">
      <c r="B34" t="s">
        <v>189</v>
      </c>
      <c r="C34" s="51">
        <f>IFERROR(365/C28,0)</f>
        <v>149.02210519283818</v>
      </c>
      <c r="D34" s="51">
        <f t="shared" si="9"/>
        <v>153.55745981623585</v>
      </c>
      <c r="E34" s="51">
        <f t="shared" si="9"/>
        <v>183.94574194885871</v>
      </c>
      <c r="F34" s="51">
        <f t="shared" si="9"/>
        <v>178.79202925682029</v>
      </c>
      <c r="G34" s="51">
        <f t="shared" si="9"/>
        <v>168.45235766633192</v>
      </c>
      <c r="H34" s="51">
        <f t="shared" si="9"/>
        <v>184.98755439052903</v>
      </c>
      <c r="I34" s="51">
        <f t="shared" si="9"/>
        <v>210.69420514242194</v>
      </c>
      <c r="J34" s="51">
        <f t="shared" si="9"/>
        <v>180.95902398395825</v>
      </c>
      <c r="K34" s="51">
        <f t="shared" si="9"/>
        <v>163.77953074537726</v>
      </c>
      <c r="L34" s="51">
        <f t="shared" si="9"/>
        <v>147.8077831191203</v>
      </c>
      <c r="N34" s="51">
        <f t="shared" si="3"/>
        <v>172.19977912624921</v>
      </c>
      <c r="O34" s="51">
        <f t="shared" si="10"/>
        <v>173.6221934615761</v>
      </c>
    </row>
    <row r="35" spans="2:15" x14ac:dyDescent="0.35">
      <c r="B35" t="s">
        <v>190</v>
      </c>
      <c r="C35" s="51">
        <f>IFERROR(365/C29,0)</f>
        <v>40.600568143256986</v>
      </c>
      <c r="D35" s="51">
        <f t="shared" si="9"/>
        <v>43.653299851746382</v>
      </c>
      <c r="E35" s="51">
        <f t="shared" si="9"/>
        <v>47.484218786795374</v>
      </c>
      <c r="F35" s="51">
        <f t="shared" si="9"/>
        <v>52.753248596949661</v>
      </c>
      <c r="G35" s="51">
        <f t="shared" si="9"/>
        <v>47.161975588398164</v>
      </c>
      <c r="H35" s="51">
        <f t="shared" si="9"/>
        <v>52.368588915752468</v>
      </c>
      <c r="I35" s="51">
        <f t="shared" si="9"/>
        <v>52.732634893247351</v>
      </c>
      <c r="J35" s="51">
        <f t="shared" si="9"/>
        <v>46.193416698982041</v>
      </c>
      <c r="K35" s="51">
        <f t="shared" si="9"/>
        <v>42.997507392107408</v>
      </c>
      <c r="L35" s="51">
        <f t="shared" si="9"/>
        <v>39.830143336194453</v>
      </c>
      <c r="N35" s="51">
        <f t="shared" si="3"/>
        <v>46.577560220343024</v>
      </c>
      <c r="O35" s="51">
        <f t="shared" si="10"/>
        <v>46.677696143690099</v>
      </c>
    </row>
    <row r="36" spans="2:15" x14ac:dyDescent="0.35">
      <c r="B36" t="s">
        <v>191</v>
      </c>
      <c r="C36" s="51">
        <f>SUM(C33,C35)-C34</f>
        <v>-90.974258602157505</v>
      </c>
      <c r="D36" s="51">
        <f t="shared" ref="D36:L36" si="11">SUM(D33,D35)-D34</f>
        <v>-91.762933187716641</v>
      </c>
      <c r="E36" s="51">
        <f t="shared" si="11"/>
        <v>-117.41176998204362</v>
      </c>
      <c r="F36" s="51">
        <f t="shared" si="11"/>
        <v>-101.13381566032749</v>
      </c>
      <c r="G36" s="51">
        <f t="shared" si="11"/>
        <v>-98.326750920055204</v>
      </c>
      <c r="H36" s="51">
        <f t="shared" si="11"/>
        <v>-116.99839030425679</v>
      </c>
      <c r="I36" s="51">
        <f t="shared" si="11"/>
        <v>-139.43490305540851</v>
      </c>
      <c r="J36" s="51">
        <f t="shared" si="11"/>
        <v>-118.45634256792925</v>
      </c>
      <c r="K36" s="51">
        <f t="shared" si="11"/>
        <v>-104.17824453010647</v>
      </c>
      <c r="L36" s="51">
        <f t="shared" si="11"/>
        <v>-93.848801481577652</v>
      </c>
      <c r="N36" s="51">
        <f t="shared" si="3"/>
        <v>-107.25262102915789</v>
      </c>
      <c r="O36" s="51">
        <f t="shared" si="10"/>
        <v>-102.65603009521698</v>
      </c>
    </row>
    <row r="38" spans="2:15" x14ac:dyDescent="0.35">
      <c r="B38" t="s">
        <v>192</v>
      </c>
      <c r="C38" s="47">
        <f>IFERROR(HistoricalFS!C110/HistoricalFS!C6,0)</f>
        <v>0.13501823118481462</v>
      </c>
      <c r="D38" s="47">
        <f>IFERROR(HistoricalFS!D110/HistoricalFS!D6,0)</f>
        <v>0.13880296917437968</v>
      </c>
      <c r="E38" s="47">
        <f>IFERROR(HistoricalFS!E110/HistoricalFS!E6,0)</f>
        <v>0.11197659883101685</v>
      </c>
      <c r="F38" s="47">
        <f>IFERROR(HistoricalFS!F110/HistoricalFS!F6,0)</f>
        <v>8.1829465689783804E-2</v>
      </c>
      <c r="G38" s="47">
        <f>IFERROR(HistoricalFS!G110/HistoricalFS!G6,0)</f>
        <v>6.2564913902968283E-2</v>
      </c>
      <c r="H38" s="47">
        <f>IFERROR(HistoricalFS!H110/HistoricalFS!H6,0)</f>
        <v>0.10201534872316967</v>
      </c>
      <c r="I38" s="47">
        <f>IFERROR(HistoricalFS!I110/HistoricalFS!I6,0)</f>
        <v>0.11609735592921788</v>
      </c>
      <c r="J38" s="47">
        <f>IFERROR(HistoricalFS!J110/HistoricalFS!J6,0)</f>
        <v>5.1293389541856201E-2</v>
      </c>
      <c r="K38" s="47">
        <f>IFERROR(HistoricalFS!K110/HistoricalFS!K6,0)</f>
        <v>0.1022872501383586</v>
      </c>
      <c r="L38" s="47">
        <f>IFERROR(HistoricalFS!L110/HistoricalFS!L6,0)</f>
        <v>0.15508347415373999</v>
      </c>
      <c r="N38" s="47">
        <f t="shared" si="3"/>
        <v>0.10569689972693055</v>
      </c>
      <c r="O38" s="47">
        <f t="shared" si="10"/>
        <v>0.10713192448468772</v>
      </c>
    </row>
    <row r="39" spans="2:15" x14ac:dyDescent="0.35">
      <c r="B39" t="s">
        <v>193</v>
      </c>
      <c r="C39" s="47">
        <f>IFERROR(HistoricalFS!C110/HistoricalFS!C64,0)</f>
        <v>0.14972206325615023</v>
      </c>
      <c r="D39" s="47">
        <f>IFERROR(HistoricalFS!D110/HistoricalFS!D64,0)</f>
        <v>0.14400390114722728</v>
      </c>
      <c r="E39" s="47">
        <f>IFERROR(HistoricalFS!E110/HistoricalFS!E64,0)</f>
        <v>0.11079026383265471</v>
      </c>
      <c r="F39" s="47">
        <f>IFERROR(HistoricalFS!F110/HistoricalFS!F64,0)</f>
        <v>7.2915700426609081E-2</v>
      </c>
      <c r="G39" s="47">
        <f>IFERROR(HistoricalFS!G110/HistoricalFS!G64,0)</f>
        <v>6.1794355046453676E-2</v>
      </c>
      <c r="H39" s="47">
        <f>IFERROR(HistoricalFS!H110/HistoricalFS!H64,0)</f>
        <v>8.3181306579414735E-2</v>
      </c>
      <c r="I39" s="47">
        <f>IFERROR(HistoricalFS!I110/HistoricalFS!I64,0)</f>
        <v>8.4903585330452558E-2</v>
      </c>
      <c r="J39" s="47">
        <f>IFERROR(HistoricalFS!J110/HistoricalFS!J64,0)</f>
        <v>4.3404744809245228E-2</v>
      </c>
      <c r="K39" s="47">
        <f>IFERROR(HistoricalFS!K110/HistoricalFS!K64,0)</f>
        <v>0.10573861289612117</v>
      </c>
      <c r="L39" s="47">
        <f>IFERROR(HistoricalFS!L110/HistoricalFS!L64,0)</f>
        <v>0.18379315838431853</v>
      </c>
      <c r="N39" s="47">
        <f t="shared" si="3"/>
        <v>0.10402476917086471</v>
      </c>
      <c r="O39" s="47">
        <f t="shared" si="10"/>
        <v>9.5321099113286872E-2</v>
      </c>
    </row>
    <row r="40" spans="2:15" x14ac:dyDescent="0.35">
      <c r="B40" s="48" t="s">
        <v>194</v>
      </c>
      <c r="C40" s="49">
        <f>IFERROR(HistoricalFS!C110/HistoricalFS!C49,0)</f>
        <v>0.48269354366958256</v>
      </c>
      <c r="D40" s="49">
        <f>IFERROR(HistoricalFS!D110/HistoricalFS!D49,0)</f>
        <v>0.54641813518923599</v>
      </c>
      <c r="E40" s="49">
        <f>IFERROR(HistoricalFS!E110/HistoricalFS!E49,0)</f>
        <v>0.38419492244540293</v>
      </c>
      <c r="F40" s="49">
        <f>IFERROR(HistoricalFS!F110/HistoricalFS!F49,0)</f>
        <v>0.26821016235214945</v>
      </c>
      <c r="G40" s="49">
        <f>IFERROR(HistoricalFS!G110/HistoricalFS!G49,0)</f>
        <v>0.17792031558363741</v>
      </c>
      <c r="H40" s="49">
        <f>IFERROR(HistoricalFS!H110/HistoricalFS!H49,0)</f>
        <v>0.21342610534184314</v>
      </c>
      <c r="I40" s="49">
        <f>IFERROR(HistoricalFS!I110/HistoricalFS!I49,0)</f>
        <v>0.20404132622559662</v>
      </c>
      <c r="J40" s="49">
        <f>IFERROR(HistoricalFS!J110/HistoricalFS!J49,0)</f>
        <v>9.7527651770721868E-2</v>
      </c>
      <c r="K40" s="49">
        <f>IFERROR(HistoricalFS!K110/HistoricalFS!K49,0)</f>
        <v>0.26386624636576322</v>
      </c>
      <c r="L40" s="49">
        <f>IFERROR(HistoricalFS!L110/HistoricalFS!L49,0)</f>
        <v>0.63316965388649338</v>
      </c>
      <c r="M40" s="48"/>
      <c r="N40" s="49">
        <f t="shared" si="3"/>
        <v>0.3271468062830426</v>
      </c>
      <c r="O40" s="49">
        <f t="shared" si="10"/>
        <v>0.26603820435895631</v>
      </c>
    </row>
  </sheetData>
  <mergeCells count="1">
    <mergeCell ref="B2:O2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xr2:uid="{881FD817-36F1-4AA7-87CD-2888EC103000}">
          <x14:colorSeries theme="4" tint="0.59999389629810485"/>
          <x14:colorNegative rgb="FFD00000"/>
          <x14:colorAxis rgb="FF000000"/>
          <x14:colorMarkers theme="1"/>
          <x14:colorFirst rgb="FFD00000"/>
          <x14:colorLast rgb="FFD00000"/>
          <x14:colorHigh rgb="FFD00000"/>
          <x14:colorLow rgb="FFD00000"/>
          <x14:sparklines>
            <x14:sparkline>
              <xm:f>'Ratio Analysis'!D5:L5</xm:f>
              <xm:sqref>M5</xm:sqref>
            </x14:sparkline>
            <x14:sparkline>
              <xm:f>'Ratio Analysis'!D6:L6</xm:f>
              <xm:sqref>M6</xm:sqref>
            </x14:sparkline>
            <x14:sparkline>
              <xm:f>'Ratio Analysis'!D7:L7</xm:f>
              <xm:sqref>M7</xm:sqref>
            </x14:sparkline>
            <x14:sparkline>
              <xm:f>'Ratio Analysis'!D8:L8</xm:f>
              <xm:sqref>M8</xm:sqref>
            </x14:sparkline>
            <x14:sparkline>
              <xm:f>'Ratio Analysis'!D9:L9</xm:f>
              <xm:sqref>M9</xm:sqref>
            </x14:sparkline>
          </x14:sparklines>
        </x14:sparklineGroup>
        <x14:sparklineGroup displayEmptyCellsAs="gap" markers="1" xr2:uid="{1522442C-B267-4692-A878-71F88D1A2C08}">
          <x14:colorSeries theme="4" tint="0.59999389629810485"/>
          <x14:colorNegative rgb="FFD00000"/>
          <x14:colorAxis rgb="FF000000"/>
          <x14:colorMarkers theme="1"/>
          <x14:colorFirst rgb="FFD00000"/>
          <x14:colorLast rgb="FFD00000"/>
          <x14:colorHigh rgb="FFD00000"/>
          <x14:colorLow rgb="FFD00000"/>
          <x14:sparklines>
            <x14:sparkline>
              <xm:f>'Ratio Analysis'!C11:L11</xm:f>
              <xm:sqref>M11</xm:sqref>
            </x14:sparkline>
            <x14:sparkline>
              <xm:f>'Ratio Analysis'!C12:L12</xm:f>
              <xm:sqref>M12</xm:sqref>
            </x14:sparkline>
            <x14:sparkline>
              <xm:f>'Ratio Analysis'!C13:L13</xm:f>
              <xm:sqref>M13</xm:sqref>
            </x14:sparkline>
            <x14:sparkline>
              <xm:f>'Ratio Analysis'!C14:L14</xm:f>
              <xm:sqref>M14</xm:sqref>
            </x14:sparkline>
            <x14:sparkline>
              <xm:f>'Ratio Analysis'!C15:L15</xm:f>
              <xm:sqref>M15</xm:sqref>
            </x14:sparkline>
            <x14:sparkline>
              <xm:f>'Ratio Analysis'!C16:L16</xm:f>
              <xm:sqref>M16</xm:sqref>
            </x14:sparkline>
            <x14:sparkline>
              <xm:f>'Ratio Analysis'!C17:L17</xm:f>
              <xm:sqref>M17</xm:sqref>
            </x14:sparkline>
            <x14:sparkline>
              <xm:f>'Ratio Analysis'!C18:L18</xm:f>
              <xm:sqref>M18</xm:sqref>
            </x14:sparkline>
            <x14:sparkline>
              <xm:f>'Ratio Analysis'!C19:L19</xm:f>
              <xm:sqref>M19</xm:sqref>
            </x14:sparkline>
            <x14:sparkline>
              <xm:f>'Ratio Analysis'!C20:L20</xm:f>
              <xm:sqref>M20</xm:sqref>
            </x14:sparkline>
            <x14:sparkline>
              <xm:f>'Ratio Analysis'!C21:L21</xm:f>
              <xm:sqref>M21</xm:sqref>
            </x14:sparkline>
            <x14:sparkline>
              <xm:f>'Ratio Analysis'!C22:L22</xm:f>
              <xm:sqref>M22</xm:sqref>
            </x14:sparkline>
            <x14:sparkline>
              <xm:f>'Ratio Analysis'!C23:L23</xm:f>
              <xm:sqref>M23</xm:sqref>
            </x14:sparkline>
            <x14:sparkline>
              <xm:f>'Ratio Analysis'!C24:L24</xm:f>
              <xm:sqref>M24</xm:sqref>
            </x14:sparkline>
            <x14:sparkline>
              <xm:f>'Ratio Analysis'!C25:L25</xm:f>
              <xm:sqref>M25</xm:sqref>
            </x14:sparkline>
            <x14:sparkline>
              <xm:f>'Ratio Analysis'!C26:L26</xm:f>
              <xm:sqref>M26</xm:sqref>
            </x14:sparkline>
            <x14:sparkline>
              <xm:f>'Ratio Analysis'!C27:L27</xm:f>
              <xm:sqref>M27</xm:sqref>
            </x14:sparkline>
            <x14:sparkline>
              <xm:f>'Ratio Analysis'!C28:L28</xm:f>
              <xm:sqref>M28</xm:sqref>
            </x14:sparkline>
            <x14:sparkline>
              <xm:f>'Ratio Analysis'!C29:L29</xm:f>
              <xm:sqref>M29</xm:sqref>
            </x14:sparkline>
            <x14:sparkline>
              <xm:f>'Ratio Analysis'!C30:L30</xm:f>
              <xm:sqref>M30</xm:sqref>
            </x14:sparkline>
            <x14:sparkline>
              <xm:f>'Ratio Analysis'!C31:L31</xm:f>
              <xm:sqref>M31</xm:sqref>
            </x14:sparkline>
            <x14:sparkline>
              <xm:f>'Ratio Analysis'!C32:L32</xm:f>
              <xm:sqref>M32</xm:sqref>
            </x14:sparkline>
            <x14:sparkline>
              <xm:f>'Ratio Analysis'!C33:L33</xm:f>
              <xm:sqref>M33</xm:sqref>
            </x14:sparkline>
            <x14:sparkline>
              <xm:f>'Ratio Analysis'!C34:L34</xm:f>
              <xm:sqref>M34</xm:sqref>
            </x14:sparkline>
            <x14:sparkline>
              <xm:f>'Ratio Analysis'!C35:L35</xm:f>
              <xm:sqref>M35</xm:sqref>
            </x14:sparkline>
            <x14:sparkline>
              <xm:f>'Ratio Analysis'!C36:L36</xm:f>
              <xm:sqref>M36</xm:sqref>
            </x14:sparkline>
            <x14:sparkline>
              <xm:f>'Ratio Analysis'!C37:L37</xm:f>
              <xm:sqref>M37</xm:sqref>
            </x14:sparkline>
            <x14:sparkline>
              <xm:f>'Ratio Analysis'!C38:L38</xm:f>
              <xm:sqref>M38</xm:sqref>
            </x14:sparkline>
            <x14:sparkline>
              <xm:f>'Ratio Analysis'!C39:L39</xm:f>
              <xm:sqref>M39</xm:sqref>
            </x14:sparkline>
            <x14:sparkline>
              <xm:f>'Ratio Analysis'!C40:L40</xm:f>
              <xm:sqref>M40</xm:sqref>
            </x14:sparkline>
          </x14:sparklines>
        </x14:sparklineGroup>
      </x14:sparklineGroup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367C0-CAB5-427D-8C5C-BACCA47FB189}">
  <dimension ref="B2:O18"/>
  <sheetViews>
    <sheetView topLeftCell="A4" workbookViewId="0">
      <selection activeCell="R5" sqref="R5"/>
    </sheetView>
  </sheetViews>
  <sheetFormatPr defaultRowHeight="14.5" x14ac:dyDescent="0.35"/>
  <cols>
    <col min="1" max="1" width="1.81640625" customWidth="1"/>
    <col min="2" max="2" width="12" bestFit="1" customWidth="1"/>
    <col min="3" max="3" width="10" bestFit="1" customWidth="1"/>
    <col min="4" max="4" width="11.7265625" customWidth="1"/>
    <col min="5" max="5" width="12.7265625" bestFit="1" customWidth="1"/>
    <col min="6" max="6" width="2.7265625" customWidth="1"/>
    <col min="7" max="7" width="12" bestFit="1" customWidth="1"/>
    <col min="8" max="8" width="6.26953125" bestFit="1" customWidth="1"/>
    <col min="9" max="9" width="9.7265625" bestFit="1" customWidth="1"/>
    <col min="10" max="10" width="13.54296875" customWidth="1"/>
    <col min="11" max="11" width="2.7265625" customWidth="1"/>
    <col min="12" max="12" width="17.1796875" customWidth="1"/>
    <col min="13" max="13" width="6.26953125" bestFit="1" customWidth="1"/>
    <col min="14" max="14" width="8.26953125" bestFit="1" customWidth="1"/>
    <col min="15" max="15" width="17.453125" customWidth="1"/>
  </cols>
  <sheetData>
    <row r="2" spans="2:15" x14ac:dyDescent="0.35">
      <c r="B2" s="113" t="str">
        <f>'Data Sheet'!$B$1&amp;" - "&amp;'Data Sheet'!A17&amp;" Forecasting"</f>
        <v>TATA MOTORS LTD - Sales Forecasting</v>
      </c>
      <c r="C2" s="113"/>
      <c r="D2" s="113"/>
      <c r="E2" s="113"/>
      <c r="G2" s="113" t="str">
        <f>'Data Sheet'!$B$1&amp;" - "&amp;'Data Sheet'!A34&amp;" Forecasting"</f>
        <v>TATA MOTORS LTD - EBITDA Forecasting</v>
      </c>
      <c r="H2" s="113"/>
      <c r="I2" s="113"/>
      <c r="J2" s="113"/>
      <c r="L2" s="113" t="str">
        <f>'Data Sheet'!$B$1&amp;" - "&amp;HistoricalFS!B38&amp;" Forecasting"</f>
        <v>TATA MOTORS LTD - Earnings per Share Forecasting</v>
      </c>
      <c r="M2" s="113"/>
      <c r="N2" s="113"/>
      <c r="O2" s="113"/>
    </row>
    <row r="3" spans="2:15" x14ac:dyDescent="0.35">
      <c r="B3" s="53" t="s">
        <v>195</v>
      </c>
      <c r="C3" s="54" t="s">
        <v>196</v>
      </c>
      <c r="D3" s="54" t="s">
        <v>6</v>
      </c>
      <c r="E3" s="54" t="s">
        <v>22</v>
      </c>
      <c r="G3" s="53" t="s">
        <v>195</v>
      </c>
      <c r="H3" s="54" t="s">
        <v>196</v>
      </c>
      <c r="I3" s="54" t="s">
        <v>105</v>
      </c>
      <c r="J3" s="54" t="s">
        <v>169</v>
      </c>
      <c r="L3" s="53" t="s">
        <v>195</v>
      </c>
      <c r="M3" s="54" t="s">
        <v>196</v>
      </c>
      <c r="N3" s="54" t="s">
        <v>57</v>
      </c>
      <c r="O3" s="54" t="s">
        <v>197</v>
      </c>
    </row>
    <row r="4" spans="2:15" x14ac:dyDescent="0.35">
      <c r="B4" s="20">
        <v>1</v>
      </c>
      <c r="C4" s="55">
        <f>'Data Sheet'!$B$16</f>
        <v>42094</v>
      </c>
      <c r="D4" s="56">
        <f t="array" ref="D4:D13">TRANSPOSE('Data Sheet'!B17:K17)</f>
        <v>263158.98</v>
      </c>
      <c r="G4" s="20">
        <v>1</v>
      </c>
      <c r="H4" s="55">
        <f>'Data Sheet'!$B$16</f>
        <v>42094</v>
      </c>
      <c r="I4" s="56">
        <f t="array" ref="I4:I13">TRANSPOSE('Data Sheet'!B34:K34)</f>
        <v>39879.32</v>
      </c>
      <c r="L4" s="20">
        <v>1</v>
      </c>
      <c r="M4" s="55">
        <f>'Data Sheet'!$B$16</f>
        <v>42094</v>
      </c>
      <c r="N4" s="56">
        <f t="array" ref="N4:N13">TRANSPOSE(HistoricalFS!C38:L38)</f>
        <v>46.220198102098706</v>
      </c>
    </row>
    <row r="5" spans="2:15" x14ac:dyDescent="0.35">
      <c r="B5" s="20">
        <f>B4+1</f>
        <v>2</v>
      </c>
      <c r="C5" s="55">
        <f>C4+365</f>
        <v>42459</v>
      </c>
      <c r="D5" s="56">
        <v>273045.59999999998</v>
      </c>
      <c r="E5" s="35">
        <f>D5/D4-1</f>
        <v>3.75690010654397E-2</v>
      </c>
      <c r="G5" s="20">
        <f>G4+1</f>
        <v>2</v>
      </c>
      <c r="H5" s="55">
        <f>H4+365</f>
        <v>42459</v>
      </c>
      <c r="I5" s="56">
        <v>36204.22</v>
      </c>
      <c r="J5" s="35">
        <f>I5/I4-1</f>
        <v>-9.215553324379655E-2</v>
      </c>
      <c r="L5" s="20">
        <f>L4+1</f>
        <v>2</v>
      </c>
      <c r="M5" s="55">
        <f>M4+365</f>
        <v>42459</v>
      </c>
      <c r="N5" s="56">
        <v>47.694444444444336</v>
      </c>
      <c r="O5" s="35">
        <f>N5/N4-1</f>
        <v>3.189614936502605E-2</v>
      </c>
    </row>
    <row r="6" spans="2:15" x14ac:dyDescent="0.35">
      <c r="B6" s="20">
        <f t="shared" ref="B6:B18" si="0">B5+1</f>
        <v>3</v>
      </c>
      <c r="C6" s="55">
        <f t="shared" ref="C6:C18" si="1">C5+365</f>
        <v>42824</v>
      </c>
      <c r="D6" s="56">
        <v>269692.51</v>
      </c>
      <c r="E6" s="35">
        <f t="shared" ref="E6:E18" si="2">D6/D5-1</f>
        <v>-1.2280329732469508E-2</v>
      </c>
      <c r="G6" s="20">
        <f t="shared" ref="G6:G18" si="3">G5+1</f>
        <v>3</v>
      </c>
      <c r="H6" s="55">
        <f t="shared" ref="H6:H18" si="4">H5+365</f>
        <v>42824</v>
      </c>
      <c r="I6" s="56">
        <v>32848.589999999997</v>
      </c>
      <c r="J6" s="35">
        <f t="shared" ref="J6:J18" si="5">I6/I5-1</f>
        <v>-9.268615647568168E-2</v>
      </c>
      <c r="L6" s="20">
        <f t="shared" ref="L6:L18" si="6">L5+1</f>
        <v>3</v>
      </c>
      <c r="M6" s="55">
        <f t="shared" ref="M6:M18" si="7">M5+365</f>
        <v>42824</v>
      </c>
      <c r="N6" s="56">
        <v>14.527274616423808</v>
      </c>
      <c r="O6" s="35">
        <f t="shared" ref="O6:O18" si="8">N6/N5-1</f>
        <v>-0.69540950134463697</v>
      </c>
    </row>
    <row r="7" spans="2:15" x14ac:dyDescent="0.35">
      <c r="B7" s="20">
        <f t="shared" si="0"/>
        <v>4</v>
      </c>
      <c r="C7" s="55">
        <f t="shared" si="1"/>
        <v>43189</v>
      </c>
      <c r="D7" s="56">
        <v>291550.48</v>
      </c>
      <c r="E7" s="35">
        <f t="shared" si="2"/>
        <v>8.104774581985974E-2</v>
      </c>
      <c r="G7" s="20">
        <f t="shared" si="3"/>
        <v>4</v>
      </c>
      <c r="H7" s="55">
        <f t="shared" si="4"/>
        <v>43189</v>
      </c>
      <c r="I7" s="56">
        <v>39566.22</v>
      </c>
      <c r="J7" s="35">
        <f t="shared" si="5"/>
        <v>0.20450284167448296</v>
      </c>
      <c r="L7" s="20">
        <f t="shared" si="6"/>
        <v>4</v>
      </c>
      <c r="M7" s="55">
        <f t="shared" si="7"/>
        <v>43189</v>
      </c>
      <c r="N7" s="56">
        <v>3.049111626779315</v>
      </c>
      <c r="O7" s="35">
        <f t="shared" si="8"/>
        <v>-0.79011124197155724</v>
      </c>
    </row>
    <row r="8" spans="2:15" x14ac:dyDescent="0.35">
      <c r="B8" s="20">
        <f t="shared" si="0"/>
        <v>5</v>
      </c>
      <c r="C8" s="55">
        <f t="shared" si="1"/>
        <v>43554</v>
      </c>
      <c r="D8" s="56">
        <v>301938.40000000002</v>
      </c>
      <c r="E8" s="35">
        <f t="shared" si="2"/>
        <v>3.5629919045237157E-2</v>
      </c>
      <c r="G8" s="20">
        <f t="shared" si="3"/>
        <v>5</v>
      </c>
      <c r="H8" s="55">
        <f t="shared" si="4"/>
        <v>43554</v>
      </c>
      <c r="I8" s="56">
        <v>-1914.4499999999971</v>
      </c>
      <c r="J8" s="35">
        <f t="shared" si="5"/>
        <v>-1.0483859716697728</v>
      </c>
      <c r="L8" s="20">
        <f t="shared" si="6"/>
        <v>5</v>
      </c>
      <c r="M8" s="55">
        <f t="shared" si="7"/>
        <v>43554</v>
      </c>
      <c r="N8" s="56">
        <v>-7.7839157690575265</v>
      </c>
      <c r="O8" s="35">
        <f t="shared" si="8"/>
        <v>-3.5528470983790919</v>
      </c>
    </row>
    <row r="9" spans="2:15" x14ac:dyDescent="0.35">
      <c r="B9" s="20">
        <f t="shared" si="0"/>
        <v>6</v>
      </c>
      <c r="C9" s="55">
        <f t="shared" si="1"/>
        <v>43919</v>
      </c>
      <c r="D9" s="56">
        <v>261067.97</v>
      </c>
      <c r="E9" s="35">
        <f t="shared" si="2"/>
        <v>-0.135360159555724</v>
      </c>
      <c r="G9" s="20">
        <f t="shared" si="3"/>
        <v>6</v>
      </c>
      <c r="H9" s="55">
        <f t="shared" si="4"/>
        <v>43919</v>
      </c>
      <c r="I9" s="56">
        <v>16993.160000000003</v>
      </c>
      <c r="J9" s="35">
        <f t="shared" si="5"/>
        <v>-9.876262111833702</v>
      </c>
      <c r="L9" s="20">
        <f t="shared" si="6"/>
        <v>6</v>
      </c>
      <c r="M9" s="55">
        <f t="shared" si="7"/>
        <v>43919</v>
      </c>
      <c r="N9" s="56">
        <v>-35.859307219164904</v>
      </c>
      <c r="O9" s="35">
        <f t="shared" si="8"/>
        <v>3.6068467700681115</v>
      </c>
    </row>
    <row r="10" spans="2:15" x14ac:dyDescent="0.35">
      <c r="B10" s="20">
        <f t="shared" si="0"/>
        <v>7</v>
      </c>
      <c r="C10" s="55">
        <f t="shared" si="1"/>
        <v>44284</v>
      </c>
      <c r="D10" s="56">
        <v>249794.75</v>
      </c>
      <c r="E10" s="35">
        <f t="shared" si="2"/>
        <v>-4.3181168490336042E-2</v>
      </c>
      <c r="G10" s="20">
        <f t="shared" si="3"/>
        <v>7</v>
      </c>
      <c r="H10" s="55">
        <f t="shared" si="4"/>
        <v>44284</v>
      </c>
      <c r="I10" s="56">
        <v>20734.349999999999</v>
      </c>
      <c r="J10" s="35">
        <f t="shared" si="5"/>
        <v>0.22015858145277245</v>
      </c>
      <c r="L10" s="20">
        <f t="shared" si="6"/>
        <v>7</v>
      </c>
      <c r="M10" s="55">
        <f t="shared" si="7"/>
        <v>44284</v>
      </c>
      <c r="N10" s="56">
        <v>-5.7172845827184542</v>
      </c>
      <c r="O10" s="35">
        <f t="shared" si="8"/>
        <v>-0.84056344011958861</v>
      </c>
    </row>
    <row r="11" spans="2:15" x14ac:dyDescent="0.35">
      <c r="B11" s="20">
        <f t="shared" si="0"/>
        <v>8</v>
      </c>
      <c r="C11" s="55">
        <f t="shared" si="1"/>
        <v>44649</v>
      </c>
      <c r="D11" s="56">
        <v>278453.62</v>
      </c>
      <c r="E11" s="35">
        <f t="shared" si="2"/>
        <v>0.11472967306158344</v>
      </c>
      <c r="G11" s="20">
        <f t="shared" si="3"/>
        <v>8</v>
      </c>
      <c r="H11" s="55">
        <f t="shared" si="4"/>
        <v>44649</v>
      </c>
      <c r="I11" s="56">
        <v>26937.370000000003</v>
      </c>
      <c r="J11" s="35">
        <f t="shared" si="5"/>
        <v>0.2991663592058591</v>
      </c>
      <c r="L11" s="20">
        <f t="shared" si="6"/>
        <v>8</v>
      </c>
      <c r="M11" s="55">
        <f t="shared" si="7"/>
        <v>44649</v>
      </c>
      <c r="N11" s="56">
        <v>-41.132140813683833</v>
      </c>
      <c r="O11" s="35">
        <f t="shared" si="8"/>
        <v>6.194349033807641</v>
      </c>
    </row>
    <row r="12" spans="2:15" x14ac:dyDescent="0.35">
      <c r="B12" s="20">
        <f t="shared" si="0"/>
        <v>9</v>
      </c>
      <c r="C12" s="55">
        <f t="shared" si="1"/>
        <v>45014</v>
      </c>
      <c r="D12" s="56">
        <v>345966.97</v>
      </c>
      <c r="E12" s="35">
        <f t="shared" si="2"/>
        <v>0.24245815155859707</v>
      </c>
      <c r="G12" s="20">
        <f t="shared" si="3"/>
        <v>9</v>
      </c>
      <c r="H12" s="55">
        <f t="shared" si="4"/>
        <v>45014</v>
      </c>
      <c r="I12" s="56">
        <v>38204.189999999995</v>
      </c>
      <c r="J12" s="35">
        <f t="shared" si="5"/>
        <v>0.41825983754167506</v>
      </c>
      <c r="L12" s="20">
        <f t="shared" si="6"/>
        <v>9</v>
      </c>
      <c r="M12" s="55">
        <f t="shared" si="7"/>
        <v>45014</v>
      </c>
      <c r="N12" s="56">
        <v>-11.965495438533218</v>
      </c>
      <c r="O12" s="35">
        <f t="shared" si="8"/>
        <v>-0.70909621522659627</v>
      </c>
    </row>
    <row r="13" spans="2:15" x14ac:dyDescent="0.35">
      <c r="B13" s="20">
        <f t="shared" si="0"/>
        <v>10</v>
      </c>
      <c r="C13" s="55">
        <f t="shared" si="1"/>
        <v>45379</v>
      </c>
      <c r="D13" s="56">
        <v>437927.77</v>
      </c>
      <c r="E13" s="35">
        <f t="shared" si="2"/>
        <v>0.26580803363974326</v>
      </c>
      <c r="G13" s="20">
        <f t="shared" si="3"/>
        <v>10</v>
      </c>
      <c r="H13" s="55">
        <f t="shared" si="4"/>
        <v>45379</v>
      </c>
      <c r="I13" s="56">
        <v>64803.34</v>
      </c>
      <c r="J13" s="35">
        <f t="shared" si="5"/>
        <v>0.696236459927563</v>
      </c>
      <c r="L13" s="20">
        <f t="shared" si="6"/>
        <v>10</v>
      </c>
      <c r="M13" s="55">
        <f t="shared" si="7"/>
        <v>45379</v>
      </c>
      <c r="N13" s="56">
        <v>78.629509281824596</v>
      </c>
      <c r="O13" s="35">
        <f t="shared" si="8"/>
        <v>-7.5713542482001346</v>
      </c>
    </row>
    <row r="14" spans="2:15" x14ac:dyDescent="0.35">
      <c r="B14" s="57">
        <f t="shared" si="0"/>
        <v>11</v>
      </c>
      <c r="C14" s="58">
        <f t="shared" si="1"/>
        <v>45744</v>
      </c>
      <c r="D14" s="59">
        <f>FORECAST(B14,$D$4:$D$13,$B$4:$B$13)</f>
        <v>362627.59266666661</v>
      </c>
      <c r="E14" s="60">
        <f t="shared" si="2"/>
        <v>-0.17194656857073354</v>
      </c>
      <c r="G14" s="57">
        <f t="shared" si="3"/>
        <v>11</v>
      </c>
      <c r="H14" s="58">
        <f t="shared" si="4"/>
        <v>45744</v>
      </c>
      <c r="I14" s="59">
        <f>FORECAST(G14,$I$4:$I$13,$G$4:$G$13)</f>
        <v>37131.360000000001</v>
      </c>
      <c r="J14" s="60">
        <f t="shared" si="5"/>
        <v>-0.4270147186857961</v>
      </c>
      <c r="L14" s="57">
        <f t="shared" si="6"/>
        <v>11</v>
      </c>
      <c r="M14" s="58">
        <f t="shared" si="7"/>
        <v>45744</v>
      </c>
      <c r="N14" s="59">
        <f>FORECAST(L14,$N$4:$N$13,$L$4:$L$13)</f>
        <v>-6.520675101573687</v>
      </c>
      <c r="O14" s="60">
        <f t="shared" si="8"/>
        <v>-1.082929108436913</v>
      </c>
    </row>
    <row r="15" spans="2:15" x14ac:dyDescent="0.35">
      <c r="B15" s="57">
        <f t="shared" si="0"/>
        <v>12</v>
      </c>
      <c r="C15" s="58">
        <f t="shared" si="1"/>
        <v>46109</v>
      </c>
      <c r="D15" s="59">
        <f t="shared" ref="D15:D18" si="9">FORECAST(B15,$D$4:$D$13,$B$4:$B$13)</f>
        <v>374512.66315151507</v>
      </c>
      <c r="E15" s="60">
        <f t="shared" si="2"/>
        <v>3.2774865247977569E-2</v>
      </c>
      <c r="G15" s="57">
        <f t="shared" si="3"/>
        <v>12</v>
      </c>
      <c r="H15" s="58">
        <f t="shared" si="4"/>
        <v>46109</v>
      </c>
      <c r="I15" s="59">
        <f t="shared" ref="I15:I18" si="10">FORECAST(G15,$I$4:$I$13,$G$4:$G$13)</f>
        <v>38168.765272727273</v>
      </c>
      <c r="J15" s="60">
        <f t="shared" si="5"/>
        <v>2.7938790088143151E-2</v>
      </c>
      <c r="L15" s="57">
        <f t="shared" si="6"/>
        <v>12</v>
      </c>
      <c r="M15" s="58">
        <f t="shared" si="7"/>
        <v>46109</v>
      </c>
      <c r="N15" s="59">
        <f t="shared" ref="N15:N18" si="11">FORECAST(L15,$N$4:$N$13,$L$4:$L$13)</f>
        <v>-9.3001141063764052</v>
      </c>
      <c r="O15" s="60">
        <f t="shared" si="8"/>
        <v>0.42625019058715763</v>
      </c>
    </row>
    <row r="16" spans="2:15" x14ac:dyDescent="0.35">
      <c r="B16" s="57">
        <f t="shared" si="0"/>
        <v>13</v>
      </c>
      <c r="C16" s="58">
        <f t="shared" si="1"/>
        <v>46474</v>
      </c>
      <c r="D16" s="59">
        <f t="shared" si="9"/>
        <v>386397.73363636358</v>
      </c>
      <c r="E16" s="60">
        <f t="shared" si="2"/>
        <v>3.1734762677544603E-2</v>
      </c>
      <c r="G16" s="57">
        <f t="shared" si="3"/>
        <v>13</v>
      </c>
      <c r="H16" s="58">
        <f t="shared" si="4"/>
        <v>46474</v>
      </c>
      <c r="I16" s="59">
        <f t="shared" si="10"/>
        <v>39206.170545454544</v>
      </c>
      <c r="J16" s="60">
        <f t="shared" si="5"/>
        <v>2.7179429706847946E-2</v>
      </c>
      <c r="L16" s="57">
        <f t="shared" si="6"/>
        <v>13</v>
      </c>
      <c r="M16" s="58">
        <f t="shared" si="7"/>
        <v>46474</v>
      </c>
      <c r="N16" s="59">
        <f t="shared" si="11"/>
        <v>-12.079553111179131</v>
      </c>
      <c r="O16" s="60">
        <f t="shared" si="8"/>
        <v>0.29886074224584713</v>
      </c>
    </row>
    <row r="17" spans="2:15" x14ac:dyDescent="0.35">
      <c r="B17" s="57">
        <f t="shared" si="0"/>
        <v>14</v>
      </c>
      <c r="C17" s="58">
        <f t="shared" si="1"/>
        <v>46839</v>
      </c>
      <c r="D17" s="59">
        <f t="shared" si="9"/>
        <v>398282.8041212121</v>
      </c>
      <c r="E17" s="60">
        <f t="shared" si="2"/>
        <v>3.0758644397312906E-2</v>
      </c>
      <c r="G17" s="57">
        <f t="shared" si="3"/>
        <v>14</v>
      </c>
      <c r="H17" s="58">
        <f t="shared" si="4"/>
        <v>46839</v>
      </c>
      <c r="I17" s="59">
        <f t="shared" si="10"/>
        <v>40243.575818181816</v>
      </c>
      <c r="J17" s="60">
        <f t="shared" si="5"/>
        <v>2.6460255064302496E-2</v>
      </c>
      <c r="L17" s="57">
        <f t="shared" si="6"/>
        <v>14</v>
      </c>
      <c r="M17" s="58">
        <f t="shared" si="7"/>
        <v>46839</v>
      </c>
      <c r="N17" s="59">
        <f t="shared" si="11"/>
        <v>-14.858992115981849</v>
      </c>
      <c r="O17" s="60">
        <f t="shared" si="8"/>
        <v>0.23009452247289364</v>
      </c>
    </row>
    <row r="18" spans="2:15" x14ac:dyDescent="0.35">
      <c r="B18" s="57">
        <f t="shared" si="0"/>
        <v>15</v>
      </c>
      <c r="C18" s="58">
        <f t="shared" si="1"/>
        <v>47204</v>
      </c>
      <c r="D18" s="59">
        <f t="shared" si="9"/>
        <v>410167.87460606056</v>
      </c>
      <c r="E18" s="60">
        <f t="shared" si="2"/>
        <v>2.9840782383442788E-2</v>
      </c>
      <c r="G18" s="57">
        <f t="shared" si="3"/>
        <v>15</v>
      </c>
      <c r="H18" s="58">
        <f t="shared" si="4"/>
        <v>47204</v>
      </c>
      <c r="I18" s="59">
        <f t="shared" si="10"/>
        <v>41280.981090909088</v>
      </c>
      <c r="J18" s="60">
        <f t="shared" si="5"/>
        <v>2.5778158417487873E-2</v>
      </c>
      <c r="L18" s="57">
        <f t="shared" si="6"/>
        <v>15</v>
      </c>
      <c r="M18" s="58">
        <f t="shared" si="7"/>
        <v>47204</v>
      </c>
      <c r="N18" s="59">
        <f t="shared" si="11"/>
        <v>-17.638431120784574</v>
      </c>
      <c r="O18" s="60">
        <f t="shared" si="8"/>
        <v>0.18705434279174638</v>
      </c>
    </row>
  </sheetData>
  <mergeCells count="3">
    <mergeCell ref="B2:E2"/>
    <mergeCell ref="G2:J2"/>
    <mergeCell ref="L2:O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55ECF-5038-483B-AA85-58559E135245}">
  <dimension ref="B1:W53"/>
  <sheetViews>
    <sheetView topLeftCell="A4" workbookViewId="0">
      <selection activeCell="H11" sqref="H11"/>
    </sheetView>
  </sheetViews>
  <sheetFormatPr defaultColWidth="11.453125" defaultRowHeight="14.5" x14ac:dyDescent="0.35"/>
  <cols>
    <col min="1" max="1" width="1.453125" style="62" customWidth="1"/>
    <col min="2" max="2" width="2" style="62" customWidth="1"/>
    <col min="3" max="3" width="0.7265625" style="77" customWidth="1"/>
    <col min="4" max="4" width="29.81640625" style="62" bestFit="1" customWidth="1"/>
    <col min="5" max="5" width="11.453125" style="62"/>
    <col min="6" max="6" width="10.1796875" style="62" customWidth="1"/>
    <col min="7" max="17" width="11.453125" style="62"/>
    <col min="18" max="18" width="2.453125" style="67" customWidth="1"/>
    <col min="19" max="19" width="24.1796875" style="61" bestFit="1" customWidth="1"/>
    <col min="20" max="21" width="11.453125" style="61"/>
    <col min="22" max="16384" width="11.453125" style="62"/>
  </cols>
  <sheetData>
    <row r="1" spans="2:23" ht="24" hidden="1" customHeight="1" x14ac:dyDescent="0.35"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V1" s="61"/>
      <c r="W1" s="61"/>
    </row>
    <row r="2" spans="2:23" ht="21.75" hidden="1" customHeight="1" x14ac:dyDescent="0.35">
      <c r="B2" s="61"/>
      <c r="C2" s="63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4"/>
      <c r="V2" s="61"/>
      <c r="W2" s="61"/>
    </row>
    <row r="3" spans="2:23" ht="10.5" hidden="1" customHeight="1" x14ac:dyDescent="0.35">
      <c r="B3" s="61"/>
      <c r="C3" s="65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4"/>
      <c r="V3" s="61"/>
      <c r="W3" s="61"/>
    </row>
    <row r="4" spans="2:23" ht="4.5" customHeight="1" x14ac:dyDescent="0.35">
      <c r="B4" s="61"/>
      <c r="C4" s="65"/>
      <c r="D4" s="61"/>
      <c r="E4" s="61"/>
      <c r="F4" s="61"/>
      <c r="G4" s="61"/>
      <c r="H4" s="61"/>
      <c r="I4" s="61"/>
      <c r="J4" s="66"/>
      <c r="K4" s="61"/>
      <c r="L4" s="61"/>
      <c r="M4" s="61"/>
      <c r="N4" s="61"/>
      <c r="O4" s="61"/>
      <c r="P4" s="61"/>
      <c r="V4" s="61"/>
      <c r="W4" s="61"/>
    </row>
    <row r="5" spans="2:23" ht="6" hidden="1" customHeight="1" x14ac:dyDescent="0.35">
      <c r="B5" s="61"/>
      <c r="C5" s="65"/>
      <c r="D5" s="61"/>
      <c r="E5" s="61"/>
      <c r="F5" s="61"/>
      <c r="G5" s="61"/>
      <c r="H5" s="61"/>
      <c r="I5" s="61"/>
      <c r="J5" s="66"/>
      <c r="K5" s="61"/>
      <c r="L5" s="61"/>
      <c r="M5" s="61"/>
      <c r="N5" s="61"/>
      <c r="O5" s="61"/>
      <c r="P5" s="61"/>
      <c r="Q5" s="61"/>
      <c r="R5" s="64"/>
      <c r="V5" s="61"/>
      <c r="W5" s="61"/>
    </row>
    <row r="6" spans="2:23" s="68" customFormat="1" ht="36.75" customHeight="1" thickBot="1" x14ac:dyDescent="0.4">
      <c r="C6" s="69"/>
      <c r="D6" s="70" t="s">
        <v>198</v>
      </c>
      <c r="E6" s="71" t="s">
        <v>199</v>
      </c>
      <c r="F6" s="71" t="s">
        <v>200</v>
      </c>
      <c r="G6" s="71" t="s">
        <v>201</v>
      </c>
      <c r="H6" s="71" t="s">
        <v>202</v>
      </c>
      <c r="I6" s="71" t="s">
        <v>203</v>
      </c>
      <c r="J6" s="71" t="s">
        <v>204</v>
      </c>
      <c r="K6" s="71" t="s">
        <v>205</v>
      </c>
      <c r="L6" s="71" t="s">
        <v>206</v>
      </c>
      <c r="M6" s="71" t="s">
        <v>207</v>
      </c>
      <c r="N6" s="71" t="s">
        <v>208</v>
      </c>
      <c r="O6" s="71" t="s">
        <v>209</v>
      </c>
      <c r="P6" s="71" t="s">
        <v>210</v>
      </c>
      <c r="Q6" s="72" t="s">
        <v>26</v>
      </c>
      <c r="R6" s="73"/>
      <c r="S6" s="74" t="s">
        <v>211</v>
      </c>
      <c r="T6" s="75" t="s">
        <v>212</v>
      </c>
      <c r="U6" s="76"/>
    </row>
    <row r="7" spans="2:23" ht="20.25" customHeight="1" x14ac:dyDescent="0.35">
      <c r="B7" s="116"/>
      <c r="C7" s="78"/>
      <c r="D7" s="79" t="s">
        <v>213</v>
      </c>
      <c r="E7" s="80">
        <v>4501</v>
      </c>
      <c r="F7" s="80">
        <v>4800</v>
      </c>
      <c r="G7" s="80">
        <v>4300</v>
      </c>
      <c r="H7" s="80">
        <v>5100</v>
      </c>
      <c r="I7" s="80">
        <v>4800</v>
      </c>
      <c r="J7" s="80">
        <v>5200</v>
      </c>
      <c r="K7" s="80">
        <v>5100</v>
      </c>
      <c r="L7" s="80">
        <v>4100</v>
      </c>
      <c r="M7" s="80">
        <v>5200</v>
      </c>
      <c r="N7" s="80">
        <v>5184</v>
      </c>
      <c r="O7" s="80">
        <v>4800</v>
      </c>
      <c r="P7" s="80">
        <v>4625</v>
      </c>
      <c r="Q7" s="80">
        <f>IF($T$7=$C$53,SUM(E7:P7),IF($E$6=$T$7,E7,IF($F$6=$T$7,F7,IF($G$6=$T$7,G7,IF($H$6=$T$7,H7,IF($I$6=$T$7,I7,IF($J$6=$T$7,J7,IF($K$6=$T$7,K7,IF($L$6=$T$7,L7,IF($M$6=$T$7,M7,IF($N$6=$T$7,N7,IF($O$6=$T$7,O7,P7))))))))))))</f>
        <v>4800</v>
      </c>
      <c r="R7" s="81"/>
      <c r="S7" s="82">
        <f t="shared" ref="S7:S24" si="0">IFERROR(IF($T$7=$E$6,0,IF($T$7=$F$6,F7/E7-1,IF($T$7=$G$6,G7/F7-1,IF($T$7=$H$6,H7/G7-1,IF($T$7=$I$6,I7/H7-1,IF($T$7=$J$6,J7/I7-1,IF($T$7=$K$6,K7/J7-1,IF($T$7=$L$6,L7/K7-1,IF($T$7=$M$6,M7/L7-1,IF($T$7=$N$6,N7/M7-1,IF($T$7=$O$6,O7/N7-1,IF($T$7=$P$6,P7/O7-1,"")))))))))))),0)</f>
        <v>6.6429682292823866E-2</v>
      </c>
      <c r="T7" s="83" t="str">
        <f>[2]dashboard!V5</f>
        <v>FEB</v>
      </c>
    </row>
    <row r="8" spans="2:23" ht="20.25" customHeight="1" x14ac:dyDescent="0.35">
      <c r="B8" s="116"/>
      <c r="C8" s="84"/>
      <c r="D8" s="85" t="s">
        <v>214</v>
      </c>
      <c r="E8" s="80">
        <v>1250</v>
      </c>
      <c r="F8" s="80">
        <v>1259</v>
      </c>
      <c r="G8" s="80">
        <v>1255</v>
      </c>
      <c r="H8" s="80">
        <v>1252</v>
      </c>
      <c r="I8" s="80">
        <v>1235</v>
      </c>
      <c r="J8" s="80">
        <v>1242</v>
      </c>
      <c r="K8" s="80">
        <v>1226</v>
      </c>
      <c r="L8" s="80">
        <v>1237</v>
      </c>
      <c r="M8" s="80">
        <v>1262</v>
      </c>
      <c r="N8" s="80">
        <v>1201</v>
      </c>
      <c r="O8" s="80">
        <v>1236</v>
      </c>
      <c r="P8" s="80">
        <v>1224</v>
      </c>
      <c r="Q8" s="80">
        <f>IF($T$7=$C$53,SUM(E8:P8),IF($E$6=$T$7,E8,IF($F$6=$T$7,F8,IF($G$6=$T$7,G8,IF($H$6=$T$7,H8,IF($I$6=$T$7,I8,IF($J$6=$T$7,J8,IF($K$6=$T$7,K8,IF($L$6=$T$7,L8,IF($M$6=$T$7,M8,IF($N$6=$T$7,N8,IF($O$6=$T$7,O8,P8))))))))))))</f>
        <v>1259</v>
      </c>
      <c r="R8" s="81"/>
      <c r="S8" s="82">
        <f t="shared" si="0"/>
        <v>7.2000000000000952E-3</v>
      </c>
    </row>
    <row r="9" spans="2:23" ht="20.25" customHeight="1" x14ac:dyDescent="0.35">
      <c r="B9" s="116"/>
      <c r="C9" s="84"/>
      <c r="D9" s="85" t="s">
        <v>215</v>
      </c>
      <c r="E9" s="86">
        <f t="shared" ref="E9:P9" si="1">E7-E8</f>
        <v>3251</v>
      </c>
      <c r="F9" s="86">
        <f t="shared" si="1"/>
        <v>3541</v>
      </c>
      <c r="G9" s="86">
        <f t="shared" si="1"/>
        <v>3045</v>
      </c>
      <c r="H9" s="86">
        <f t="shared" si="1"/>
        <v>3848</v>
      </c>
      <c r="I9" s="86">
        <f t="shared" si="1"/>
        <v>3565</v>
      </c>
      <c r="J9" s="86">
        <f t="shared" si="1"/>
        <v>3958</v>
      </c>
      <c r="K9" s="86">
        <f t="shared" si="1"/>
        <v>3874</v>
      </c>
      <c r="L9" s="86">
        <f t="shared" si="1"/>
        <v>2863</v>
      </c>
      <c r="M9" s="86">
        <f t="shared" si="1"/>
        <v>3938</v>
      </c>
      <c r="N9" s="86">
        <f t="shared" si="1"/>
        <v>3983</v>
      </c>
      <c r="O9" s="86">
        <f t="shared" si="1"/>
        <v>3564</v>
      </c>
      <c r="P9" s="86">
        <f t="shared" si="1"/>
        <v>3401</v>
      </c>
      <c r="Q9" s="80">
        <f>Q7-Q8</f>
        <v>3541</v>
      </c>
      <c r="R9" s="81"/>
      <c r="S9" s="82">
        <f t="shared" si="0"/>
        <v>8.9203322054752343E-2</v>
      </c>
    </row>
    <row r="10" spans="2:23" ht="20.25" customHeight="1" x14ac:dyDescent="0.35">
      <c r="B10" s="116"/>
      <c r="C10" s="78"/>
      <c r="D10" s="85" t="s">
        <v>216</v>
      </c>
      <c r="E10" s="86">
        <v>1751</v>
      </c>
      <c r="F10" s="86">
        <v>1800</v>
      </c>
      <c r="G10" s="86">
        <v>1785</v>
      </c>
      <c r="H10" s="86">
        <v>1722</v>
      </c>
      <c r="I10" s="86">
        <v>1744</v>
      </c>
      <c r="J10" s="86">
        <v>1751</v>
      </c>
      <c r="K10" s="86">
        <v>1794</v>
      </c>
      <c r="L10" s="86">
        <v>1850</v>
      </c>
      <c r="M10" s="86">
        <v>2002</v>
      </c>
      <c r="N10" s="86">
        <v>1738</v>
      </c>
      <c r="O10" s="86">
        <v>1558</v>
      </c>
      <c r="P10" s="86">
        <v>1444</v>
      </c>
      <c r="Q10" s="80">
        <f>IF($T$7=$C$53,SUM(E10:P10),IF($E$6=$T$7,E10,IF($F$6=$T$7,F10,IF($G$6=$T$7,G10,IF($H$6=$T$7,H10,IF($I$6=$T$7,I10,IF($J$6=$T$7,J10,IF($K$6=$T$7,K10,IF($L$6=$T$7,L10,IF($M$6=$T$7,M10,IF($N$6=$T$7,N10,IF($O$6=$T$7,O10,P10))))))))))))</f>
        <v>1800</v>
      </c>
      <c r="R10" s="87"/>
      <c r="S10" s="82">
        <f t="shared" si="0"/>
        <v>2.7984009137635546E-2</v>
      </c>
    </row>
    <row r="11" spans="2:23" ht="20.25" customHeight="1" x14ac:dyDescent="0.35">
      <c r="B11" s="116"/>
      <c r="C11" s="84"/>
      <c r="D11" s="85" t="s">
        <v>217</v>
      </c>
      <c r="E11" s="86">
        <f t="shared" ref="E11:P11" si="2">E9-E10</f>
        <v>1500</v>
      </c>
      <c r="F11" s="86">
        <f t="shared" si="2"/>
        <v>1741</v>
      </c>
      <c r="G11" s="86">
        <f t="shared" si="2"/>
        <v>1260</v>
      </c>
      <c r="H11" s="86">
        <f t="shared" si="2"/>
        <v>2126</v>
      </c>
      <c r="I11" s="86">
        <f t="shared" si="2"/>
        <v>1821</v>
      </c>
      <c r="J11" s="86">
        <f t="shared" si="2"/>
        <v>2207</v>
      </c>
      <c r="K11" s="86">
        <f t="shared" si="2"/>
        <v>2080</v>
      </c>
      <c r="L11" s="86">
        <f t="shared" si="2"/>
        <v>1013</v>
      </c>
      <c r="M11" s="86">
        <f t="shared" si="2"/>
        <v>1936</v>
      </c>
      <c r="N11" s="86">
        <f t="shared" si="2"/>
        <v>2245</v>
      </c>
      <c r="O11" s="86">
        <f t="shared" si="2"/>
        <v>2006</v>
      </c>
      <c r="P11" s="86">
        <f t="shared" si="2"/>
        <v>1957</v>
      </c>
      <c r="Q11" s="80">
        <f>+Q9-Q10</f>
        <v>1741</v>
      </c>
      <c r="R11" s="87"/>
      <c r="S11" s="82">
        <f t="shared" si="0"/>
        <v>0.16066666666666674</v>
      </c>
    </row>
    <row r="12" spans="2:23" ht="20.25" customHeight="1" x14ac:dyDescent="0.35">
      <c r="B12" s="116"/>
      <c r="C12" s="78"/>
      <c r="D12" s="79" t="s">
        <v>218</v>
      </c>
      <c r="E12" s="80">
        <v>800</v>
      </c>
      <c r="F12" s="80">
        <v>1000</v>
      </c>
      <c r="G12" s="80">
        <v>962</v>
      </c>
      <c r="H12" s="80">
        <v>777</v>
      </c>
      <c r="I12" s="80">
        <v>1001</v>
      </c>
      <c r="J12" s="80">
        <v>750</v>
      </c>
      <c r="K12" s="80">
        <v>999</v>
      </c>
      <c r="L12" s="80">
        <v>888</v>
      </c>
      <c r="M12" s="80">
        <v>911</v>
      </c>
      <c r="N12" s="80">
        <v>781</v>
      </c>
      <c r="O12" s="80">
        <v>874</v>
      </c>
      <c r="P12" s="80">
        <v>980</v>
      </c>
      <c r="Q12" s="80">
        <f>IF($T$7=$C$53,SUM(E12:P12),IF($E$6=$T$7,E12,IF($F$6=$T$7,F12,IF($G$6=$T$7,G12,IF($H$6=$T$7,H12,IF($I$6=$T$7,I12,IF($J$6=$T$7,J12,IF($K$6=$T$7,K12,IF($L$6=$T$7,L12,IF($M$6=$T$7,M12,IF($N$6=$T$7,N12,IF($O$6=$T$7,O12,P12))))))))))))</f>
        <v>1000</v>
      </c>
      <c r="R12" s="81"/>
      <c r="S12" s="82">
        <f t="shared" si="0"/>
        <v>0.25</v>
      </c>
    </row>
    <row r="13" spans="2:23" ht="20.25" customHeight="1" x14ac:dyDescent="0.35">
      <c r="B13" s="116"/>
      <c r="C13" s="78"/>
      <c r="D13" s="88" t="s">
        <v>219</v>
      </c>
      <c r="E13" s="89">
        <f t="shared" ref="E13:P13" si="3">E11-E12</f>
        <v>700</v>
      </c>
      <c r="F13" s="89">
        <f t="shared" si="3"/>
        <v>741</v>
      </c>
      <c r="G13" s="89">
        <f t="shared" si="3"/>
        <v>298</v>
      </c>
      <c r="H13" s="89">
        <f t="shared" si="3"/>
        <v>1349</v>
      </c>
      <c r="I13" s="89">
        <f t="shared" si="3"/>
        <v>820</v>
      </c>
      <c r="J13" s="89">
        <f t="shared" si="3"/>
        <v>1457</v>
      </c>
      <c r="K13" s="89">
        <f t="shared" si="3"/>
        <v>1081</v>
      </c>
      <c r="L13" s="89">
        <f t="shared" si="3"/>
        <v>125</v>
      </c>
      <c r="M13" s="89">
        <f t="shared" si="3"/>
        <v>1025</v>
      </c>
      <c r="N13" s="89">
        <f t="shared" si="3"/>
        <v>1464</v>
      </c>
      <c r="O13" s="89">
        <f t="shared" si="3"/>
        <v>1132</v>
      </c>
      <c r="P13" s="89">
        <f t="shared" si="3"/>
        <v>977</v>
      </c>
      <c r="Q13" s="89">
        <f>+Q11-Q12</f>
        <v>741</v>
      </c>
      <c r="R13" s="87"/>
      <c r="S13" s="82">
        <f t="shared" si="0"/>
        <v>5.8571428571428497E-2</v>
      </c>
    </row>
    <row r="14" spans="2:23" ht="20.25" customHeight="1" x14ac:dyDescent="0.35">
      <c r="B14" s="116"/>
      <c r="C14" s="84"/>
      <c r="D14" s="79" t="s">
        <v>220</v>
      </c>
      <c r="E14" s="90">
        <f t="shared" ref="E14:P14" si="4">IFERROR(E13/E7,0)</f>
        <v>0.15552099533437014</v>
      </c>
      <c r="F14" s="90">
        <f t="shared" si="4"/>
        <v>0.15437500000000001</v>
      </c>
      <c r="G14" s="90">
        <f t="shared" si="4"/>
        <v>6.9302325581395346E-2</v>
      </c>
      <c r="H14" s="90">
        <f t="shared" si="4"/>
        <v>0.26450980392156864</v>
      </c>
      <c r="I14" s="90">
        <f t="shared" si="4"/>
        <v>0.17083333333333334</v>
      </c>
      <c r="J14" s="90">
        <f t="shared" si="4"/>
        <v>0.28019230769230768</v>
      </c>
      <c r="K14" s="90">
        <f t="shared" si="4"/>
        <v>0.2119607843137255</v>
      </c>
      <c r="L14" s="90">
        <f t="shared" si="4"/>
        <v>3.048780487804878E-2</v>
      </c>
      <c r="M14" s="90">
        <f t="shared" si="4"/>
        <v>0.19711538461538461</v>
      </c>
      <c r="N14" s="90">
        <f t="shared" si="4"/>
        <v>0.28240740740740738</v>
      </c>
      <c r="O14" s="90">
        <f t="shared" si="4"/>
        <v>0.23583333333333334</v>
      </c>
      <c r="P14" s="90">
        <f t="shared" si="4"/>
        <v>0.21124324324324326</v>
      </c>
      <c r="Q14" s="90">
        <f>IF($T$7=$C$53,SUM(E14:P14),IF($E$6=$T$7,E14,IF($F$6=$T$7,F14,IF($G$6=$T$7,G14,IF($H$6=$T$7,H14,IF($I$6=$T$7,I14,IF($J$6=$T$7,J14,IF($K$6=$T$7,K14,IF($L$6=$T$7,L14,IF($M$6=$T$7,M14,IF($N$6=$T$7,N14,IF($O$6=$T$7,O14,P14))))))))))))</f>
        <v>0.15437500000000001</v>
      </c>
      <c r="R14" s="91"/>
      <c r="S14" s="82">
        <f t="shared" si="0"/>
        <v>-7.368749999999924E-3</v>
      </c>
    </row>
    <row r="15" spans="2:23" ht="20.25" customHeight="1" thickBot="1" x14ac:dyDescent="0.4">
      <c r="B15" s="116"/>
      <c r="C15" s="92"/>
      <c r="D15" s="93" t="s">
        <v>7</v>
      </c>
      <c r="E15" s="94">
        <f>E8+E10</f>
        <v>3001</v>
      </c>
      <c r="F15" s="94">
        <f t="shared" ref="F15:P15" si="5">F8+F10</f>
        <v>3059</v>
      </c>
      <c r="G15" s="94">
        <f t="shared" si="5"/>
        <v>3040</v>
      </c>
      <c r="H15" s="94">
        <f t="shared" si="5"/>
        <v>2974</v>
      </c>
      <c r="I15" s="94">
        <f t="shared" si="5"/>
        <v>2979</v>
      </c>
      <c r="J15" s="94">
        <f t="shared" si="5"/>
        <v>2993</v>
      </c>
      <c r="K15" s="94">
        <f t="shared" si="5"/>
        <v>3020</v>
      </c>
      <c r="L15" s="94">
        <f t="shared" si="5"/>
        <v>3087</v>
      </c>
      <c r="M15" s="94">
        <f t="shared" si="5"/>
        <v>3264</v>
      </c>
      <c r="N15" s="94">
        <f t="shared" si="5"/>
        <v>2939</v>
      </c>
      <c r="O15" s="94">
        <f t="shared" si="5"/>
        <v>2794</v>
      </c>
      <c r="P15" s="94">
        <f t="shared" si="5"/>
        <v>2668</v>
      </c>
      <c r="Q15" s="94">
        <f>Q10+Q8</f>
        <v>3059</v>
      </c>
      <c r="R15" s="95"/>
      <c r="S15" s="82">
        <f t="shared" si="0"/>
        <v>1.9326891036321125E-2</v>
      </c>
    </row>
    <row r="16" spans="2:23" ht="20.25" customHeight="1" x14ac:dyDescent="0.35">
      <c r="B16" s="116"/>
      <c r="C16" s="78"/>
      <c r="D16" s="96" t="s">
        <v>221</v>
      </c>
      <c r="E16" s="97">
        <v>4385</v>
      </c>
      <c r="F16" s="97">
        <v>4167</v>
      </c>
      <c r="G16" s="97">
        <v>4711</v>
      </c>
      <c r="H16" s="97">
        <v>4482</v>
      </c>
      <c r="I16" s="97">
        <v>4299</v>
      </c>
      <c r="J16" s="97">
        <v>4999</v>
      </c>
      <c r="K16" s="97">
        <v>4889</v>
      </c>
      <c r="L16" s="97">
        <v>4721</v>
      </c>
      <c r="M16" s="97">
        <v>4321</v>
      </c>
      <c r="N16" s="97">
        <v>4927</v>
      </c>
      <c r="O16" s="97">
        <v>4288</v>
      </c>
      <c r="P16" s="97">
        <v>4677</v>
      </c>
      <c r="Q16" s="97">
        <f>IF($T$7=$C$53,SUM(E16:P16),IF($E$6=$T$7,E16,IF($F$6=$T$7,F16,IF($G$6=$T$7,G16,IF($H$6=$T$7,H16,IF($I$6=$T$7,I16,IF($J$6=$T$7,J16,IF($K$6=$T$7,K16,IF($L$6=$T$7,L16,IF($M$6=$T$7,M16,IF($N$6=$T$7,N16,IF($O$6=$T$7,O16,P16))))))))))))</f>
        <v>4167</v>
      </c>
      <c r="R16" s="81"/>
      <c r="S16" s="82">
        <f t="shared" si="0"/>
        <v>-4.9714937286202909E-2</v>
      </c>
    </row>
    <row r="17" spans="2:19" ht="20.25" customHeight="1" x14ac:dyDescent="0.35">
      <c r="B17" s="116"/>
      <c r="C17" s="84"/>
      <c r="D17" s="85" t="s">
        <v>222</v>
      </c>
      <c r="E17" s="98">
        <v>1.33</v>
      </c>
      <c r="F17" s="98">
        <v>1.47</v>
      </c>
      <c r="G17" s="98">
        <v>1.89</v>
      </c>
      <c r="H17" s="98">
        <v>2.11</v>
      </c>
      <c r="I17" s="98">
        <v>1.94</v>
      </c>
      <c r="J17" s="98">
        <v>1.68</v>
      </c>
      <c r="K17" s="98">
        <v>1.45</v>
      </c>
      <c r="L17" s="98">
        <v>1.22</v>
      </c>
      <c r="M17" s="98">
        <v>1.1100000000000001</v>
      </c>
      <c r="N17" s="98">
        <v>1.55</v>
      </c>
      <c r="O17" s="98">
        <v>1.76</v>
      </c>
      <c r="P17" s="98">
        <v>1.33</v>
      </c>
      <c r="Q17" s="99">
        <f>IF($T$7=$C$53,#REF!,IF($E$6=$T$7,E17,IF($F$6=$T$7,F17,IF($G$6=$T$7,G17,IF($H$6=$T$7,H17,IF($I$6=$T$7,I17,IF($J$6=$T$7,J17,IF($K$6=$T$7,K17,IF($L$6=$T$7,L17,IF($M$6=$T$7,M17,IF($N$6=$T$7,N17,IF($O$6=$T$7,O17,P17))))))))))))</f>
        <v>1.47</v>
      </c>
      <c r="R17" s="100"/>
      <c r="S17" s="82">
        <f t="shared" si="0"/>
        <v>0.10526315789473673</v>
      </c>
    </row>
    <row r="18" spans="2:19" ht="20.25" customHeight="1" x14ac:dyDescent="0.35">
      <c r="B18" s="116"/>
      <c r="C18" s="78"/>
      <c r="D18" s="85" t="s">
        <v>223</v>
      </c>
      <c r="E18" s="98">
        <v>4.1100000000000003</v>
      </c>
      <c r="F18" s="98">
        <v>3.66</v>
      </c>
      <c r="G18" s="98">
        <v>4.01</v>
      </c>
      <c r="H18" s="98">
        <v>4.08</v>
      </c>
      <c r="I18" s="98">
        <v>4.1100000000000003</v>
      </c>
      <c r="J18" s="98">
        <v>2.99</v>
      </c>
      <c r="K18" s="98">
        <v>3.22</v>
      </c>
      <c r="L18" s="98">
        <v>3.66</v>
      </c>
      <c r="M18" s="98">
        <v>3.12</v>
      </c>
      <c r="N18" s="98">
        <v>3.55</v>
      </c>
      <c r="O18" s="98">
        <v>3.88</v>
      </c>
      <c r="P18" s="98">
        <v>3.99</v>
      </c>
      <c r="Q18" s="98">
        <f>IF($T$7=$C$53,SUM(E18:P18),IF($E$6=$T$7,E18,IF($F$6=$T$7,F18,IF($G$6=$T$7,G18,IF($H$6=$T$7,H18,IF($I$6=$T$7,I18,IF($J$6=$T$7,J18,IF($K$6=$T$7,K18,IF($L$6=$T$7,L18,IF($M$6=$T$7,M18,IF($N$6=$T$7,N18,IF($O$6=$T$7,O18,P18))))))))))))</f>
        <v>3.66</v>
      </c>
      <c r="R18" s="100"/>
      <c r="S18" s="82">
        <f t="shared" si="0"/>
        <v>-0.1094890510948906</v>
      </c>
    </row>
    <row r="19" spans="2:19" ht="20.25" customHeight="1" x14ac:dyDescent="0.35">
      <c r="B19" s="116"/>
      <c r="C19" s="78"/>
      <c r="D19" s="79" t="s">
        <v>224</v>
      </c>
      <c r="E19" s="80">
        <v>1060</v>
      </c>
      <c r="F19" s="80">
        <v>991</v>
      </c>
      <c r="G19" s="80">
        <v>1050</v>
      </c>
      <c r="H19" s="80">
        <v>1068</v>
      </c>
      <c r="I19" s="80">
        <v>1028</v>
      </c>
      <c r="J19" s="80">
        <v>1020</v>
      </c>
      <c r="K19" s="80">
        <v>1052</v>
      </c>
      <c r="L19" s="80">
        <v>1016</v>
      </c>
      <c r="M19" s="80">
        <v>1024</v>
      </c>
      <c r="N19" s="80">
        <v>1067</v>
      </c>
      <c r="O19" s="80">
        <v>1021</v>
      </c>
      <c r="P19" s="80">
        <v>1003</v>
      </c>
      <c r="Q19" s="80">
        <f>IF($T$7=$C$53,SUM(E19:P19),IF($E$6=$T$7,E19,IF($F$6=$T$7,F19,IF($G$6=$T$7,G19,IF($H$6=$T$7,H19,IF($I$6=$T$7,I19,IF($J$6=$T$7,J19,IF($K$6=$T$7,K19,IF($L$6=$T$7,L19,IF($M$6=$T$7,M19,IF($N$6=$T$7,N19,IF($O$6=$T$7,O19,P19))))))))))))</f>
        <v>991</v>
      </c>
      <c r="R19" s="81"/>
      <c r="S19" s="82">
        <f t="shared" si="0"/>
        <v>-6.509433962264155E-2</v>
      </c>
    </row>
    <row r="20" spans="2:19" ht="20.25" customHeight="1" thickBot="1" x14ac:dyDescent="0.4">
      <c r="B20" s="116"/>
      <c r="C20" s="84"/>
      <c r="D20" s="101" t="s">
        <v>225</v>
      </c>
      <c r="E20" s="94">
        <v>884</v>
      </c>
      <c r="F20" s="94">
        <v>867</v>
      </c>
      <c r="G20" s="94">
        <v>904</v>
      </c>
      <c r="H20" s="94">
        <v>1200</v>
      </c>
      <c r="I20" s="94">
        <v>977</v>
      </c>
      <c r="J20" s="94">
        <v>888</v>
      </c>
      <c r="K20" s="94">
        <v>901</v>
      </c>
      <c r="L20" s="94">
        <v>970</v>
      </c>
      <c r="M20" s="94">
        <v>830</v>
      </c>
      <c r="N20" s="94">
        <v>913</v>
      </c>
      <c r="O20" s="94">
        <v>802</v>
      </c>
      <c r="P20" s="94">
        <v>801</v>
      </c>
      <c r="Q20" s="94">
        <f>IF($T$7=$C$53,SUM(E20:P20),IF($E$6=$T$7,E20,IF($F$6=$T$7,F20,IF($G$6=$T$7,G20,IF($H$6=$T$7,H20,IF($I$6=$T$7,I20,IF($J$6=$T$7,J20,IF($K$6=$T$7,K20,IF($L$6=$T$7,L20,IF($M$6=$T$7,M20,IF($N$6=$T$7,N20,IF($O$6=$T$7,O20,P20))))))))))))</f>
        <v>867</v>
      </c>
      <c r="R20" s="87"/>
      <c r="S20" s="82">
        <f t="shared" si="0"/>
        <v>-1.9230769230769273E-2</v>
      </c>
    </row>
    <row r="21" spans="2:19" ht="20.25" customHeight="1" x14ac:dyDescent="0.35">
      <c r="B21" s="116"/>
      <c r="C21" s="84"/>
      <c r="D21" s="88" t="s">
        <v>226</v>
      </c>
      <c r="E21" s="97">
        <v>4718</v>
      </c>
      <c r="F21" s="97">
        <v>5111</v>
      </c>
      <c r="G21" s="97">
        <v>4888</v>
      </c>
      <c r="H21" s="97">
        <v>5200</v>
      </c>
      <c r="I21" s="97">
        <v>5222</v>
      </c>
      <c r="J21" s="97">
        <v>5288</v>
      </c>
      <c r="K21" s="97">
        <v>5311</v>
      </c>
      <c r="L21" s="97">
        <v>4999</v>
      </c>
      <c r="M21" s="97">
        <v>5388</v>
      </c>
      <c r="N21" s="97">
        <v>5488</v>
      </c>
      <c r="O21" s="97">
        <v>5500</v>
      </c>
      <c r="P21" s="97">
        <v>4999</v>
      </c>
      <c r="Q21" s="97">
        <f>IF($T$7=$C$53,SUM(E21:P21),IF($E$6=$T$7,E21,IF($F$6=$T$7,F21,IF($G$6=$T$7,G21,IF($H$6=$T$7,H21,IF($I$6=$T$7,I21,IF($J$6=$T$7,J21,IF($K$6=$T$7,K21,IF($L$6=$T$7,L21,IF($M$6=$T$7,M21,IF($N$6=$T$7,N21,IF($O$6=$T$7,O21,P21))))))))))))</f>
        <v>5111</v>
      </c>
      <c r="R21" s="81"/>
      <c r="S21" s="82">
        <f t="shared" si="0"/>
        <v>8.3298007630351778E-2</v>
      </c>
    </row>
    <row r="22" spans="2:19" ht="20.25" customHeight="1" x14ac:dyDescent="0.35">
      <c r="B22" s="116"/>
      <c r="C22" s="78"/>
      <c r="D22" s="79" t="s">
        <v>227</v>
      </c>
      <c r="E22" s="102">
        <f t="shared" ref="E22:P22" si="6">IFERROR(IF(E21="","",E7/E21),0)</f>
        <v>0.95400593471810091</v>
      </c>
      <c r="F22" s="102">
        <f t="shared" si="6"/>
        <v>0.93915085110545882</v>
      </c>
      <c r="G22" s="102">
        <f t="shared" si="6"/>
        <v>0.87970540098199668</v>
      </c>
      <c r="H22" s="102">
        <f t="shared" si="6"/>
        <v>0.98076923076923073</v>
      </c>
      <c r="I22" s="102">
        <f t="shared" si="6"/>
        <v>0.91918805055534281</v>
      </c>
      <c r="J22" s="102">
        <f t="shared" si="6"/>
        <v>0.98335854765506803</v>
      </c>
      <c r="K22" s="102">
        <f t="shared" si="6"/>
        <v>0.96027113537940123</v>
      </c>
      <c r="L22" s="102">
        <f t="shared" si="6"/>
        <v>0.82016403280656136</v>
      </c>
      <c r="M22" s="102">
        <f t="shared" si="6"/>
        <v>0.96510764662212323</v>
      </c>
      <c r="N22" s="102">
        <f t="shared" si="6"/>
        <v>0.94460641399416911</v>
      </c>
      <c r="O22" s="102">
        <f t="shared" si="6"/>
        <v>0.87272727272727268</v>
      </c>
      <c r="P22" s="102">
        <f t="shared" si="6"/>
        <v>0.92518503700740151</v>
      </c>
      <c r="Q22" s="102">
        <f>IFERROR(IF(Q21="","",Q7/Q21),0)</f>
        <v>0.93915085110545882</v>
      </c>
      <c r="R22" s="103"/>
      <c r="S22" s="82">
        <f t="shared" si="0"/>
        <v>-1.5571269603298243E-2</v>
      </c>
    </row>
    <row r="23" spans="2:19" ht="20.25" customHeight="1" x14ac:dyDescent="0.35">
      <c r="B23" s="116"/>
      <c r="C23" s="84"/>
      <c r="D23" s="79" t="s">
        <v>228</v>
      </c>
      <c r="E23" s="86">
        <v>3662</v>
      </c>
      <c r="F23" s="86">
        <v>3674</v>
      </c>
      <c r="G23" s="86">
        <v>3568</v>
      </c>
      <c r="H23" s="86">
        <v>3650</v>
      </c>
      <c r="I23" s="86">
        <v>3568</v>
      </c>
      <c r="J23" s="86">
        <v>3595</v>
      </c>
      <c r="K23" s="86">
        <v>3515</v>
      </c>
      <c r="L23" s="86">
        <v>3561</v>
      </c>
      <c r="M23" s="86">
        <v>3558</v>
      </c>
      <c r="N23" s="86">
        <v>3530</v>
      </c>
      <c r="O23" s="86">
        <v>3592</v>
      </c>
      <c r="P23" s="86">
        <v>3556</v>
      </c>
      <c r="Q23" s="86">
        <f>IF($T$7=$C$53,SUM(E23:P23),IF($E$6=$T$7,E23,IF($F$6=$T$7,F23,IF($G$6=$T$7,G23,IF($H$6=$T$7,H23,IF($I$6=$T$7,I23,IF($J$6=$T$7,J23,IF($K$6=$T$7,K23,IF($L$6=$T$7,L23,IF($M$6=$T$7,M23,IF($N$6=$T$7,N23,IF($O$6=$T$7,O23,P23))))))))))))</f>
        <v>3674</v>
      </c>
      <c r="R23" s="87"/>
      <c r="S23" s="82">
        <f t="shared" si="0"/>
        <v>3.2768978700163931E-3</v>
      </c>
    </row>
    <row r="24" spans="2:19" ht="20.25" customHeight="1" x14ac:dyDescent="0.35">
      <c r="B24" s="116"/>
      <c r="C24" s="78"/>
      <c r="D24" s="79" t="s">
        <v>229</v>
      </c>
      <c r="E24" s="102">
        <f t="shared" ref="E24:P24" si="7">IFERROR(IF(E23="","",E15/E23),0)</f>
        <v>0.81949754232659744</v>
      </c>
      <c r="F24" s="102">
        <f t="shared" si="7"/>
        <v>0.83260751224823082</v>
      </c>
      <c r="G24" s="102">
        <f t="shared" si="7"/>
        <v>0.85201793721973096</v>
      </c>
      <c r="H24" s="102">
        <f t="shared" si="7"/>
        <v>0.81479452054794521</v>
      </c>
      <c r="I24" s="102">
        <f t="shared" si="7"/>
        <v>0.83492152466367708</v>
      </c>
      <c r="J24" s="102">
        <f t="shared" si="7"/>
        <v>0.83254520166898471</v>
      </c>
      <c r="K24" s="102">
        <f t="shared" si="7"/>
        <v>0.85917496443812236</v>
      </c>
      <c r="L24" s="102">
        <f t="shared" si="7"/>
        <v>0.8668913226621735</v>
      </c>
      <c r="M24" s="102">
        <f t="shared" si="7"/>
        <v>0.91736930860033727</v>
      </c>
      <c r="N24" s="102">
        <f t="shared" si="7"/>
        <v>0.83257790368271956</v>
      </c>
      <c r="O24" s="102">
        <f t="shared" si="7"/>
        <v>0.7778396436525612</v>
      </c>
      <c r="P24" s="102">
        <f t="shared" si="7"/>
        <v>0.75028121484814403</v>
      </c>
      <c r="Q24" s="102">
        <f>IFERROR(IF(Q23="","",Q15/Q23),0)</f>
        <v>0.83260751224823082</v>
      </c>
      <c r="R24" s="103"/>
      <c r="S24" s="82">
        <f t="shared" si="0"/>
        <v>1.5997570760753588E-2</v>
      </c>
    </row>
    <row r="25" spans="2:19" ht="20.25" customHeight="1" x14ac:dyDescent="0.35">
      <c r="B25" s="77"/>
      <c r="C25" s="78"/>
      <c r="D25" s="104"/>
      <c r="E25" s="105"/>
      <c r="F25" s="105"/>
      <c r="G25" s="105"/>
      <c r="H25" s="105"/>
      <c r="I25" s="105"/>
      <c r="J25" s="105"/>
      <c r="K25" s="105"/>
      <c r="L25" s="105"/>
      <c r="M25" s="105"/>
      <c r="N25" s="105"/>
      <c r="O25" s="105"/>
      <c r="P25" s="105"/>
      <c r="Q25" s="105"/>
      <c r="R25" s="105"/>
      <c r="S25" s="106"/>
    </row>
    <row r="26" spans="2:19" ht="20.25" customHeight="1" x14ac:dyDescent="0.35">
      <c r="B26" s="77"/>
      <c r="C26" s="78"/>
      <c r="D26" s="104"/>
      <c r="E26" s="105"/>
      <c r="F26" s="105"/>
      <c r="G26" s="105"/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6"/>
    </row>
    <row r="27" spans="2:19" ht="20.25" customHeight="1" x14ac:dyDescent="0.35">
      <c r="B27" s="77"/>
      <c r="C27" s="78"/>
      <c r="D27" s="104"/>
      <c r="E27" s="105"/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5"/>
      <c r="Q27" s="105"/>
      <c r="R27" s="105"/>
      <c r="S27" s="106"/>
    </row>
    <row r="28" spans="2:19" ht="20.25" customHeight="1" x14ac:dyDescent="0.35">
      <c r="B28" s="77"/>
      <c r="C28" s="78"/>
      <c r="D28" s="104"/>
      <c r="E28" s="105"/>
      <c r="F28" s="105"/>
      <c r="G28" s="105"/>
      <c r="H28" s="105"/>
      <c r="I28" s="105"/>
      <c r="J28" s="105"/>
      <c r="K28" s="105"/>
      <c r="L28" s="105"/>
      <c r="M28" s="105"/>
      <c r="N28" s="105"/>
      <c r="O28" s="105"/>
      <c r="P28" s="105"/>
      <c r="Q28" s="105"/>
      <c r="R28" s="105"/>
      <c r="S28" s="106"/>
    </row>
    <row r="29" spans="2:19" ht="20.25" customHeight="1" x14ac:dyDescent="0.35">
      <c r="B29" s="77"/>
      <c r="C29" s="78"/>
      <c r="D29" s="104"/>
      <c r="E29" s="105"/>
      <c r="F29" s="105"/>
      <c r="G29" s="105"/>
      <c r="H29" s="105"/>
      <c r="I29" s="105"/>
      <c r="J29" s="105"/>
      <c r="K29" s="105"/>
      <c r="L29" s="105"/>
      <c r="M29" s="105"/>
      <c r="N29" s="105"/>
      <c r="O29" s="105"/>
      <c r="P29" s="105"/>
      <c r="Q29" s="105"/>
      <c r="R29" s="105"/>
      <c r="S29" s="106"/>
    </row>
    <row r="30" spans="2:19" ht="20.25" customHeight="1" x14ac:dyDescent="0.35">
      <c r="B30" s="77"/>
      <c r="C30" s="78"/>
      <c r="D30" s="104"/>
      <c r="E30" s="105"/>
      <c r="F30" s="105"/>
      <c r="G30" s="105"/>
      <c r="H30" s="105"/>
      <c r="I30" s="105"/>
      <c r="J30" s="105"/>
      <c r="K30" s="105"/>
      <c r="L30" s="105"/>
      <c r="M30" s="105"/>
      <c r="N30" s="105"/>
      <c r="O30" s="105"/>
      <c r="P30" s="105"/>
      <c r="Q30" s="105"/>
      <c r="R30" s="105"/>
      <c r="S30" s="106"/>
    </row>
    <row r="31" spans="2:19" ht="24" customHeight="1" x14ac:dyDescent="0.35"/>
    <row r="32" spans="2:19" ht="24" customHeight="1" x14ac:dyDescent="0.35">
      <c r="D32" s="117" t="s">
        <v>230</v>
      </c>
      <c r="E32" s="118"/>
      <c r="F32" s="107">
        <v>0.14000000000000001</v>
      </c>
    </row>
    <row r="33" spans="3:21" ht="24" customHeight="1" x14ac:dyDescent="0.35">
      <c r="Q33" s="61"/>
      <c r="R33" s="64"/>
      <c r="U33" s="62"/>
    </row>
    <row r="37" spans="3:21" x14ac:dyDescent="0.35">
      <c r="C37" s="114" t="str">
        <f>D15</f>
        <v>Expenses</v>
      </c>
      <c r="D37" s="114"/>
      <c r="E37" s="108"/>
      <c r="F37" s="108"/>
      <c r="G37" s="108">
        <f t="shared" ref="G37:Q37" si="8">-G15</f>
        <v>-3040</v>
      </c>
      <c r="H37" s="108">
        <f t="shared" si="8"/>
        <v>-2974</v>
      </c>
      <c r="I37" s="108">
        <f t="shared" si="8"/>
        <v>-2979</v>
      </c>
      <c r="J37" s="108">
        <f t="shared" si="8"/>
        <v>-2993</v>
      </c>
      <c r="K37" s="108">
        <f t="shared" si="8"/>
        <v>-3020</v>
      </c>
      <c r="L37" s="108">
        <f t="shared" si="8"/>
        <v>-3087</v>
      </c>
      <c r="M37" s="108">
        <f t="shared" si="8"/>
        <v>-3264</v>
      </c>
      <c r="N37" s="108">
        <f t="shared" si="8"/>
        <v>-2939</v>
      </c>
      <c r="O37" s="108">
        <f t="shared" si="8"/>
        <v>-2794</v>
      </c>
      <c r="P37" s="108">
        <f t="shared" si="8"/>
        <v>-2668</v>
      </c>
      <c r="Q37" s="108">
        <f t="shared" si="8"/>
        <v>-3059</v>
      </c>
      <c r="R37" s="109"/>
    </row>
    <row r="40" spans="3:21" x14ac:dyDescent="0.35">
      <c r="C40" s="110" t="s">
        <v>231</v>
      </c>
    </row>
    <row r="41" spans="3:21" x14ac:dyDescent="0.35">
      <c r="C41" s="111" t="s">
        <v>199</v>
      </c>
    </row>
    <row r="42" spans="3:21" x14ac:dyDescent="0.35">
      <c r="C42" s="111" t="s">
        <v>200</v>
      </c>
    </row>
    <row r="43" spans="3:21" x14ac:dyDescent="0.35">
      <c r="C43" s="111" t="s">
        <v>201</v>
      </c>
    </row>
    <row r="44" spans="3:21" x14ac:dyDescent="0.35">
      <c r="C44" s="111" t="s">
        <v>202</v>
      </c>
    </row>
    <row r="45" spans="3:21" x14ac:dyDescent="0.35">
      <c r="C45" s="111" t="s">
        <v>203</v>
      </c>
    </row>
    <row r="46" spans="3:21" x14ac:dyDescent="0.35">
      <c r="C46" s="111" t="s">
        <v>204</v>
      </c>
    </row>
    <row r="47" spans="3:21" x14ac:dyDescent="0.35">
      <c r="C47" s="111" t="s">
        <v>205</v>
      </c>
    </row>
    <row r="48" spans="3:21" x14ac:dyDescent="0.35">
      <c r="C48" s="111" t="s">
        <v>206</v>
      </c>
    </row>
    <row r="49" spans="3:3" x14ac:dyDescent="0.35">
      <c r="C49" s="111" t="s">
        <v>207</v>
      </c>
    </row>
    <row r="50" spans="3:3" x14ac:dyDescent="0.35">
      <c r="C50" s="111" t="s">
        <v>208</v>
      </c>
    </row>
    <row r="51" spans="3:3" x14ac:dyDescent="0.35">
      <c r="C51" s="111" t="s">
        <v>209</v>
      </c>
    </row>
    <row r="52" spans="3:3" x14ac:dyDescent="0.35">
      <c r="C52" s="111" t="s">
        <v>210</v>
      </c>
    </row>
    <row r="53" spans="3:3" x14ac:dyDescent="0.35">
      <c r="C53" s="111" t="s">
        <v>232</v>
      </c>
    </row>
  </sheetData>
  <mergeCells count="6">
    <mergeCell ref="C37:D37"/>
    <mergeCell ref="B1:S1"/>
    <mergeCell ref="B7:B15"/>
    <mergeCell ref="B16:B20"/>
    <mergeCell ref="B21:B24"/>
    <mergeCell ref="D32:E3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1A1EA-024A-4660-B0FC-D0D4288301ED}">
  <sheetPr>
    <tabColor rgb="FF0275D8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topLeftCell="A6" zoomScale="150" zoomScaleNormal="150" zoomScalePageLayoutView="150" workbookViewId="0">
      <selection activeCell="B16" sqref="B16"/>
    </sheetView>
  </sheetViews>
  <sheetFormatPr defaultColWidth="8.81640625" defaultRowHeight="14.5" x14ac:dyDescent="0.35"/>
  <cols>
    <col min="1" max="1" width="8.81640625" style="2"/>
    <col min="2" max="2" width="10.453125" customWidth="1"/>
    <col min="3" max="3" width="13.36328125" style="20" customWidth="1"/>
    <col min="6" max="6" width="6.81640625" customWidth="1"/>
  </cols>
  <sheetData>
    <row r="1" spans="1:7" ht="21" x14ac:dyDescent="0.5">
      <c r="A1" s="19" t="s">
        <v>56</v>
      </c>
    </row>
    <row r="3" spans="1:7" x14ac:dyDescent="0.35">
      <c r="A3" s="2" t="s">
        <v>48</v>
      </c>
    </row>
    <row r="4" spans="1:7" x14ac:dyDescent="0.35">
      <c r="B4" t="s">
        <v>90</v>
      </c>
    </row>
    <row r="5" spans="1:7" x14ac:dyDescent="0.35">
      <c r="B5" t="s">
        <v>49</v>
      </c>
    </row>
    <row r="7" spans="1:7" x14ac:dyDescent="0.35">
      <c r="A7" s="2" t="s">
        <v>50</v>
      </c>
    </row>
    <row r="8" spans="1:7" x14ac:dyDescent="0.35">
      <c r="B8" t="s">
        <v>51</v>
      </c>
      <c r="C8" s="21" t="s">
        <v>91</v>
      </c>
    </row>
    <row r="10" spans="1:7" x14ac:dyDescent="0.35">
      <c r="A10" s="2" t="s">
        <v>52</v>
      </c>
    </row>
    <row r="11" spans="1:7" x14ac:dyDescent="0.35">
      <c r="B11" t="s">
        <v>53</v>
      </c>
    </row>
    <row r="14" spans="1:7" x14ac:dyDescent="0.35">
      <c r="A14" s="2" t="s">
        <v>54</v>
      </c>
    </row>
    <row r="15" spans="1:7" x14ac:dyDescent="0.35">
      <c r="B15" t="s">
        <v>55</v>
      </c>
    </row>
    <row r="16" spans="1:7" x14ac:dyDescent="0.35">
      <c r="B16" t="s">
        <v>92</v>
      </c>
      <c r="G16" s="22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99" zoomScaleNormal="99" zoomScalePageLayoutView="120" workbookViewId="0">
      <pane xSplit="1" ySplit="1" topLeftCell="B2" activePane="bottomRight" state="frozen"/>
      <selection activeCell="C4" sqref="C4"/>
      <selection pane="topRight" activeCell="C4" sqref="C4"/>
      <selection pane="bottomLeft" activeCell="C4" sqref="C4"/>
      <selection pane="bottomRight" activeCell="B1" sqref="B1"/>
    </sheetView>
  </sheetViews>
  <sheetFormatPr defaultColWidth="8.81640625" defaultRowHeight="14.5" x14ac:dyDescent="0.35"/>
  <cols>
    <col min="1" max="1" width="27.6328125" style="4" bestFit="1" customWidth="1"/>
    <col min="2" max="11" width="13.453125" style="4" bestFit="1" customWidth="1"/>
    <col min="12" max="16384" width="8.81640625" style="4"/>
  </cols>
  <sheetData>
    <row r="1" spans="1:11" s="1" customFormat="1" x14ac:dyDescent="0.35">
      <c r="A1" s="1" t="s">
        <v>0</v>
      </c>
      <c r="B1" s="1" t="s">
        <v>63</v>
      </c>
      <c r="E1" s="119" t="str">
        <f>IF(B2&lt;&gt;B3, "A NEW VERSION OF THE WORKSHEET IS AVAILABLE", "")</f>
        <v/>
      </c>
      <c r="F1" s="119"/>
      <c r="G1" s="119"/>
      <c r="H1" s="119"/>
      <c r="I1" s="119"/>
      <c r="J1" s="119"/>
      <c r="K1" s="119"/>
    </row>
    <row r="2" spans="1:11" x14ac:dyDescent="0.35">
      <c r="A2" s="1" t="s">
        <v>61</v>
      </c>
      <c r="B2" s="4">
        <v>2.1</v>
      </c>
      <c r="E2" s="120" t="s">
        <v>36</v>
      </c>
      <c r="F2" s="120"/>
      <c r="G2" s="120"/>
      <c r="H2" s="120"/>
      <c r="I2" s="120"/>
      <c r="J2" s="120"/>
      <c r="K2" s="120"/>
    </row>
    <row r="3" spans="1:11" x14ac:dyDescent="0.35">
      <c r="A3" s="1" t="s">
        <v>62</v>
      </c>
      <c r="B3" s="4">
        <v>2.1</v>
      </c>
    </row>
    <row r="4" spans="1:11" x14ac:dyDescent="0.35">
      <c r="A4" s="1"/>
    </row>
    <row r="5" spans="1:11" x14ac:dyDescent="0.35">
      <c r="A5" s="1" t="s">
        <v>64</v>
      </c>
    </row>
    <row r="6" spans="1:11" x14ac:dyDescent="0.35">
      <c r="A6" s="4" t="s">
        <v>42</v>
      </c>
      <c r="B6" s="4">
        <f>IF(B9&gt;0, B9/B8, 0)</f>
        <v>368.11248477075986</v>
      </c>
    </row>
    <row r="7" spans="1:11" x14ac:dyDescent="0.35">
      <c r="A7" s="4" t="s">
        <v>31</v>
      </c>
      <c r="B7">
        <v>2</v>
      </c>
    </row>
    <row r="8" spans="1:11" x14ac:dyDescent="0.35">
      <c r="A8" s="4" t="s">
        <v>43</v>
      </c>
      <c r="B8">
        <v>779.75</v>
      </c>
    </row>
    <row r="9" spans="1:11" x14ac:dyDescent="0.35">
      <c r="A9" s="4" t="s">
        <v>79</v>
      </c>
      <c r="B9">
        <v>287035.71000000002</v>
      </c>
    </row>
    <row r="15" spans="1:11" x14ac:dyDescent="0.35">
      <c r="A15" s="1" t="s">
        <v>37</v>
      </c>
    </row>
    <row r="16" spans="1:11" s="18" customFormat="1" x14ac:dyDescent="0.35">
      <c r="A16" s="17" t="s">
        <v>38</v>
      </c>
      <c r="B16" s="12">
        <v>42094</v>
      </c>
      <c r="C16" s="12">
        <v>42460</v>
      </c>
      <c r="D16" s="12">
        <v>42825</v>
      </c>
      <c r="E16" s="12">
        <v>43190</v>
      </c>
      <c r="F16" s="12">
        <v>43555</v>
      </c>
      <c r="G16" s="12">
        <v>43921</v>
      </c>
      <c r="H16" s="12">
        <v>44286</v>
      </c>
      <c r="I16" s="12">
        <v>44651</v>
      </c>
      <c r="J16" s="12">
        <v>45016</v>
      </c>
      <c r="K16" s="12">
        <v>45382</v>
      </c>
    </row>
    <row r="17" spans="1:11" s="6" customFormat="1" x14ac:dyDescent="0.35">
      <c r="A17" s="6" t="s">
        <v>6</v>
      </c>
      <c r="B17">
        <v>263158.98</v>
      </c>
      <c r="C17">
        <v>273045.59999999998</v>
      </c>
      <c r="D17">
        <v>269692.51</v>
      </c>
      <c r="E17">
        <v>291550.48</v>
      </c>
      <c r="F17">
        <v>301938.40000000002</v>
      </c>
      <c r="G17">
        <v>261067.97</v>
      </c>
      <c r="H17">
        <v>249794.75</v>
      </c>
      <c r="I17">
        <v>278453.62</v>
      </c>
      <c r="J17">
        <v>345966.97</v>
      </c>
      <c r="K17">
        <v>437927.77</v>
      </c>
    </row>
    <row r="18" spans="1:11" s="6" customFormat="1" x14ac:dyDescent="0.35">
      <c r="A18" s="4" t="s">
        <v>80</v>
      </c>
      <c r="B18">
        <v>163250.35999999999</v>
      </c>
      <c r="C18">
        <v>166134.01</v>
      </c>
      <c r="D18">
        <v>173294.07999999999</v>
      </c>
      <c r="E18">
        <v>187896.58</v>
      </c>
      <c r="F18">
        <v>194267.91</v>
      </c>
      <c r="G18">
        <v>164899.82</v>
      </c>
      <c r="H18">
        <v>153607.35999999999</v>
      </c>
      <c r="I18">
        <v>179295.33</v>
      </c>
      <c r="J18">
        <v>231251.26</v>
      </c>
      <c r="K18">
        <v>274321.23</v>
      </c>
    </row>
    <row r="19" spans="1:11" s="6" customFormat="1" x14ac:dyDescent="0.35">
      <c r="A19" s="4" t="s">
        <v>81</v>
      </c>
      <c r="B19">
        <v>3330.35</v>
      </c>
      <c r="C19">
        <v>2750.99</v>
      </c>
      <c r="D19">
        <v>7399.92</v>
      </c>
      <c r="E19">
        <v>2046.58</v>
      </c>
      <c r="F19">
        <v>-2053.2800000000002</v>
      </c>
      <c r="G19">
        <v>-2231.19</v>
      </c>
      <c r="H19">
        <v>-4684.16</v>
      </c>
      <c r="I19">
        <v>-1590.49</v>
      </c>
      <c r="J19">
        <v>4781.62</v>
      </c>
      <c r="K19">
        <v>1565.53</v>
      </c>
    </row>
    <row r="20" spans="1:11" s="6" customFormat="1" x14ac:dyDescent="0.35">
      <c r="A20" s="4" t="s">
        <v>82</v>
      </c>
      <c r="B20">
        <v>1121.75</v>
      </c>
      <c r="C20">
        <v>1143.6300000000001</v>
      </c>
      <c r="D20">
        <v>1159.82</v>
      </c>
      <c r="E20">
        <v>1308.08</v>
      </c>
      <c r="F20">
        <v>1585.93</v>
      </c>
      <c r="G20">
        <v>1264.95</v>
      </c>
      <c r="H20">
        <v>1112.8699999999999</v>
      </c>
      <c r="I20">
        <v>2178.29</v>
      </c>
      <c r="J20">
        <v>2513.33</v>
      </c>
      <c r="K20">
        <v>2195.12</v>
      </c>
    </row>
    <row r="21" spans="1:11" s="6" customFormat="1" x14ac:dyDescent="0.35">
      <c r="A21" s="4" t="s">
        <v>83</v>
      </c>
      <c r="B21">
        <v>16173.17</v>
      </c>
      <c r="C21">
        <v>12101.53</v>
      </c>
      <c r="D21">
        <v>10067.370000000001</v>
      </c>
      <c r="E21">
        <v>10971.66</v>
      </c>
      <c r="F21">
        <v>11694.54</v>
      </c>
      <c r="G21">
        <v>11541.51</v>
      </c>
      <c r="H21">
        <v>8273.17</v>
      </c>
      <c r="I21">
        <v>9427.3799999999992</v>
      </c>
      <c r="J21">
        <v>11765.97</v>
      </c>
      <c r="K21">
        <v>17114.330000000002</v>
      </c>
    </row>
    <row r="22" spans="1:11" s="6" customFormat="1" x14ac:dyDescent="0.35">
      <c r="A22" s="4" t="s">
        <v>84</v>
      </c>
      <c r="B22">
        <v>25641.95</v>
      </c>
      <c r="C22">
        <v>28880.89</v>
      </c>
      <c r="D22">
        <v>28332.89</v>
      </c>
      <c r="E22">
        <v>30300.09</v>
      </c>
      <c r="F22">
        <v>33243.870000000003</v>
      </c>
      <c r="G22">
        <v>30438.6</v>
      </c>
      <c r="H22">
        <v>27648.48</v>
      </c>
      <c r="I22">
        <v>30808.52</v>
      </c>
      <c r="J22">
        <v>33654.699999999997</v>
      </c>
      <c r="K22">
        <v>42486.64</v>
      </c>
    </row>
    <row r="23" spans="1:11" s="6" customFormat="1" x14ac:dyDescent="0.35">
      <c r="A23" s="4" t="s">
        <v>85</v>
      </c>
      <c r="B23">
        <v>23603.01</v>
      </c>
      <c r="C23">
        <v>21991.9</v>
      </c>
      <c r="D23">
        <v>30039.38</v>
      </c>
      <c r="E23">
        <v>31004.58</v>
      </c>
      <c r="F23">
        <v>32719.8</v>
      </c>
      <c r="G23">
        <v>29248.32</v>
      </c>
      <c r="H23">
        <v>23015.79</v>
      </c>
      <c r="I23">
        <v>29205.4</v>
      </c>
      <c r="J23">
        <v>34839.19</v>
      </c>
      <c r="K23">
        <v>42765.33</v>
      </c>
    </row>
    <row r="24" spans="1:11" s="6" customFormat="1" x14ac:dyDescent="0.35">
      <c r="A24" s="4" t="s">
        <v>86</v>
      </c>
      <c r="B24">
        <v>-2539.56</v>
      </c>
      <c r="C24">
        <v>7149.38</v>
      </c>
      <c r="D24">
        <v>4610.2</v>
      </c>
      <c r="E24">
        <v>658.39</v>
      </c>
      <c r="F24">
        <v>1708.74</v>
      </c>
      <c r="G24">
        <v>3456.51</v>
      </c>
      <c r="H24">
        <v>-834.51</v>
      </c>
      <c r="I24">
        <v>1228.1199999999999</v>
      </c>
      <c r="J24">
        <v>4908.34</v>
      </c>
      <c r="K24">
        <v>1072.31</v>
      </c>
    </row>
    <row r="25" spans="1:11" s="6" customFormat="1" x14ac:dyDescent="0.35">
      <c r="A25" s="6" t="s">
        <v>9</v>
      </c>
      <c r="B25">
        <v>714.03</v>
      </c>
      <c r="C25">
        <v>-2669.62</v>
      </c>
      <c r="D25">
        <v>1869.1</v>
      </c>
      <c r="E25">
        <v>5932.73</v>
      </c>
      <c r="F25">
        <v>-26686.25</v>
      </c>
      <c r="G25">
        <v>101.71</v>
      </c>
      <c r="H25">
        <v>-11117.83</v>
      </c>
      <c r="I25">
        <v>2424.0500000000002</v>
      </c>
      <c r="J25">
        <v>6663.97</v>
      </c>
      <c r="K25">
        <v>5672.66</v>
      </c>
    </row>
    <row r="26" spans="1:11" s="6" customFormat="1" x14ac:dyDescent="0.35">
      <c r="A26" s="6" t="s">
        <v>10</v>
      </c>
      <c r="B26">
        <v>13388.63</v>
      </c>
      <c r="C26">
        <v>16710.78</v>
      </c>
      <c r="D26">
        <v>17904.990000000002</v>
      </c>
      <c r="E26">
        <v>21553.59</v>
      </c>
      <c r="F26">
        <v>23590.63</v>
      </c>
      <c r="G26">
        <v>21425.43</v>
      </c>
      <c r="H26">
        <v>23546.71</v>
      </c>
      <c r="I26">
        <v>24835.69</v>
      </c>
      <c r="J26">
        <v>24860.36</v>
      </c>
      <c r="K26">
        <v>27270.13</v>
      </c>
    </row>
    <row r="27" spans="1:11" s="6" customFormat="1" x14ac:dyDescent="0.35">
      <c r="A27" s="6" t="s">
        <v>11</v>
      </c>
      <c r="B27">
        <v>4861.49</v>
      </c>
      <c r="C27">
        <v>4889.08</v>
      </c>
      <c r="D27">
        <v>4238.01</v>
      </c>
      <c r="E27">
        <v>4681.79</v>
      </c>
      <c r="F27">
        <v>5758.6</v>
      </c>
      <c r="G27">
        <v>7243.33</v>
      </c>
      <c r="H27">
        <v>8097.17</v>
      </c>
      <c r="I27">
        <v>9311.86</v>
      </c>
      <c r="J27">
        <v>10225.48</v>
      </c>
      <c r="K27">
        <v>9985.76</v>
      </c>
    </row>
    <row r="28" spans="1:11" s="6" customFormat="1" x14ac:dyDescent="0.35">
      <c r="A28" s="6" t="s">
        <v>12</v>
      </c>
      <c r="B28">
        <v>21702.560000000001</v>
      </c>
      <c r="C28">
        <v>14125.77</v>
      </c>
      <c r="D28">
        <v>9314.7900000000009</v>
      </c>
      <c r="E28">
        <v>11155.03</v>
      </c>
      <c r="F28">
        <v>-31371.15</v>
      </c>
      <c r="G28">
        <v>-10579.98</v>
      </c>
      <c r="H28">
        <v>-10474.280000000001</v>
      </c>
      <c r="I28">
        <v>-7003.41</v>
      </c>
      <c r="J28">
        <v>3393.93</v>
      </c>
      <c r="K28">
        <v>27955.11</v>
      </c>
    </row>
    <row r="29" spans="1:11" s="6" customFormat="1" x14ac:dyDescent="0.35">
      <c r="A29" s="6" t="s">
        <v>13</v>
      </c>
      <c r="B29">
        <v>7642.91</v>
      </c>
      <c r="C29">
        <v>3025.05</v>
      </c>
      <c r="D29">
        <v>3251.23</v>
      </c>
      <c r="E29">
        <v>4341.93</v>
      </c>
      <c r="F29">
        <v>-2437.4499999999998</v>
      </c>
      <c r="G29">
        <v>395.25</v>
      </c>
      <c r="H29">
        <v>2541.86</v>
      </c>
      <c r="I29">
        <v>4231.29</v>
      </c>
      <c r="J29">
        <v>704.06</v>
      </c>
      <c r="K29">
        <v>-3851.64</v>
      </c>
    </row>
    <row r="30" spans="1:11" s="6" customFormat="1" x14ac:dyDescent="0.35">
      <c r="A30" s="6" t="s">
        <v>14</v>
      </c>
      <c r="B30">
        <v>13986.29</v>
      </c>
      <c r="C30">
        <v>11579.31</v>
      </c>
      <c r="D30">
        <v>7454.36</v>
      </c>
      <c r="E30">
        <v>8988.91</v>
      </c>
      <c r="F30">
        <v>-28826.23</v>
      </c>
      <c r="G30">
        <v>-12070.85</v>
      </c>
      <c r="H30">
        <v>-13451.39</v>
      </c>
      <c r="I30">
        <v>-11441.47</v>
      </c>
      <c r="J30">
        <v>2414.29</v>
      </c>
      <c r="K30">
        <v>31399.09</v>
      </c>
    </row>
    <row r="31" spans="1:11" s="6" customFormat="1" x14ac:dyDescent="0.35">
      <c r="A31" s="6" t="s">
        <v>70</v>
      </c>
      <c r="C31">
        <v>67.92</v>
      </c>
      <c r="J31">
        <v>766.02</v>
      </c>
      <c r="K31">
        <v>2299.5</v>
      </c>
    </row>
    <row r="32" spans="1:11" s="6" customFormat="1" x14ac:dyDescent="0.35"/>
    <row r="33" spans="1:11" x14ac:dyDescent="0.35">
      <c r="A33" s="6"/>
    </row>
    <row r="34" spans="1:11" x14ac:dyDescent="0.35">
      <c r="A34" s="6" t="s">
        <v>105</v>
      </c>
      <c r="B34" s="4">
        <f>B26+B27+B29+B30</f>
        <v>39879.32</v>
      </c>
      <c r="C34" s="4">
        <f t="shared" ref="C34:K34" si="0">C26+C27+C29+C30</f>
        <v>36204.22</v>
      </c>
      <c r="D34" s="4">
        <f t="shared" si="0"/>
        <v>32848.589999999997</v>
      </c>
      <c r="E34" s="4">
        <f t="shared" si="0"/>
        <v>39566.22</v>
      </c>
      <c r="F34" s="4">
        <f t="shared" si="0"/>
        <v>-1914.4499999999971</v>
      </c>
      <c r="G34" s="4">
        <f t="shared" si="0"/>
        <v>16993.160000000003</v>
      </c>
      <c r="H34" s="4">
        <f t="shared" si="0"/>
        <v>20734.349999999999</v>
      </c>
      <c r="I34" s="4">
        <f t="shared" si="0"/>
        <v>26937.370000000003</v>
      </c>
      <c r="J34" s="4">
        <f t="shared" si="0"/>
        <v>38204.189999999995</v>
      </c>
      <c r="K34" s="4">
        <f t="shared" si="0"/>
        <v>64803.34</v>
      </c>
    </row>
    <row r="35" spans="1:11" x14ac:dyDescent="0.35">
      <c r="A35" s="6"/>
    </row>
    <row r="36" spans="1:11" x14ac:dyDescent="0.35">
      <c r="A36" s="6"/>
    </row>
    <row r="37" spans="1:11" x14ac:dyDescent="0.35">
      <c r="A37" s="6"/>
    </row>
    <row r="38" spans="1:11" x14ac:dyDescent="0.35">
      <c r="A38" s="6"/>
    </row>
    <row r="39" spans="1:11" x14ac:dyDescent="0.35">
      <c r="A39" s="6"/>
    </row>
    <row r="40" spans="1:11" x14ac:dyDescent="0.35">
      <c r="A40" s="1" t="s">
        <v>39</v>
      </c>
    </row>
    <row r="41" spans="1:11" s="18" customFormat="1" x14ac:dyDescent="0.35">
      <c r="A41" s="17" t="s">
        <v>38</v>
      </c>
      <c r="B41" s="12">
        <v>44742</v>
      </c>
      <c r="C41" s="12">
        <v>44834</v>
      </c>
      <c r="D41" s="12">
        <v>44926</v>
      </c>
      <c r="E41" s="12">
        <v>45016</v>
      </c>
      <c r="F41" s="12">
        <v>45107</v>
      </c>
      <c r="G41" s="12">
        <v>45199</v>
      </c>
      <c r="H41" s="12">
        <v>45291</v>
      </c>
      <c r="I41" s="12">
        <v>45382</v>
      </c>
      <c r="J41" s="12">
        <v>45473</v>
      </c>
      <c r="K41" s="12">
        <v>45565</v>
      </c>
    </row>
    <row r="42" spans="1:11" s="6" customFormat="1" x14ac:dyDescent="0.35">
      <c r="A42" s="6" t="s">
        <v>6</v>
      </c>
      <c r="B42">
        <v>71934.66</v>
      </c>
      <c r="C42">
        <v>79611.37</v>
      </c>
      <c r="D42">
        <v>88488.59</v>
      </c>
      <c r="E42">
        <v>105932.35</v>
      </c>
      <c r="F42">
        <v>102236</v>
      </c>
      <c r="G42">
        <v>105129</v>
      </c>
      <c r="H42">
        <v>110577.14</v>
      </c>
      <c r="I42">
        <v>119986</v>
      </c>
      <c r="J42">
        <v>108048</v>
      </c>
      <c r="K42">
        <v>101450</v>
      </c>
    </row>
    <row r="43" spans="1:11" s="6" customFormat="1" x14ac:dyDescent="0.35">
      <c r="A43" s="6" t="s">
        <v>7</v>
      </c>
      <c r="B43">
        <v>69521.929999999993</v>
      </c>
      <c r="C43">
        <v>74039.06</v>
      </c>
      <c r="D43">
        <v>77668.350000000006</v>
      </c>
      <c r="E43">
        <v>92817.95</v>
      </c>
      <c r="F43">
        <v>89019</v>
      </c>
      <c r="G43">
        <v>91362</v>
      </c>
      <c r="H43">
        <v>95158.77</v>
      </c>
      <c r="I43">
        <v>102851</v>
      </c>
      <c r="J43">
        <v>92263</v>
      </c>
      <c r="K43">
        <v>89291</v>
      </c>
    </row>
    <row r="44" spans="1:11" s="6" customFormat="1" x14ac:dyDescent="0.35">
      <c r="A44" s="6" t="s">
        <v>9</v>
      </c>
      <c r="B44">
        <v>2380.98</v>
      </c>
      <c r="C44">
        <v>1351.14</v>
      </c>
      <c r="D44">
        <v>1129.98</v>
      </c>
      <c r="E44">
        <v>1452.86</v>
      </c>
      <c r="F44">
        <v>895</v>
      </c>
      <c r="G44">
        <v>1557</v>
      </c>
      <c r="H44">
        <v>1603.76</v>
      </c>
      <c r="I44">
        <v>1619</v>
      </c>
      <c r="J44">
        <v>1747</v>
      </c>
      <c r="K44">
        <v>1647</v>
      </c>
    </row>
    <row r="45" spans="1:11" s="6" customFormat="1" x14ac:dyDescent="0.35">
      <c r="A45" s="6" t="s">
        <v>10</v>
      </c>
      <c r="B45">
        <v>5841.04</v>
      </c>
      <c r="C45">
        <v>5897.34</v>
      </c>
      <c r="D45">
        <v>6071.78</v>
      </c>
      <c r="E45">
        <v>7050.2</v>
      </c>
      <c r="F45">
        <v>6633</v>
      </c>
      <c r="G45">
        <v>6637</v>
      </c>
      <c r="H45">
        <v>6850</v>
      </c>
      <c r="I45">
        <v>7151</v>
      </c>
      <c r="J45">
        <v>6574</v>
      </c>
      <c r="K45">
        <v>6005</v>
      </c>
    </row>
    <row r="46" spans="1:11" s="6" customFormat="1" x14ac:dyDescent="0.35">
      <c r="A46" s="6" t="s">
        <v>11</v>
      </c>
      <c r="B46">
        <v>2420.7199999999998</v>
      </c>
      <c r="C46">
        <v>2487.2600000000002</v>
      </c>
      <c r="D46">
        <v>2675.83</v>
      </c>
      <c r="E46">
        <v>2641.67</v>
      </c>
      <c r="F46">
        <v>2615</v>
      </c>
      <c r="G46">
        <v>2652</v>
      </c>
      <c r="H46">
        <v>2484.91</v>
      </c>
      <c r="I46">
        <v>2234</v>
      </c>
      <c r="J46">
        <v>2088</v>
      </c>
      <c r="K46">
        <v>2034</v>
      </c>
    </row>
    <row r="47" spans="1:11" s="6" customFormat="1" x14ac:dyDescent="0.35">
      <c r="A47" s="6" t="s">
        <v>12</v>
      </c>
      <c r="B47">
        <v>-3468.05</v>
      </c>
      <c r="C47">
        <v>-1461.15</v>
      </c>
      <c r="D47">
        <v>3202.61</v>
      </c>
      <c r="E47">
        <v>4875.3900000000003</v>
      </c>
      <c r="F47">
        <v>4864</v>
      </c>
      <c r="G47">
        <v>6035</v>
      </c>
      <c r="H47">
        <v>7687.22</v>
      </c>
      <c r="I47">
        <v>9369</v>
      </c>
      <c r="J47">
        <v>8870</v>
      </c>
      <c r="K47">
        <v>5767</v>
      </c>
    </row>
    <row r="48" spans="1:11" s="6" customFormat="1" x14ac:dyDescent="0.35">
      <c r="A48" s="6" t="s">
        <v>13</v>
      </c>
      <c r="B48">
        <v>1518.96</v>
      </c>
      <c r="C48">
        <v>-457.08</v>
      </c>
      <c r="D48">
        <v>262.83</v>
      </c>
      <c r="E48">
        <v>-620.65</v>
      </c>
      <c r="F48">
        <v>1563</v>
      </c>
      <c r="G48">
        <v>2203</v>
      </c>
      <c r="H48">
        <v>541.79</v>
      </c>
      <c r="I48">
        <v>-8160</v>
      </c>
      <c r="J48">
        <v>3178</v>
      </c>
      <c r="K48">
        <v>2317</v>
      </c>
    </row>
    <row r="49" spans="1:11" s="6" customFormat="1" x14ac:dyDescent="0.35">
      <c r="A49" s="6" t="s">
        <v>14</v>
      </c>
      <c r="B49">
        <v>-5006.6000000000004</v>
      </c>
      <c r="C49">
        <v>-944.61</v>
      </c>
      <c r="D49">
        <v>2957.71</v>
      </c>
      <c r="E49">
        <v>5407.79</v>
      </c>
      <c r="F49">
        <v>3203</v>
      </c>
      <c r="G49">
        <v>3764</v>
      </c>
      <c r="H49">
        <v>7025.11</v>
      </c>
      <c r="I49">
        <v>17407</v>
      </c>
      <c r="J49">
        <v>5566</v>
      </c>
      <c r="K49">
        <v>3343</v>
      </c>
    </row>
    <row r="50" spans="1:11" x14ac:dyDescent="0.35">
      <c r="A50" s="6" t="s">
        <v>8</v>
      </c>
      <c r="B50">
        <v>2412.73</v>
      </c>
      <c r="C50">
        <v>5572.31</v>
      </c>
      <c r="D50">
        <v>10820.24</v>
      </c>
      <c r="E50">
        <v>13114.4</v>
      </c>
      <c r="F50">
        <v>13217</v>
      </c>
      <c r="G50">
        <v>13767</v>
      </c>
      <c r="H50">
        <v>15418.37</v>
      </c>
      <c r="I50">
        <v>17135</v>
      </c>
      <c r="J50">
        <v>15785</v>
      </c>
      <c r="K50">
        <v>12159</v>
      </c>
    </row>
    <row r="51" spans="1:11" x14ac:dyDescent="0.35">
      <c r="A51" s="6" t="s">
        <v>105</v>
      </c>
      <c r="B51" s="4">
        <f>B45+B46+B48+B49</f>
        <v>4774.1200000000008</v>
      </c>
      <c r="C51" s="4">
        <f t="shared" ref="C51:K51" si="1">C45+C46+C48+C49</f>
        <v>6982.9100000000008</v>
      </c>
      <c r="D51" s="4">
        <f t="shared" si="1"/>
        <v>11968.150000000001</v>
      </c>
      <c r="E51" s="4">
        <f t="shared" si="1"/>
        <v>14479.009999999998</v>
      </c>
      <c r="F51" s="4">
        <f t="shared" si="1"/>
        <v>14014</v>
      </c>
      <c r="G51" s="4">
        <f t="shared" si="1"/>
        <v>15256</v>
      </c>
      <c r="H51" s="4">
        <f t="shared" si="1"/>
        <v>16901.810000000001</v>
      </c>
      <c r="I51" s="4">
        <f t="shared" si="1"/>
        <v>18632</v>
      </c>
      <c r="J51" s="4">
        <f t="shared" si="1"/>
        <v>17406</v>
      </c>
      <c r="K51" s="4">
        <f t="shared" si="1"/>
        <v>13699</v>
      </c>
    </row>
    <row r="52" spans="1:11" x14ac:dyDescent="0.35">
      <c r="A52" s="6"/>
    </row>
    <row r="53" spans="1:11" x14ac:dyDescent="0.35">
      <c r="A53" s="6"/>
    </row>
    <row r="54" spans="1:11" x14ac:dyDescent="0.35">
      <c r="A54" s="6"/>
    </row>
    <row r="55" spans="1:11" x14ac:dyDescent="0.35">
      <c r="A55" s="1" t="s">
        <v>40</v>
      </c>
    </row>
    <row r="56" spans="1:11" s="18" customFormat="1" x14ac:dyDescent="0.35">
      <c r="A56" s="17" t="s">
        <v>38</v>
      </c>
      <c r="B56" s="12">
        <v>42094</v>
      </c>
      <c r="C56" s="12">
        <v>42460</v>
      </c>
      <c r="D56" s="12">
        <v>42825</v>
      </c>
      <c r="E56" s="12">
        <v>43190</v>
      </c>
      <c r="F56" s="12">
        <v>43555</v>
      </c>
      <c r="G56" s="12">
        <v>43921</v>
      </c>
      <c r="H56" s="12">
        <v>44286</v>
      </c>
      <c r="I56" s="12">
        <v>44651</v>
      </c>
      <c r="J56" s="12">
        <v>45016</v>
      </c>
      <c r="K56" s="12">
        <v>45382</v>
      </c>
    </row>
    <row r="57" spans="1:11" x14ac:dyDescent="0.35">
      <c r="A57" s="6" t="s">
        <v>24</v>
      </c>
      <c r="B57">
        <v>643.78</v>
      </c>
      <c r="C57">
        <v>679.18</v>
      </c>
      <c r="D57">
        <v>679.22</v>
      </c>
      <c r="E57">
        <v>679.22</v>
      </c>
      <c r="F57">
        <v>679.22</v>
      </c>
      <c r="G57">
        <v>719.54</v>
      </c>
      <c r="H57">
        <v>765.81</v>
      </c>
      <c r="I57">
        <v>765.88</v>
      </c>
      <c r="J57">
        <v>766.02</v>
      </c>
      <c r="K57">
        <v>766.5</v>
      </c>
    </row>
    <row r="58" spans="1:11" x14ac:dyDescent="0.35">
      <c r="A58" s="6" t="s">
        <v>25</v>
      </c>
      <c r="B58">
        <v>55618.14</v>
      </c>
      <c r="C58">
        <v>78273.23</v>
      </c>
      <c r="D58">
        <v>57382.67</v>
      </c>
      <c r="E58">
        <v>94748.69</v>
      </c>
      <c r="F58">
        <v>59500.34</v>
      </c>
      <c r="G58">
        <v>62358.99</v>
      </c>
      <c r="H58">
        <v>54480.91</v>
      </c>
      <c r="I58">
        <v>43795.360000000001</v>
      </c>
      <c r="J58">
        <v>44555.77</v>
      </c>
      <c r="K58">
        <v>84151.52</v>
      </c>
    </row>
    <row r="59" spans="1:11" x14ac:dyDescent="0.35">
      <c r="A59" s="6" t="s">
        <v>71</v>
      </c>
      <c r="B59">
        <v>73610.39</v>
      </c>
      <c r="C59">
        <v>69359.960000000006</v>
      </c>
      <c r="D59">
        <v>78603.98</v>
      </c>
      <c r="E59">
        <v>88950.47</v>
      </c>
      <c r="F59">
        <v>106175.34</v>
      </c>
      <c r="G59">
        <v>124787.64</v>
      </c>
      <c r="H59">
        <v>142130.57</v>
      </c>
      <c r="I59">
        <v>146449.03</v>
      </c>
      <c r="J59">
        <v>134113.44</v>
      </c>
      <c r="K59">
        <v>107262.5</v>
      </c>
    </row>
    <row r="60" spans="1:11" x14ac:dyDescent="0.35">
      <c r="A60" s="6" t="s">
        <v>72</v>
      </c>
      <c r="B60">
        <v>107442.48</v>
      </c>
      <c r="C60">
        <v>114871.75</v>
      </c>
      <c r="D60">
        <v>135914.49</v>
      </c>
      <c r="E60">
        <v>142813.43</v>
      </c>
      <c r="F60">
        <v>139348.59</v>
      </c>
      <c r="G60">
        <v>132313.22</v>
      </c>
      <c r="H60">
        <v>144192.62</v>
      </c>
      <c r="I60">
        <v>138051.22</v>
      </c>
      <c r="J60">
        <v>155239.20000000001</v>
      </c>
      <c r="K60">
        <v>177340.09</v>
      </c>
    </row>
    <row r="61" spans="1:11" s="1" customFormat="1" x14ac:dyDescent="0.35">
      <c r="A61" s="1" t="s">
        <v>26</v>
      </c>
      <c r="B61">
        <v>237314.79</v>
      </c>
      <c r="C61">
        <v>263184.12</v>
      </c>
      <c r="D61">
        <v>272580.36</v>
      </c>
      <c r="E61">
        <v>327191.81</v>
      </c>
      <c r="F61">
        <v>305703.49</v>
      </c>
      <c r="G61">
        <v>320179.39</v>
      </c>
      <c r="H61">
        <v>341569.91</v>
      </c>
      <c r="I61">
        <v>329061.49</v>
      </c>
      <c r="J61">
        <v>334674.43</v>
      </c>
      <c r="K61">
        <v>369520.61</v>
      </c>
    </row>
    <row r="62" spans="1:11" x14ac:dyDescent="0.35">
      <c r="A62" s="6" t="s">
        <v>27</v>
      </c>
      <c r="B62">
        <v>88479.49</v>
      </c>
      <c r="C62">
        <v>107231.76</v>
      </c>
      <c r="D62">
        <v>95944.08</v>
      </c>
      <c r="E62">
        <v>121413.86</v>
      </c>
      <c r="F62">
        <v>111234.47</v>
      </c>
      <c r="G62">
        <v>127107.14</v>
      </c>
      <c r="H62">
        <v>138707.60999999999</v>
      </c>
      <c r="I62">
        <v>138855.45000000001</v>
      </c>
      <c r="J62">
        <v>132079.76</v>
      </c>
      <c r="K62">
        <v>121285.46</v>
      </c>
    </row>
    <row r="63" spans="1:11" x14ac:dyDescent="0.35">
      <c r="A63" s="6" t="s">
        <v>28</v>
      </c>
      <c r="B63">
        <v>28640.09</v>
      </c>
      <c r="C63">
        <v>25918.94</v>
      </c>
      <c r="D63">
        <v>33698.839999999997</v>
      </c>
      <c r="E63">
        <v>40033.5</v>
      </c>
      <c r="F63">
        <v>31883.84</v>
      </c>
      <c r="G63">
        <v>35622.29</v>
      </c>
      <c r="H63">
        <v>20963.93</v>
      </c>
      <c r="I63">
        <v>10251.09</v>
      </c>
      <c r="J63">
        <v>14274.5</v>
      </c>
      <c r="K63">
        <v>35698.43</v>
      </c>
    </row>
    <row r="64" spans="1:11" x14ac:dyDescent="0.35">
      <c r="A64" s="6" t="s">
        <v>29</v>
      </c>
      <c r="B64">
        <v>15336.74</v>
      </c>
      <c r="C64">
        <v>23767.02</v>
      </c>
      <c r="D64">
        <v>20337.919999999998</v>
      </c>
      <c r="E64">
        <v>20812.75</v>
      </c>
      <c r="F64">
        <v>15770.72</v>
      </c>
      <c r="G64">
        <v>16308.48</v>
      </c>
      <c r="H64">
        <v>24620.28</v>
      </c>
      <c r="I64">
        <v>29379.53</v>
      </c>
      <c r="J64">
        <v>26379.16</v>
      </c>
      <c r="K64">
        <v>22971.07</v>
      </c>
    </row>
    <row r="65" spans="1:11" x14ac:dyDescent="0.35">
      <c r="A65" s="6" t="s">
        <v>73</v>
      </c>
      <c r="B65">
        <v>104858.47</v>
      </c>
      <c r="C65">
        <v>106266.4</v>
      </c>
      <c r="D65">
        <v>122599.52</v>
      </c>
      <c r="E65">
        <v>144931.70000000001</v>
      </c>
      <c r="F65">
        <v>146814.46</v>
      </c>
      <c r="G65">
        <v>141141.48000000001</v>
      </c>
      <c r="H65">
        <v>157278.09</v>
      </c>
      <c r="I65">
        <v>150575.42000000001</v>
      </c>
      <c r="J65">
        <v>161941.01</v>
      </c>
      <c r="K65">
        <v>189565.65</v>
      </c>
    </row>
    <row r="66" spans="1:11" s="1" customFormat="1" x14ac:dyDescent="0.35">
      <c r="A66" s="1" t="s">
        <v>26</v>
      </c>
      <c r="B66">
        <v>237314.79</v>
      </c>
      <c r="C66">
        <v>263184.12</v>
      </c>
      <c r="D66">
        <v>272580.36</v>
      </c>
      <c r="E66">
        <v>327191.81</v>
      </c>
      <c r="F66">
        <v>305703.49</v>
      </c>
      <c r="G66">
        <v>320179.39</v>
      </c>
      <c r="H66">
        <v>341569.91</v>
      </c>
      <c r="I66">
        <v>329061.49</v>
      </c>
      <c r="J66">
        <v>334674.43</v>
      </c>
      <c r="K66">
        <v>369520.61</v>
      </c>
    </row>
    <row r="67" spans="1:11" s="6" customFormat="1" x14ac:dyDescent="0.35">
      <c r="A67" s="6" t="s">
        <v>78</v>
      </c>
      <c r="B67">
        <v>12579.2</v>
      </c>
      <c r="C67">
        <v>13570.91</v>
      </c>
      <c r="D67">
        <v>14075.55</v>
      </c>
      <c r="E67">
        <v>19893.3</v>
      </c>
      <c r="F67">
        <v>18996.169999999998</v>
      </c>
      <c r="G67">
        <v>11172.69</v>
      </c>
      <c r="H67">
        <v>12679.08</v>
      </c>
      <c r="I67">
        <v>12442.12</v>
      </c>
      <c r="J67">
        <v>15737.97</v>
      </c>
      <c r="K67">
        <v>16951.810000000001</v>
      </c>
    </row>
    <row r="68" spans="1:11" x14ac:dyDescent="0.35">
      <c r="A68" s="6" t="s">
        <v>45</v>
      </c>
      <c r="B68">
        <v>29272.34</v>
      </c>
      <c r="C68">
        <v>32655.73</v>
      </c>
      <c r="D68">
        <v>35085.31</v>
      </c>
      <c r="E68">
        <v>42137.63</v>
      </c>
      <c r="F68">
        <v>39013.730000000003</v>
      </c>
      <c r="G68">
        <v>37456.879999999997</v>
      </c>
      <c r="H68">
        <v>36088.589999999997</v>
      </c>
      <c r="I68">
        <v>35240.339999999997</v>
      </c>
      <c r="J68">
        <v>40755.39</v>
      </c>
      <c r="K68">
        <v>47788.29</v>
      </c>
    </row>
    <row r="69" spans="1:11" x14ac:dyDescent="0.35">
      <c r="A69" s="4" t="s">
        <v>87</v>
      </c>
      <c r="B69">
        <v>32115.759999999998</v>
      </c>
      <c r="C69">
        <v>30460.400000000001</v>
      </c>
      <c r="D69">
        <v>36077.879999999997</v>
      </c>
      <c r="E69">
        <v>34613.910000000003</v>
      </c>
      <c r="F69">
        <v>32648.82</v>
      </c>
      <c r="G69">
        <v>33726.97</v>
      </c>
      <c r="H69">
        <v>46792.46</v>
      </c>
      <c r="I69">
        <v>40669.19</v>
      </c>
      <c r="J69">
        <v>37015.56</v>
      </c>
      <c r="K69">
        <v>45806.69</v>
      </c>
    </row>
    <row r="70" spans="1:11" x14ac:dyDescent="0.35">
      <c r="A70" s="4" t="s">
        <v>74</v>
      </c>
      <c r="B70">
        <v>3218930067</v>
      </c>
      <c r="C70">
        <v>3395930306</v>
      </c>
      <c r="D70">
        <v>3396100719</v>
      </c>
      <c r="E70">
        <v>3396100719</v>
      </c>
      <c r="F70">
        <v>3396100719</v>
      </c>
      <c r="G70">
        <v>3597726185</v>
      </c>
      <c r="H70">
        <v>3829060661</v>
      </c>
      <c r="I70">
        <v>3829414903</v>
      </c>
      <c r="J70">
        <v>3830097221</v>
      </c>
      <c r="K70">
        <v>3832491897</v>
      </c>
    </row>
    <row r="71" spans="1:11" x14ac:dyDescent="0.35">
      <c r="A71" s="4" t="s">
        <v>75</v>
      </c>
    </row>
    <row r="72" spans="1:11" x14ac:dyDescent="0.35">
      <c r="A72" s="4" t="s">
        <v>88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</row>
    <row r="74" spans="1:11" x14ac:dyDescent="0.35">
      <c r="A74" s="6"/>
    </row>
    <row r="75" spans="1:11" x14ac:dyDescent="0.35">
      <c r="A75" s="6"/>
    </row>
    <row r="76" spans="1:11" x14ac:dyDescent="0.35">
      <c r="A76" s="6"/>
    </row>
    <row r="77" spans="1:11" x14ac:dyDescent="0.35">
      <c r="A77" s="6"/>
    </row>
    <row r="78" spans="1:11" x14ac:dyDescent="0.35">
      <c r="A78" s="6"/>
    </row>
    <row r="79" spans="1:11" x14ac:dyDescent="0.35">
      <c r="A79" s="6"/>
    </row>
    <row r="80" spans="1:11" x14ac:dyDescent="0.35">
      <c r="A80" s="1" t="s">
        <v>41</v>
      </c>
    </row>
    <row r="81" spans="1:11" s="18" customFormat="1" x14ac:dyDescent="0.35">
      <c r="A81" s="17" t="s">
        <v>38</v>
      </c>
      <c r="B81" s="12">
        <v>42094</v>
      </c>
      <c r="C81" s="12">
        <v>42460</v>
      </c>
      <c r="D81" s="12">
        <v>42825</v>
      </c>
      <c r="E81" s="12">
        <v>43190</v>
      </c>
      <c r="F81" s="12">
        <v>43555</v>
      </c>
      <c r="G81" s="12">
        <v>43921</v>
      </c>
      <c r="H81" s="12">
        <v>44286</v>
      </c>
      <c r="I81" s="12">
        <v>44651</v>
      </c>
      <c r="J81" s="12">
        <v>45016</v>
      </c>
      <c r="K81" s="12">
        <v>45382</v>
      </c>
    </row>
    <row r="82" spans="1:11" s="1" customFormat="1" x14ac:dyDescent="0.35">
      <c r="A82" s="6" t="s">
        <v>32</v>
      </c>
      <c r="B82">
        <v>35531.26</v>
      </c>
      <c r="C82">
        <v>37899.54</v>
      </c>
      <c r="D82">
        <v>30199.25</v>
      </c>
      <c r="E82">
        <v>23857.42</v>
      </c>
      <c r="F82">
        <v>18890.75</v>
      </c>
      <c r="G82">
        <v>26632.94</v>
      </c>
      <c r="H82">
        <v>29000.51</v>
      </c>
      <c r="I82">
        <v>14282.83</v>
      </c>
      <c r="J82">
        <v>35388.01</v>
      </c>
      <c r="K82">
        <v>67915.360000000001</v>
      </c>
    </row>
    <row r="83" spans="1:11" s="6" customFormat="1" x14ac:dyDescent="0.35">
      <c r="A83" s="6" t="s">
        <v>33</v>
      </c>
      <c r="B83">
        <v>-36232.35</v>
      </c>
      <c r="C83">
        <v>-36693.9</v>
      </c>
      <c r="D83">
        <v>-39571.4</v>
      </c>
      <c r="E83">
        <v>-25139.14</v>
      </c>
      <c r="F83">
        <v>-20878.07</v>
      </c>
      <c r="G83">
        <v>-33114.550000000003</v>
      </c>
      <c r="H83">
        <v>-25672.5</v>
      </c>
      <c r="I83">
        <v>-4443.66</v>
      </c>
      <c r="J83">
        <v>-15417.17</v>
      </c>
      <c r="K83">
        <v>-22781.56</v>
      </c>
    </row>
    <row r="84" spans="1:11" s="6" customFormat="1" x14ac:dyDescent="0.35">
      <c r="A84" s="6" t="s">
        <v>34</v>
      </c>
      <c r="B84">
        <v>5201.4399999999996</v>
      </c>
      <c r="C84">
        <v>-3795.12</v>
      </c>
      <c r="D84">
        <v>6205.3</v>
      </c>
      <c r="E84">
        <v>2011.71</v>
      </c>
      <c r="F84">
        <v>8830.3700000000008</v>
      </c>
      <c r="G84">
        <v>3389.61</v>
      </c>
      <c r="H84">
        <v>9904.2000000000007</v>
      </c>
      <c r="I84">
        <v>-3380.17</v>
      </c>
      <c r="J84">
        <v>-26242.9</v>
      </c>
      <c r="K84">
        <v>-37005.99</v>
      </c>
    </row>
    <row r="85" spans="1:11" s="1" customFormat="1" x14ac:dyDescent="0.35">
      <c r="A85" s="6" t="s">
        <v>35</v>
      </c>
      <c r="B85">
        <v>4500.3500000000004</v>
      </c>
      <c r="C85">
        <v>-2589.48</v>
      </c>
      <c r="D85">
        <v>-3166.85</v>
      </c>
      <c r="E85">
        <v>729.99</v>
      </c>
      <c r="F85">
        <v>6843.05</v>
      </c>
      <c r="G85">
        <v>-3092</v>
      </c>
      <c r="H85">
        <v>13232.21</v>
      </c>
      <c r="I85">
        <v>6459</v>
      </c>
      <c r="J85">
        <v>-6272.06</v>
      </c>
      <c r="K85">
        <v>8127.81</v>
      </c>
    </row>
    <row r="86" spans="1:11" x14ac:dyDescent="0.35">
      <c r="A86" s="6"/>
    </row>
    <row r="87" spans="1:11" x14ac:dyDescent="0.35">
      <c r="A87" s="6"/>
    </row>
    <row r="88" spans="1:11" x14ac:dyDescent="0.35">
      <c r="A88" s="6"/>
    </row>
    <row r="89" spans="1:11" x14ac:dyDescent="0.35">
      <c r="A89" s="6"/>
    </row>
    <row r="90" spans="1:11" s="1" customFormat="1" x14ac:dyDescent="0.35">
      <c r="A90" s="1" t="s">
        <v>77</v>
      </c>
      <c r="B90">
        <v>544.37</v>
      </c>
      <c r="C90">
        <v>386.6</v>
      </c>
      <c r="D90">
        <v>465.85</v>
      </c>
      <c r="E90">
        <v>326.85000000000002</v>
      </c>
      <c r="F90">
        <v>174.25</v>
      </c>
      <c r="G90">
        <v>71.05</v>
      </c>
      <c r="H90">
        <v>301.8</v>
      </c>
      <c r="I90">
        <v>433.75</v>
      </c>
      <c r="J90">
        <v>420.8</v>
      </c>
      <c r="K90">
        <v>992.8</v>
      </c>
    </row>
    <row r="92" spans="1:11" s="1" customFormat="1" x14ac:dyDescent="0.35">
      <c r="A92" s="1" t="s">
        <v>76</v>
      </c>
    </row>
    <row r="93" spans="1:11" x14ac:dyDescent="0.35">
      <c r="A93" s="4" t="s">
        <v>89</v>
      </c>
      <c r="B93" s="24">
        <v>288.74</v>
      </c>
      <c r="C93" s="24">
        <v>288.72000000000003</v>
      </c>
      <c r="D93" s="24">
        <v>288.73</v>
      </c>
      <c r="E93" s="24">
        <v>288.73</v>
      </c>
      <c r="F93" s="24">
        <v>288.73</v>
      </c>
      <c r="G93" s="24">
        <v>308.89999999999998</v>
      </c>
      <c r="H93" s="24">
        <v>332.03</v>
      </c>
      <c r="I93" s="24">
        <v>332.07</v>
      </c>
      <c r="J93" s="24">
        <v>332.13</v>
      </c>
      <c r="K93" s="24">
        <v>332.37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B71C2-E2CF-41ED-A793-73262AC28070}">
  <dimension ref="B2:N35"/>
  <sheetViews>
    <sheetView workbookViewId="0">
      <selection activeCell="B4" sqref="B4:B11"/>
    </sheetView>
  </sheetViews>
  <sheetFormatPr defaultRowHeight="14.5" x14ac:dyDescent="0.35"/>
  <cols>
    <col min="2" max="2" width="23.08984375" customWidth="1"/>
  </cols>
  <sheetData>
    <row r="2" spans="2:14" x14ac:dyDescent="0.35">
      <c r="B2" s="43"/>
      <c r="C2" s="43">
        <v>41334</v>
      </c>
      <c r="D2" s="43">
        <v>41699</v>
      </c>
      <c r="E2" s="43">
        <v>42064</v>
      </c>
      <c r="F2" s="43">
        <v>42430</v>
      </c>
      <c r="G2" s="43">
        <v>42795</v>
      </c>
      <c r="H2" s="43">
        <v>43160</v>
      </c>
      <c r="I2" s="43">
        <v>43525</v>
      </c>
      <c r="J2" s="43">
        <v>43891</v>
      </c>
      <c r="K2" s="43">
        <v>44256</v>
      </c>
      <c r="L2" s="43">
        <v>44621</v>
      </c>
      <c r="M2" s="43">
        <v>44986</v>
      </c>
      <c r="N2" s="43">
        <v>45352</v>
      </c>
    </row>
    <row r="3" spans="2:14" x14ac:dyDescent="0.35">
      <c r="B3" t="s">
        <v>161</v>
      </c>
      <c r="C3" s="44">
        <v>2258</v>
      </c>
      <c r="D3" s="44">
        <v>2463</v>
      </c>
      <c r="E3" s="44">
        <v>-2214</v>
      </c>
      <c r="F3" s="44">
        <v>2703</v>
      </c>
      <c r="G3" s="44">
        <v>1453</v>
      </c>
      <c r="H3" s="44">
        <v>4134</v>
      </c>
      <c r="I3" s="44">
        <v>6293</v>
      </c>
      <c r="J3" s="44">
        <v>-1455</v>
      </c>
      <c r="K3" s="44">
        <v>6680</v>
      </c>
      <c r="L3" s="44">
        <v>5282</v>
      </c>
      <c r="M3" s="44">
        <v>4775</v>
      </c>
      <c r="N3" s="44">
        <v>8662</v>
      </c>
    </row>
    <row r="4" spans="2:14" x14ac:dyDescent="0.35">
      <c r="B4" t="s">
        <v>129</v>
      </c>
      <c r="C4" s="44">
        <v>1648</v>
      </c>
      <c r="D4">
        <v>-563</v>
      </c>
      <c r="E4">
        <v>-620</v>
      </c>
      <c r="F4" s="44">
        <v>3502</v>
      </c>
      <c r="G4" s="44">
        <v>1662</v>
      </c>
      <c r="H4" s="44">
        <v>4091</v>
      </c>
      <c r="I4" s="44">
        <v>6167</v>
      </c>
      <c r="J4">
        <v>439</v>
      </c>
      <c r="K4" s="44">
        <v>1961</v>
      </c>
      <c r="L4" s="44">
        <v>2683</v>
      </c>
      <c r="M4" s="44">
        <v>5010</v>
      </c>
      <c r="N4" s="44">
        <v>8523</v>
      </c>
    </row>
    <row r="5" spans="2:14" x14ac:dyDescent="0.35">
      <c r="B5" t="s">
        <v>78</v>
      </c>
      <c r="C5">
        <v>955</v>
      </c>
      <c r="D5">
        <v>381</v>
      </c>
      <c r="E5">
        <v>-20</v>
      </c>
      <c r="F5">
        <v>-678</v>
      </c>
      <c r="G5">
        <v>-199</v>
      </c>
      <c r="H5" s="44">
        <v>-1217</v>
      </c>
      <c r="I5">
        <v>164</v>
      </c>
      <c r="J5" s="44">
        <v>1168</v>
      </c>
      <c r="K5">
        <v>-142</v>
      </c>
      <c r="L5" s="44">
        <v>-1016</v>
      </c>
      <c r="M5">
        <v>-306</v>
      </c>
      <c r="N5">
        <v>-553</v>
      </c>
    </row>
    <row r="6" spans="2:14" x14ac:dyDescent="0.35">
      <c r="B6" t="s">
        <v>45</v>
      </c>
      <c r="C6">
        <v>129</v>
      </c>
      <c r="D6">
        <v>592</v>
      </c>
      <c r="E6">
        <v>-940</v>
      </c>
      <c r="F6">
        <v>-235</v>
      </c>
      <c r="G6">
        <v>-572</v>
      </c>
      <c r="H6">
        <v>-278</v>
      </c>
      <c r="I6">
        <v>966</v>
      </c>
      <c r="J6">
        <v>730</v>
      </c>
      <c r="K6">
        <v>-765</v>
      </c>
      <c r="L6" s="44">
        <v>-1201</v>
      </c>
      <c r="M6">
        <v>658</v>
      </c>
      <c r="N6">
        <v>-541</v>
      </c>
    </row>
    <row r="7" spans="2:14" x14ac:dyDescent="0.35">
      <c r="B7" t="s">
        <v>130</v>
      </c>
      <c r="C7">
        <v>-250</v>
      </c>
      <c r="D7" s="44">
        <v>1213</v>
      </c>
      <c r="E7">
        <v>-843</v>
      </c>
      <c r="F7">
        <v>76</v>
      </c>
      <c r="G7" s="44">
        <v>2314</v>
      </c>
      <c r="H7" s="44">
        <v>2764</v>
      </c>
      <c r="I7">
        <v>-725</v>
      </c>
      <c r="J7" s="44">
        <v>-2689</v>
      </c>
      <c r="K7" s="44">
        <v>4965</v>
      </c>
      <c r="L7" s="44">
        <v>5285</v>
      </c>
      <c r="M7">
        <v>-957</v>
      </c>
      <c r="N7">
        <v>316</v>
      </c>
    </row>
    <row r="8" spans="2:14" x14ac:dyDescent="0.35">
      <c r="B8" t="s">
        <v>131</v>
      </c>
      <c r="C8">
        <v>0</v>
      </c>
      <c r="D8">
        <v>0</v>
      </c>
      <c r="E8">
        <v>0</v>
      </c>
      <c r="F8">
        <v>-55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2:14" x14ac:dyDescent="0.35">
      <c r="B9" t="s">
        <v>132</v>
      </c>
      <c r="C9">
        <v>-332</v>
      </c>
      <c r="D9">
        <v>896</v>
      </c>
      <c r="E9">
        <v>286</v>
      </c>
      <c r="F9">
        <v>115</v>
      </c>
      <c r="G9" s="44">
        <v>-1636</v>
      </c>
      <c r="H9" s="44">
        <v>-1217</v>
      </c>
      <c r="I9">
        <v>-97</v>
      </c>
      <c r="J9" s="44">
        <v>-1011</v>
      </c>
      <c r="K9">
        <v>725</v>
      </c>
      <c r="L9">
        <v>-314</v>
      </c>
      <c r="M9">
        <v>539</v>
      </c>
      <c r="N9" s="44">
        <v>1164</v>
      </c>
    </row>
    <row r="10" spans="2:14" x14ac:dyDescent="0.35">
      <c r="B10" t="s">
        <v>133</v>
      </c>
      <c r="C10">
        <v>503</v>
      </c>
      <c r="D10" s="44">
        <v>3082</v>
      </c>
      <c r="E10" s="44">
        <v>-1517</v>
      </c>
      <c r="F10">
        <v>-776</v>
      </c>
      <c r="G10">
        <v>-93</v>
      </c>
      <c r="H10">
        <v>52</v>
      </c>
      <c r="I10">
        <v>308</v>
      </c>
      <c r="J10" s="44">
        <v>-1801</v>
      </c>
      <c r="K10" s="44">
        <v>4783</v>
      </c>
      <c r="L10" s="44">
        <v>2755</v>
      </c>
      <c r="M10">
        <v>-67</v>
      </c>
      <c r="N10">
        <v>385</v>
      </c>
    </row>
    <row r="11" spans="2:14" x14ac:dyDescent="0.35">
      <c r="B11" t="s">
        <v>134</v>
      </c>
      <c r="C11">
        <v>107</v>
      </c>
      <c r="D11">
        <v>-56</v>
      </c>
      <c r="E11">
        <v>-78</v>
      </c>
      <c r="F11">
        <v>-24</v>
      </c>
      <c r="G11">
        <v>-115</v>
      </c>
      <c r="H11">
        <v>-8</v>
      </c>
      <c r="I11">
        <v>-182</v>
      </c>
      <c r="J11">
        <v>-93</v>
      </c>
      <c r="K11">
        <v>-63</v>
      </c>
      <c r="L11">
        <v>-156</v>
      </c>
      <c r="M11">
        <v>-168</v>
      </c>
      <c r="N11">
        <v>-246</v>
      </c>
    </row>
    <row r="12" spans="2:14" x14ac:dyDescent="0.35">
      <c r="B12" t="s">
        <v>162</v>
      </c>
      <c r="C12" s="44">
        <v>1073</v>
      </c>
      <c r="D12" s="44">
        <v>2563</v>
      </c>
      <c r="E12">
        <v>246</v>
      </c>
      <c r="F12" s="44">
        <v>-3264</v>
      </c>
      <c r="G12" s="44">
        <v>-2860</v>
      </c>
      <c r="H12">
        <v>-710</v>
      </c>
      <c r="I12" s="44">
        <v>-3822</v>
      </c>
      <c r="J12" s="44">
        <v>-4637</v>
      </c>
      <c r="K12" s="44">
        <v>-2988</v>
      </c>
      <c r="L12" s="44">
        <v>-4681</v>
      </c>
      <c r="M12">
        <v>917</v>
      </c>
      <c r="N12" s="44">
        <v>1492</v>
      </c>
    </row>
    <row r="13" spans="2:14" x14ac:dyDescent="0.35">
      <c r="B13" t="s">
        <v>137</v>
      </c>
      <c r="C13" s="44">
        <v>-2605</v>
      </c>
      <c r="D13" s="44">
        <v>-3105</v>
      </c>
      <c r="E13" s="44">
        <v>-3079</v>
      </c>
      <c r="F13" s="44">
        <v>-3284</v>
      </c>
      <c r="G13" s="44">
        <v>-3514</v>
      </c>
      <c r="H13" s="44">
        <v>-2823</v>
      </c>
      <c r="I13" s="44">
        <v>-4783</v>
      </c>
      <c r="J13" s="44">
        <v>-4669</v>
      </c>
      <c r="K13" s="44">
        <v>-1856</v>
      </c>
      <c r="L13" s="44">
        <v>-1831</v>
      </c>
      <c r="M13" s="44">
        <v>-1697</v>
      </c>
      <c r="N13" s="44">
        <v>-1991</v>
      </c>
    </row>
    <row r="14" spans="2:14" x14ac:dyDescent="0.35">
      <c r="B14" t="s">
        <v>138</v>
      </c>
      <c r="C14">
        <v>127</v>
      </c>
      <c r="D14">
        <v>11</v>
      </c>
      <c r="E14">
        <v>25</v>
      </c>
      <c r="F14">
        <v>34</v>
      </c>
      <c r="G14">
        <v>17</v>
      </c>
      <c r="H14">
        <v>28</v>
      </c>
      <c r="I14">
        <v>30</v>
      </c>
      <c r="J14">
        <v>155</v>
      </c>
      <c r="K14">
        <v>178</v>
      </c>
      <c r="L14">
        <v>100</v>
      </c>
      <c r="M14">
        <v>123</v>
      </c>
      <c r="N14">
        <v>39</v>
      </c>
    </row>
    <row r="15" spans="2:14" x14ac:dyDescent="0.35">
      <c r="B15" t="s">
        <v>139</v>
      </c>
      <c r="C15">
        <v>-316</v>
      </c>
      <c r="D15">
        <v>0</v>
      </c>
      <c r="E15">
        <v>0</v>
      </c>
      <c r="F15" s="44">
        <v>-1669</v>
      </c>
      <c r="G15">
        <v>-537</v>
      </c>
      <c r="H15">
        <v>0</v>
      </c>
      <c r="I15">
        <v>0</v>
      </c>
      <c r="J15">
        <v>0</v>
      </c>
      <c r="K15">
        <v>-673</v>
      </c>
      <c r="L15" s="44">
        <v>-3560</v>
      </c>
      <c r="M15">
        <v>0</v>
      </c>
      <c r="N15">
        <v>-42</v>
      </c>
    </row>
    <row r="16" spans="2:14" x14ac:dyDescent="0.35">
      <c r="B16" t="s">
        <v>140</v>
      </c>
      <c r="C16">
        <v>11</v>
      </c>
      <c r="D16" s="44">
        <v>4424</v>
      </c>
      <c r="E16" s="44">
        <v>1871</v>
      </c>
      <c r="F16">
        <v>832</v>
      </c>
      <c r="G16">
        <v>0</v>
      </c>
      <c r="H16" s="44">
        <v>1026</v>
      </c>
      <c r="I16">
        <v>952</v>
      </c>
      <c r="J16">
        <v>359</v>
      </c>
      <c r="K16">
        <v>4</v>
      </c>
      <c r="L16">
        <v>0</v>
      </c>
      <c r="M16" s="44">
        <v>2079</v>
      </c>
      <c r="N16" s="44">
        <v>1277</v>
      </c>
    </row>
    <row r="17" spans="2:14" x14ac:dyDescent="0.35">
      <c r="B17" t="s">
        <v>141</v>
      </c>
      <c r="C17">
        <v>404</v>
      </c>
      <c r="D17">
        <v>182</v>
      </c>
      <c r="E17">
        <v>80</v>
      </c>
      <c r="F17">
        <v>254</v>
      </c>
      <c r="G17">
        <v>259</v>
      </c>
      <c r="H17">
        <v>399</v>
      </c>
      <c r="I17">
        <v>327</v>
      </c>
      <c r="J17">
        <v>471</v>
      </c>
      <c r="K17">
        <v>154</v>
      </c>
      <c r="L17">
        <v>301</v>
      </c>
      <c r="M17">
        <v>185</v>
      </c>
      <c r="N17">
        <v>180</v>
      </c>
    </row>
    <row r="18" spans="2:14" x14ac:dyDescent="0.35">
      <c r="B18" t="s">
        <v>142</v>
      </c>
      <c r="C18" s="44">
        <v>1661</v>
      </c>
      <c r="D18" s="44">
        <v>1603</v>
      </c>
      <c r="E18" s="44">
        <v>1698</v>
      </c>
      <c r="F18" s="44">
        <v>1042</v>
      </c>
      <c r="G18">
        <v>673</v>
      </c>
      <c r="H18" s="44">
        <v>1055</v>
      </c>
      <c r="I18" s="44">
        <v>1569</v>
      </c>
      <c r="J18">
        <v>241</v>
      </c>
      <c r="K18">
        <v>20</v>
      </c>
      <c r="L18">
        <v>80</v>
      </c>
      <c r="M18">
        <v>319</v>
      </c>
      <c r="N18">
        <v>655</v>
      </c>
    </row>
    <row r="19" spans="2:14" x14ac:dyDescent="0.35">
      <c r="B19" t="s">
        <v>143</v>
      </c>
      <c r="C19" s="44">
        <v>1176</v>
      </c>
      <c r="D19">
        <v>-578</v>
      </c>
      <c r="E19">
        <v>-137</v>
      </c>
      <c r="F19">
        <v>-60</v>
      </c>
      <c r="G19">
        <v>-139</v>
      </c>
      <c r="H19">
        <v>-300</v>
      </c>
      <c r="I19">
        <v>-838</v>
      </c>
      <c r="J19">
        <v>-467</v>
      </c>
      <c r="K19">
        <v>0</v>
      </c>
      <c r="L19">
        <v>-871</v>
      </c>
      <c r="M19">
        <v>-191</v>
      </c>
      <c r="N19">
        <v>-678</v>
      </c>
    </row>
    <row r="20" spans="2:14" x14ac:dyDescent="0.35">
      <c r="B20" t="s">
        <v>163</v>
      </c>
      <c r="C20">
        <v>-194</v>
      </c>
      <c r="D20">
        <v>152</v>
      </c>
      <c r="E20">
        <v>0</v>
      </c>
      <c r="F20">
        <v>-78</v>
      </c>
      <c r="G20">
        <v>0</v>
      </c>
      <c r="H20">
        <v>0</v>
      </c>
      <c r="I20">
        <v>0</v>
      </c>
      <c r="J20">
        <v>-8</v>
      </c>
      <c r="K20">
        <v>-57</v>
      </c>
      <c r="L20">
        <v>-51</v>
      </c>
      <c r="M20">
        <v>-45</v>
      </c>
      <c r="N20">
        <v>-16</v>
      </c>
    </row>
    <row r="21" spans="2:14" x14ac:dyDescent="0.35">
      <c r="B21" t="s">
        <v>144</v>
      </c>
      <c r="C21">
        <v>21</v>
      </c>
      <c r="D21">
        <v>-325</v>
      </c>
      <c r="E21">
        <v>-159</v>
      </c>
      <c r="F21">
        <v>0</v>
      </c>
      <c r="G21">
        <v>0</v>
      </c>
      <c r="H21">
        <v>-44</v>
      </c>
      <c r="I21">
        <v>0</v>
      </c>
      <c r="J21">
        <v>0</v>
      </c>
      <c r="K21">
        <v>0</v>
      </c>
      <c r="L21">
        <v>0</v>
      </c>
      <c r="M21">
        <v>0</v>
      </c>
      <c r="N21">
        <v>-150</v>
      </c>
    </row>
    <row r="22" spans="2:14" x14ac:dyDescent="0.35">
      <c r="B22" t="s">
        <v>145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26</v>
      </c>
      <c r="K22">
        <v>10</v>
      </c>
      <c r="L22">
        <v>234</v>
      </c>
      <c r="M22">
        <v>0</v>
      </c>
      <c r="N22" s="44">
        <v>3826</v>
      </c>
    </row>
    <row r="23" spans="2:14" x14ac:dyDescent="0.35">
      <c r="B23" t="s">
        <v>146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2:14" x14ac:dyDescent="0.35">
      <c r="B24" t="s">
        <v>147</v>
      </c>
      <c r="C24">
        <v>44</v>
      </c>
      <c r="D24">
        <v>-40</v>
      </c>
      <c r="E24">
        <v>-5</v>
      </c>
      <c r="F24">
        <v>-35</v>
      </c>
      <c r="G24">
        <v>20</v>
      </c>
      <c r="H24">
        <v>60</v>
      </c>
      <c r="I24">
        <v>-2</v>
      </c>
      <c r="J24">
        <v>-10</v>
      </c>
      <c r="K24">
        <v>-30</v>
      </c>
      <c r="L24">
        <v>0</v>
      </c>
      <c r="M24">
        <v>-15</v>
      </c>
      <c r="N24">
        <v>-95</v>
      </c>
    </row>
    <row r="25" spans="2:14" x14ac:dyDescent="0.35">
      <c r="B25" t="s">
        <v>148</v>
      </c>
      <c r="C25">
        <v>746</v>
      </c>
      <c r="D25">
        <v>241</v>
      </c>
      <c r="E25">
        <v>-48</v>
      </c>
      <c r="F25">
        <v>-301</v>
      </c>
      <c r="G25">
        <v>361</v>
      </c>
      <c r="H25">
        <v>-111</v>
      </c>
      <c r="I25" s="44">
        <v>-1076</v>
      </c>
      <c r="J25">
        <v>-736</v>
      </c>
      <c r="K25">
        <v>-740</v>
      </c>
      <c r="L25">
        <v>917</v>
      </c>
      <c r="M25">
        <v>160</v>
      </c>
      <c r="N25" s="44">
        <v>-1513</v>
      </c>
    </row>
    <row r="26" spans="2:14" x14ac:dyDescent="0.35">
      <c r="B26" t="s">
        <v>164</v>
      </c>
      <c r="C26" s="44">
        <v>-4046</v>
      </c>
      <c r="D26" s="44">
        <v>-5034</v>
      </c>
      <c r="E26" s="44">
        <v>2632</v>
      </c>
      <c r="F26">
        <v>-79</v>
      </c>
      <c r="G26" s="44">
        <v>1209</v>
      </c>
      <c r="H26" s="44">
        <v>-3106</v>
      </c>
      <c r="I26" s="44">
        <v>-2530</v>
      </c>
      <c r="J26" s="44">
        <v>7749</v>
      </c>
      <c r="K26" s="44">
        <v>-3472</v>
      </c>
      <c r="L26">
        <v>-516</v>
      </c>
      <c r="M26" s="44">
        <v>-7021</v>
      </c>
      <c r="N26" s="44">
        <v>-7930</v>
      </c>
    </row>
    <row r="27" spans="2:14" x14ac:dyDescent="0.35">
      <c r="B27" t="s">
        <v>151</v>
      </c>
      <c r="C27">
        <v>0</v>
      </c>
      <c r="D27">
        <v>0</v>
      </c>
      <c r="E27">
        <v>0</v>
      </c>
      <c r="F27" s="44">
        <v>7433</v>
      </c>
      <c r="G27">
        <v>5</v>
      </c>
      <c r="H27">
        <v>0</v>
      </c>
      <c r="I27">
        <v>0</v>
      </c>
      <c r="J27" s="44">
        <v>3889</v>
      </c>
      <c r="K27" s="44">
        <v>2603</v>
      </c>
      <c r="L27">
        <v>19</v>
      </c>
      <c r="M27">
        <v>20</v>
      </c>
      <c r="N27">
        <v>82</v>
      </c>
    </row>
    <row r="28" spans="2:14" x14ac:dyDescent="0.35">
      <c r="B28" t="s">
        <v>152</v>
      </c>
      <c r="C28">
        <v>-97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2:14" x14ac:dyDescent="0.35">
      <c r="B29" t="s">
        <v>153</v>
      </c>
      <c r="C29" s="44">
        <v>14437</v>
      </c>
      <c r="D29" s="44">
        <v>9385</v>
      </c>
      <c r="E29" s="44">
        <v>12817</v>
      </c>
      <c r="F29" s="44">
        <v>3587</v>
      </c>
      <c r="G29" s="44">
        <v>10687</v>
      </c>
      <c r="H29" s="44">
        <v>6406</v>
      </c>
      <c r="I29" s="44">
        <v>8805</v>
      </c>
      <c r="J29" s="44">
        <v>15462</v>
      </c>
      <c r="K29" s="44">
        <v>6985</v>
      </c>
      <c r="L29" s="44">
        <v>10408</v>
      </c>
      <c r="M29">
        <v>887</v>
      </c>
      <c r="N29">
        <v>783</v>
      </c>
    </row>
    <row r="30" spans="2:14" x14ac:dyDescent="0.35">
      <c r="B30" t="s">
        <v>154</v>
      </c>
      <c r="C30" s="44">
        <v>-12268</v>
      </c>
      <c r="D30" s="44">
        <v>-10912</v>
      </c>
      <c r="E30" s="44">
        <v>-6890</v>
      </c>
      <c r="F30" s="44">
        <v>-9013</v>
      </c>
      <c r="G30" s="44">
        <v>-7473</v>
      </c>
      <c r="H30" s="44">
        <v>-7410</v>
      </c>
      <c r="I30" s="44">
        <v>-8977</v>
      </c>
      <c r="J30" s="44">
        <v>-9128</v>
      </c>
      <c r="K30" s="44">
        <v>-10438</v>
      </c>
      <c r="L30" s="44">
        <v>-8517</v>
      </c>
      <c r="M30" s="44">
        <v>-5852</v>
      </c>
      <c r="N30" s="44">
        <v>-6031</v>
      </c>
    </row>
    <row r="31" spans="2:14" x14ac:dyDescent="0.35">
      <c r="B31" t="s">
        <v>156</v>
      </c>
      <c r="C31" s="44">
        <v>-1809</v>
      </c>
      <c r="D31" s="44">
        <v>-1750</v>
      </c>
      <c r="E31" s="44">
        <v>-1845</v>
      </c>
      <c r="F31" s="44">
        <v>-2086</v>
      </c>
      <c r="G31" s="44">
        <v>-1936</v>
      </c>
      <c r="H31" s="44">
        <v>-2098</v>
      </c>
      <c r="I31" s="44">
        <v>-2355</v>
      </c>
      <c r="J31" s="44">
        <v>-2270</v>
      </c>
      <c r="K31" s="44">
        <v>-2427</v>
      </c>
      <c r="L31" s="44">
        <v>-2272</v>
      </c>
      <c r="M31" s="44">
        <v>-2008</v>
      </c>
      <c r="N31" s="44">
        <v>-1840</v>
      </c>
    </row>
    <row r="32" spans="2:14" x14ac:dyDescent="0.35">
      <c r="B32" t="s">
        <v>157</v>
      </c>
      <c r="C32" s="44">
        <v>-1460</v>
      </c>
      <c r="D32">
        <v>-649</v>
      </c>
      <c r="E32">
        <v>-649</v>
      </c>
      <c r="F32">
        <v>0</v>
      </c>
      <c r="G32">
        <v>-73</v>
      </c>
      <c r="H32">
        <v>-3</v>
      </c>
      <c r="I32">
        <v>-3</v>
      </c>
      <c r="J32">
        <v>-4</v>
      </c>
      <c r="K32">
        <v>-2</v>
      </c>
      <c r="L32">
        <v>-2</v>
      </c>
      <c r="M32">
        <v>0</v>
      </c>
      <c r="N32">
        <v>-769</v>
      </c>
    </row>
    <row r="33" spans="2:14" x14ac:dyDescent="0.35">
      <c r="B33" t="s">
        <v>158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-194</v>
      </c>
      <c r="K33">
        <v>-192</v>
      </c>
      <c r="L33">
        <v>-152</v>
      </c>
      <c r="M33">
        <v>-68</v>
      </c>
      <c r="N33">
        <v>-155</v>
      </c>
    </row>
    <row r="34" spans="2:14" x14ac:dyDescent="0.35">
      <c r="B34" t="s">
        <v>159</v>
      </c>
      <c r="C34" s="44">
        <v>-2849</v>
      </c>
      <c r="D34" s="44">
        <v>-1108</v>
      </c>
      <c r="E34">
        <v>-801</v>
      </c>
      <c r="F34">
        <v>0</v>
      </c>
      <c r="G34">
        <v>0</v>
      </c>
      <c r="H34">
        <v>0</v>
      </c>
      <c r="I34">
        <v>0</v>
      </c>
      <c r="J34">
        <v>-7</v>
      </c>
      <c r="K34">
        <v>0</v>
      </c>
      <c r="L34">
        <v>0</v>
      </c>
      <c r="M34">
        <v>0</v>
      </c>
      <c r="N34">
        <v>0</v>
      </c>
    </row>
    <row r="35" spans="2:14" x14ac:dyDescent="0.35">
      <c r="B35" t="s">
        <v>35</v>
      </c>
      <c r="C35">
        <v>-714</v>
      </c>
      <c r="D35">
        <v>-7</v>
      </c>
      <c r="E35">
        <v>663</v>
      </c>
      <c r="F35">
        <v>-639</v>
      </c>
      <c r="G35">
        <v>-198</v>
      </c>
      <c r="H35">
        <v>318</v>
      </c>
      <c r="I35">
        <v>-59</v>
      </c>
      <c r="J35" s="44">
        <v>1658</v>
      </c>
      <c r="K35">
        <v>220</v>
      </c>
      <c r="L35">
        <v>85</v>
      </c>
      <c r="M35" s="44">
        <v>-1329</v>
      </c>
      <c r="N35" s="44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Financials&gt;</vt:lpstr>
      <vt:lpstr>HistoricalFS</vt:lpstr>
      <vt:lpstr>Profit &amp; Loss</vt:lpstr>
      <vt:lpstr>Quarters</vt:lpstr>
      <vt:lpstr>Balance Sheet</vt:lpstr>
      <vt:lpstr>Cash Flow</vt:lpstr>
      <vt:lpstr>Ratio Analysis</vt:lpstr>
      <vt:lpstr>Forecasting</vt:lpstr>
      <vt:lpstr>Data</vt:lpstr>
      <vt:lpstr>Data&gt;</vt:lpstr>
      <vt:lpstr>Customization</vt:lpstr>
      <vt:lpstr>Data Sheet</vt:lpstr>
      <vt:lpstr>Cash Flow Data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Deep Gada</cp:lastModifiedBy>
  <cp:lastPrinted>2012-12-06T18:14:13Z</cp:lastPrinted>
  <dcterms:created xsi:type="dcterms:W3CDTF">2012-08-17T09:55:37Z</dcterms:created>
  <dcterms:modified xsi:type="dcterms:W3CDTF">2025-01-24T15:26:07Z</dcterms:modified>
</cp:coreProperties>
</file>