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24226"/>
  <mc:AlternateContent xmlns:mc="http://schemas.openxmlformats.org/markup-compatibility/2006">
    <mc:Choice Requires="x15">
      <x15ac:absPath xmlns:x15ac="http://schemas.microsoft.com/office/spreadsheetml/2010/11/ac" url="https://rundumenergie-my.sharepoint.com/personal/staubli_rundumenergie_ch/Documents/01_Projekte/01_Vorlagen/01_EB/10_Mustertexte_Berechnungstools/"/>
    </mc:Choice>
  </mc:AlternateContent>
  <xr:revisionPtr revIDLastSave="525" documentId="8_{0D8ECF94-171A-4271-A655-65EDD3B13257}" xr6:coauthVersionLast="47" xr6:coauthVersionMax="47" xr10:uidLastSave="{0126C2EA-DAE8-4540-B743-8CACF629D58C}"/>
  <bookViews>
    <workbookView xWindow="-110" yWindow="-110" windowWidth="38620" windowHeight="21100" activeTab="2" xr2:uid="{00000000-000D-0000-FFFF-FFFF00000000}"/>
  </bookViews>
  <sheets>
    <sheet name="Energie_EBF" sheetId="3" r:id="rId1"/>
    <sheet name="Flächen" sheetId="7" r:id="rId2"/>
    <sheet name="U-Werte" sheetId="12" r:id="rId3"/>
    <sheet name="Kosten HLK" sheetId="9" r:id="rId4"/>
    <sheet name="IB" sheetId="14" r:id="rId5"/>
    <sheet name="Wirtschaftlichkeit Geb." sheetId="11" state="hidden" r:id="rId6"/>
    <sheet name="HGT" sheetId="15" r:id="rId7"/>
    <sheet name="Umrechnungsfaktoren" sheetId="4" r:id="rId8"/>
    <sheet name="Solarthermie" sheetId="13" r:id="rId9"/>
    <sheet name="Kosten PVA" sheetId="8" r:id="rId10"/>
    <sheet name="Bauteilkatalog" sheetId="2" r:id="rId11"/>
  </sheets>
  <definedNames>
    <definedName name="_xlnm.Print_Area" localSheetId="2">'U-Werte'!$B$26:$F$43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 i="12" l="1"/>
  <c r="K12" i="12"/>
  <c r="B5" i="9"/>
  <c r="B6" i="9" s="1"/>
  <c r="Y36" i="7"/>
  <c r="D19" i="3"/>
  <c r="R14" i="14" l="1"/>
  <c r="R16" i="14"/>
  <c r="R15" i="14"/>
  <c r="Y11" i="12"/>
  <c r="Y12" i="12"/>
  <c r="Y13" i="12"/>
  <c r="Y14" i="12"/>
  <c r="Y6" i="12"/>
  <c r="Y7" i="12"/>
  <c r="Y8" i="12"/>
  <c r="Y9" i="12"/>
  <c r="Y4" i="12"/>
  <c r="M27" i="14" l="1"/>
  <c r="M23" i="14"/>
  <c r="M16" i="14"/>
  <c r="M22" i="14" s="1"/>
  <c r="M14" i="14"/>
  <c r="M10" i="14"/>
  <c r="L23" i="14"/>
  <c r="L10" i="14"/>
  <c r="M18" i="14" l="1"/>
  <c r="M15" i="14"/>
  <c r="M21" i="14" s="1"/>
  <c r="M24" i="14" s="1"/>
  <c r="F51" i="3"/>
  <c r="H52" i="3"/>
  <c r="H53" i="3" l="1"/>
  <c r="K18" i="12"/>
  <c r="T48" i="12"/>
  <c r="K22" i="12"/>
  <c r="R17" i="14"/>
  <c r="K15" i="14"/>
  <c r="K21" i="14" s="1"/>
  <c r="K23" i="14"/>
  <c r="P7" i="8"/>
  <c r="O6" i="8"/>
  <c r="H17" i="14"/>
  <c r="H23" i="14" s="1"/>
  <c r="S24" i="9"/>
  <c r="F17" i="14"/>
  <c r="F23" i="14" s="1"/>
  <c r="E17" i="14"/>
  <c r="E23" i="14" s="1"/>
  <c r="F10" i="14"/>
  <c r="E10" i="14"/>
  <c r="G17" i="14"/>
  <c r="G23" i="14" s="1"/>
  <c r="S25" i="9"/>
  <c r="H10" i="14"/>
  <c r="J23" i="14"/>
  <c r="J10" i="14"/>
  <c r="R8" i="14"/>
  <c r="R7" i="14"/>
  <c r="R9" i="14"/>
  <c r="R10" i="14"/>
  <c r="R11" i="14"/>
  <c r="R12" i="14"/>
  <c r="G10" i="14"/>
  <c r="I10" i="14"/>
  <c r="I23" i="14"/>
  <c r="R6" i="14"/>
  <c r="P8" i="8"/>
  <c r="V58" i="12"/>
  <c r="S55" i="12"/>
  <c r="Y55" i="12" s="1"/>
  <c r="R55" i="12"/>
  <c r="X55" i="12" s="1"/>
  <c r="Z55" i="12" s="1"/>
  <c r="Q55" i="12"/>
  <c r="W55" i="12" s="1"/>
  <c r="Y54" i="12"/>
  <c r="Z54" i="12" s="1"/>
  <c r="T54" i="12"/>
  <c r="Y53" i="12"/>
  <c r="X53" i="12"/>
  <c r="W53" i="12"/>
  <c r="T53" i="12"/>
  <c r="Y52" i="12"/>
  <c r="Z52" i="12" s="1"/>
  <c r="X52" i="12"/>
  <c r="W52" i="12"/>
  <c r="T52" i="12"/>
  <c r="Y51" i="12"/>
  <c r="Z51" i="12" s="1"/>
  <c r="X51" i="12"/>
  <c r="W51" i="12"/>
  <c r="T51" i="12"/>
  <c r="Y50" i="12"/>
  <c r="Z50" i="12" s="1"/>
  <c r="X50" i="12"/>
  <c r="W50" i="12"/>
  <c r="T50" i="12"/>
  <c r="Y49" i="12"/>
  <c r="Z49" i="12" s="1"/>
  <c r="X49" i="12"/>
  <c r="W49" i="12"/>
  <c r="T49" i="12"/>
  <c r="Y48" i="12"/>
  <c r="Z48" i="12" s="1"/>
  <c r="X48" i="12"/>
  <c r="W48" i="12"/>
  <c r="Z47" i="12"/>
  <c r="T47" i="12"/>
  <c r="X45" i="12"/>
  <c r="V45" i="12"/>
  <c r="K23" i="8"/>
  <c r="K22" i="8"/>
  <c r="B3" i="8"/>
  <c r="V75" i="12"/>
  <c r="S72" i="12"/>
  <c r="R72" i="12"/>
  <c r="X72" i="12" s="1"/>
  <c r="Q72" i="12"/>
  <c r="W72" i="12" s="1"/>
  <c r="Y71" i="12"/>
  <c r="Z71" i="12" s="1"/>
  <c r="T71" i="12"/>
  <c r="Y70" i="12"/>
  <c r="X70" i="12"/>
  <c r="W70" i="12"/>
  <c r="T70" i="12"/>
  <c r="Y69" i="12"/>
  <c r="Z69" i="12" s="1"/>
  <c r="X69" i="12"/>
  <c r="W69" i="12"/>
  <c r="T69" i="12"/>
  <c r="Y68" i="12"/>
  <c r="X68" i="12"/>
  <c r="Z68" i="12"/>
  <c r="W68" i="12"/>
  <c r="T68" i="12"/>
  <c r="Y67" i="12"/>
  <c r="X67" i="12"/>
  <c r="W67" i="12"/>
  <c r="T67" i="12"/>
  <c r="Y66" i="12"/>
  <c r="X66" i="12"/>
  <c r="Z66" i="12" s="1"/>
  <c r="W66" i="12"/>
  <c r="T66" i="12"/>
  <c r="Y65" i="12"/>
  <c r="X65" i="12"/>
  <c r="W65" i="12"/>
  <c r="T65" i="12"/>
  <c r="Z64" i="12"/>
  <c r="T64" i="12"/>
  <c r="X62" i="12"/>
  <c r="V62" i="12"/>
  <c r="V126" i="12"/>
  <c r="S123" i="12"/>
  <c r="Y123" i="12" s="1"/>
  <c r="R123" i="12"/>
  <c r="X123" i="12" s="1"/>
  <c r="Q123" i="12"/>
  <c r="W123" i="12" s="1"/>
  <c r="Y122" i="12"/>
  <c r="Z122" i="12" s="1"/>
  <c r="T122" i="12"/>
  <c r="Y121" i="12"/>
  <c r="X121" i="12"/>
  <c r="W121" i="12"/>
  <c r="T121" i="12"/>
  <c r="Y120" i="12"/>
  <c r="X120" i="12"/>
  <c r="Z120" i="12" s="1"/>
  <c r="W120" i="12"/>
  <c r="T120" i="12"/>
  <c r="Y119" i="12"/>
  <c r="X119" i="12"/>
  <c r="W119" i="12"/>
  <c r="T119" i="12"/>
  <c r="Y118" i="12"/>
  <c r="X118" i="12"/>
  <c r="W118" i="12"/>
  <c r="T118" i="12"/>
  <c r="Y117" i="12"/>
  <c r="Z117" i="12" s="1"/>
  <c r="X117" i="12"/>
  <c r="W117" i="12"/>
  <c r="T117" i="12"/>
  <c r="Y116" i="12"/>
  <c r="Z116" i="12" s="1"/>
  <c r="X116" i="12"/>
  <c r="W116" i="12"/>
  <c r="T116" i="12"/>
  <c r="Z115" i="12"/>
  <c r="T115" i="12"/>
  <c r="X113" i="12"/>
  <c r="V113" i="12"/>
  <c r="H126" i="12"/>
  <c r="E123" i="12"/>
  <c r="K123" i="12"/>
  <c r="D123" i="12"/>
  <c r="J123" i="12" s="1"/>
  <c r="L123" i="12" s="1"/>
  <c r="C123" i="12"/>
  <c r="I123" i="12" s="1"/>
  <c r="K122" i="12"/>
  <c r="L122" i="12" s="1"/>
  <c r="F122" i="12"/>
  <c r="K121" i="12"/>
  <c r="J121" i="12"/>
  <c r="I121" i="12"/>
  <c r="F121" i="12"/>
  <c r="K120" i="12"/>
  <c r="J120" i="12"/>
  <c r="I120" i="12"/>
  <c r="F120" i="12"/>
  <c r="K119" i="12"/>
  <c r="J119" i="12"/>
  <c r="I119" i="12"/>
  <c r="F119" i="12"/>
  <c r="K118" i="12"/>
  <c r="J118" i="12"/>
  <c r="I118" i="12"/>
  <c r="F118" i="12"/>
  <c r="K117" i="12"/>
  <c r="J117" i="12"/>
  <c r="I117" i="12"/>
  <c r="F117" i="12"/>
  <c r="K116" i="12"/>
  <c r="J116" i="12"/>
  <c r="I116" i="12"/>
  <c r="F116" i="12"/>
  <c r="L115" i="12"/>
  <c r="F115" i="12"/>
  <c r="J113" i="12"/>
  <c r="H113" i="12"/>
  <c r="V109" i="12"/>
  <c r="S106" i="12"/>
  <c r="T106" i="12" s="1"/>
  <c r="R106" i="12"/>
  <c r="Q106" i="12"/>
  <c r="W106" i="12" s="1"/>
  <c r="Y105" i="12"/>
  <c r="Z105" i="12" s="1"/>
  <c r="T105" i="12"/>
  <c r="Y104" i="12"/>
  <c r="X104" i="12"/>
  <c r="Z104" i="12" s="1"/>
  <c r="W104" i="12"/>
  <c r="T104" i="12"/>
  <c r="Y103" i="12"/>
  <c r="X103" i="12"/>
  <c r="Z103" i="12" s="1"/>
  <c r="W103" i="12"/>
  <c r="T103" i="12"/>
  <c r="Y102" i="12"/>
  <c r="X102" i="12"/>
  <c r="W102" i="12"/>
  <c r="T102" i="12"/>
  <c r="Y101" i="12"/>
  <c r="X101" i="12"/>
  <c r="Z101" i="12" s="1"/>
  <c r="W101" i="12"/>
  <c r="T101" i="12"/>
  <c r="Y100" i="12"/>
  <c r="X100" i="12"/>
  <c r="Z100" i="12" s="1"/>
  <c r="W100" i="12"/>
  <c r="T100" i="12"/>
  <c r="Y99" i="12"/>
  <c r="X99" i="12"/>
  <c r="Z99" i="12" s="1"/>
  <c r="W99" i="12"/>
  <c r="T99" i="12"/>
  <c r="Z98" i="12"/>
  <c r="T98" i="12"/>
  <c r="X96" i="12"/>
  <c r="V96" i="12"/>
  <c r="H109" i="12"/>
  <c r="E106" i="12"/>
  <c r="K106" i="12" s="1"/>
  <c r="D106" i="12"/>
  <c r="J106" i="12" s="1"/>
  <c r="C106" i="12"/>
  <c r="I106" i="12" s="1"/>
  <c r="K105" i="12"/>
  <c r="L105" i="12" s="1"/>
  <c r="F105" i="12"/>
  <c r="K104" i="12"/>
  <c r="J104" i="12"/>
  <c r="L104" i="12" s="1"/>
  <c r="I104" i="12"/>
  <c r="F104" i="12"/>
  <c r="K103" i="12"/>
  <c r="J103" i="12"/>
  <c r="L103" i="12" s="1"/>
  <c r="I103" i="12"/>
  <c r="F103" i="12"/>
  <c r="K102" i="12"/>
  <c r="J102" i="12"/>
  <c r="I102" i="12"/>
  <c r="F102" i="12"/>
  <c r="K101" i="12"/>
  <c r="J101" i="12"/>
  <c r="L101" i="12" s="1"/>
  <c r="I101" i="12"/>
  <c r="F101" i="12"/>
  <c r="K100" i="12"/>
  <c r="J100" i="12"/>
  <c r="L100" i="12" s="1"/>
  <c r="I100" i="12"/>
  <c r="F100" i="12"/>
  <c r="K99" i="12"/>
  <c r="J99" i="12"/>
  <c r="L99" i="12" s="1"/>
  <c r="I99" i="12"/>
  <c r="F99" i="12"/>
  <c r="L98" i="12"/>
  <c r="F98" i="12"/>
  <c r="J96" i="12"/>
  <c r="H96" i="12"/>
  <c r="V92" i="12"/>
  <c r="S89" i="12"/>
  <c r="Y89" i="12" s="1"/>
  <c r="R89" i="12"/>
  <c r="T89" i="12" s="1"/>
  <c r="Q89" i="12"/>
  <c r="W89" i="12" s="1"/>
  <c r="Y88" i="12"/>
  <c r="Z88" i="12" s="1"/>
  <c r="T88" i="12"/>
  <c r="Y87" i="12"/>
  <c r="X87" i="12"/>
  <c r="Z87" i="12" s="1"/>
  <c r="W87" i="12"/>
  <c r="T87" i="12"/>
  <c r="Y86" i="12"/>
  <c r="X86" i="12"/>
  <c r="W86" i="12"/>
  <c r="T86" i="12"/>
  <c r="Y85" i="12"/>
  <c r="X85" i="12"/>
  <c r="W85" i="12"/>
  <c r="T85" i="12"/>
  <c r="Y84" i="12"/>
  <c r="X84" i="12"/>
  <c r="W84" i="12"/>
  <c r="T84" i="12"/>
  <c r="Y83" i="12"/>
  <c r="X83" i="12"/>
  <c r="Z83" i="12" s="1"/>
  <c r="W83" i="12"/>
  <c r="T83" i="12"/>
  <c r="Y82" i="12"/>
  <c r="Z82" i="12" s="1"/>
  <c r="X82" i="12"/>
  <c r="W82" i="12"/>
  <c r="T82" i="12"/>
  <c r="Z81" i="12"/>
  <c r="T81" i="12"/>
  <c r="X79" i="12"/>
  <c r="V79" i="12"/>
  <c r="G54" i="7"/>
  <c r="I54" i="7"/>
  <c r="H54" i="7"/>
  <c r="Z11" i="7"/>
  <c r="W11" i="7"/>
  <c r="H71" i="7"/>
  <c r="H72" i="7"/>
  <c r="H73" i="7"/>
  <c r="H74" i="7"/>
  <c r="H75" i="7"/>
  <c r="H64" i="7"/>
  <c r="H65" i="7"/>
  <c r="H66" i="7"/>
  <c r="H67" i="7"/>
  <c r="H68" i="7"/>
  <c r="H57" i="7"/>
  <c r="H58" i="7"/>
  <c r="H59" i="7"/>
  <c r="H60" i="7"/>
  <c r="H61" i="7"/>
  <c r="H49" i="7"/>
  <c r="H50" i="7"/>
  <c r="H51" i="7"/>
  <c r="H52" i="7"/>
  <c r="H53" i="7"/>
  <c r="H42" i="7"/>
  <c r="H43" i="7"/>
  <c r="H44" i="7"/>
  <c r="H45" i="7"/>
  <c r="H46" i="7"/>
  <c r="H28" i="7"/>
  <c r="H29" i="7"/>
  <c r="H30" i="7"/>
  <c r="H31" i="7"/>
  <c r="H32" i="7"/>
  <c r="H21" i="7"/>
  <c r="H22" i="7"/>
  <c r="H23" i="7"/>
  <c r="H24" i="7"/>
  <c r="H25" i="7"/>
  <c r="H7" i="7"/>
  <c r="H8" i="7"/>
  <c r="H9" i="7"/>
  <c r="H10" i="7"/>
  <c r="H11" i="7"/>
  <c r="H14" i="7"/>
  <c r="H15" i="7"/>
  <c r="H16" i="7"/>
  <c r="H17" i="7"/>
  <c r="H18" i="7"/>
  <c r="K40" i="7"/>
  <c r="K33" i="7"/>
  <c r="K47" i="7"/>
  <c r="K55" i="7"/>
  <c r="K62" i="7"/>
  <c r="K69" i="7"/>
  <c r="K76" i="7"/>
  <c r="L76" i="7"/>
  <c r="L69" i="7"/>
  <c r="L62" i="7"/>
  <c r="L55" i="7"/>
  <c r="L47" i="7"/>
  <c r="L40" i="7"/>
  <c r="L33" i="7"/>
  <c r="L26" i="7"/>
  <c r="L19" i="7"/>
  <c r="K19" i="7"/>
  <c r="K12" i="7"/>
  <c r="L12" i="7"/>
  <c r="K26" i="7"/>
  <c r="G9" i="7"/>
  <c r="G10" i="7"/>
  <c r="G11" i="7"/>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Z67" i="12"/>
  <c r="Z84" i="12"/>
  <c r="L102" i="12"/>
  <c r="L121" i="12"/>
  <c r="Z85" i="12"/>
  <c r="Z53" i="12"/>
  <c r="X106" i="12"/>
  <c r="I9" i="7"/>
  <c r="H12" i="7"/>
  <c r="I8" i="7"/>
  <c r="I12" i="7" s="1"/>
  <c r="I11" i="7"/>
  <c r="I10" i="7"/>
  <c r="I7" i="7"/>
  <c r="G72" i="7"/>
  <c r="I72" i="7"/>
  <c r="G73" i="7"/>
  <c r="I73" i="7"/>
  <c r="G74" i="7"/>
  <c r="I74" i="7"/>
  <c r="G75" i="7"/>
  <c r="I75" i="7"/>
  <c r="G65" i="7"/>
  <c r="I65" i="7"/>
  <c r="G66" i="7"/>
  <c r="I66" i="7"/>
  <c r="G67" i="7"/>
  <c r="I67" i="7"/>
  <c r="G68" i="7"/>
  <c r="I68" i="7"/>
  <c r="G58" i="7"/>
  <c r="I58" i="7"/>
  <c r="G59" i="7"/>
  <c r="I59" i="7"/>
  <c r="G60" i="7"/>
  <c r="I60" i="7"/>
  <c r="G61" i="7"/>
  <c r="I61" i="7"/>
  <c r="G50" i="7"/>
  <c r="I50" i="7"/>
  <c r="G51" i="7"/>
  <c r="I51" i="7"/>
  <c r="G52" i="7"/>
  <c r="I52" i="7"/>
  <c r="G53" i="7"/>
  <c r="I53" i="7"/>
  <c r="G43" i="7"/>
  <c r="I43" i="7"/>
  <c r="G44" i="7"/>
  <c r="I44" i="7"/>
  <c r="G45" i="7"/>
  <c r="I45" i="7"/>
  <c r="G46" i="7"/>
  <c r="I46" i="7"/>
  <c r="G36" i="7"/>
  <c r="I36" i="7"/>
  <c r="G37" i="7"/>
  <c r="I37" i="7"/>
  <c r="G38" i="7"/>
  <c r="I38" i="7"/>
  <c r="G39" i="7"/>
  <c r="I39" i="7"/>
  <c r="I29" i="7"/>
  <c r="I30" i="7"/>
  <c r="I31" i="7"/>
  <c r="I32" i="7"/>
  <c r="G22" i="7"/>
  <c r="I22" i="7"/>
  <c r="G23" i="7"/>
  <c r="I23" i="7"/>
  <c r="G24" i="7"/>
  <c r="I24" i="7"/>
  <c r="G25" i="7"/>
  <c r="I25" i="7"/>
  <c r="G15" i="7"/>
  <c r="I15" i="7"/>
  <c r="G16" i="7"/>
  <c r="I16" i="7"/>
  <c r="G17" i="7"/>
  <c r="I17" i="7"/>
  <c r="G18" i="7"/>
  <c r="I18" i="7"/>
  <c r="AD36" i="7"/>
  <c r="G64" i="7"/>
  <c r="G57" i="7"/>
  <c r="G49" i="7"/>
  <c r="G42" i="7"/>
  <c r="G35" i="7"/>
  <c r="G21" i="7"/>
  <c r="G14" i="7"/>
  <c r="H76" i="7"/>
  <c r="H62" i="7"/>
  <c r="H47" i="7"/>
  <c r="H33" i="7"/>
  <c r="H19" i="7"/>
  <c r="H69" i="7"/>
  <c r="H55" i="7"/>
  <c r="H40" i="7"/>
  <c r="H26" i="7"/>
  <c r="Y38" i="7"/>
  <c r="E7" i="8"/>
  <c r="F13" i="8"/>
  <c r="B16" i="8" s="1"/>
  <c r="S7" i="7"/>
  <c r="S11" i="7"/>
  <c r="S10" i="7"/>
  <c r="S8" i="7"/>
  <c r="T37" i="8"/>
  <c r="T36" i="8"/>
  <c r="H92" i="12"/>
  <c r="E89" i="12"/>
  <c r="K89" i="12"/>
  <c r="D89" i="12"/>
  <c r="J89" i="12" s="1"/>
  <c r="L89" i="12" s="1"/>
  <c r="C89" i="12"/>
  <c r="I89" i="12"/>
  <c r="K88" i="12"/>
  <c r="L88" i="12" s="1"/>
  <c r="F88" i="12"/>
  <c r="K87" i="12"/>
  <c r="J87" i="12"/>
  <c r="L87" i="12" s="1"/>
  <c r="I87" i="12"/>
  <c r="F87" i="12"/>
  <c r="K86" i="12"/>
  <c r="J86" i="12"/>
  <c r="L86" i="12" s="1"/>
  <c r="I86" i="12"/>
  <c r="F86" i="12"/>
  <c r="K85" i="12"/>
  <c r="J85" i="12"/>
  <c r="L85" i="12" s="1"/>
  <c r="I85" i="12"/>
  <c r="F85" i="12"/>
  <c r="K84" i="12"/>
  <c r="J84" i="12"/>
  <c r="L84" i="12" s="1"/>
  <c r="I84" i="12"/>
  <c r="F84" i="12"/>
  <c r="K83" i="12"/>
  <c r="J83" i="12"/>
  <c r="I83" i="12"/>
  <c r="F83" i="12"/>
  <c r="K82" i="12"/>
  <c r="J82" i="12"/>
  <c r="L82" i="12" s="1"/>
  <c r="I82" i="12"/>
  <c r="F82" i="12"/>
  <c r="L81" i="12"/>
  <c r="F81" i="12"/>
  <c r="J79" i="12"/>
  <c r="H79" i="12"/>
  <c r="H75" i="12"/>
  <c r="E72" i="12"/>
  <c r="K72" i="12" s="1"/>
  <c r="D72" i="12"/>
  <c r="J72" i="12" s="1"/>
  <c r="C72" i="12"/>
  <c r="I72" i="12" s="1"/>
  <c r="K71" i="12"/>
  <c r="L71" i="12" s="1"/>
  <c r="F71" i="12"/>
  <c r="K70" i="12"/>
  <c r="J70" i="12"/>
  <c r="L70" i="12" s="1"/>
  <c r="I70" i="12"/>
  <c r="F70" i="12"/>
  <c r="K69" i="12"/>
  <c r="J69" i="12"/>
  <c r="I69" i="12"/>
  <c r="F69" i="12"/>
  <c r="K68" i="12"/>
  <c r="J68" i="12"/>
  <c r="L68" i="12" s="1"/>
  <c r="I68" i="12"/>
  <c r="F68" i="12"/>
  <c r="K67" i="12"/>
  <c r="J67" i="12"/>
  <c r="I67" i="12"/>
  <c r="F67" i="12"/>
  <c r="K66" i="12"/>
  <c r="J66" i="12"/>
  <c r="L66" i="12" s="1"/>
  <c r="I66" i="12"/>
  <c r="F66" i="12"/>
  <c r="K65" i="12"/>
  <c r="J65" i="12"/>
  <c r="L65" i="12" s="1"/>
  <c r="I65" i="12"/>
  <c r="F65" i="12"/>
  <c r="L64" i="12"/>
  <c r="F64" i="12"/>
  <c r="J62" i="12"/>
  <c r="H62" i="12"/>
  <c r="H58" i="12"/>
  <c r="E55" i="12"/>
  <c r="K55" i="12"/>
  <c r="D55" i="12"/>
  <c r="J55" i="12" s="1"/>
  <c r="L55" i="12" s="1"/>
  <c r="C55" i="12"/>
  <c r="I55" i="12"/>
  <c r="K54" i="12"/>
  <c r="L54" i="12" s="1"/>
  <c r="F54" i="12"/>
  <c r="K53" i="12"/>
  <c r="J53" i="12"/>
  <c r="L53" i="12" s="1"/>
  <c r="I53" i="12"/>
  <c r="F53" i="12"/>
  <c r="K52" i="12"/>
  <c r="J52" i="12"/>
  <c r="L52" i="12" s="1"/>
  <c r="I52" i="12"/>
  <c r="F52" i="12"/>
  <c r="K51" i="12"/>
  <c r="J51" i="12"/>
  <c r="I51" i="12"/>
  <c r="F51" i="12"/>
  <c r="K50" i="12"/>
  <c r="J50" i="12"/>
  <c r="L50" i="12" s="1"/>
  <c r="I50" i="12"/>
  <c r="F50" i="12"/>
  <c r="K49" i="12"/>
  <c r="J49" i="12"/>
  <c r="L49" i="12" s="1"/>
  <c r="I49" i="12"/>
  <c r="F49" i="12"/>
  <c r="K48" i="12"/>
  <c r="J48" i="12"/>
  <c r="L48" i="12" s="1"/>
  <c r="I48" i="12"/>
  <c r="F48" i="12"/>
  <c r="L47" i="12"/>
  <c r="F47" i="12"/>
  <c r="J45" i="12"/>
  <c r="H45" i="12"/>
  <c r="K37" i="12"/>
  <c r="L37" i="12" s="1"/>
  <c r="L67" i="12"/>
  <c r="L69" i="12"/>
  <c r="L51" i="12"/>
  <c r="L83" i="12"/>
  <c r="H41" i="12"/>
  <c r="E38" i="12"/>
  <c r="K38" i="12" s="1"/>
  <c r="D38" i="12"/>
  <c r="J38" i="12"/>
  <c r="C38" i="12"/>
  <c r="I38" i="12" s="1"/>
  <c r="J28" i="12"/>
  <c r="H28" i="12"/>
  <c r="K32" i="12"/>
  <c r="K33" i="12"/>
  <c r="L33" i="12" s="1"/>
  <c r="K34" i="12"/>
  <c r="K35" i="12"/>
  <c r="K36" i="12"/>
  <c r="K31" i="12"/>
  <c r="J32" i="12"/>
  <c r="J33" i="12"/>
  <c r="J34" i="12"/>
  <c r="J35" i="12"/>
  <c r="J36" i="12"/>
  <c r="J31" i="12"/>
  <c r="I32" i="12"/>
  <c r="I33" i="12"/>
  <c r="I34" i="12"/>
  <c r="I35" i="12"/>
  <c r="I36" i="12"/>
  <c r="I31" i="12"/>
  <c r="L30" i="12"/>
  <c r="F37" i="12"/>
  <c r="F36" i="12"/>
  <c r="F35" i="12"/>
  <c r="F34" i="12"/>
  <c r="F33" i="12"/>
  <c r="F32" i="12"/>
  <c r="F31" i="12"/>
  <c r="F30" i="12"/>
  <c r="D6" i="11"/>
  <c r="F6" i="11"/>
  <c r="B7" i="11"/>
  <c r="D7" i="11"/>
  <c r="F7" i="11"/>
  <c r="H7" i="11"/>
  <c r="I7" i="11"/>
  <c r="J7" i="11"/>
  <c r="D9" i="11"/>
  <c r="B9" i="11"/>
  <c r="F9" i="11"/>
  <c r="D10" i="11"/>
  <c r="F10" i="11"/>
  <c r="H10" i="11"/>
  <c r="I10" i="11"/>
  <c r="D12" i="11"/>
  <c r="B12" i="11"/>
  <c r="F12" i="11"/>
  <c r="D13" i="11"/>
  <c r="F13" i="11"/>
  <c r="H13" i="11"/>
  <c r="I13" i="11"/>
  <c r="D15" i="11"/>
  <c r="F15" i="11"/>
  <c r="B16" i="11"/>
  <c r="D16" i="11"/>
  <c r="F16" i="11"/>
  <c r="H16" i="11"/>
  <c r="J16" i="11"/>
  <c r="I16" i="11"/>
  <c r="G19" i="11"/>
  <c r="H19" i="11"/>
  <c r="N19" i="11"/>
  <c r="D21" i="11"/>
  <c r="B21" i="11"/>
  <c r="F21" i="11"/>
  <c r="D22" i="11"/>
  <c r="F22" i="11"/>
  <c r="H22" i="11"/>
  <c r="I22" i="11"/>
  <c r="D24" i="11"/>
  <c r="B24" i="11"/>
  <c r="F24" i="11"/>
  <c r="D25" i="11"/>
  <c r="B25" i="11"/>
  <c r="F25" i="11"/>
  <c r="H25" i="11"/>
  <c r="I25" i="11"/>
  <c r="J25" i="11"/>
  <c r="D27" i="11"/>
  <c r="B27" i="11"/>
  <c r="F27" i="11"/>
  <c r="D28" i="11"/>
  <c r="F28" i="11"/>
  <c r="H28" i="11"/>
  <c r="J28" i="11"/>
  <c r="I28" i="11"/>
  <c r="D30" i="11"/>
  <c r="B30" i="11"/>
  <c r="G31" i="11"/>
  <c r="N31" i="11"/>
  <c r="F30" i="11"/>
  <c r="D31" i="11"/>
  <c r="B31" i="11"/>
  <c r="F31" i="11"/>
  <c r="H31" i="11"/>
  <c r="I31" i="11"/>
  <c r="D33" i="11"/>
  <c r="F33" i="11"/>
  <c r="B33" i="11"/>
  <c r="C34" i="11"/>
  <c r="B34" i="11"/>
  <c r="D34" i="11"/>
  <c r="F34" i="11"/>
  <c r="H34" i="11"/>
  <c r="J34" i="11"/>
  <c r="I34" i="11"/>
  <c r="B39" i="11"/>
  <c r="G39" i="11"/>
  <c r="N39" i="11"/>
  <c r="J40" i="11"/>
  <c r="B41" i="11"/>
  <c r="B42" i="11"/>
  <c r="B44" i="11"/>
  <c r="B45" i="11"/>
  <c r="G45" i="11"/>
  <c r="B47" i="11"/>
  <c r="B48" i="11"/>
  <c r="B52" i="11"/>
  <c r="B53" i="11"/>
  <c r="I19" i="11"/>
  <c r="J19" i="11"/>
  <c r="B54" i="11"/>
  <c r="G22" i="9"/>
  <c r="G23" i="9"/>
  <c r="M23" i="9"/>
  <c r="N23" i="9"/>
  <c r="N24"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G24"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G25" i="9"/>
  <c r="B28" i="9"/>
  <c r="C27" i="9" s="1"/>
  <c r="E6" i="8"/>
  <c r="T6" i="8"/>
  <c r="T7" i="8"/>
  <c r="B7" i="8"/>
  <c r="O7" i="8"/>
  <c r="F19" i="8"/>
  <c r="K21" i="8"/>
  <c r="L22" i="8"/>
  <c r="D22" i="8"/>
  <c r="J24" i="8"/>
  <c r="K24" i="8"/>
  <c r="E29"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I21" i="7"/>
  <c r="I26" i="7"/>
  <c r="I28" i="7"/>
  <c r="I33" i="7"/>
  <c r="I35" i="7"/>
  <c r="I40" i="7"/>
  <c r="I42" i="7"/>
  <c r="I47" i="7"/>
  <c r="I49" i="7"/>
  <c r="I55" i="7"/>
  <c r="I57" i="7"/>
  <c r="I62" i="7"/>
  <c r="I64" i="7"/>
  <c r="I69" i="7"/>
  <c r="G71" i="7"/>
  <c r="I71" i="7"/>
  <c r="I76" i="7"/>
  <c r="E13" i="3"/>
  <c r="D24" i="3"/>
  <c r="K12" i="3" s="1"/>
  <c r="C5" i="14" s="1"/>
  <c r="E16" i="14" s="1"/>
  <c r="C24" i="3"/>
  <c r="C45" i="3"/>
  <c r="I14" i="7"/>
  <c r="I19" i="7"/>
  <c r="P7" i="7"/>
  <c r="S6" i="8"/>
  <c r="L24" i="8"/>
  <c r="L36" i="8"/>
  <c r="L23" i="8"/>
  <c r="G25" i="11"/>
  <c r="N25" i="11"/>
  <c r="J22" i="11"/>
  <c r="B15" i="11"/>
  <c r="J10" i="11"/>
  <c r="B22" i="11"/>
  <c r="G22" i="11"/>
  <c r="N22" i="11"/>
  <c r="N45" i="11"/>
  <c r="B13" i="11"/>
  <c r="G13" i="11"/>
  <c r="N13" i="11"/>
  <c r="P8" i="7"/>
  <c r="B6" i="11"/>
  <c r="G7" i="11"/>
  <c r="M7" i="11"/>
  <c r="K19" i="11"/>
  <c r="M19" i="11"/>
  <c r="T8" i="8"/>
  <c r="S7" i="8"/>
  <c r="G21" i="9"/>
  <c r="G26" i="9" s="1"/>
  <c r="N25" i="9"/>
  <c r="N26" i="9"/>
  <c r="N27" i="9"/>
  <c r="N28" i="9"/>
  <c r="N29" i="9"/>
  <c r="N30" i="9"/>
  <c r="N31" i="9"/>
  <c r="N32" i="9"/>
  <c r="N33" i="9"/>
  <c r="N34" i="9"/>
  <c r="N35" i="9"/>
  <c r="N36" i="9"/>
  <c r="N37" i="9"/>
  <c r="N38" i="9"/>
  <c r="N39" i="9"/>
  <c r="N40" i="9"/>
  <c r="N41" i="9"/>
  <c r="N42" i="9"/>
  <c r="N43" i="9"/>
  <c r="N44" i="9"/>
  <c r="N45" i="9"/>
  <c r="N46" i="9"/>
  <c r="N47" i="9"/>
  <c r="N48" i="9"/>
  <c r="N49" i="9"/>
  <c r="N50" i="9"/>
  <c r="N51" i="9"/>
  <c r="M22" i="11"/>
  <c r="O8" i="8"/>
  <c r="K25" i="11"/>
  <c r="G34" i="11"/>
  <c r="M25" i="11"/>
  <c r="G48" i="11"/>
  <c r="N48" i="11"/>
  <c r="G16" i="11"/>
  <c r="J31" i="11"/>
  <c r="B28" i="11"/>
  <c r="G28" i="11"/>
  <c r="N28" i="11"/>
  <c r="J13" i="11"/>
  <c r="G42" i="11"/>
  <c r="N42" i="11"/>
  <c r="B10" i="11"/>
  <c r="G10" i="11"/>
  <c r="L36" i="12"/>
  <c r="K22" i="11"/>
  <c r="N10" i="11"/>
  <c r="M10" i="11"/>
  <c r="K10" i="11"/>
  <c r="K13" i="11"/>
  <c r="M13" i="11"/>
  <c r="K28" i="11"/>
  <c r="N16" i="11"/>
  <c r="K16" i="11"/>
  <c r="M16" i="11"/>
  <c r="K31" i="11"/>
  <c r="M31" i="11"/>
  <c r="N7" i="11"/>
  <c r="K7" i="11"/>
  <c r="O9" i="8"/>
  <c r="M28" i="11"/>
  <c r="T9" i="8"/>
  <c r="S8" i="8"/>
  <c r="N34" i="11"/>
  <c r="K34" i="11"/>
  <c r="M34" i="11"/>
  <c r="O10" i="8"/>
  <c r="T10" i="8"/>
  <c r="S9" i="8"/>
  <c r="T11" i="8"/>
  <c r="S10" i="8"/>
  <c r="O11" i="8"/>
  <c r="T12" i="8"/>
  <c r="S11" i="8"/>
  <c r="O12" i="8"/>
  <c r="O13" i="8"/>
  <c r="T13" i="8"/>
  <c r="S12" i="8"/>
  <c r="S13" i="8"/>
  <c r="T14" i="8"/>
  <c r="O14" i="8"/>
  <c r="O15" i="8"/>
  <c r="S14" i="8"/>
  <c r="T15" i="8"/>
  <c r="T16" i="8"/>
  <c r="S15" i="8"/>
  <c r="O16" i="8"/>
  <c r="O17" i="8"/>
  <c r="T17" i="8"/>
  <c r="S16" i="8"/>
  <c r="S17" i="8"/>
  <c r="T18" i="8"/>
  <c r="O18" i="8"/>
  <c r="O19" i="8"/>
  <c r="S18" i="8"/>
  <c r="T19" i="8"/>
  <c r="O20" i="8"/>
  <c r="S19" i="8"/>
  <c r="T20" i="8"/>
  <c r="T21" i="8"/>
  <c r="S20" i="8"/>
  <c r="O21" i="8"/>
  <c r="O22" i="8"/>
  <c r="T22" i="8"/>
  <c r="S21" i="8"/>
  <c r="S22" i="8"/>
  <c r="T23" i="8"/>
  <c r="O23" i="8"/>
  <c r="S23" i="8"/>
  <c r="T24" i="8"/>
  <c r="O24" i="8"/>
  <c r="T25" i="8"/>
  <c r="S24" i="8"/>
  <c r="O25" i="8"/>
  <c r="O26" i="8"/>
  <c r="T26" i="8"/>
  <c r="S25" i="8"/>
  <c r="O27" i="8"/>
  <c r="S26" i="8"/>
  <c r="T27" i="8"/>
  <c r="S27" i="8"/>
  <c r="T28" i="8"/>
  <c r="O28" i="8"/>
  <c r="O29" i="8"/>
  <c r="T29" i="8"/>
  <c r="S28" i="8"/>
  <c r="T30" i="8"/>
  <c r="S29" i="8"/>
  <c r="O30" i="8"/>
  <c r="O31" i="8"/>
  <c r="S30" i="8"/>
  <c r="T31" i="8"/>
  <c r="S31" i="8"/>
  <c r="T32" i="8"/>
  <c r="O32" i="8"/>
  <c r="O33" i="8"/>
  <c r="S32" i="8"/>
  <c r="T33" i="8"/>
  <c r="S33" i="8"/>
  <c r="O34" i="8"/>
  <c r="O35" i="8"/>
  <c r="O36" i="8"/>
  <c r="O37" i="8"/>
  <c r="O38" i="8"/>
  <c r="O39" i="8"/>
  <c r="O40" i="8"/>
  <c r="O41" i="8"/>
  <c r="O42" i="8"/>
  <c r="E20" i="8" l="1"/>
  <c r="D20" i="8" s="1"/>
  <c r="F20" i="8" s="1"/>
  <c r="E21" i="8"/>
  <c r="D21" i="8" s="1"/>
  <c r="F21" i="8" s="1"/>
  <c r="F15" i="8"/>
  <c r="E22" i="8"/>
  <c r="F22" i="8" s="1"/>
  <c r="F14" i="8"/>
  <c r="G27" i="9"/>
  <c r="G28" i="9" s="1"/>
  <c r="P9" i="7"/>
  <c r="C34" i="3"/>
  <c r="E14" i="3" s="1"/>
  <c r="L106" i="12"/>
  <c r="Z102" i="12"/>
  <c r="L117" i="12"/>
  <c r="Z118" i="12"/>
  <c r="Z124" i="12" s="1"/>
  <c r="Z125" i="12" s="1"/>
  <c r="Z126" i="12" s="1"/>
  <c r="Z121" i="12"/>
  <c r="L35" i="12"/>
  <c r="T107" i="12"/>
  <c r="T108" i="12" s="1"/>
  <c r="T109" i="12" s="1"/>
  <c r="L32" i="12"/>
  <c r="L34" i="12"/>
  <c r="L31" i="12"/>
  <c r="F89" i="12"/>
  <c r="F90" i="12" s="1"/>
  <c r="F91" i="12" s="1"/>
  <c r="F92" i="12" s="1"/>
  <c r="Z86" i="12"/>
  <c r="Y106" i="12"/>
  <c r="Z106" i="12" s="1"/>
  <c r="Z107" i="12" s="1"/>
  <c r="Z108" i="12" s="1"/>
  <c r="Z109" i="12" s="1"/>
  <c r="L116" i="12"/>
  <c r="L124" i="12" s="1"/>
  <c r="L125" i="12" s="1"/>
  <c r="L126" i="12" s="1"/>
  <c r="L118" i="12"/>
  <c r="L120" i="12"/>
  <c r="Z119" i="12"/>
  <c r="Z65" i="12"/>
  <c r="F106" i="12"/>
  <c r="F107" i="12" s="1"/>
  <c r="F108" i="12" s="1"/>
  <c r="F109" i="12" s="1"/>
  <c r="T72" i="12"/>
  <c r="T73" i="12" s="1"/>
  <c r="T74" i="12" s="1"/>
  <c r="T75" i="12" s="1"/>
  <c r="Z56" i="12"/>
  <c r="Z57" i="12" s="1"/>
  <c r="Z58" i="12" s="1"/>
  <c r="L119" i="12"/>
  <c r="T90" i="12"/>
  <c r="T91" i="12" s="1"/>
  <c r="T92" i="12" s="1"/>
  <c r="Z70" i="12"/>
  <c r="Z123" i="12"/>
  <c r="F56" i="12"/>
  <c r="F57" i="12" s="1"/>
  <c r="F58" i="12" s="1"/>
  <c r="L107" i="12"/>
  <c r="L108" i="12" s="1"/>
  <c r="L109" i="12" s="1"/>
  <c r="L56" i="12"/>
  <c r="L57" i="12" s="1"/>
  <c r="L58" i="12" s="1"/>
  <c r="L90" i="12"/>
  <c r="L91" i="12" s="1"/>
  <c r="L92" i="12" s="1"/>
  <c r="L72" i="12"/>
  <c r="L73" i="12" s="1"/>
  <c r="L74" i="12" s="1"/>
  <c r="L75" i="12" s="1"/>
  <c r="F72" i="12"/>
  <c r="F73" i="12" s="1"/>
  <c r="F74" i="12" s="1"/>
  <c r="F75" i="12" s="1"/>
  <c r="F123" i="12"/>
  <c r="F124" i="12" s="1"/>
  <c r="F125" i="12" s="1"/>
  <c r="F126" i="12" s="1"/>
  <c r="L38" i="12"/>
  <c r="T123" i="12"/>
  <c r="T124" i="12" s="1"/>
  <c r="T125" i="12" s="1"/>
  <c r="T126" i="12" s="1"/>
  <c r="T55" i="12"/>
  <c r="T56" i="12" s="1"/>
  <c r="T57" i="12" s="1"/>
  <c r="T58" i="12" s="1"/>
  <c r="F55" i="12"/>
  <c r="F38" i="12"/>
  <c r="F39" i="12" s="1"/>
  <c r="F40" i="12" s="1"/>
  <c r="F41" i="12" s="1"/>
  <c r="X89" i="12"/>
  <c r="Z89" i="12" s="1"/>
  <c r="Z90" i="12" s="1"/>
  <c r="Z91" i="12" s="1"/>
  <c r="Z92" i="12" s="1"/>
  <c r="Y72" i="12"/>
  <c r="Z72" i="12" s="1"/>
  <c r="Z73" i="12" s="1"/>
  <c r="Z74" i="12" s="1"/>
  <c r="Z75" i="12" s="1"/>
  <c r="K16" i="14"/>
  <c r="D25" i="3"/>
  <c r="F27" i="14"/>
  <c r="F16" i="14"/>
  <c r="F18" i="14" s="1"/>
  <c r="F28" i="14"/>
  <c r="F31" i="14" s="1"/>
  <c r="E27" i="14"/>
  <c r="C46" i="3"/>
  <c r="K7" i="3"/>
  <c r="K13" i="3" s="1"/>
  <c r="S9" i="9"/>
  <c r="K15" i="3"/>
  <c r="E28" i="14"/>
  <c r="E31" i="14" s="1"/>
  <c r="F24" i="8" l="1"/>
  <c r="F39" i="8"/>
  <c r="F33" i="8"/>
  <c r="F29" i="8"/>
  <c r="F35" i="8" s="1"/>
  <c r="F37" i="8" s="1"/>
  <c r="L38" i="8" s="1"/>
  <c r="F26" i="8"/>
  <c r="F41" i="8" s="1"/>
  <c r="L39" i="12"/>
  <c r="L40" i="12" s="1"/>
  <c r="L41" i="12" s="1"/>
  <c r="F22" i="14"/>
  <c r="E22" i="14"/>
  <c r="E18" i="14"/>
  <c r="C6" i="14"/>
  <c r="K16" i="3"/>
  <c r="S6" i="9"/>
  <c r="S12" i="9"/>
  <c r="S7" i="9"/>
  <c r="K27" i="14" l="1"/>
  <c r="L16" i="14"/>
  <c r="I16" i="14"/>
  <c r="K20" i="3"/>
  <c r="K23" i="3" s="1"/>
  <c r="K17" i="3"/>
  <c r="I27" i="14"/>
  <c r="J16" i="14"/>
  <c r="J27" i="14"/>
  <c r="C7" i="14"/>
  <c r="G7" i="9" l="1"/>
  <c r="B5" i="14"/>
  <c r="B5" i="15"/>
  <c r="B5" i="2"/>
  <c r="B5" i="7"/>
  <c r="L22" i="14"/>
  <c r="L18" i="14"/>
  <c r="K18" i="14"/>
  <c r="K22" i="14"/>
  <c r="K24" i="14" s="1"/>
  <c r="B8" i="9"/>
  <c r="H16" i="14"/>
  <c r="G28" i="14"/>
  <c r="G31" i="14" s="1"/>
  <c r="H28" i="14"/>
  <c r="H31" i="14" s="1"/>
  <c r="G16" i="14"/>
  <c r="H27" i="14"/>
  <c r="G27" i="14"/>
  <c r="J18" i="14"/>
  <c r="J22" i="14"/>
  <c r="I22" i="14"/>
  <c r="I18" i="14"/>
  <c r="G12" i="9" l="1"/>
  <c r="H12" i="9"/>
  <c r="G18" i="14"/>
  <c r="G22" i="14"/>
  <c r="K29" i="3"/>
  <c r="K32" i="3" s="1"/>
  <c r="H18" i="14"/>
  <c r="H22" i="14"/>
  <c r="B11" i="9"/>
  <c r="B9" i="9"/>
  <c r="B10" i="9"/>
  <c r="L13" i="14"/>
  <c r="B12" i="9"/>
  <c r="L12" i="14" l="1"/>
  <c r="G6" i="9"/>
  <c r="I13" i="14" s="1"/>
  <c r="H7" i="9"/>
  <c r="L14" i="14"/>
  <c r="E12" i="14"/>
  <c r="G12" i="14"/>
  <c r="H12" i="14"/>
  <c r="F12" i="14"/>
  <c r="B7" i="9"/>
  <c r="J13" i="14"/>
  <c r="J12" i="14" l="1"/>
  <c r="J14" i="14" s="1"/>
  <c r="J15" i="14" s="1"/>
  <c r="J21" i="14" s="1"/>
  <c r="J24" i="14" s="1"/>
  <c r="I12" i="14"/>
  <c r="I14" i="14" s="1"/>
  <c r="I15" i="14" s="1"/>
  <c r="I21" i="14" s="1"/>
  <c r="I24" i="14" s="1"/>
  <c r="H6" i="9"/>
  <c r="L15" i="14"/>
  <c r="L21" i="14" s="1"/>
  <c r="L24" i="14" s="1"/>
  <c r="G15" i="14"/>
  <c r="G21" i="14" s="1"/>
  <c r="G24" i="14" s="1"/>
  <c r="G14" i="14"/>
  <c r="E14" i="14"/>
  <c r="E15" i="14"/>
  <c r="E21" i="14" s="1"/>
  <c r="E24" i="14" s="1"/>
  <c r="F15" i="14"/>
  <c r="F21" i="14" s="1"/>
  <c r="F24" i="14" s="1"/>
  <c r="F14" i="14"/>
  <c r="H14" i="14"/>
  <c r="H15" i="14"/>
  <c r="H21" i="14" s="1"/>
  <c r="H2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tc={849307A4-B8C0-4F3C-87BC-3D3D0A16DFE5}</author>
    <author>tc={E40429D2-C153-45C6-85D4-7BAAA497D8BD}</author>
    <author>tc={6BD14FF9-C8F5-49C9-8A08-90E437324860}</author>
  </authors>
  <commentList>
    <comment ref="K10" authorId="0" shapeId="0" xr:uid="{849307A4-B8C0-4F3C-87BC-3D3D0A16DFE5}">
      <text>
        <t>[Threaded comment]
Your version of Excel allows you to read this threaded comment; however, any edits to it will get removed if the file is opened in a newer version of Excel. Learn more: https://go.microsoft.com/fwlink/?linkid=870924
Comment:
    2300 ohne Warmwasser</t>
      </text>
    </comment>
    <comment ref="E14" authorId="1" shapeId="0" xr:uid="{E40429D2-C153-45C6-85D4-7BAAA497D8BD}">
      <text>
        <t>[Threaded comment]
Your version of Excel allows you to read this threaded comment; however, any edits to it will get removed if the file is opened in a newer version of Excel. Learn more: https://go.microsoft.com/fwlink/?linkid=870924
Comment:
    EFH mit 4 Personen ohne WW 
= 20 kWh/m2 guter Mittelwert</t>
      </text>
    </comment>
    <comment ref="D25" authorId="2" shapeId="0" xr:uid="{6BD14FF9-C8F5-49C9-8A08-90E437324860}">
      <text>
        <t>[Threaded comment]
Your version of Excel allows you to read this threaded comment; however, any edits to it will get removed if the file is opened in a newer version of Excel. Learn more: https://go.microsoft.com/fwlink/?linkid=870924
Comment:
    40 kWh/m2 = Neubau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tc={712F8A7B-9319-4524-8EA3-1DC3F61E73B7}</author>
    <author>tc={AB1477A6-FF73-4674-9721-2BC1FBEE762C}</author>
  </authors>
  <commentList>
    <comment ref="O12" authorId="0" shapeId="0" xr:uid="{712F8A7B-9319-4524-8EA3-1DC3F61E73B7}">
      <text>
        <t>[Threaded comment]
Your version of Excel allows you to read this threaded comment; however, any edits to it will get removed if the file is opened in a newer version of Excel. Learn more: https://go.microsoft.com/fwlink/?linkid=870924
Comment:
    https://www.pelletpreis.ch/de/article/55314/pelletpreis-ch-preise-steigen-im-montagsvergleich-leicht-an-deutlicher-preisvorteil-verglichen-mit-erdgas-und-heizol</t>
      </text>
    </comment>
    <comment ref="O15" authorId="1" shapeId="0" xr:uid="{AB1477A6-FF73-4674-9721-2BC1FBEE762C}">
      <text>
        <t>[Threaded comment]
Your version of Excel allows you to read this threaded comment; however, any edits to it will get removed if the file is opened in a newer version of Excel. Learn more: https://go.microsoft.com/fwlink/?linkid=870924
Comment:
    Stand 02.2024 Info EZL, Roman Fausch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Werner Hässig</author>
  </authors>
  <commentList>
    <comment ref="B54" authorId="0" shapeId="0" xr:uid="{00000000-0006-0000-0700-000001000000}">
      <text>
        <r>
          <rPr>
            <b/>
            <sz val="9"/>
            <color indexed="81"/>
            <rFont val="Tahoma"/>
            <family val="2"/>
          </rPr>
          <t>Werner Hässig:</t>
        </r>
        <r>
          <rPr>
            <sz val="9"/>
            <color indexed="81"/>
            <rFont val="Tahoma"/>
            <family val="2"/>
          </rPr>
          <t xml:space="preserve">
Formel Annuität
</t>
        </r>
      </text>
    </comment>
  </commentList>
</comments>
</file>

<file path=xl/sharedStrings.xml><?xml version="1.0" encoding="utf-8"?>
<sst xmlns="http://schemas.openxmlformats.org/spreadsheetml/2006/main" count="1140" uniqueCount="571">
  <si>
    <t>Nr.</t>
  </si>
  <si>
    <t>Was</t>
  </si>
  <si>
    <t>d in m</t>
  </si>
  <si>
    <t>Wärmeübergang Innen</t>
  </si>
  <si>
    <t>R total =</t>
  </si>
  <si>
    <t>d/λ (R )</t>
  </si>
  <si>
    <t>λ</t>
  </si>
  <si>
    <t>W/m2K</t>
  </si>
  <si>
    <t>Kalksandstein</t>
  </si>
  <si>
    <t>Innenputz</t>
  </si>
  <si>
    <t>Aussenputz</t>
  </si>
  <si>
    <t>Holz</t>
  </si>
  <si>
    <t>Unterlagsboden</t>
  </si>
  <si>
    <t>Kork/Korkschrottmatte</t>
  </si>
  <si>
    <t>Backstein (Einsteinmauerwerk)</t>
  </si>
  <si>
    <t>Backstein (Verbandmrwk) d=28-30</t>
  </si>
  <si>
    <t>Stahlbeton</t>
  </si>
  <si>
    <t>Schlacke</t>
  </si>
  <si>
    <t>b-Faktor</t>
  </si>
  <si>
    <t>U-Wert (ohne b-Faktor) =</t>
  </si>
  <si>
    <t>U-Wert (mit b-Faktor) =</t>
  </si>
  <si>
    <t>Wärmeübergang gegen Erdreich</t>
  </si>
  <si>
    <t>Bauteil</t>
  </si>
  <si>
    <r>
      <t>l</t>
    </r>
    <r>
      <rPr>
        <sz val="10"/>
        <rFont val="Arial"/>
        <family val="2"/>
      </rPr>
      <t xml:space="preserve"> [W/mK]</t>
    </r>
  </si>
  <si>
    <t>- Bauteil wählen -</t>
  </si>
  <si>
    <t>Blähtonbeton</t>
  </si>
  <si>
    <t>Bruchstein (Kalkstein)</t>
  </si>
  <si>
    <t>Bruchstein (Sandstein)</t>
  </si>
  <si>
    <t>Bruchsteinmauerwerk</t>
  </si>
  <si>
    <t>Buchenholz</t>
  </si>
  <si>
    <t>Calmo-Backstein</t>
  </si>
  <si>
    <t>Duripanelplatte</t>
  </si>
  <si>
    <t>Durisol-Dachplatte</t>
  </si>
  <si>
    <t>Eichenholz</t>
  </si>
  <si>
    <t>Einsteinmauerwerk</t>
  </si>
  <si>
    <t>Erdmaterial</t>
  </si>
  <si>
    <t>Fichtenholz</t>
  </si>
  <si>
    <t>Flumroc Dachplatte</t>
  </si>
  <si>
    <t>Flumroc Isolierplatte</t>
  </si>
  <si>
    <t>Flumroc-Feingranulat</t>
  </si>
  <si>
    <t>Foamglasplatte</t>
  </si>
  <si>
    <t>Gasbeton</t>
  </si>
  <si>
    <t>Gasbeton-Dachplatte</t>
  </si>
  <si>
    <t>Gipskartonplatte</t>
  </si>
  <si>
    <t>Gipsplatte</t>
  </si>
  <si>
    <t>Glasfasern</t>
  </si>
  <si>
    <t>Glasfaserplatte</t>
  </si>
  <si>
    <t>Glaswolle</t>
  </si>
  <si>
    <t>Gussasphaltbelag</t>
  </si>
  <si>
    <t>Holzspanplatte</t>
  </si>
  <si>
    <t>Holzspanplatte halbhart</t>
  </si>
  <si>
    <t>Holzspanplatte hart</t>
  </si>
  <si>
    <t>Holzspanplatte Novophen</t>
  </si>
  <si>
    <t>Holzspanplatte weich</t>
  </si>
  <si>
    <t>Isolierbackstein</t>
  </si>
  <si>
    <t>Keramische Platten</t>
  </si>
  <si>
    <t>Kies/Sand-Schutzschicht</t>
  </si>
  <si>
    <t>Klinkerplatten</t>
  </si>
  <si>
    <t>Kokosfasermatte</t>
  </si>
  <si>
    <t>Korkplatte</t>
  </si>
  <si>
    <t>Korkschrot expandiert</t>
  </si>
  <si>
    <t>Korkschrot natur</t>
  </si>
  <si>
    <t>Korkschrotmatte</t>
  </si>
  <si>
    <t>Marmorplatten</t>
  </si>
  <si>
    <t>Perlit-Platte</t>
  </si>
  <si>
    <t>Perlit-Schüttung</t>
  </si>
  <si>
    <t>Polystyrolplatte exp.</t>
  </si>
  <si>
    <t>Polystyrolplatte extr.</t>
  </si>
  <si>
    <t>Polyurehanhartschaum</t>
  </si>
  <si>
    <t>Rundkies</t>
  </si>
  <si>
    <t>Sarna-Aussendämmpl.</t>
  </si>
  <si>
    <t>Sarnapur-Platte</t>
  </si>
  <si>
    <t>Sarnatherm-Polystyrolpl.</t>
  </si>
  <si>
    <t>Schaumglasolatte</t>
  </si>
  <si>
    <t>Schaumpolystyrol exp.</t>
  </si>
  <si>
    <t>Sichtbackstein</t>
  </si>
  <si>
    <t>Splitt</t>
  </si>
  <si>
    <t>Steinwolle</t>
  </si>
  <si>
    <t>Steinwollplatte</t>
  </si>
  <si>
    <t>Steinzeugplatten</t>
  </si>
  <si>
    <t>Tonisolierplatte</t>
  </si>
  <si>
    <t>Tonplatten</t>
  </si>
  <si>
    <t>Verbandmauerwerk</t>
  </si>
  <si>
    <t>Zementgeb. Holzwollepl.</t>
  </si>
  <si>
    <t>Zementüberzug</t>
  </si>
  <si>
    <t>b-Faktoren</t>
  </si>
  <si>
    <t>Estrichraum, Schrägdach ungedämmt</t>
  </si>
  <si>
    <t>Estrichraum, Schrägdach gedämmt U&lt;0.4</t>
  </si>
  <si>
    <t>Kellerraum ganz im Erdreich</t>
  </si>
  <si>
    <t>Kellerraum teilweise oder ganz über dem Erdreich</t>
  </si>
  <si>
    <t>angebauter Raum</t>
  </si>
  <si>
    <t>Glasvorbau</t>
  </si>
  <si>
    <t xml:space="preserve">Tabellenblatt </t>
  </si>
  <si>
    <t>Bauteilkatalog</t>
  </si>
  <si>
    <t>Energieauswertung</t>
  </si>
  <si>
    <t>Verbrauch NT</t>
  </si>
  <si>
    <t>Verbrauch HT</t>
  </si>
  <si>
    <t>Verbrauch</t>
  </si>
  <si>
    <t>kWh</t>
  </si>
  <si>
    <t>Mittelwert</t>
  </si>
  <si>
    <t>kWh/m2</t>
  </si>
  <si>
    <t>m3</t>
  </si>
  <si>
    <t>Kalt-Wasser [m3]</t>
  </si>
  <si>
    <t>m3/m2</t>
  </si>
  <si>
    <t>Flächen</t>
  </si>
  <si>
    <t>m2</t>
  </si>
  <si>
    <t>Baujahr</t>
  </si>
  <si>
    <t>Zusammenstellung der Gebäudehülle</t>
  </si>
  <si>
    <t>Bauteil Nr.</t>
  </si>
  <si>
    <t>Beschrieb</t>
  </si>
  <si>
    <t>Länge / Umfang</t>
  </si>
  <si>
    <t>Breite / Höhe</t>
  </si>
  <si>
    <t>[m]</t>
  </si>
  <si>
    <t>Dach gegen Aussenluft</t>
  </si>
  <si>
    <t>Kontrolle</t>
  </si>
  <si>
    <t>Dach</t>
  </si>
  <si>
    <t>Boden</t>
  </si>
  <si>
    <t>EBF</t>
  </si>
  <si>
    <t>Decke gegen unbeheizt</t>
  </si>
  <si>
    <t>Wand gegen Aussenluft</t>
  </si>
  <si>
    <t>Wand gegen Erdreich</t>
  </si>
  <si>
    <t>Wand gegen unbeheizt</t>
  </si>
  <si>
    <t>Boden gegen Erdreich</t>
  </si>
  <si>
    <t>Boden gegen unbeheizt</t>
  </si>
  <si>
    <t>Boden gegen aussen</t>
  </si>
  <si>
    <t>Total EBF</t>
  </si>
  <si>
    <t>Jahr</t>
  </si>
  <si>
    <t>Stockwerk</t>
  </si>
  <si>
    <t xml:space="preserve">EBF </t>
  </si>
  <si>
    <t>kWh/a</t>
  </si>
  <si>
    <t>kW</t>
  </si>
  <si>
    <t>h</t>
  </si>
  <si>
    <t>-</t>
  </si>
  <si>
    <t>Reserve</t>
  </si>
  <si>
    <t>W/m</t>
  </si>
  <si>
    <t>m</t>
  </si>
  <si>
    <t>Holzwollenplatte</t>
  </si>
  <si>
    <t>Bspw. Gargendecke</t>
  </si>
  <si>
    <t>Kellerboden im Erdreich</t>
  </si>
  <si>
    <t>Anzahl</t>
  </si>
  <si>
    <t>Fläche</t>
  </si>
  <si>
    <t>Fläche Total</t>
  </si>
  <si>
    <t>[Stk.]</t>
  </si>
  <si>
    <t>Ausrichtung</t>
  </si>
  <si>
    <t>Fenster und Türen</t>
  </si>
  <si>
    <t>Gelbe Felder bearbeiten</t>
  </si>
  <si>
    <t>Grösse der Anlage [m2]</t>
  </si>
  <si>
    <t>Dachfläche</t>
  </si>
  <si>
    <t>Abzüge (Kamin, Lüftung, etc.)</t>
  </si>
  <si>
    <t>Nutzbare Dachfläche</t>
  </si>
  <si>
    <t>Bsp.</t>
  </si>
  <si>
    <t>Anlage Daten</t>
  </si>
  <si>
    <t>System</t>
  </si>
  <si>
    <t>Aufdach</t>
  </si>
  <si>
    <t>Anlage in Uster</t>
  </si>
  <si>
    <t>Grösse</t>
  </si>
  <si>
    <t>Ertrag der Anlage</t>
  </si>
  <si>
    <t>Anlagekosten</t>
  </si>
  <si>
    <t>Ertrag (aus Eigennutzung und Einspeisung)</t>
  </si>
  <si>
    <t>EIV Grundbetrag</t>
  </si>
  <si>
    <t>Eigenstromanteil (Standard 20-30% EFH)</t>
  </si>
  <si>
    <t>Eigennutzung</t>
  </si>
  <si>
    <t>Einspeisung</t>
  </si>
  <si>
    <t>Ertrag</t>
  </si>
  <si>
    <t>Eigenstromanteil</t>
  </si>
  <si>
    <t>HT</t>
  </si>
  <si>
    <t>Total Förderbeiträge</t>
  </si>
  <si>
    <t>NT</t>
  </si>
  <si>
    <t>Mischtarif</t>
  </si>
  <si>
    <t>Nettoinvestitionskosten netto</t>
  </si>
  <si>
    <t>(Energiepreise Energie Uster)</t>
  </si>
  <si>
    <t>Kapitalkosten und Betriebskosten</t>
  </si>
  <si>
    <t>Kapitalkosten Annuität</t>
  </si>
  <si>
    <t>CHF/Jahr</t>
  </si>
  <si>
    <t>Durchschnittszins</t>
  </si>
  <si>
    <t>Laufzeit</t>
  </si>
  <si>
    <t>Betriebskosten [CHF/a]</t>
  </si>
  <si>
    <t>Total Jahreskosten</t>
  </si>
  <si>
    <t>Gestehungskosten [CHF/kWh]</t>
  </si>
  <si>
    <t>vs.</t>
  </si>
  <si>
    <t>Ertrag aus Eigennutzung und Einspeisung [CHF/kWh]</t>
  </si>
  <si>
    <t>Spezifische Kosten OHNE Fördergelder [CHF/kWp]</t>
  </si>
  <si>
    <t>Anlage ist wirtschaftlich?</t>
  </si>
  <si>
    <t>Spezifische Kosten MIT Fördergelder [CHF/kWp]</t>
  </si>
  <si>
    <t xml:space="preserve">Stand </t>
  </si>
  <si>
    <t>JS</t>
  </si>
  <si>
    <t>Kosten Aufdach PVA</t>
  </si>
  <si>
    <t>Kosten Indach PVA</t>
  </si>
  <si>
    <t>kWp</t>
  </si>
  <si>
    <t>CHF/ kWp</t>
  </si>
  <si>
    <t>Indach</t>
  </si>
  <si>
    <t>Fördergelder Grundbeitrag</t>
  </si>
  <si>
    <t>&lt;30 kWp</t>
  </si>
  <si>
    <t>max 30'000</t>
  </si>
  <si>
    <t>Ökofonds Uster</t>
  </si>
  <si>
    <t>Kosten Wärmepumpe Luft</t>
  </si>
  <si>
    <t>Kosten Wärmepumpe Erdsonde</t>
  </si>
  <si>
    <t>Kosten Ölheizung</t>
  </si>
  <si>
    <t>Kosten Gasheizung</t>
  </si>
  <si>
    <t>Kosten Pelletheizung</t>
  </si>
  <si>
    <t>Heizleistung</t>
  </si>
  <si>
    <t>Komfortlüftung inkl. minimalen bauliche Kosten</t>
  </si>
  <si>
    <t>Wohnungsgrössen</t>
  </si>
  <si>
    <t>Zi- Wohnung</t>
  </si>
  <si>
    <t>Anzahl  Wohnungen</t>
  </si>
  <si>
    <t>Wohnungen mit totalen Lüftungskosten von</t>
  </si>
  <si>
    <t>Anzahl Wohnungen und Wohnungsgrösse</t>
  </si>
  <si>
    <t>Öl</t>
  </si>
  <si>
    <t>Fenster</t>
  </si>
  <si>
    <t>Wirtschaftlichkeit</t>
  </si>
  <si>
    <t>(nur für internen Gebrauch)</t>
  </si>
  <si>
    <t>Einsparung pro Jahr</t>
  </si>
  <si>
    <t>Preis der</t>
  </si>
  <si>
    <t>Preis für eine kWh fossil (Standard 7 Rp.)</t>
  </si>
  <si>
    <t>Qt</t>
  </si>
  <si>
    <t>U</t>
  </si>
  <si>
    <t>A</t>
  </si>
  <si>
    <t>HGT</t>
  </si>
  <si>
    <t>Umrechn.</t>
  </si>
  <si>
    <t>Einspar.</t>
  </si>
  <si>
    <t>Inves.-kosten</t>
  </si>
  <si>
    <t>Annuität</t>
  </si>
  <si>
    <t>Kosten</t>
  </si>
  <si>
    <t>Einsp.</t>
  </si>
  <si>
    <t>CHF/kWh</t>
  </si>
  <si>
    <t>Einsparung Total</t>
  </si>
  <si>
    <t>für Berechnung Einsparung Total</t>
  </si>
  <si>
    <t>Kd</t>
  </si>
  <si>
    <t>CHF</t>
  </si>
  <si>
    <t>CHF/a</t>
  </si>
  <si>
    <t>% der Ko. angerech.</t>
  </si>
  <si>
    <t>Kellerboden</t>
  </si>
  <si>
    <t>vorher</t>
  </si>
  <si>
    <t>nachher</t>
  </si>
  <si>
    <t>Kellerdecke</t>
  </si>
  <si>
    <t>Kellerwände</t>
  </si>
  <si>
    <t>Solar</t>
  </si>
  <si>
    <t>(knapp dimensioniert)</t>
  </si>
  <si>
    <t xml:space="preserve">Storenkasten mit 2cm Aerogel </t>
  </si>
  <si>
    <t>Estrichboden</t>
  </si>
  <si>
    <t>Aussen-Wand</t>
  </si>
  <si>
    <t>Komfortlüftung</t>
  </si>
  <si>
    <t>m3/h</t>
  </si>
  <si>
    <t>Heizung</t>
  </si>
  <si>
    <t>Wärmepumpe</t>
  </si>
  <si>
    <t>Kosten Strom/kWh</t>
  </si>
  <si>
    <t>Kosten fossil/kWh</t>
  </si>
  <si>
    <t>COP</t>
  </si>
  <si>
    <t>Ist abhängig von VL-Temp., und ES-WP oder Luft-WP</t>
  </si>
  <si>
    <t>nacher</t>
  </si>
  <si>
    <t>Siehe Tabelle</t>
  </si>
  <si>
    <t>Pellet</t>
  </si>
  <si>
    <t>Kosten Pellet/kWh</t>
  </si>
  <si>
    <t>Effizenzsteigerung</t>
  </si>
  <si>
    <t>Die Kosten der Heizung befindet sich im Tabellenbalt "Kosten Heizung Grafik (JS)"</t>
  </si>
  <si>
    <t>Die Kosten hat JS zusammengestellt und gelten als eine erste Einschätzung für den EB Bericht, Genauigkeit +/-25%</t>
  </si>
  <si>
    <t>Öl (1:1 Ersatz)</t>
  </si>
  <si>
    <t>Gas (1:1 Ersatz)</t>
  </si>
  <si>
    <t>Kosten pro Jahr</t>
  </si>
  <si>
    <t>Jahre</t>
  </si>
  <si>
    <t>Zinssatz</t>
  </si>
  <si>
    <t>hsg, 2014</t>
  </si>
  <si>
    <t>Heizungen, Lüftungen</t>
  </si>
  <si>
    <t>Solar (therm. und PV)</t>
  </si>
  <si>
    <t>Stadt Zh.</t>
  </si>
  <si>
    <t>Wärmedämm. und Fenster</t>
  </si>
  <si>
    <t>Haustechn</t>
  </si>
  <si>
    <t>CHF/m2</t>
  </si>
  <si>
    <t>Var.1</t>
  </si>
  <si>
    <t>Var.2</t>
  </si>
  <si>
    <t>Storenkasten</t>
  </si>
  <si>
    <t>UB mit Heizung</t>
  </si>
  <si>
    <t>inkl. 80.- Bodenbelag (Laminat(/Parlett)</t>
  </si>
  <si>
    <t>UB ohne Heizung</t>
  </si>
  <si>
    <t>inkl. 80.- Bodenbelag (Laminat/Parkett)</t>
  </si>
  <si>
    <t>UB, Heizung und Dämmung</t>
  </si>
  <si>
    <t>Dach von Innen</t>
  </si>
  <si>
    <t>Flachdach &gt; 300 m2</t>
  </si>
  <si>
    <t>mit Kies nicht begehbar (U-Wert 0.2)</t>
  </si>
  <si>
    <t>Flachdach 100 - 300m2</t>
  </si>
  <si>
    <t>Terrasse begehb.</t>
  </si>
  <si>
    <t>U-Wert 0.2</t>
  </si>
  <si>
    <t>U-Wert &lt; 0.9</t>
  </si>
  <si>
    <t>Glasersatz</t>
  </si>
  <si>
    <t>Aussendämmung</t>
  </si>
  <si>
    <t>mittel</t>
  </si>
  <si>
    <t>hoch (knapp dim.)</t>
  </si>
  <si>
    <t>Solaranlage</t>
  </si>
  <si>
    <t xml:space="preserve">Einmalige Kosten </t>
  </si>
  <si>
    <t>Erträge</t>
  </si>
  <si>
    <t>kWh/m2xa</t>
  </si>
  <si>
    <t>KWL</t>
  </si>
  <si>
    <t>Heizverteilung für EFH ca. 1500 Fr./Radiator und 10 Radiatoren pro Haus</t>
  </si>
  <si>
    <t>Investitionskosten Heizung</t>
  </si>
  <si>
    <t>Investitionskosten Lüftung</t>
  </si>
  <si>
    <t>l bzw. m3</t>
  </si>
  <si>
    <t>Fördergelder 2019</t>
  </si>
  <si>
    <t>Wohnungstyp 1</t>
  </si>
  <si>
    <t>Wohnungstyp 2</t>
  </si>
  <si>
    <t>Wohnungstyp 3</t>
  </si>
  <si>
    <t>Wohnungstyp 4</t>
  </si>
  <si>
    <t>Wohnungstyp 5</t>
  </si>
  <si>
    <t>Rabatt</t>
  </si>
  <si>
    <t>Wohnungen</t>
  </si>
  <si>
    <t>Zwischentotal</t>
  </si>
  <si>
    <t>EIV Leistungsbetragbis 30 kW</t>
  </si>
  <si>
    <t>EIV Leistungsbetrag ab 30 kW</t>
  </si>
  <si>
    <t>31-100 kWp</t>
  </si>
  <si>
    <t>Dabei inbegriffen ist der Ersatz eines WR</t>
  </si>
  <si>
    <t xml:space="preserve"> von Investitionskosten</t>
  </si>
  <si>
    <t>jährliche Betriebskosten</t>
  </si>
  <si>
    <t>Die Jährlichen Betriebskosten für Photovoltaikanlagen</t>
  </si>
  <si>
    <t>Wärmeübergang gegen aussen</t>
  </si>
  <si>
    <t>Wärmeübergang gegen Unbeheizt</t>
  </si>
  <si>
    <t>Kellerwand gg. Aussen</t>
  </si>
  <si>
    <t>Kellerwand gg. Unbeheizt</t>
  </si>
  <si>
    <t>Keller-Decke</t>
  </si>
  <si>
    <t>Aussenwand</t>
  </si>
  <si>
    <t>Storenabdeckung mit Aerogel</t>
  </si>
  <si>
    <t>U-Wert-Berechnung SOLL</t>
  </si>
  <si>
    <t>Nein</t>
  </si>
  <si>
    <t>Kellerwand gg. Erdreich</t>
  </si>
  <si>
    <t>U-Wert-Berechnung IST</t>
  </si>
  <si>
    <t>Auswahlfelder</t>
  </si>
  <si>
    <t>total EBF</t>
  </si>
  <si>
    <t>Beschrieb Bauteil</t>
  </si>
  <si>
    <t>Flumroc COMPACT PRO, Fassade</t>
  </si>
  <si>
    <t>Thermo-Plus, Glaswolle, Kellerdecke</t>
  </si>
  <si>
    <t>Multipor Innendämmung</t>
  </si>
  <si>
    <t>Fassadendämmung</t>
  </si>
  <si>
    <t>Innendämmung</t>
  </si>
  <si>
    <t>Flachdach/Terasse</t>
  </si>
  <si>
    <t>Flumroc COMPACT PRO</t>
  </si>
  <si>
    <t>Thermo-Plus, Glaswolle</t>
  </si>
  <si>
    <t>PU-Dämmung, Vlies</t>
  </si>
  <si>
    <t>PU-Dämm. für Flachdach/Terrasse/Boden, Vlies</t>
  </si>
  <si>
    <t>Aerogel, Agitech Spaceloft</t>
  </si>
  <si>
    <t>Foamglas T4+</t>
  </si>
  <si>
    <t>Flumroc ESTRA, Estrichbodenplatte</t>
  </si>
  <si>
    <t>Bollenstein, ab ca. 50 cm dick</t>
  </si>
  <si>
    <t>Dämm-Material</t>
  </si>
  <si>
    <t>Bau-Material</t>
  </si>
  <si>
    <t>Tonhourdis (Kellerdecke)</t>
  </si>
  <si>
    <t xml:space="preserve">Weiter 
U-Werte in </t>
  </si>
  <si>
    <t>Aussen-wand</t>
  </si>
  <si>
    <t>UG-Decke</t>
  </si>
  <si>
    <t>DG-Boden</t>
  </si>
  <si>
    <t>Flachdach</t>
  </si>
  <si>
    <t>Steildach</t>
  </si>
  <si>
    <t>äusserer Übergang bei Hinterlüftung = 1/12.5</t>
  </si>
  <si>
    <t>Baumaterialien</t>
  </si>
  <si>
    <t>Dämm-Materialien</t>
  </si>
  <si>
    <t>Klimaregion</t>
  </si>
  <si>
    <t>Zürich-MeteoSchweiz</t>
  </si>
  <si>
    <t>Gebäudekategorie</t>
  </si>
  <si>
    <t>EFH</t>
  </si>
  <si>
    <t>Warmwasser über Heizung</t>
  </si>
  <si>
    <t>Ja</t>
  </si>
  <si>
    <t>Wirkungsgrad bestehende Wärmeerzeugung</t>
  </si>
  <si>
    <t>[-]</t>
  </si>
  <si>
    <t>Mittelwert Energieverbrauch</t>
  </si>
  <si>
    <t>Heizleistung mit Reserve</t>
  </si>
  <si>
    <t>Heizleistung neue Anlage</t>
  </si>
  <si>
    <t>spezifische Entnahmeleistung</t>
  </si>
  <si>
    <t>[Stück]</t>
  </si>
  <si>
    <t>Energiekennzahl</t>
  </si>
  <si>
    <t>spezifische Heizleistung</t>
  </si>
  <si>
    <t>W/m2</t>
  </si>
  <si>
    <t>Bezug aus Erdreich</t>
  </si>
  <si>
    <t>Heizwert Gas bzw. Öl</t>
  </si>
  <si>
    <t>Umrechnungsfaktor</t>
  </si>
  <si>
    <t>Berechnung Heizleistungsbedarf Wohnbauten</t>
  </si>
  <si>
    <t>Nutzwärmebedarf</t>
  </si>
  <si>
    <t>Erdwärmesonde (EWS)</t>
  </si>
  <si>
    <t>Energiebezugsfläche (EBF)</t>
  </si>
  <si>
    <t>Tiefe Erdwärmesonde total</t>
  </si>
  <si>
    <t>Tiefe Erdwärmesonde pro Sonde</t>
  </si>
  <si>
    <t>Anzahl Erdwärmesonden</t>
  </si>
  <si>
    <t>WILAN 3, mit einseitiger Fertigdeckschicht</t>
  </si>
  <si>
    <t>Innenwand</t>
  </si>
  <si>
    <t>Swisspor Lamda White 031, EPS</t>
  </si>
  <si>
    <t>Dachfläche anhand Grundfläche und Dachneigung</t>
  </si>
  <si>
    <t>Dachneigung Berechnen mit Höhe</t>
  </si>
  <si>
    <r>
      <t>Grundfläche [m</t>
    </r>
    <r>
      <rPr>
        <vertAlign val="superscript"/>
        <sz val="10"/>
        <color rgb="FF000000"/>
        <rFont val="Gadugi"/>
        <family val="2"/>
      </rPr>
      <t>2</t>
    </r>
    <r>
      <rPr>
        <sz val="10"/>
        <color rgb="FF000000"/>
        <rFont val="Gadugi"/>
        <family val="2"/>
      </rPr>
      <t>]</t>
    </r>
  </si>
  <si>
    <t>Höhe</t>
  </si>
  <si>
    <t>Dachneigung [°]</t>
  </si>
  <si>
    <t>Breite</t>
  </si>
  <si>
    <t>Faktor</t>
  </si>
  <si>
    <r>
      <t>Dachfläche total [m</t>
    </r>
    <r>
      <rPr>
        <b/>
        <vertAlign val="superscript"/>
        <sz val="10"/>
        <color rgb="FF000000"/>
        <rFont val="Gadugi"/>
        <family val="2"/>
      </rPr>
      <t>2</t>
    </r>
    <r>
      <rPr>
        <b/>
        <sz val="10"/>
        <color indexed="8"/>
        <rFont val="Gadugi"/>
        <family val="2"/>
      </rPr>
      <t>]</t>
    </r>
  </si>
  <si>
    <t>Länge</t>
  </si>
  <si>
    <t>Kontrolle Fassaden</t>
  </si>
  <si>
    <t>N</t>
  </si>
  <si>
    <t>S</t>
  </si>
  <si>
    <t>O</t>
  </si>
  <si>
    <t>W</t>
  </si>
  <si>
    <t>Fläche Neu</t>
  </si>
  <si>
    <t>Anzahl Neu</t>
  </si>
  <si>
    <t>Fläche Total Neu</t>
  </si>
  <si>
    <t>Beschrieb Neu</t>
  </si>
  <si>
    <t>Total</t>
  </si>
  <si>
    <t>Berechnung Dach</t>
  </si>
  <si>
    <t>N/O/S/W</t>
  </si>
  <si>
    <t>1</t>
  </si>
  <si>
    <t>2</t>
  </si>
  <si>
    <t>3</t>
  </si>
  <si>
    <t>4</t>
  </si>
  <si>
    <t>5</t>
  </si>
  <si>
    <t>6</t>
  </si>
  <si>
    <t>UG</t>
  </si>
  <si>
    <t>EG</t>
  </si>
  <si>
    <t>1. OG</t>
  </si>
  <si>
    <t>2. OG</t>
  </si>
  <si>
    <t>DG</t>
  </si>
  <si>
    <t>inkl. HKN</t>
  </si>
  <si>
    <t>U-Wert Tabelle nach Baualtersklassen</t>
  </si>
  <si>
    <r>
      <t>äusserer Übergang bei Hinterlüftung = 1/</t>
    </r>
    <r>
      <rPr>
        <b/>
        <sz val="10"/>
        <rFont val="Gadugi"/>
        <family val="2"/>
      </rPr>
      <t>12.5</t>
    </r>
    <r>
      <rPr>
        <sz val="10"/>
        <rFont val="Gadugi"/>
        <family val="2"/>
      </rPr>
      <t xml:space="preserve"> = 0.08</t>
    </r>
  </si>
  <si>
    <r>
      <t>Benutzung:</t>
    </r>
    <r>
      <rPr>
        <sz val="10"/>
        <rFont val="Gadugi"/>
        <family val="2"/>
      </rPr>
      <t xml:space="preserve">
Erste 4 U-Wert Kästen sind zum Einfüllen, für weitere einfach Ist und Soll miteinander kopieren
</t>
    </r>
    <r>
      <rPr>
        <b/>
        <sz val="10"/>
        <rFont val="Gadugi"/>
        <family val="2"/>
      </rPr>
      <t>U-Wert Berechnung IST</t>
    </r>
    <r>
      <rPr>
        <sz val="10"/>
        <rFont val="Gadugi"/>
        <family val="2"/>
      </rPr>
      <t xml:space="preserve">
1)   im Hellgelben Feld per Dropdown Bauteil auswählen ( èbergangsfakrot wird automatisch ausgewählt)
2)   bei Bedarf im knallgelben Feld eine Beschreibung für das Bauteil einfügen z.B Aussenwand EG
3)   b-Faktor per Dropdown auswählen oder überschreiben
</t>
    </r>
    <r>
      <rPr>
        <b/>
        <sz val="10"/>
        <rFont val="Gadugi"/>
        <family val="2"/>
      </rPr>
      <t xml:space="preserve">
U-Wert Berechnung SOLL</t>
    </r>
    <r>
      <rPr>
        <sz val="10"/>
        <rFont val="Gadugi"/>
        <family val="2"/>
      </rPr>
      <t xml:space="preserve">
Alle eingefüllten Werte vom Ist-Zustand werden übernommen
4) im hellgelben Feld die Art der Dämmung auswählen, Werte für typische Lambdawerte werden übernommen, sonst überschreiben
5) Dimension Wärmedämmung (d in m) für gewünschten U-Wert ermitteln</t>
    </r>
  </si>
  <si>
    <r>
      <t>W/m</t>
    </r>
    <r>
      <rPr>
        <vertAlign val="superscript"/>
        <sz val="10"/>
        <rFont val="Gadugi"/>
        <family val="2"/>
      </rPr>
      <t>2</t>
    </r>
    <r>
      <rPr>
        <sz val="10"/>
        <rFont val="Gadugi"/>
        <family val="2"/>
      </rPr>
      <t>K</t>
    </r>
  </si>
  <si>
    <t>Rahmen</t>
  </si>
  <si>
    <t>U-Wert</t>
  </si>
  <si>
    <t>alter</t>
  </si>
  <si>
    <t>bsp.</t>
  </si>
  <si>
    <t>alle Fenster Hauptgebäude</t>
  </si>
  <si>
    <t>Anzahl Gläser</t>
  </si>
  <si>
    <t>Wärmeschutz (Ja/Nein)</t>
  </si>
  <si>
    <t>Schilf (alte Gebäude)</t>
  </si>
  <si>
    <t>SwissporXPS Premium Plus 300</t>
  </si>
  <si>
    <t>SwissporLAMDA Roof</t>
  </si>
  <si>
    <t>Wärmedämmung, Prod. Unbekannt (bspw. Styropor bzw. EPS)</t>
  </si>
  <si>
    <t>U-Werte Fenster nach Baualterklassen</t>
  </si>
  <si>
    <t>Stahlbeton, 1% Stahl / Steinbodenplatten</t>
  </si>
  <si>
    <t>Hourdisdecke komlett (gemäss Abbildung)</t>
  </si>
  <si>
    <t>Holzbalkendecke komplett (gemäss Abbildung)</t>
  </si>
  <si>
    <t>U-Wert 0.8</t>
  </si>
  <si>
    <t>U-Wert 0.9</t>
  </si>
  <si>
    <t>Boden gg. Aussen</t>
  </si>
  <si>
    <t xml:space="preserve">zusätzliche Kosten: </t>
  </si>
  <si>
    <t>Berechnungen für IB-Protokoll</t>
  </si>
  <si>
    <t>Energiequelle</t>
  </si>
  <si>
    <t>Energiekosten/kWh</t>
  </si>
  <si>
    <t>Kosten/kWh Nutzenergie</t>
  </si>
  <si>
    <t>Erdgas</t>
  </si>
  <si>
    <t>Strom L/W</t>
  </si>
  <si>
    <t>Strom ES</t>
  </si>
  <si>
    <t>Strom WPBoiler</t>
  </si>
  <si>
    <t>Variante 1</t>
  </si>
  <si>
    <t>Variante 2</t>
  </si>
  <si>
    <t>Variante 3</t>
  </si>
  <si>
    <t>Kalkulationszinssatz</t>
  </si>
  <si>
    <t>Mittl. Abschreibungsdauer</t>
  </si>
  <si>
    <t>Annuitätsfaktor</t>
  </si>
  <si>
    <t>Kapitalkosten</t>
  </si>
  <si>
    <t>Energiekosten</t>
  </si>
  <si>
    <t>Unterhaltskosten</t>
  </si>
  <si>
    <t>Platzierung</t>
  </si>
  <si>
    <t>Kapitalkosten (Annuität)</t>
  </si>
  <si>
    <t>CHF*20a</t>
  </si>
  <si>
    <t>Unterhaltskosten (Wartung, Rep. etc.)</t>
  </si>
  <si>
    <t>Laufende Kosten über 20 Jahre</t>
  </si>
  <si>
    <t>Umweltbelstung im Betrieb</t>
  </si>
  <si>
    <t>Luft/Wasser WP</t>
  </si>
  <si>
    <t>WP mit EWS</t>
  </si>
  <si>
    <t>Nutzwärmebarf</t>
  </si>
  <si>
    <t>Variante 4</t>
  </si>
  <si>
    <t>Anpassungen durch den Nutzer</t>
  </si>
  <si>
    <t>Investitionskosten nach Abzug Fördergelder</t>
  </si>
  <si>
    <t>CO2-Gesetz</t>
  </si>
  <si>
    <t>Schnitzel</t>
  </si>
  <si>
    <t>Solarthemie</t>
  </si>
  <si>
    <t>Werte anhand Tool IB MFH</t>
  </si>
  <si>
    <t>CO₂-Emissionen gemäss CO₂-Gesetz nach Territorialitätsprinzip ohne vorgelagerte Prozesse (CO2-Gesetz)</t>
  </si>
  <si>
    <t>Variante 5</t>
  </si>
  <si>
    <t>Angaben für das Protokoll</t>
  </si>
  <si>
    <r>
      <t>[m</t>
    </r>
    <r>
      <rPr>
        <vertAlign val="superscript"/>
        <sz val="9"/>
        <color indexed="8"/>
        <rFont val="Gadugi"/>
        <family val="2"/>
      </rPr>
      <t>2</t>
    </r>
    <r>
      <rPr>
        <sz val="9"/>
        <color indexed="8"/>
        <rFont val="Gadugi"/>
        <family val="2"/>
      </rPr>
      <t>]</t>
    </r>
  </si>
  <si>
    <r>
      <rPr>
        <b/>
        <sz val="10"/>
        <color rgb="FF000000"/>
        <rFont val="Gadugi"/>
        <family val="2"/>
      </rPr>
      <t>Benutzung</t>
    </r>
    <r>
      <rPr>
        <sz val="10"/>
        <color indexed="8"/>
        <rFont val="Gadugi"/>
        <family val="2"/>
      </rPr>
      <t xml:space="preserve">
(Reihenfolge Tabellen entspricht Reigenfolge GEAK-Tool)
Mit tab in Eingabezeile der Tabelle bis ans ENDE --&gt; macht neue Zeile mit gleichem Format und Formeln
Die Letzte Zeile vom Bauteil ist die Ergebniszeile und Zeigt die Summe der Fläche total und die Summe der Anzahl (z.B Anzahl Fenster).</t>
    </r>
  </si>
  <si>
    <r>
      <rPr>
        <b/>
        <sz val="10"/>
        <color rgb="FF000000"/>
        <rFont val="Gadugi"/>
        <family val="2"/>
      </rPr>
      <t>neue Flächen</t>
    </r>
    <r>
      <rPr>
        <sz val="10"/>
        <color indexed="8"/>
        <rFont val="Gadugi"/>
        <family val="2"/>
      </rPr>
      <t xml:space="preserve">
- wenn Fenster abgerissen werden, gleiche Fläche bei Fläche neu mit minus eintragen
- wenn neue Fenster eingebaut, bei alt Anzahl null und dann bei neu bsp. 1 eintragen</t>
    </r>
  </si>
  <si>
    <r>
      <t xml:space="preserve"> Wirtschaftlichkeitsberechnung für PVA</t>
    </r>
    <r>
      <rPr>
        <b/>
        <sz val="16"/>
        <color indexed="10"/>
        <rFont val="Gadugi"/>
        <family val="2"/>
      </rPr>
      <t xml:space="preserve"> (Indach bis 30 kWp)</t>
    </r>
    <r>
      <rPr>
        <b/>
        <sz val="16"/>
        <color indexed="8"/>
        <rFont val="Gadugi"/>
        <family val="2"/>
      </rPr>
      <t xml:space="preserve">
</t>
    </r>
  </si>
  <si>
    <r>
      <t>kW</t>
    </r>
    <r>
      <rPr>
        <b/>
        <vertAlign val="subscript"/>
        <sz val="12"/>
        <color indexed="8"/>
        <rFont val="Gadugi"/>
        <family val="2"/>
      </rPr>
      <t>p</t>
    </r>
  </si>
  <si>
    <r>
      <t>CHF/kW</t>
    </r>
    <r>
      <rPr>
        <vertAlign val="subscript"/>
        <sz val="12"/>
        <color indexed="8"/>
        <rFont val="Gadugi"/>
        <family val="2"/>
      </rPr>
      <t>p</t>
    </r>
  </si>
  <si>
    <r>
      <t>kW</t>
    </r>
    <r>
      <rPr>
        <vertAlign val="subscript"/>
        <sz val="12"/>
        <color indexed="8"/>
        <rFont val="Gadugi"/>
        <family val="2"/>
      </rPr>
      <t>p</t>
    </r>
  </si>
  <si>
    <t>https://energiezukunftschweiz.ch/de/foerderprogramme/angebot/klimapraemie-heizungsersatz/</t>
  </si>
  <si>
    <t>https://rechner.energie-foerderung.ch/zs</t>
  </si>
  <si>
    <t>Stadt Zürich</t>
  </si>
  <si>
    <t>Holzheizungen und grössere Anlagen (ca. &gt; 30 kW)</t>
  </si>
  <si>
    <t>Einsparungen WP vs. Fossil (CO2-Gesetz) (im Protokoll verwenden)</t>
  </si>
  <si>
    <t>CO₂-Emissionen inkl. vorgelagerte Prozesse und unter Verwendung des Schweizer Strommixes (KBOB) (nur als Info wird im IB nicht verwendet)</t>
  </si>
  <si>
    <t>Energieverbrauch</t>
  </si>
  <si>
    <t>Öl mit Solarthermie</t>
  </si>
  <si>
    <t>Gas mit Solarthermie</t>
  </si>
  <si>
    <t>Investitionskosten Solarthermie</t>
  </si>
  <si>
    <t>Anzahl Personen</t>
  </si>
  <si>
    <t>CO2 KBOB 2022</t>
  </si>
  <si>
    <t>Kosten Total</t>
  </si>
  <si>
    <t>Personen</t>
  </si>
  <si>
    <t>Grundkosten (EFH, 2-4 Personen)</t>
  </si>
  <si>
    <t>weniger bzw. mehr Person</t>
  </si>
  <si>
    <t>Nutzwärmebarf mit Solar</t>
  </si>
  <si>
    <t>Jahreskosten OHNE Kaptialkosten</t>
  </si>
  <si>
    <t>kW (Fossil oder Fernwärme ohne Sperrzeiten)</t>
  </si>
  <si>
    <t>Kanton Zürich</t>
  </si>
  <si>
    <t>Fördergelder</t>
  </si>
  <si>
    <t>Investitionskosten</t>
  </si>
  <si>
    <t>Energieverbrauch (kWh)</t>
  </si>
  <si>
    <t>Fördergelder (CHF/kWh)</t>
  </si>
  <si>
    <t>Anlage in Stadt Zürich</t>
  </si>
  <si>
    <t>weitere Fördergelder</t>
  </si>
  <si>
    <t>Gas bzw. Öl</t>
  </si>
  <si>
    <t>Volllaststunden</t>
  </si>
  <si>
    <t>Öl (IST-Zustand)</t>
  </si>
  <si>
    <t>Gas (IST-Zustand)</t>
  </si>
  <si>
    <t>Variante 6</t>
  </si>
  <si>
    <t>Variante 7</t>
  </si>
  <si>
    <t>Investitionskosten Total (inkl. Solarthermie V. 3+4)</t>
  </si>
  <si>
    <t>Zuschlag für 2x 2h Sperrung EW (Faktor 1.2)*</t>
  </si>
  <si>
    <t>*beim EKZ Gebiet erst ab 4 kW Kompressorleistung (rund 15 kW WP)</t>
  </si>
  <si>
    <t>kW (Wärmepumpe inkl. allfälliger Sperrzeiten)</t>
  </si>
  <si>
    <t>viel Grabarbeiten (ca. 3-10'000.-), aufwändige Demontagen (ca. 2'000.-), sehr kleine Leistung aber Aufwändig (3'000.-), Tankrückbau inkl. Tür (4-5000.-), Gasanschluss Rückbau in Strasse (3-5'000.-), Kühlung (5'000.- /Whg.)</t>
  </si>
  <si>
    <t>Projektnummer und Objekt</t>
  </si>
  <si>
    <t>** Ab April 2023 bei Eigenbedarf nur Wärmepumpen grösser als 50 kW, keine
Einschränkungen für Wärmepumpen in Mietliegenschaften.</t>
  </si>
  <si>
    <t>**Energiezukunft Schweiz</t>
  </si>
  <si>
    <t>Elektroheizung</t>
  </si>
  <si>
    <t>Flumroc-Dämmplatte 3 m. 15% Holzanteil</t>
  </si>
  <si>
    <t>Flumroc-Dämmplatte 3, 15% Holzanteil (innen wenig Sparren)</t>
  </si>
  <si>
    <t>Isofloc oder bestehend, 15% Holzanteil (Standard)</t>
  </si>
  <si>
    <t>Fernwärme Züri Oberland</t>
  </si>
  <si>
    <t>Heizgradtage (HGT)</t>
  </si>
  <si>
    <t>Klimastation</t>
  </si>
  <si>
    <t>Mitelwert</t>
  </si>
  <si>
    <t>Kalenderjahr</t>
  </si>
  <si>
    <t>2011 bis 2020</t>
  </si>
  <si>
    <t>HGT Kalenderjahr</t>
  </si>
  <si>
    <t>Korrekturfaktor</t>
  </si>
  <si>
    <t>Zürich-SMA</t>
  </si>
  <si>
    <t>https://www.hev-schweiz.ch/vermieten/nebenkostenabrechnungen/heizgradtage</t>
  </si>
  <si>
    <t>Kosten Fernwärme (Kontrolle mit Preise Tabelle)</t>
  </si>
  <si>
    <t>Datum</t>
  </si>
  <si>
    <t>Restbestand</t>
  </si>
  <si>
    <t>Lieferung</t>
  </si>
  <si>
    <t>Verbrauch Total</t>
  </si>
  <si>
    <t>Verbrauch pro Jahr</t>
  </si>
  <si>
    <t>Tage; l; l</t>
  </si>
  <si>
    <t>l</t>
  </si>
  <si>
    <t>l/a</t>
  </si>
  <si>
    <t>Überhang</t>
  </si>
  <si>
    <t>Abstand</t>
  </si>
  <si>
    <t>Seitenblende</t>
  </si>
  <si>
    <t>beidseitig</t>
  </si>
  <si>
    <t>Variante 8</t>
  </si>
  <si>
    <t>Fernwärme</t>
  </si>
  <si>
    <t>Variante 9</t>
  </si>
  <si>
    <t>Elektroheizung (IST-Zustand)</t>
  </si>
  <si>
    <t>Test</t>
  </si>
  <si>
    <t>zusätzlich Stadt Zürich*</t>
  </si>
  <si>
    <t>Stadt Zürich zusätzlich Restwertentschädigung (bis 25 Jahre)</t>
  </si>
  <si>
    <t>Abzug Fördergelder (bei Stadt Zürich manuell anpassen)</t>
  </si>
  <si>
    <t>JAZ/η (NEU)</t>
  </si>
  <si>
    <t>In IB nur Energiekosten rechnen mit Hinweis ohne Investitionskosten</t>
  </si>
  <si>
    <t>* dazu kommt die Restwertentschädigung</t>
  </si>
  <si>
    <t>Stand 1. Januar 2025 Stadt Zürich (E360, EWZ)</t>
  </si>
  <si>
    <t>bei jeder Fernwärme unterschiedlich, immer separt schauen</t>
  </si>
  <si>
    <t>Fernwärme Stadt Zürich</t>
  </si>
  <si>
    <t>dazu kommt der Leistungspreis 34.-/kW</t>
  </si>
  <si>
    <t>Biogas Stadt Zürich</t>
  </si>
  <si>
    <t>Heraklith, Holzwolle (HWL) Zementgebunden, Perfecta</t>
  </si>
  <si>
    <t>Foamglas T3+</t>
  </si>
  <si>
    <t>Ziegel</t>
  </si>
  <si>
    <t>Süden</t>
  </si>
  <si>
    <t>Elektro Allg.</t>
  </si>
  <si>
    <t>HGT-Faktoren senkrecht</t>
  </si>
  <si>
    <t>Flumroc Solo, 15% Holzanteil (innen wenig Sparren)</t>
  </si>
  <si>
    <t>Gutex Dämmplatte DW+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</si>
</sst>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164" formatCode="&quot;CHF&quot;\ #,##0;&quot;CHF&quot;\ \-#,##0"/>
    <numFmt numFmtId="165" formatCode="&quot;CHF&quot;\ #,##0;[Red]&quot;CHF&quot;\ \-#,##0"/>
    <numFmt numFmtId="166" formatCode="_ * #,##0.00_ ;_ * \-#,##0.00_ ;_ * &quot;-&quot;??_ ;_ @_ "/>
    <numFmt numFmtId="167" formatCode="_ &quot;Fr.&quot;\ * #,##0.00_ ;_ &quot;Fr.&quot;\ * \-#,##0.00_ ;_ &quot;Fr.&quot;\ * &quot;-&quot;??_ ;_ @_ "/>
    <numFmt numFmtId="168" formatCode="_ &quot;SFr.&quot;\ * #,##0.00_ ;_ &quot;SFr.&quot;\ * \-#,##0.00_ ;_ &quot;SFr.&quot;\ * &quot;-&quot;??_ ;_ @_ "/>
    <numFmt numFmtId="169" formatCode="dd/mm/yy;@"/>
    <numFmt numFmtId="170" formatCode="0.0"/>
    <numFmt numFmtId="171" formatCode="0.000"/>
    <numFmt numFmtId="172" formatCode="0.0000"/>
    <numFmt numFmtId="173" formatCode="_ * #,##0_ ;_ * \-#,##0_ ;_ * &quot;-&quot;??_ ;_ @_ "/>
    <numFmt numFmtId="174" formatCode="_ * #,##0.0_ ;_ * \-#,##0.0_ ;_ * &quot;-&quot;??_ ;_ @_ "/>
    <numFmt numFmtId="175" formatCode="0.0%"/>
    <numFmt numFmtId="176" formatCode="#,##0\ &quot;kWh&quot;"/>
    <numFmt numFmtId="177" formatCode="[$CHF]\ #,##0.00"/>
    <numFmt numFmtId="178" formatCode="&quot;SFr.&quot;\ #,##0.00"/>
    <numFmt numFmtId="179" formatCode="0\ &quot;kg&quot;"/>
    <numFmt numFmtId="180" formatCode="_ * #,##0_ ;_ * \-#,##0_ ;_ * &quot;-&quot;?_ ;_ @_ "/>
    <numFmt numFmtId="181" formatCode="&quot;B&quot;@"/>
    <numFmt numFmtId="182" formatCode="&quot;F&quot;@"/>
    <numFmt numFmtId="183" formatCode="&quot;W&quot;@"/>
    <numFmt numFmtId="184" formatCode="&quot;D&quot;@"/>
    <numFmt numFmtId="185" formatCode="0\ &quot;Jahre&quot;"/>
    <numFmt numFmtId="186" formatCode="#,##0&quot;.-&quot;;&quot;Fr.&quot;\ \-#,##0&quot;.-&quot;"/>
    <numFmt numFmtId="187" formatCode="_ [$CHF-807]\ * #,##0.00_ ;_ [$CHF-807]\ * \-#,##0.00_ ;_ [$CHF-807]\ * &quot;-&quot;??_ ;_ @_ "/>
  </numFmts>
  <fonts count="73" x14ac:knownFonts="1">
    <font>
      <sz val="10"/>
      <name val="Arial"/>
    </font>
    <font>
      <sz val="10"/>
      <name val="Arial"/>
      <family val="2"/>
    </font>
    <font>
      <sz val="10"/>
      <name val="Century Gothic"/>
      <family val="2"/>
    </font>
    <font>
      <b/>
      <sz val="14"/>
      <name val="Arial"/>
      <family val="2"/>
    </font>
    <font>
      <sz val="10"/>
      <name val="Arial"/>
      <family val="2"/>
    </font>
    <font>
      <b/>
      <sz val="10"/>
      <name val="Arial"/>
      <family val="2"/>
    </font>
    <font>
      <sz val="14"/>
      <name val="Arial"/>
      <family val="2"/>
    </font>
    <font>
      <sz val="9"/>
      <color indexed="81"/>
      <name val="Tahoma"/>
      <family val="2"/>
    </font>
    <font>
      <b/>
      <sz val="9"/>
      <color indexed="81"/>
      <name val="Tahoma"/>
      <family val="2"/>
    </font>
    <font>
      <sz val="10"/>
      <name val="Symbol"/>
      <family val="1"/>
      <charset val="2"/>
    </font>
    <font>
      <sz val="9"/>
      <name val="Arial"/>
      <family val="2"/>
    </font>
    <font>
      <sz val="8"/>
      <name val="Arial"/>
      <family val="2"/>
    </font>
    <font>
      <b/>
      <sz val="16"/>
      <name val="Arial"/>
      <family val="2"/>
    </font>
    <font>
      <b/>
      <sz val="9"/>
      <name val="Arial"/>
      <family val="2"/>
    </font>
    <font>
      <sz val="11"/>
      <color rgb="FF9C6500"/>
      <name val="Calibri"/>
      <family val="2"/>
      <scheme val="minor"/>
    </font>
    <font>
      <sz val="11"/>
      <color rgb="FF9C0006"/>
      <name val="Calibri"/>
      <family val="2"/>
      <scheme val="minor"/>
    </font>
    <font>
      <b/>
      <sz val="11"/>
      <name val="Calibri"/>
      <family val="2"/>
      <scheme val="minor"/>
    </font>
    <font>
      <sz val="11"/>
      <name val="Calibri"/>
      <family val="2"/>
      <scheme val="minor"/>
    </font>
    <font>
      <b/>
      <sz val="14"/>
      <name val="Gadugi"/>
      <family val="2"/>
    </font>
    <font>
      <sz val="10"/>
      <name val="Gadugi"/>
      <family val="2"/>
    </font>
    <font>
      <b/>
      <sz val="10"/>
      <name val="Gadugi"/>
      <family val="2"/>
    </font>
    <font>
      <b/>
      <sz val="12"/>
      <name val="Gadugi"/>
      <family val="2"/>
    </font>
    <font>
      <i/>
      <sz val="10"/>
      <name val="Gadugi"/>
      <family val="2"/>
    </font>
    <font>
      <sz val="8"/>
      <name val="Gadugi"/>
      <family val="2"/>
    </font>
    <font>
      <b/>
      <sz val="8"/>
      <name val="Gadugi"/>
      <family val="2"/>
    </font>
    <font>
      <sz val="9"/>
      <name val="Gadugi"/>
      <family val="2"/>
    </font>
    <font>
      <b/>
      <sz val="10"/>
      <color theme="0"/>
      <name val="Gadugi"/>
      <family val="2"/>
    </font>
    <font>
      <b/>
      <sz val="9"/>
      <name val="Gadugi"/>
      <family val="2"/>
    </font>
    <font>
      <b/>
      <sz val="10"/>
      <color indexed="8"/>
      <name val="Gadugi"/>
      <family val="2"/>
    </font>
    <font>
      <sz val="10"/>
      <color indexed="8"/>
      <name val="Gadugi"/>
      <family val="2"/>
    </font>
    <font>
      <vertAlign val="superscript"/>
      <sz val="10"/>
      <color rgb="FF000000"/>
      <name val="Gadugi"/>
      <family val="2"/>
    </font>
    <font>
      <sz val="10"/>
      <color rgb="FF000000"/>
      <name val="Gadugi"/>
      <family val="2"/>
    </font>
    <font>
      <b/>
      <vertAlign val="superscript"/>
      <sz val="10"/>
      <color rgb="FF000000"/>
      <name val="Gadugi"/>
      <family val="2"/>
    </font>
    <font>
      <b/>
      <sz val="12"/>
      <color theme="4"/>
      <name val="Gadugi"/>
      <family val="2"/>
    </font>
    <font>
      <vertAlign val="superscript"/>
      <sz val="10"/>
      <name val="Gadugi"/>
      <family val="2"/>
    </font>
    <font>
      <b/>
      <sz val="10"/>
      <color rgb="FF3582F3"/>
      <name val="Gadugi"/>
      <family val="2"/>
    </font>
    <font>
      <sz val="14"/>
      <name val="Gadugi"/>
      <family val="2"/>
    </font>
    <font>
      <sz val="11"/>
      <color rgb="FF9C6500"/>
      <name val="Gadugi"/>
      <family val="2"/>
    </font>
    <font>
      <b/>
      <sz val="10"/>
      <color rgb="FFFF0000"/>
      <name val="Gadugi"/>
      <family val="2"/>
    </font>
    <font>
      <b/>
      <sz val="9"/>
      <color rgb="FFFF0000"/>
      <name val="Gadugi"/>
      <family val="2"/>
    </font>
    <font>
      <sz val="9"/>
      <color rgb="FFFF0000"/>
      <name val="Gadugi"/>
      <family val="2"/>
    </font>
    <font>
      <b/>
      <sz val="14"/>
      <color indexed="8"/>
      <name val="Gadugi"/>
      <family val="2"/>
    </font>
    <font>
      <sz val="9"/>
      <color indexed="8"/>
      <name val="Gadugi"/>
      <family val="2"/>
    </font>
    <font>
      <vertAlign val="superscript"/>
      <sz val="9"/>
      <color indexed="8"/>
      <name val="Gadugi"/>
      <family val="2"/>
    </font>
    <font>
      <sz val="4"/>
      <color indexed="8"/>
      <name val="Gadugi"/>
      <family val="2"/>
    </font>
    <font>
      <b/>
      <sz val="10"/>
      <color rgb="FF000000"/>
      <name val="Gadugi"/>
      <family val="2"/>
    </font>
    <font>
      <b/>
      <sz val="16"/>
      <color theme="1"/>
      <name val="Gadugi"/>
      <family val="2"/>
    </font>
    <font>
      <b/>
      <sz val="16"/>
      <color indexed="10"/>
      <name val="Gadugi"/>
      <family val="2"/>
    </font>
    <font>
      <b/>
      <sz val="16"/>
      <color indexed="8"/>
      <name val="Gadugi"/>
      <family val="2"/>
    </font>
    <font>
      <b/>
      <sz val="14"/>
      <color theme="1"/>
      <name val="Gadugi"/>
      <family val="2"/>
    </font>
    <font>
      <b/>
      <sz val="11"/>
      <color theme="1"/>
      <name val="Gadugi"/>
      <family val="2"/>
    </font>
    <font>
      <sz val="11"/>
      <color theme="1"/>
      <name val="Gadugi"/>
      <family val="2"/>
    </font>
    <font>
      <b/>
      <sz val="22"/>
      <color rgb="FFFF0000"/>
      <name val="Gadugi"/>
      <family val="2"/>
    </font>
    <font>
      <sz val="9"/>
      <color theme="1"/>
      <name val="Gadugi"/>
      <family val="2"/>
    </font>
    <font>
      <sz val="12"/>
      <color theme="1"/>
      <name val="Gadugi"/>
      <family val="2"/>
    </font>
    <font>
      <b/>
      <sz val="12"/>
      <color theme="1"/>
      <name val="Gadugi"/>
      <family val="2"/>
    </font>
    <font>
      <sz val="10"/>
      <color theme="1"/>
      <name val="Gadugi"/>
      <family val="2"/>
    </font>
    <font>
      <b/>
      <sz val="10"/>
      <color theme="1"/>
      <name val="Gadugi"/>
      <family val="2"/>
    </font>
    <font>
      <b/>
      <strike/>
      <sz val="12"/>
      <color theme="1"/>
      <name val="Gadugi"/>
      <family val="2"/>
    </font>
    <font>
      <b/>
      <strike/>
      <sz val="11"/>
      <color theme="1"/>
      <name val="Gadugi"/>
      <family val="2"/>
    </font>
    <font>
      <strike/>
      <sz val="11"/>
      <color theme="1"/>
      <name val="Gadugi"/>
      <family val="2"/>
    </font>
    <font>
      <strike/>
      <sz val="12"/>
      <color theme="1"/>
      <name val="Gadugi"/>
      <family val="2"/>
    </font>
    <font>
      <b/>
      <vertAlign val="subscript"/>
      <sz val="12"/>
      <color indexed="8"/>
      <name val="Gadugi"/>
      <family val="2"/>
    </font>
    <font>
      <vertAlign val="subscript"/>
      <sz val="12"/>
      <color indexed="8"/>
      <name val="Gadugi"/>
      <family val="2"/>
    </font>
    <font>
      <sz val="14"/>
      <color rgb="FF404040"/>
      <name val="Gadugi"/>
      <family val="2"/>
    </font>
    <font>
      <sz val="12"/>
      <name val="Gadugi"/>
      <family val="2"/>
    </font>
    <font>
      <b/>
      <sz val="11"/>
      <name val="Gadugi"/>
      <family val="2"/>
    </font>
    <font>
      <sz val="11"/>
      <name val="Gadugi"/>
      <family val="2"/>
    </font>
    <font>
      <u/>
      <sz val="10"/>
      <color theme="10"/>
      <name val="Arial"/>
      <family val="2"/>
    </font>
    <font>
      <i/>
      <sz val="9"/>
      <name val="Gadugi"/>
      <family val="2"/>
    </font>
    <font>
      <b/>
      <u/>
      <sz val="10"/>
      <color theme="10"/>
      <name val="Arial"/>
      <family val="2"/>
    </font>
    <font>
      <sz val="8"/>
      <name val="Arial"/>
      <family val="2"/>
    </font>
    <font>
      <sz val="11"/>
      <color indexed="8"/>
      <name val="Calibri"/>
      <family val="2"/>
      <scheme val="minor"/>
    </font>
  </fonts>
  <fills count="41">
    <fill>
      <patternFill patternType="none"/>
    </fill>
    <fill>
      <patternFill patternType="gray125"/>
    </fill>
    <fill>
      <patternFill patternType="solid">
        <fgColor indexed="51"/>
        <bgColor indexed="64"/>
      </patternFill>
    </fill>
    <fill>
      <patternFill patternType="solid">
        <fgColor indexed="50"/>
        <bgColor indexed="64"/>
      </patternFill>
    </fill>
    <fill>
      <patternFill patternType="solid">
        <fgColor indexed="22"/>
        <bgColor indexed="64"/>
      </patternFill>
    </fill>
    <fill>
      <patternFill patternType="solid">
        <fgColor indexed="42"/>
        <bgColor indexed="64"/>
      </patternFill>
    </fill>
    <fill>
      <patternFill patternType="solid">
        <fgColor rgb="FFFFEB9C"/>
      </patternFill>
    </fill>
    <fill>
      <patternFill patternType="solid">
        <fgColor rgb="FFFFC7CE"/>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9" tint="-0.249977111117893"/>
        <bgColor indexed="64"/>
      </patternFill>
    </fill>
    <fill>
      <patternFill patternType="solid">
        <fgColor rgb="FFCCFFCC"/>
        <bgColor indexed="64"/>
      </patternFill>
    </fill>
    <fill>
      <patternFill patternType="solid">
        <fgColor rgb="FFCCECFF"/>
        <bgColor indexed="64"/>
      </patternFill>
    </fill>
    <fill>
      <patternFill patternType="solid">
        <fgColor rgb="FFE7F6FF"/>
        <bgColor indexed="64"/>
      </patternFill>
    </fill>
    <fill>
      <patternFill patternType="solid">
        <fgColor rgb="FFFFFFCC"/>
        <bgColor indexed="64"/>
      </patternFill>
    </fill>
    <fill>
      <patternFill patternType="solid">
        <fgColor theme="3" tint="0.79998168889431442"/>
        <bgColor indexed="64"/>
      </patternFill>
    </fill>
    <fill>
      <patternFill patternType="solid">
        <fgColor rgb="FFECC7EF"/>
        <bgColor indexed="64"/>
      </patternFill>
    </fill>
    <fill>
      <patternFill patternType="solid">
        <fgColor theme="6" tint="0.59999389629810485"/>
        <bgColor indexed="64"/>
      </patternFill>
    </fill>
    <fill>
      <patternFill patternType="solid">
        <fgColor theme="0"/>
        <bgColor indexed="64"/>
      </patternFill>
    </fill>
    <fill>
      <patternFill patternType="solid">
        <fgColor rgb="FFFFE697"/>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DF25F"/>
        <bgColor indexed="64"/>
      </patternFill>
    </fill>
    <fill>
      <patternFill patternType="solid">
        <fgColor theme="8"/>
        <bgColor indexed="64"/>
      </patternFill>
    </fill>
    <fill>
      <patternFill patternType="solid">
        <fgColor theme="8"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rgb="FFFF99FF"/>
        <bgColor indexed="64"/>
      </patternFill>
    </fill>
    <fill>
      <patternFill patternType="solid">
        <fgColor rgb="FFFFE1FF"/>
        <bgColor indexed="64"/>
      </patternFill>
    </fill>
  </fills>
  <borders count="74">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double">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double">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double">
        <color indexed="64"/>
      </top>
      <bottom style="thick">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style="double">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medium">
        <color theme="0" tint="-0.499984740745262"/>
      </left>
      <right style="thin">
        <color theme="0" tint="-0.499984740745262"/>
      </right>
      <top/>
      <bottom style="double">
        <color theme="0" tint="-0.499984740745262"/>
      </bottom>
      <diagonal/>
    </border>
    <border>
      <left style="thin">
        <color theme="0" tint="-0.499984740745262"/>
      </left>
      <right style="medium">
        <color theme="0" tint="-0.499984740745262"/>
      </right>
      <top/>
      <bottom style="double">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diagonal/>
    </border>
  </borders>
  <cellStyleXfs count="11">
    <xf numFmtId="0" fontId="0" fillId="0" borderId="0"/>
    <xf numFmtId="166" fontId="1" fillId="0" borderId="0" applyFont="0" applyFill="0" applyBorder="0" applyAlignment="0" applyProtection="0"/>
    <xf numFmtId="166" fontId="4" fillId="0" borderId="0" applyFont="0" applyFill="0" applyBorder="0" applyAlignment="0" applyProtection="0"/>
    <xf numFmtId="0" fontId="14" fillId="6" borderId="0" applyNumberFormat="0" applyBorder="0" applyAlignment="0" applyProtection="0"/>
    <xf numFmtId="9" fontId="1" fillId="0" borderId="0" applyFont="0" applyFill="0" applyBorder="0" applyAlignment="0" applyProtection="0"/>
    <xf numFmtId="9" fontId="4" fillId="0" borderId="0" applyFont="0" applyFill="0" applyBorder="0" applyAlignment="0" applyProtection="0"/>
    <xf numFmtId="0" fontId="15" fillId="7" borderId="0" applyNumberFormat="0" applyBorder="0" applyAlignment="0" applyProtection="0"/>
    <xf numFmtId="0" fontId="4" fillId="0" borderId="0"/>
    <xf numFmtId="168" fontId="1" fillId="0" borderId="0" applyFont="0" applyFill="0" applyBorder="0" applyAlignment="0" applyProtection="0"/>
    <xf numFmtId="0" fontId="68" fillId="0" borderId="0" applyNumberFormat="0" applyFill="0" applyBorder="0" applyAlignment="0" applyProtection="0"/>
    <xf numFmtId="0" fontId="72" fillId="0" borderId="0"/>
  </cellStyleXfs>
  <cellXfs count="746">
    <xf numFmtId="0" fontId="0" fillId="0" borderId="0" xfId="0"/>
    <xf numFmtId="0" fontId="0" fillId="0" borderId="0" xfId="0" applyAlignment="1">
      <alignment horizontal="right"/>
    </xf>
    <xf numFmtId="0" fontId="4" fillId="0" borderId="0" xfId="0" applyFont="1"/>
    <xf numFmtId="0" fontId="0" fillId="0" borderId="2" xfId="0" applyBorder="1"/>
    <xf numFmtId="0" fontId="2" fillId="0" borderId="3" xfId="0" applyFont="1" applyBorder="1"/>
    <xf numFmtId="0" fontId="4" fillId="0" borderId="4" xfId="0" applyFont="1" applyBorder="1"/>
    <xf numFmtId="0" fontId="0" fillId="0" borderId="0" xfId="0" applyAlignment="1">
      <alignment horizontal="center" vertical="center"/>
    </xf>
    <xf numFmtId="171" fontId="9" fillId="0" borderId="0" xfId="0" quotePrefix="1" applyNumberFormat="1" applyFont="1" applyAlignment="1">
      <alignment horizontal="center" vertical="center"/>
    </xf>
    <xf numFmtId="0" fontId="0" fillId="0" borderId="0" xfId="0" quotePrefix="1" applyAlignment="1">
      <alignment horizontal="left"/>
    </xf>
    <xf numFmtId="171" fontId="0" fillId="0" borderId="0" xfId="0" applyNumberFormat="1" applyAlignment="1">
      <alignment horizontal="center"/>
    </xf>
    <xf numFmtId="0" fontId="5" fillId="0" borderId="0" xfId="7" applyFont="1"/>
    <xf numFmtId="2" fontId="5" fillId="0" borderId="0" xfId="7" applyNumberFormat="1" applyFont="1"/>
    <xf numFmtId="0" fontId="0" fillId="0" borderId="1" xfId="0" applyBorder="1"/>
    <xf numFmtId="0" fontId="0" fillId="0" borderId="11" xfId="0" applyBorder="1"/>
    <xf numFmtId="0" fontId="0" fillId="0" borderId="5" xfId="0" applyBorder="1"/>
    <xf numFmtId="0" fontId="0" fillId="0" borderId="13" xfId="0" applyBorder="1"/>
    <xf numFmtId="0" fontId="0" fillId="0" borderId="8" xfId="0" applyBorder="1"/>
    <xf numFmtId="0" fontId="0" fillId="0" borderId="15" xfId="0" applyBorder="1"/>
    <xf numFmtId="0" fontId="0" fillId="0" borderId="19" xfId="0" applyBorder="1"/>
    <xf numFmtId="0" fontId="0" fillId="0" borderId="21" xfId="0" applyBorder="1"/>
    <xf numFmtId="0" fontId="0" fillId="0" borderId="16" xfId="0" applyBorder="1"/>
    <xf numFmtId="0" fontId="5" fillId="0" borderId="0" xfId="0" applyFont="1"/>
    <xf numFmtId="0" fontId="3" fillId="0" borderId="0" xfId="0" applyFont="1"/>
    <xf numFmtId="0" fontId="5" fillId="0" borderId="0" xfId="0" applyFont="1" applyAlignment="1">
      <alignment horizontal="right"/>
    </xf>
    <xf numFmtId="0" fontId="0" fillId="0" borderId="0" xfId="0" applyAlignment="1">
      <alignment horizontal="center"/>
    </xf>
    <xf numFmtId="0" fontId="4" fillId="18" borderId="10" xfId="0" applyFont="1" applyFill="1" applyBorder="1"/>
    <xf numFmtId="0" fontId="0" fillId="18" borderId="1" xfId="0" applyFill="1" applyBorder="1"/>
    <xf numFmtId="177" fontId="16" fillId="9" borderId="41" xfId="6" applyNumberFormat="1" applyFont="1" applyFill="1" applyBorder="1"/>
    <xf numFmtId="0" fontId="3" fillId="0" borderId="0" xfId="0" applyFont="1" applyAlignment="1">
      <alignment horizontal="center"/>
    </xf>
    <xf numFmtId="0" fontId="4" fillId="18" borderId="4" xfId="0" applyFont="1" applyFill="1" applyBorder="1"/>
    <xf numFmtId="0" fontId="0" fillId="18" borderId="2" xfId="0" applyFill="1" applyBorder="1"/>
    <xf numFmtId="0" fontId="0" fillId="0" borderId="14" xfId="0" applyBorder="1"/>
    <xf numFmtId="0" fontId="11" fillId="0" borderId="0" xfId="0" applyFont="1" applyAlignment="1">
      <alignment horizontal="center"/>
    </xf>
    <xf numFmtId="0" fontId="15" fillId="7" borderId="0" xfId="6"/>
    <xf numFmtId="0" fontId="10" fillId="0" borderId="0" xfId="0" applyFont="1" applyAlignment="1">
      <alignment horizontal="center" wrapText="1"/>
    </xf>
    <xf numFmtId="0" fontId="17" fillId="18" borderId="0" xfId="6" applyFont="1" applyFill="1"/>
    <xf numFmtId="0" fontId="3" fillId="0" borderId="15" xfId="0" applyFont="1" applyBorder="1" applyAlignment="1">
      <alignment horizontal="center"/>
    </xf>
    <xf numFmtId="0" fontId="0" fillId="0" borderId="15" xfId="0" applyBorder="1" applyAlignment="1">
      <alignment horizontal="center"/>
    </xf>
    <xf numFmtId="0" fontId="0" fillId="3" borderId="15" xfId="0" applyFill="1" applyBorder="1" applyAlignment="1" applyProtection="1">
      <alignment horizontal="center"/>
      <protection locked="0"/>
    </xf>
    <xf numFmtId="0" fontId="15" fillId="7" borderId="9" xfId="6" applyBorder="1"/>
    <xf numFmtId="2" fontId="15" fillId="7" borderId="0" xfId="6" applyNumberFormat="1"/>
    <xf numFmtId="0" fontId="17" fillId="18" borderId="9" xfId="6" applyFont="1" applyFill="1" applyBorder="1"/>
    <xf numFmtId="1" fontId="3" fillId="0" borderId="0" xfId="0" applyNumberFormat="1" applyFont="1" applyAlignment="1">
      <alignment horizontal="center"/>
    </xf>
    <xf numFmtId="0" fontId="0" fillId="5" borderId="0" xfId="0" applyFill="1" applyProtection="1">
      <protection locked="0"/>
    </xf>
    <xf numFmtId="0" fontId="15" fillId="7" borderId="42" xfId="6" applyBorder="1"/>
    <xf numFmtId="0" fontId="17" fillId="18" borderId="42" xfId="6" applyFont="1" applyFill="1" applyBorder="1"/>
    <xf numFmtId="1" fontId="3" fillId="0" borderId="16" xfId="0" applyNumberFormat="1" applyFont="1" applyBorder="1" applyAlignment="1">
      <alignment horizontal="center"/>
    </xf>
    <xf numFmtId="0" fontId="0" fillId="5" borderId="16" xfId="0" applyFill="1" applyBorder="1" applyProtection="1">
      <protection locked="0"/>
    </xf>
    <xf numFmtId="1" fontId="0" fillId="0" borderId="16" xfId="0" applyNumberFormat="1" applyBorder="1"/>
    <xf numFmtId="177" fontId="17" fillId="0" borderId="43" xfId="6" applyNumberFormat="1" applyFont="1" applyFill="1" applyBorder="1"/>
    <xf numFmtId="171" fontId="0" fillId="0" borderId="16" xfId="0" applyNumberFormat="1" applyBorder="1"/>
    <xf numFmtId="177" fontId="15" fillId="7" borderId="43" xfId="6" applyNumberFormat="1" applyBorder="1"/>
    <xf numFmtId="9" fontId="0" fillId="0" borderId="0" xfId="0" applyNumberFormat="1" applyAlignment="1">
      <alignment horizontal="center"/>
    </xf>
    <xf numFmtId="177" fontId="17" fillId="18" borderId="43" xfId="6" applyNumberFormat="1" applyFont="1" applyFill="1" applyBorder="1"/>
    <xf numFmtId="1" fontId="3" fillId="0" borderId="15" xfId="0" applyNumberFormat="1" applyFont="1" applyBorder="1" applyAlignment="1">
      <alignment horizontal="center"/>
    </xf>
    <xf numFmtId="1" fontId="3" fillId="0" borderId="16" xfId="0" applyNumberFormat="1" applyFont="1" applyBorder="1" applyAlignment="1">
      <alignment horizontal="left"/>
    </xf>
    <xf numFmtId="170" fontId="0" fillId="0" borderId="16" xfId="0" applyNumberFormat="1" applyBorder="1"/>
    <xf numFmtId="1" fontId="3" fillId="0" borderId="15" xfId="0" applyNumberFormat="1" applyFont="1" applyBorder="1" applyAlignment="1">
      <alignment horizontal="left"/>
    </xf>
    <xf numFmtId="178" fontId="15" fillId="7" borderId="9" xfId="6" applyNumberFormat="1" applyBorder="1"/>
    <xf numFmtId="178" fontId="17" fillId="18" borderId="9" xfId="6" applyNumberFormat="1" applyFont="1" applyFill="1" applyBorder="1"/>
    <xf numFmtId="0" fontId="0" fillId="0" borderId="15" xfId="0" applyBorder="1" applyAlignment="1">
      <alignment horizontal="left"/>
    </xf>
    <xf numFmtId="177" fontId="15" fillId="7" borderId="42" xfId="6" applyNumberFormat="1" applyBorder="1"/>
    <xf numFmtId="0" fontId="0" fillId="18" borderId="0" xfId="0" applyFill="1"/>
    <xf numFmtId="173" fontId="3" fillId="0" borderId="0" xfId="2" applyNumberFormat="1" applyFont="1" applyFill="1" applyBorder="1" applyAlignment="1">
      <alignment horizontal="center"/>
    </xf>
    <xf numFmtId="0" fontId="0" fillId="0" borderId="0" xfId="0" applyProtection="1">
      <protection locked="0"/>
    </xf>
    <xf numFmtId="172" fontId="0" fillId="0" borderId="0" xfId="0" applyNumberFormat="1"/>
    <xf numFmtId="173" fontId="3" fillId="0" borderId="16" xfId="2" applyNumberFormat="1" applyFont="1" applyBorder="1" applyAlignment="1">
      <alignment horizontal="center"/>
    </xf>
    <xf numFmtId="0" fontId="2" fillId="0" borderId="16" xfId="0" applyFont="1" applyBorder="1"/>
    <xf numFmtId="172" fontId="0" fillId="0" borderId="16" xfId="0" applyNumberFormat="1" applyBorder="1"/>
    <xf numFmtId="173" fontId="0" fillId="0" borderId="16" xfId="2" applyNumberFormat="1" applyFont="1" applyBorder="1"/>
    <xf numFmtId="9" fontId="0" fillId="0" borderId="21" xfId="0" applyNumberFormat="1" applyBorder="1" applyAlignment="1">
      <alignment horizontal="center"/>
    </xf>
    <xf numFmtId="173" fontId="3" fillId="0" borderId="0" xfId="2" applyNumberFormat="1" applyFont="1" applyBorder="1" applyAlignment="1">
      <alignment horizontal="center"/>
    </xf>
    <xf numFmtId="0" fontId="2" fillId="0" borderId="0" xfId="0" applyFont="1"/>
    <xf numFmtId="173" fontId="0" fillId="0" borderId="0" xfId="2" applyNumberFormat="1" applyFont="1" applyBorder="1"/>
    <xf numFmtId="177" fontId="17" fillId="0" borderId="0" xfId="6" applyNumberFormat="1" applyFont="1" applyFill="1" applyBorder="1"/>
    <xf numFmtId="171" fontId="0" fillId="0" borderId="0" xfId="0" applyNumberFormat="1"/>
    <xf numFmtId="177" fontId="15" fillId="0" borderId="42" xfId="6" applyNumberFormat="1" applyFill="1" applyBorder="1"/>
    <xf numFmtId="177" fontId="15" fillId="0" borderId="0" xfId="6" applyNumberFormat="1" applyFill="1" applyBorder="1"/>
    <xf numFmtId="0" fontId="0" fillId="0" borderId="10" xfId="0" applyBorder="1"/>
    <xf numFmtId="1" fontId="3" fillId="0" borderId="1" xfId="0" applyNumberFormat="1" applyFont="1" applyBorder="1" applyAlignment="1">
      <alignment horizontal="center"/>
    </xf>
    <xf numFmtId="0" fontId="0" fillId="0" borderId="1" xfId="0" applyBorder="1" applyProtection="1">
      <protection locked="0"/>
    </xf>
    <xf numFmtId="0" fontId="4" fillId="0" borderId="1" xfId="0" applyFont="1" applyBorder="1"/>
    <xf numFmtId="177" fontId="17" fillId="9" borderId="1" xfId="6" applyNumberFormat="1" applyFont="1" applyFill="1" applyBorder="1"/>
    <xf numFmtId="1" fontId="4" fillId="0" borderId="1" xfId="0" applyNumberFormat="1" applyFont="1" applyBorder="1"/>
    <xf numFmtId="171" fontId="0" fillId="0" borderId="1" xfId="0" applyNumberFormat="1" applyBorder="1"/>
    <xf numFmtId="177" fontId="15" fillId="7" borderId="44" xfId="6" applyNumberFormat="1" applyBorder="1"/>
    <xf numFmtId="9" fontId="0" fillId="0" borderId="1" xfId="0" applyNumberFormat="1" applyBorder="1" applyAlignment="1">
      <alignment horizontal="center"/>
    </xf>
    <xf numFmtId="177" fontId="15" fillId="7" borderId="1" xfId="6" applyNumberFormat="1" applyBorder="1"/>
    <xf numFmtId="177" fontId="17" fillId="18" borderId="1" xfId="6" applyNumberFormat="1" applyFont="1" applyFill="1" applyBorder="1"/>
    <xf numFmtId="0" fontId="4" fillId="0" borderId="5" xfId="0" applyFont="1" applyBorder="1"/>
    <xf numFmtId="173" fontId="3" fillId="9" borderId="0" xfId="2" applyNumberFormat="1" applyFont="1" applyFill="1" applyBorder="1" applyAlignment="1">
      <alignment horizontal="center"/>
    </xf>
    <xf numFmtId="0" fontId="0" fillId="9" borderId="0" xfId="0" applyFill="1"/>
    <xf numFmtId="1" fontId="4" fillId="0" borderId="0" xfId="0" applyNumberFormat="1" applyFont="1"/>
    <xf numFmtId="177" fontId="15" fillId="7" borderId="0" xfId="6" applyNumberFormat="1" applyBorder="1"/>
    <xf numFmtId="177" fontId="17" fillId="18" borderId="0" xfId="6" applyNumberFormat="1" applyFont="1" applyFill="1" applyBorder="1"/>
    <xf numFmtId="0" fontId="6" fillId="0" borderId="0" xfId="0" applyFont="1"/>
    <xf numFmtId="0" fontId="4" fillId="0" borderId="31" xfId="0" applyFont="1" applyBorder="1"/>
    <xf numFmtId="0" fontId="13" fillId="19" borderId="16" xfId="0" applyFont="1" applyFill="1" applyBorder="1"/>
    <xf numFmtId="9" fontId="0" fillId="0" borderId="16" xfId="0" applyNumberFormat="1" applyBorder="1" applyAlignment="1">
      <alignment horizontal="center"/>
    </xf>
    <xf numFmtId="177" fontId="15" fillId="7" borderId="16" xfId="6" applyNumberFormat="1" applyBorder="1"/>
    <xf numFmtId="177" fontId="17" fillId="9" borderId="0" xfId="6" applyNumberFormat="1" applyFont="1" applyFill="1" applyBorder="1"/>
    <xf numFmtId="9" fontId="0" fillId="9" borderId="0" xfId="0" applyNumberFormat="1" applyFill="1"/>
    <xf numFmtId="1" fontId="0" fillId="0" borderId="0" xfId="0" applyNumberFormat="1"/>
    <xf numFmtId="0" fontId="3" fillId="19" borderId="0" xfId="0" applyFont="1" applyFill="1"/>
    <xf numFmtId="0" fontId="6" fillId="19" borderId="0" xfId="0" applyFont="1" applyFill="1"/>
    <xf numFmtId="0" fontId="6" fillId="19" borderId="13" xfId="0" applyFont="1" applyFill="1" applyBorder="1"/>
    <xf numFmtId="173" fontId="3" fillId="0" borderId="2" xfId="2" applyNumberFormat="1" applyFont="1" applyBorder="1" applyAlignment="1">
      <alignment horizontal="center"/>
    </xf>
    <xf numFmtId="0" fontId="0" fillId="5" borderId="2" xfId="0" applyFill="1" applyBorder="1" applyProtection="1">
      <protection locked="0"/>
    </xf>
    <xf numFmtId="173" fontId="0" fillId="0" borderId="2" xfId="2" applyNumberFormat="1" applyFont="1" applyBorder="1"/>
    <xf numFmtId="0" fontId="13" fillId="19" borderId="2" xfId="0" applyFont="1" applyFill="1" applyBorder="1"/>
    <xf numFmtId="171" fontId="0" fillId="0" borderId="2" xfId="0" applyNumberFormat="1" applyBorder="1"/>
    <xf numFmtId="177" fontId="15" fillId="7" borderId="45" xfId="6" applyNumberFormat="1" applyBorder="1"/>
    <xf numFmtId="9" fontId="0" fillId="0" borderId="2" xfId="0" applyNumberFormat="1" applyBorder="1" applyAlignment="1">
      <alignment horizontal="center"/>
    </xf>
    <xf numFmtId="177" fontId="15" fillId="7" borderId="2" xfId="6" applyNumberFormat="1" applyBorder="1"/>
    <xf numFmtId="177" fontId="17" fillId="18" borderId="45" xfId="6" applyNumberFormat="1" applyFont="1" applyFill="1" applyBorder="1"/>
    <xf numFmtId="171" fontId="0" fillId="2" borderId="5" xfId="0" applyNumberFormat="1" applyFill="1" applyBorder="1"/>
    <xf numFmtId="0" fontId="0" fillId="2" borderId="0" xfId="0" applyFill="1"/>
    <xf numFmtId="175" fontId="0" fillId="2" borderId="0" xfId="5" applyNumberFormat="1" applyFont="1" applyFill="1" applyBorder="1"/>
    <xf numFmtId="178" fontId="5" fillId="0" borderId="0" xfId="0" applyNumberFormat="1" applyFont="1"/>
    <xf numFmtId="171" fontId="15" fillId="7" borderId="5" xfId="6" applyNumberFormat="1" applyBorder="1"/>
    <xf numFmtId="175" fontId="0" fillId="0" borderId="0" xfId="5" applyNumberFormat="1" applyFont="1" applyFill="1" applyBorder="1"/>
    <xf numFmtId="171" fontId="0" fillId="0" borderId="5" xfId="0" applyNumberFormat="1" applyBorder="1"/>
    <xf numFmtId="171" fontId="0" fillId="2" borderId="4" xfId="0" applyNumberFormat="1" applyFill="1" applyBorder="1"/>
    <xf numFmtId="0" fontId="0" fillId="2" borderId="2" xfId="0" applyFill="1" applyBorder="1"/>
    <xf numFmtId="178" fontId="5" fillId="0" borderId="2" xfId="0" applyNumberFormat="1" applyFont="1" applyBorder="1"/>
    <xf numFmtId="171" fontId="0" fillId="2" borderId="0" xfId="0" applyNumberFormat="1" applyFill="1"/>
    <xf numFmtId="178" fontId="4" fillId="0" borderId="0" xfId="0" applyNumberFormat="1" applyFont="1"/>
    <xf numFmtId="179" fontId="0" fillId="0" borderId="0" xfId="0" applyNumberFormat="1"/>
    <xf numFmtId="9" fontId="0" fillId="0" borderId="0" xfId="5" applyFont="1"/>
    <xf numFmtId="0" fontId="0" fillId="2" borderId="0" xfId="0" applyFill="1" applyAlignment="1">
      <alignment horizontal="right"/>
    </xf>
    <xf numFmtId="3" fontId="0" fillId="0" borderId="0" xfId="0" applyNumberFormat="1" applyAlignment="1">
      <alignment horizontal="center"/>
    </xf>
    <xf numFmtId="0" fontId="4" fillId="0" borderId="0" xfId="0" applyFont="1" applyAlignment="1">
      <alignment horizontal="right"/>
    </xf>
    <xf numFmtId="3" fontId="0" fillId="8" borderId="0" xfId="0" applyNumberFormat="1" applyFill="1"/>
    <xf numFmtId="0" fontId="0" fillId="8" borderId="0" xfId="0" applyFill="1"/>
    <xf numFmtId="0" fontId="5" fillId="0" borderId="0" xfId="0" applyFont="1" applyAlignment="1">
      <alignment horizontal="left"/>
    </xf>
    <xf numFmtId="0" fontId="18" fillId="0" borderId="0" xfId="0" applyFont="1"/>
    <xf numFmtId="0" fontId="19" fillId="0" borderId="0" xfId="0" applyFont="1"/>
    <xf numFmtId="0" fontId="20" fillId="0" borderId="0" xfId="0" applyFont="1"/>
    <xf numFmtId="0" fontId="20" fillId="0" borderId="0" xfId="0" applyFont="1" applyAlignment="1">
      <alignment horizontal="left"/>
    </xf>
    <xf numFmtId="0" fontId="21" fillId="0" borderId="10" xfId="0" applyFont="1" applyBorder="1"/>
    <xf numFmtId="0" fontId="22" fillId="0" borderId="1" xfId="0" applyFont="1" applyBorder="1" applyAlignment="1">
      <alignment horizontal="center"/>
    </xf>
    <xf numFmtId="0" fontId="19" fillId="0" borderId="11" xfId="0" applyFont="1" applyBorder="1"/>
    <xf numFmtId="0" fontId="19" fillId="11" borderId="5" xfId="0" applyFont="1" applyFill="1" applyBorder="1" applyAlignment="1">
      <alignment horizontal="center"/>
    </xf>
    <xf numFmtId="0" fontId="19" fillId="11" borderId="13" xfId="0" applyFont="1" applyFill="1" applyBorder="1" applyAlignment="1">
      <alignment horizontal="center"/>
    </xf>
    <xf numFmtId="0" fontId="22" fillId="0" borderId="0" xfId="0" applyFont="1" applyAlignment="1">
      <alignment horizontal="center"/>
    </xf>
    <xf numFmtId="0" fontId="19" fillId="0" borderId="23" xfId="0" applyFont="1" applyBorder="1"/>
    <xf numFmtId="0" fontId="19" fillId="0" borderId="3" xfId="0" applyFont="1" applyBorder="1"/>
    <xf numFmtId="3" fontId="19" fillId="0" borderId="3" xfId="0" applyNumberFormat="1" applyFont="1" applyBorder="1"/>
    <xf numFmtId="3" fontId="19" fillId="0" borderId="12" xfId="0" applyNumberFormat="1" applyFont="1" applyBorder="1"/>
    <xf numFmtId="3" fontId="19" fillId="0" borderId="0" xfId="0" applyNumberFormat="1" applyFont="1"/>
    <xf numFmtId="170" fontId="19" fillId="0" borderId="0" xfId="0" applyNumberFormat="1" applyFont="1"/>
    <xf numFmtId="14" fontId="20" fillId="0" borderId="5" xfId="0" applyNumberFormat="1" applyFont="1" applyBorder="1"/>
    <xf numFmtId="1" fontId="20" fillId="0" borderId="0" xfId="0" applyNumberFormat="1" applyFont="1"/>
    <xf numFmtId="1" fontId="20" fillId="0" borderId="13" xfId="0" applyNumberFormat="1" applyFont="1" applyBorder="1"/>
    <xf numFmtId="14" fontId="20" fillId="0" borderId="4" xfId="0" applyNumberFormat="1" applyFont="1" applyBorder="1"/>
    <xf numFmtId="0" fontId="19" fillId="0" borderId="2" xfId="0" applyFont="1" applyBorder="1"/>
    <xf numFmtId="1" fontId="20" fillId="0" borderId="14" xfId="0" applyNumberFormat="1" applyFont="1" applyBorder="1"/>
    <xf numFmtId="1" fontId="19" fillId="0" borderId="0" xfId="0" applyNumberFormat="1" applyFont="1"/>
    <xf numFmtId="169" fontId="20" fillId="0" borderId="0" xfId="0" applyNumberFormat="1" applyFont="1"/>
    <xf numFmtId="169" fontId="19" fillId="0" borderId="0" xfId="0" applyNumberFormat="1" applyFont="1"/>
    <xf numFmtId="170" fontId="23" fillId="0" borderId="0" xfId="0" applyNumberFormat="1" applyFont="1" applyAlignment="1">
      <alignment horizontal="right"/>
    </xf>
    <xf numFmtId="170" fontId="24" fillId="0" borderId="0" xfId="0" applyNumberFormat="1" applyFont="1" applyAlignment="1">
      <alignment horizontal="right"/>
    </xf>
    <xf numFmtId="0" fontId="21" fillId="9" borderId="10" xfId="0" applyFont="1" applyFill="1" applyBorder="1"/>
    <xf numFmtId="0" fontId="25" fillId="0" borderId="1" xfId="0" applyFont="1" applyBorder="1"/>
    <xf numFmtId="0" fontId="19" fillId="11" borderId="0" xfId="0" applyFont="1" applyFill="1" applyAlignment="1">
      <alignment horizontal="center"/>
    </xf>
    <xf numFmtId="1" fontId="19" fillId="0" borderId="23" xfId="0" applyNumberFormat="1" applyFont="1" applyBorder="1"/>
    <xf numFmtId="173" fontId="19" fillId="0" borderId="12" xfId="1" applyNumberFormat="1" applyFont="1" applyFill="1" applyBorder="1"/>
    <xf numFmtId="1" fontId="20" fillId="0" borderId="0" xfId="0" applyNumberFormat="1" applyFont="1" applyAlignment="1">
      <alignment horizontal="right"/>
    </xf>
    <xf numFmtId="173" fontId="20" fillId="0" borderId="13" xfId="1" applyNumberFormat="1" applyFont="1" applyFill="1" applyBorder="1" applyAlignment="1">
      <alignment horizontal="right"/>
    </xf>
    <xf numFmtId="1" fontId="19" fillId="0" borderId="2" xfId="0" applyNumberFormat="1" applyFont="1" applyBorder="1"/>
    <xf numFmtId="3" fontId="20" fillId="10" borderId="14" xfId="0" applyNumberFormat="1" applyFont="1" applyFill="1" applyBorder="1"/>
    <xf numFmtId="3" fontId="20" fillId="0" borderId="0" xfId="0" applyNumberFormat="1" applyFont="1"/>
    <xf numFmtId="0" fontId="25" fillId="0" borderId="0" xfId="0" applyFont="1"/>
    <xf numFmtId="169" fontId="18" fillId="0" borderId="10" xfId="0" applyNumberFormat="1" applyFont="1" applyBorder="1"/>
    <xf numFmtId="169" fontId="19" fillId="0" borderId="11" xfId="0" applyNumberFormat="1" applyFont="1" applyBorder="1"/>
    <xf numFmtId="169" fontId="19" fillId="11" borderId="5" xfId="0" applyNumberFormat="1" applyFont="1" applyFill="1" applyBorder="1"/>
    <xf numFmtId="0" fontId="19" fillId="11" borderId="31" xfId="0" applyFont="1" applyFill="1" applyBorder="1" applyAlignment="1">
      <alignment horizontal="center"/>
    </xf>
    <xf numFmtId="0" fontId="19" fillId="11" borderId="17" xfId="0" applyFont="1" applyFill="1" applyBorder="1" applyAlignment="1">
      <alignment horizontal="center"/>
    </xf>
    <xf numFmtId="0" fontId="20" fillId="0" borderId="4" xfId="0" applyFont="1" applyBorder="1" applyAlignment="1">
      <alignment horizontal="left"/>
    </xf>
    <xf numFmtId="170" fontId="20" fillId="10" borderId="14" xfId="0" applyNumberFormat="1" applyFont="1" applyFill="1" applyBorder="1" applyAlignment="1">
      <alignment horizontal="right"/>
    </xf>
    <xf numFmtId="170" fontId="20" fillId="0" borderId="0" xfId="0" applyNumberFormat="1" applyFont="1" applyAlignment="1">
      <alignment horizontal="right"/>
    </xf>
    <xf numFmtId="0" fontId="19" fillId="0" borderId="0" xfId="0" applyFont="1" applyAlignment="1">
      <alignment horizontal="center"/>
    </xf>
    <xf numFmtId="0" fontId="22" fillId="0" borderId="11" xfId="0" applyFont="1" applyBorder="1" applyAlignment="1">
      <alignment horizontal="center"/>
    </xf>
    <xf numFmtId="0" fontId="19" fillId="0" borderId="12" xfId="0" applyFont="1" applyBorder="1"/>
    <xf numFmtId="1" fontId="20" fillId="0" borderId="13" xfId="0" applyNumberFormat="1" applyFont="1" applyBorder="1" applyAlignment="1">
      <alignment horizontal="right"/>
    </xf>
    <xf numFmtId="14" fontId="19" fillId="0" borderId="4" xfId="0" applyNumberFormat="1" applyFont="1" applyBorder="1"/>
    <xf numFmtId="0" fontId="19" fillId="0" borderId="14" xfId="0" applyFont="1" applyBorder="1"/>
    <xf numFmtId="0" fontId="25" fillId="0" borderId="60" xfId="0" applyFont="1" applyBorder="1"/>
    <xf numFmtId="0" fontId="25" fillId="0" borderId="53" xfId="0" applyFont="1" applyBorder="1"/>
    <xf numFmtId="0" fontId="25" fillId="0" borderId="61" xfId="0" applyFont="1" applyBorder="1"/>
    <xf numFmtId="0" fontId="25" fillId="9" borderId="53" xfId="0" applyFont="1" applyFill="1" applyBorder="1" applyAlignment="1">
      <alignment horizontal="right"/>
    </xf>
    <xf numFmtId="0" fontId="25" fillId="0" borderId="53" xfId="0" applyFont="1" applyBorder="1" applyAlignment="1">
      <alignment horizontal="right"/>
    </xf>
    <xf numFmtId="0" fontId="25" fillId="0" borderId="60" xfId="0" applyFont="1" applyBorder="1" applyAlignment="1">
      <alignment wrapText="1"/>
    </xf>
    <xf numFmtId="173" fontId="25" fillId="0" borderId="53" xfId="0" applyNumberFormat="1" applyFont="1" applyBorder="1" applyAlignment="1">
      <alignment horizontal="right"/>
    </xf>
    <xf numFmtId="0" fontId="25" fillId="24" borderId="60" xfId="0" applyFont="1" applyFill="1" applyBorder="1"/>
    <xf numFmtId="0" fontId="25" fillId="24" borderId="61" xfId="0" applyFont="1" applyFill="1" applyBorder="1"/>
    <xf numFmtId="174" fontId="25" fillId="0" borderId="53" xfId="0" applyNumberFormat="1" applyFont="1" applyBorder="1" applyAlignment="1">
      <alignment horizontal="right"/>
    </xf>
    <xf numFmtId="9" fontId="25" fillId="9" borderId="53" xfId="4" applyFont="1" applyFill="1" applyBorder="1" applyAlignment="1">
      <alignment horizontal="right"/>
    </xf>
    <xf numFmtId="0" fontId="25" fillId="0" borderId="62" xfId="0" applyFont="1" applyBorder="1"/>
    <xf numFmtId="174" fontId="25" fillId="0" borderId="54" xfId="0" applyNumberFormat="1" applyFont="1" applyBorder="1" applyAlignment="1">
      <alignment horizontal="right" indent="1"/>
    </xf>
    <xf numFmtId="0" fontId="25" fillId="0" borderId="63" xfId="0" applyFont="1" applyBorder="1"/>
    <xf numFmtId="0" fontId="25" fillId="0" borderId="64" xfId="0" applyFont="1" applyBorder="1"/>
    <xf numFmtId="0" fontId="25" fillId="0" borderId="55" xfId="0" applyFont="1" applyBorder="1" applyAlignment="1">
      <alignment horizontal="right"/>
    </xf>
    <xf numFmtId="0" fontId="25" fillId="0" borderId="65" xfId="0" applyFont="1" applyBorder="1"/>
    <xf numFmtId="9" fontId="25" fillId="9" borderId="54" xfId="4" applyFont="1" applyFill="1" applyBorder="1" applyAlignment="1">
      <alignment horizontal="right"/>
    </xf>
    <xf numFmtId="0" fontId="25" fillId="0" borderId="68" xfId="0" applyFont="1" applyBorder="1"/>
    <xf numFmtId="0" fontId="25" fillId="0" borderId="69" xfId="0" applyFont="1" applyBorder="1" applyAlignment="1">
      <alignment horizontal="right"/>
    </xf>
    <xf numFmtId="0" fontId="25" fillId="0" borderId="70" xfId="0" applyFont="1" applyBorder="1"/>
    <xf numFmtId="0" fontId="25" fillId="0" borderId="0" xfId="0" applyFont="1" applyAlignment="1">
      <alignment horizontal="right"/>
    </xf>
    <xf numFmtId="9" fontId="25" fillId="0" borderId="53" xfId="4" applyFont="1" applyBorder="1" applyAlignment="1">
      <alignment horizontal="right"/>
    </xf>
    <xf numFmtId="1" fontId="25" fillId="0" borderId="54" xfId="0" applyNumberFormat="1" applyFont="1" applyBorder="1" applyAlignment="1">
      <alignment horizontal="right"/>
    </xf>
    <xf numFmtId="1" fontId="25" fillId="0" borderId="53" xfId="0" applyNumberFormat="1" applyFont="1" applyBorder="1" applyAlignment="1">
      <alignment horizontal="right"/>
    </xf>
    <xf numFmtId="180" fontId="25" fillId="24" borderId="53" xfId="0" applyNumberFormat="1" applyFont="1" applyFill="1" applyBorder="1" applyAlignment="1">
      <alignment horizontal="right"/>
    </xf>
    <xf numFmtId="0" fontId="27" fillId="10" borderId="66" xfId="0" applyFont="1" applyFill="1" applyBorder="1"/>
    <xf numFmtId="174" fontId="27" fillId="10" borderId="56" xfId="0" applyNumberFormat="1" applyFont="1" applyFill="1" applyBorder="1" applyAlignment="1">
      <alignment horizontal="right"/>
    </xf>
    <xf numFmtId="0" fontId="27" fillId="10" borderId="67" xfId="0" applyFont="1" applyFill="1" applyBorder="1"/>
    <xf numFmtId="0" fontId="27" fillId="10" borderId="60" xfId="0" applyFont="1" applyFill="1" applyBorder="1"/>
    <xf numFmtId="180" fontId="27" fillId="10" borderId="53" xfId="0" applyNumberFormat="1" applyFont="1" applyFill="1" applyBorder="1" applyAlignment="1">
      <alignment horizontal="right"/>
    </xf>
    <xf numFmtId="0" fontId="27" fillId="10" borderId="61" xfId="0" applyFont="1" applyFill="1" applyBorder="1"/>
    <xf numFmtId="0" fontId="28" fillId="0" borderId="0" xfId="0" applyFont="1" applyAlignment="1">
      <alignment vertical="center"/>
    </xf>
    <xf numFmtId="0" fontId="29" fillId="0" borderId="0" xfId="0" applyFont="1" applyAlignment="1">
      <alignment vertical="center"/>
    </xf>
    <xf numFmtId="0" fontId="29" fillId="25" borderId="0" xfId="0" applyFont="1" applyFill="1" applyAlignment="1">
      <alignment vertical="center"/>
    </xf>
    <xf numFmtId="0" fontId="29" fillId="24" borderId="0" xfId="0" applyFont="1" applyFill="1" applyAlignment="1">
      <alignment vertical="center"/>
    </xf>
    <xf numFmtId="0" fontId="29" fillId="26" borderId="0" xfId="0" applyFont="1" applyFill="1" applyAlignment="1">
      <alignment vertical="center"/>
    </xf>
    <xf numFmtId="0" fontId="29" fillId="14" borderId="0" xfId="0" applyFont="1" applyFill="1" applyAlignment="1">
      <alignment vertical="center"/>
    </xf>
    <xf numFmtId="0" fontId="29" fillId="27" borderId="0" xfId="0" applyFont="1" applyFill="1" applyAlignment="1">
      <alignment vertical="center"/>
    </xf>
    <xf numFmtId="0" fontId="29" fillId="0" borderId="0" xfId="0" applyFont="1" applyAlignment="1">
      <alignment vertical="top"/>
    </xf>
    <xf numFmtId="170" fontId="29" fillId="0" borderId="0" xfId="0" applyNumberFormat="1" applyFont="1" applyAlignment="1">
      <alignment vertical="center"/>
    </xf>
    <xf numFmtId="171" fontId="29" fillId="23" borderId="0" xfId="0" applyNumberFormat="1" applyFont="1" applyFill="1" applyAlignment="1">
      <alignment vertical="center"/>
    </xf>
    <xf numFmtId="2" fontId="29" fillId="0" borderId="0" xfId="0" applyNumberFormat="1" applyFont="1" applyAlignment="1">
      <alignment vertical="center"/>
    </xf>
    <xf numFmtId="0" fontId="28" fillId="0" borderId="30" xfId="0" applyFont="1" applyBorder="1" applyAlignment="1">
      <alignment vertical="center"/>
    </xf>
    <xf numFmtId="2" fontId="28" fillId="28" borderId="30" xfId="0" applyNumberFormat="1" applyFont="1" applyFill="1" applyBorder="1" applyAlignment="1">
      <alignment vertical="center"/>
    </xf>
    <xf numFmtId="0" fontId="28" fillId="0" borderId="30" xfId="0" applyFont="1" applyBorder="1" applyAlignment="1">
      <alignment vertical="top"/>
    </xf>
    <xf numFmtId="170" fontId="28" fillId="28" borderId="30" xfId="0" applyNumberFormat="1" applyFont="1" applyFill="1" applyBorder="1" applyAlignment="1">
      <alignment vertical="center"/>
    </xf>
    <xf numFmtId="0" fontId="20" fillId="0" borderId="0" xfId="0" applyFont="1" applyAlignment="1">
      <alignment horizontal="center"/>
    </xf>
    <xf numFmtId="0" fontId="26" fillId="0" borderId="0" xfId="0" applyFont="1" applyAlignment="1">
      <alignment horizontal="center"/>
    </xf>
    <xf numFmtId="0" fontId="19" fillId="0" borderId="0" xfId="0" applyFont="1" applyAlignment="1">
      <alignment horizontal="right"/>
    </xf>
    <xf numFmtId="9" fontId="20" fillId="0" borderId="0" xfId="0" applyNumberFormat="1" applyFont="1" applyAlignment="1">
      <alignment horizontal="center"/>
    </xf>
    <xf numFmtId="9" fontId="26" fillId="0" borderId="0" xfId="0" applyNumberFormat="1" applyFont="1" applyAlignment="1">
      <alignment horizontal="center"/>
    </xf>
    <xf numFmtId="1" fontId="20" fillId="0" borderId="0" xfId="0" applyNumberFormat="1" applyFont="1" applyAlignment="1">
      <alignment horizontal="center"/>
    </xf>
    <xf numFmtId="0" fontId="23" fillId="0" borderId="0" xfId="0" applyFont="1" applyAlignment="1">
      <alignment horizontal="center"/>
    </xf>
    <xf numFmtId="0" fontId="19" fillId="23" borderId="1" xfId="0" applyFont="1" applyFill="1" applyBorder="1"/>
    <xf numFmtId="0" fontId="19" fillId="23" borderId="11" xfId="0" applyFont="1" applyFill="1" applyBorder="1"/>
    <xf numFmtId="0" fontId="19" fillId="0" borderId="32" xfId="0" applyFont="1" applyBorder="1"/>
    <xf numFmtId="0" fontId="19" fillId="8" borderId="10" xfId="0" applyFont="1" applyFill="1" applyBorder="1"/>
    <xf numFmtId="0" fontId="19" fillId="8" borderId="1" xfId="0" applyFont="1" applyFill="1" applyBorder="1" applyAlignment="1">
      <alignment horizontal="center"/>
    </xf>
    <xf numFmtId="0" fontId="19" fillId="8" borderId="11" xfId="0" applyFont="1" applyFill="1" applyBorder="1"/>
    <xf numFmtId="0" fontId="19" fillId="23" borderId="3" xfId="0" applyFont="1" applyFill="1" applyBorder="1"/>
    <xf numFmtId="0" fontId="19" fillId="23" borderId="0" xfId="0" applyFont="1" applyFill="1"/>
    <xf numFmtId="0" fontId="19" fillId="23" borderId="13" xfId="0" applyFont="1" applyFill="1" applyBorder="1"/>
    <xf numFmtId="0" fontId="19" fillId="0" borderId="13" xfId="0" applyFont="1" applyBorder="1"/>
    <xf numFmtId="0" fontId="19" fillId="8" borderId="5" xfId="0" applyFont="1" applyFill="1" applyBorder="1"/>
    <xf numFmtId="0" fontId="19" fillId="8" borderId="0" xfId="0" applyFont="1" applyFill="1" applyAlignment="1">
      <alignment horizontal="center"/>
    </xf>
    <xf numFmtId="0" fontId="19" fillId="8" borderId="7" xfId="0" applyFont="1" applyFill="1" applyBorder="1"/>
    <xf numFmtId="0" fontId="19" fillId="8" borderId="6" xfId="0" applyFont="1" applyFill="1" applyBorder="1"/>
    <xf numFmtId="0" fontId="19" fillId="8" borderId="13" xfId="0" applyFont="1" applyFill="1" applyBorder="1"/>
    <xf numFmtId="0" fontId="19" fillId="21" borderId="0" xfId="0" applyFont="1" applyFill="1" applyAlignment="1">
      <alignment horizontal="left"/>
    </xf>
    <xf numFmtId="0" fontId="19" fillId="21" borderId="0" xfId="0" applyFont="1" applyFill="1"/>
    <xf numFmtId="0" fontId="19" fillId="8" borderId="8" xfId="0" applyFont="1" applyFill="1" applyBorder="1"/>
    <xf numFmtId="0" fontId="19" fillId="8" borderId="9" xfId="0" applyFont="1" applyFill="1" applyBorder="1"/>
    <xf numFmtId="0" fontId="20" fillId="23" borderId="3" xfId="0" applyFont="1" applyFill="1" applyBorder="1"/>
    <xf numFmtId="0" fontId="19" fillId="8" borderId="3" xfId="0" applyFont="1" applyFill="1" applyBorder="1"/>
    <xf numFmtId="0" fontId="19" fillId="8" borderId="0" xfId="0" applyFont="1" applyFill="1"/>
    <xf numFmtId="0" fontId="19" fillId="0" borderId="0" xfId="0" applyFont="1" applyAlignment="1">
      <alignment vertical="top"/>
    </xf>
    <xf numFmtId="0" fontId="20" fillId="0" borderId="3" xfId="0" applyFont="1" applyBorder="1"/>
    <xf numFmtId="0" fontId="19" fillId="23" borderId="5" xfId="0" applyFont="1" applyFill="1" applyBorder="1" applyAlignment="1">
      <alignment horizontal="center" vertical="center" wrapText="1"/>
    </xf>
    <xf numFmtId="0" fontId="19" fillId="23" borderId="5" xfId="0" applyFont="1" applyFill="1" applyBorder="1"/>
    <xf numFmtId="0" fontId="19" fillId="23" borderId="4" xfId="0" applyFont="1" applyFill="1" applyBorder="1" applyAlignment="1">
      <alignment horizontal="center"/>
    </xf>
    <xf numFmtId="0" fontId="19" fillId="23" borderId="2" xfId="0" applyFont="1" applyFill="1" applyBorder="1"/>
    <xf numFmtId="0" fontId="19" fillId="23" borderId="2" xfId="0" applyFont="1" applyFill="1" applyBorder="1" applyAlignment="1">
      <alignment horizontal="center"/>
    </xf>
    <xf numFmtId="0" fontId="19" fillId="23" borderId="14" xfId="0" applyFont="1" applyFill="1" applyBorder="1"/>
    <xf numFmtId="0" fontId="19" fillId="8" borderId="4" xfId="0" applyFont="1" applyFill="1" applyBorder="1"/>
    <xf numFmtId="0" fontId="19" fillId="8" borderId="2" xfId="0" applyFont="1" applyFill="1" applyBorder="1" applyAlignment="1">
      <alignment horizontal="center"/>
    </xf>
    <xf numFmtId="0" fontId="19" fillId="8" borderId="2" xfId="0" applyFont="1" applyFill="1" applyBorder="1"/>
    <xf numFmtId="0" fontId="19" fillId="8" borderId="14" xfId="0" applyFont="1" applyFill="1" applyBorder="1"/>
    <xf numFmtId="0" fontId="18" fillId="0" borderId="10" xfId="0" applyFont="1" applyBorder="1"/>
    <xf numFmtId="0" fontId="18" fillId="0" borderId="1" xfId="0" applyFont="1" applyBorder="1"/>
    <xf numFmtId="0" fontId="19" fillId="0" borderId="1" xfId="0" applyFont="1" applyBorder="1"/>
    <xf numFmtId="0" fontId="33" fillId="0" borderId="1" xfId="0" applyFont="1" applyBorder="1"/>
    <xf numFmtId="171" fontId="18" fillId="0" borderId="11" xfId="0" applyNumberFormat="1" applyFont="1" applyBorder="1"/>
    <xf numFmtId="0" fontId="18" fillId="20" borderId="10" xfId="0" applyFont="1" applyFill="1" applyBorder="1"/>
    <xf numFmtId="0" fontId="18" fillId="20" borderId="1" xfId="0" applyFont="1" applyFill="1" applyBorder="1"/>
    <xf numFmtId="0" fontId="33" fillId="9" borderId="16" xfId="0" applyFont="1" applyFill="1" applyBorder="1"/>
    <xf numFmtId="0" fontId="19" fillId="9" borderId="0" xfId="0" applyFont="1" applyFill="1"/>
    <xf numFmtId="0" fontId="19" fillId="0" borderId="13" xfId="0" applyFont="1" applyBorder="1" applyAlignment="1">
      <alignment horizontal="right"/>
    </xf>
    <xf numFmtId="0" fontId="33" fillId="20" borderId="16" xfId="0" applyFont="1" applyFill="1" applyBorder="1"/>
    <xf numFmtId="0" fontId="19" fillId="20" borderId="0" xfId="0" applyFont="1" applyFill="1"/>
    <xf numFmtId="0" fontId="19" fillId="20" borderId="13" xfId="0" applyFont="1" applyFill="1" applyBorder="1" applyAlignment="1">
      <alignment horizontal="right"/>
    </xf>
    <xf numFmtId="0" fontId="20" fillId="4" borderId="23" xfId="0" applyFont="1" applyFill="1" applyBorder="1"/>
    <xf numFmtId="0" fontId="20" fillId="4" borderId="3" xfId="0" applyFont="1" applyFill="1" applyBorder="1"/>
    <xf numFmtId="0" fontId="20" fillId="4" borderId="12" xfId="0" applyFont="1" applyFill="1" applyBorder="1"/>
    <xf numFmtId="0" fontId="20" fillId="0" borderId="0" xfId="0" applyFont="1" applyAlignment="1">
      <alignment vertical="top"/>
    </xf>
    <xf numFmtId="0" fontId="19" fillId="0" borderId="23" xfId="0" applyFont="1" applyBorder="1" applyAlignment="1">
      <alignment horizontal="center"/>
    </xf>
    <xf numFmtId="2" fontId="19" fillId="0" borderId="3" xfId="0" applyNumberFormat="1" applyFont="1" applyBorder="1"/>
    <xf numFmtId="2" fontId="19" fillId="0" borderId="12" xfId="0" applyNumberFormat="1" applyFont="1" applyBorder="1"/>
    <xf numFmtId="2" fontId="20" fillId="0" borderId="3" xfId="0" applyNumberFormat="1" applyFont="1" applyBorder="1"/>
    <xf numFmtId="0" fontId="35" fillId="23" borderId="3" xfId="0" applyFont="1" applyFill="1" applyBorder="1"/>
    <xf numFmtId="0" fontId="35" fillId="0" borderId="3" xfId="0" applyFont="1" applyBorder="1"/>
    <xf numFmtId="2" fontId="35" fillId="0" borderId="12" xfId="0" applyNumberFormat="1" applyFont="1" applyBorder="1"/>
    <xf numFmtId="0" fontId="19" fillId="0" borderId="5" xfId="0" applyFont="1" applyBorder="1" applyAlignment="1">
      <alignment horizontal="center"/>
    </xf>
    <xf numFmtId="170" fontId="19" fillId="0" borderId="13" xfId="0" applyNumberFormat="1" applyFont="1" applyBorder="1"/>
    <xf numFmtId="0" fontId="19" fillId="20" borderId="5" xfId="0" applyFont="1" applyFill="1" applyBorder="1" applyAlignment="1">
      <alignment horizontal="center"/>
    </xf>
    <xf numFmtId="0" fontId="19" fillId="20" borderId="0" xfId="0" applyFont="1" applyFill="1" applyAlignment="1">
      <alignment horizontal="right"/>
    </xf>
    <xf numFmtId="170" fontId="19" fillId="20" borderId="13" xfId="0" applyNumberFormat="1" applyFont="1" applyFill="1" applyBorder="1"/>
    <xf numFmtId="0" fontId="19" fillId="0" borderId="0" xfId="0" applyFont="1" applyAlignment="1">
      <alignment horizontal="left"/>
    </xf>
    <xf numFmtId="0" fontId="36" fillId="0" borderId="0" xfId="0" applyFont="1" applyAlignment="1">
      <alignment horizontal="right"/>
    </xf>
    <xf numFmtId="2" fontId="36" fillId="0" borderId="13" xfId="0" applyNumberFormat="1" applyFont="1" applyBorder="1"/>
    <xf numFmtId="0" fontId="19" fillId="20" borderId="0" xfId="0" applyFont="1" applyFill="1" applyAlignment="1">
      <alignment horizontal="left"/>
    </xf>
    <xf numFmtId="0" fontId="36" fillId="20" borderId="0" xfId="0" applyFont="1" applyFill="1" applyAlignment="1">
      <alignment horizontal="right"/>
    </xf>
    <xf numFmtId="2" fontId="36" fillId="20" borderId="13" xfId="0" applyNumberFormat="1" applyFont="1" applyFill="1" applyBorder="1"/>
    <xf numFmtId="0" fontId="37" fillId="6" borderId="5" xfId="3" applyFont="1" applyBorder="1" applyAlignment="1">
      <alignment horizontal="center"/>
    </xf>
    <xf numFmtId="0" fontId="18" fillId="0" borderId="0" xfId="0" applyFont="1" applyAlignment="1">
      <alignment horizontal="right"/>
    </xf>
    <xf numFmtId="2" fontId="18" fillId="0" borderId="13" xfId="0" applyNumberFormat="1" applyFont="1" applyBorder="1"/>
    <xf numFmtId="0" fontId="37" fillId="20" borderId="5" xfId="3" applyFont="1" applyFill="1" applyBorder="1" applyAlignment="1">
      <alignment horizontal="center"/>
    </xf>
    <xf numFmtId="0" fontId="18" fillId="20" borderId="0" xfId="0" applyFont="1" applyFill="1" applyAlignment="1">
      <alignment horizontal="right"/>
    </xf>
    <xf numFmtId="2" fontId="18" fillId="20" borderId="13" xfId="0" applyNumberFormat="1" applyFont="1" applyFill="1" applyBorder="1"/>
    <xf numFmtId="0" fontId="19" fillId="0" borderId="4" xfId="0" applyFont="1" applyBorder="1" applyAlignment="1">
      <alignment horizontal="center"/>
    </xf>
    <xf numFmtId="0" fontId="19" fillId="0" borderId="14" xfId="0" applyFont="1" applyBorder="1" applyAlignment="1">
      <alignment horizontal="right"/>
    </xf>
    <xf numFmtId="0" fontId="19" fillId="20" borderId="4" xfId="0" applyFont="1" applyFill="1" applyBorder="1" applyAlignment="1">
      <alignment horizontal="center"/>
    </xf>
    <xf numFmtId="0" fontId="19" fillId="20" borderId="2" xfId="0" applyFont="1" applyFill="1" applyBorder="1"/>
    <xf numFmtId="0" fontId="19" fillId="20" borderId="14" xfId="0" applyFont="1" applyFill="1" applyBorder="1" applyAlignment="1">
      <alignment horizontal="right"/>
    </xf>
    <xf numFmtId="0" fontId="19" fillId="9" borderId="3" xfId="0" applyFont="1" applyFill="1" applyBorder="1"/>
    <xf numFmtId="0" fontId="20" fillId="11" borderId="3" xfId="0" applyFont="1" applyFill="1" applyBorder="1"/>
    <xf numFmtId="0" fontId="20" fillId="11" borderId="3" xfId="0" applyFont="1" applyFill="1" applyBorder="1" applyAlignment="1">
      <alignment wrapText="1"/>
    </xf>
    <xf numFmtId="0" fontId="20" fillId="9" borderId="0" xfId="0" applyFont="1" applyFill="1" applyAlignment="1">
      <alignment vertical="top"/>
    </xf>
    <xf numFmtId="0" fontId="25" fillId="38" borderId="5" xfId="0" applyFont="1" applyFill="1" applyBorder="1"/>
    <xf numFmtId="0" fontId="25" fillId="9" borderId="5" xfId="0" applyFont="1" applyFill="1" applyBorder="1"/>
    <xf numFmtId="0" fontId="20" fillId="0" borderId="27" xfId="0" applyFont="1" applyBorder="1"/>
    <xf numFmtId="173" fontId="20" fillId="0" borderId="28" xfId="1" applyNumberFormat="1" applyFont="1" applyBorder="1"/>
    <xf numFmtId="0" fontId="20" fillId="0" borderId="29" xfId="0" applyFont="1" applyBorder="1"/>
    <xf numFmtId="0" fontId="20" fillId="9" borderId="0" xfId="0" applyFont="1" applyFill="1"/>
    <xf numFmtId="0" fontId="38" fillId="0" borderId="0" xfId="0" applyFont="1"/>
    <xf numFmtId="3" fontId="21" fillId="0" borderId="0" xfId="0" applyNumberFormat="1" applyFont="1" applyAlignment="1">
      <alignment horizontal="center" vertical="top"/>
    </xf>
    <xf numFmtId="3" fontId="21" fillId="9" borderId="0" xfId="0" applyNumberFormat="1" applyFont="1" applyFill="1" applyAlignment="1">
      <alignment horizontal="center" vertical="center" wrapText="1"/>
    </xf>
    <xf numFmtId="3" fontId="21" fillId="0" borderId="0" xfId="0" applyNumberFormat="1" applyFont="1" applyAlignment="1">
      <alignment horizontal="center" vertical="center" wrapText="1"/>
    </xf>
    <xf numFmtId="0" fontId="25" fillId="0" borderId="10" xfId="0" applyFont="1" applyBorder="1"/>
    <xf numFmtId="0" fontId="25" fillId="0" borderId="5" xfId="0" applyFont="1" applyBorder="1"/>
    <xf numFmtId="185" fontId="25" fillId="0" borderId="0" xfId="0" applyNumberFormat="1" applyFont="1"/>
    <xf numFmtId="0" fontId="25" fillId="0" borderId="4" xfId="0" applyFont="1" applyBorder="1"/>
    <xf numFmtId="0" fontId="25" fillId="0" borderId="2" xfId="0" applyFont="1" applyBorder="1"/>
    <xf numFmtId="171" fontId="25" fillId="0" borderId="2" xfId="0" applyNumberFormat="1" applyFont="1" applyBorder="1"/>
    <xf numFmtId="0" fontId="39" fillId="0" borderId="10" xfId="0" applyFont="1" applyBorder="1"/>
    <xf numFmtId="0" fontId="39" fillId="0" borderId="1" xfId="0" applyFont="1" applyBorder="1"/>
    <xf numFmtId="186" fontId="27" fillId="9" borderId="1" xfId="0" applyNumberFormat="1" applyFont="1" applyFill="1" applyBorder="1"/>
    <xf numFmtId="186" fontId="39" fillId="9" borderId="1" xfId="0" applyNumberFormat="1" applyFont="1" applyFill="1" applyBorder="1"/>
    <xf numFmtId="0" fontId="40" fillId="0" borderId="5" xfId="0" applyFont="1" applyBorder="1"/>
    <xf numFmtId="0" fontId="40" fillId="0" borderId="0" xfId="0" applyFont="1"/>
    <xf numFmtId="186" fontId="40" fillId="0" borderId="16" xfId="0" applyNumberFormat="1" applyFont="1" applyBorder="1"/>
    <xf numFmtId="186" fontId="40" fillId="9" borderId="16" xfId="0" applyNumberFormat="1" applyFont="1" applyFill="1" applyBorder="1"/>
    <xf numFmtId="0" fontId="27" fillId="0" borderId="25" xfId="0" applyFont="1" applyBorder="1"/>
    <xf numFmtId="0" fontId="27" fillId="0" borderId="24" xfId="0" applyFont="1" applyBorder="1"/>
    <xf numFmtId="186" fontId="27" fillId="0" borderId="24" xfId="0" applyNumberFormat="1" applyFont="1" applyBorder="1"/>
    <xf numFmtId="186" fontId="25" fillId="0" borderId="0" xfId="0" applyNumberFormat="1" applyFont="1"/>
    <xf numFmtId="0" fontId="25" fillId="0" borderId="31" xfId="0" applyFont="1" applyBorder="1"/>
    <xf numFmtId="0" fontId="25" fillId="0" borderId="16" xfId="0" applyFont="1" applyBorder="1"/>
    <xf numFmtId="186" fontId="25" fillId="9" borderId="16" xfId="0" applyNumberFormat="1" applyFont="1" applyFill="1" applyBorder="1"/>
    <xf numFmtId="0" fontId="39" fillId="0" borderId="4" xfId="0" applyFont="1" applyBorder="1"/>
    <xf numFmtId="0" fontId="39" fillId="0" borderId="2" xfId="0" applyFont="1" applyBorder="1"/>
    <xf numFmtId="186" fontId="27" fillId="0" borderId="2" xfId="0" applyNumberFormat="1" applyFont="1" applyBorder="1"/>
    <xf numFmtId="186" fontId="39" fillId="0" borderId="2" xfId="0" applyNumberFormat="1" applyFont="1" applyBorder="1"/>
    <xf numFmtId="0" fontId="27" fillId="0" borderId="10" xfId="0" applyFont="1" applyBorder="1"/>
    <xf numFmtId="173" fontId="19" fillId="0" borderId="0" xfId="0" applyNumberFormat="1" applyFont="1"/>
    <xf numFmtId="0" fontId="38" fillId="0" borderId="27" xfId="0" applyFont="1" applyBorder="1"/>
    <xf numFmtId="0" fontId="38" fillId="0" borderId="28" xfId="0" applyFont="1" applyBorder="1"/>
    <xf numFmtId="173" fontId="38" fillId="0" borderId="28" xfId="0" applyNumberFormat="1" applyFont="1" applyBorder="1"/>
    <xf numFmtId="173" fontId="38" fillId="0" borderId="29" xfId="0" applyNumberFormat="1" applyFont="1" applyBorder="1"/>
    <xf numFmtId="0" fontId="41" fillId="0" borderId="0" xfId="0" applyFont="1" applyAlignment="1">
      <alignment vertical="top"/>
    </xf>
    <xf numFmtId="0" fontId="29" fillId="0" borderId="0" xfId="0" applyFont="1" applyAlignment="1">
      <alignment vertical="top" wrapText="1"/>
    </xf>
    <xf numFmtId="173" fontId="29" fillId="0" borderId="0" xfId="1" applyNumberFormat="1" applyFont="1" applyFill="1" applyBorder="1" applyAlignment="1">
      <alignment horizontal="center" vertical="top"/>
    </xf>
    <xf numFmtId="170" fontId="29" fillId="0" borderId="0" xfId="0" applyNumberFormat="1" applyFont="1" applyAlignment="1">
      <alignment horizontal="right" vertical="top"/>
    </xf>
    <xf numFmtId="0" fontId="28" fillId="22" borderId="0" xfId="0" applyFont="1" applyFill="1" applyAlignment="1">
      <alignment vertical="top" wrapText="1"/>
    </xf>
    <xf numFmtId="0" fontId="28" fillId="22" borderId="0" xfId="0" applyFont="1" applyFill="1" applyAlignment="1">
      <alignment vertical="top"/>
    </xf>
    <xf numFmtId="173" fontId="28" fillId="22" borderId="0" xfId="1" applyNumberFormat="1" applyFont="1" applyFill="1" applyBorder="1" applyAlignment="1">
      <alignment vertical="top" wrapText="1"/>
    </xf>
    <xf numFmtId="170" fontId="28" fillId="22" borderId="0" xfId="0" applyNumberFormat="1" applyFont="1" applyFill="1" applyAlignment="1">
      <alignment vertical="top"/>
    </xf>
    <xf numFmtId="0" fontId="28" fillId="29" borderId="0" xfId="0" applyFont="1" applyFill="1" applyAlignment="1">
      <alignment vertical="top" wrapText="1"/>
    </xf>
    <xf numFmtId="173" fontId="28" fillId="29" borderId="0" xfId="1" applyNumberFormat="1" applyFont="1" applyFill="1" applyBorder="1" applyAlignment="1">
      <alignment vertical="top" wrapText="1"/>
    </xf>
    <xf numFmtId="170" fontId="28" fillId="29" borderId="0" xfId="0" applyNumberFormat="1" applyFont="1" applyFill="1" applyAlignment="1">
      <alignment vertical="top"/>
    </xf>
    <xf numFmtId="0" fontId="29" fillId="22" borderId="0" xfId="0" applyFont="1" applyFill="1" applyAlignment="1">
      <alignment vertical="top"/>
    </xf>
    <xf numFmtId="0" fontId="42" fillId="22" borderId="0" xfId="0" applyFont="1" applyFill="1" applyAlignment="1">
      <alignment horizontal="center" vertical="center" wrapText="1"/>
    </xf>
    <xf numFmtId="173" fontId="42" fillId="22" borderId="0" xfId="1" applyNumberFormat="1" applyFont="1" applyFill="1" applyBorder="1" applyAlignment="1">
      <alignment horizontal="center" vertical="center" wrapText="1"/>
    </xf>
    <xf numFmtId="170" fontId="42" fillId="22" borderId="0" xfId="0" applyNumberFormat="1" applyFont="1" applyFill="1" applyAlignment="1">
      <alignment horizontal="center" vertical="center" wrapText="1"/>
    </xf>
    <xf numFmtId="0" fontId="42" fillId="29" borderId="0" xfId="0" applyFont="1" applyFill="1" applyAlignment="1">
      <alignment horizontal="center" vertical="center" wrapText="1"/>
    </xf>
    <xf numFmtId="173" fontId="42" fillId="29" borderId="0" xfId="1" applyNumberFormat="1" applyFont="1" applyFill="1" applyBorder="1" applyAlignment="1">
      <alignment horizontal="center" vertical="center" wrapText="1"/>
    </xf>
    <xf numFmtId="170" fontId="42" fillId="29" borderId="0" xfId="0" applyNumberFormat="1" applyFont="1" applyFill="1" applyAlignment="1">
      <alignment horizontal="center" vertical="center" wrapText="1"/>
    </xf>
    <xf numFmtId="170" fontId="28" fillId="0" borderId="0" xfId="0" applyNumberFormat="1" applyFont="1" applyAlignment="1">
      <alignment horizontal="center" vertical="top"/>
    </xf>
    <xf numFmtId="0" fontId="44" fillId="0" borderId="0" xfId="0" applyFont="1" applyAlignment="1">
      <alignment horizontal="center" vertical="center"/>
    </xf>
    <xf numFmtId="0" fontId="44" fillId="0" borderId="0" xfId="0" applyFont="1" applyAlignment="1">
      <alignment vertical="center" wrapText="1"/>
    </xf>
    <xf numFmtId="171" fontId="44" fillId="0" borderId="0" xfId="0" applyNumberFormat="1" applyFont="1" applyAlignment="1">
      <alignment vertical="center" wrapText="1"/>
    </xf>
    <xf numFmtId="173" fontId="44" fillId="0" borderId="0" xfId="1" applyNumberFormat="1" applyFont="1" applyFill="1" applyBorder="1" applyAlignment="1">
      <alignment vertical="center"/>
    </xf>
    <xf numFmtId="170" fontId="44" fillId="0" borderId="0" xfId="0" applyNumberFormat="1" applyFont="1" applyAlignment="1">
      <alignment horizontal="right" vertical="center"/>
    </xf>
    <xf numFmtId="0" fontId="28" fillId="30" borderId="0" xfId="0" applyFont="1" applyFill="1" applyAlignment="1">
      <alignment vertical="top"/>
    </xf>
    <xf numFmtId="0" fontId="28" fillId="12" borderId="0" xfId="0" applyFont="1" applyFill="1" applyAlignment="1">
      <alignment vertical="top" wrapText="1"/>
    </xf>
    <xf numFmtId="0" fontId="28" fillId="0" borderId="0" xfId="0" applyFont="1" applyAlignment="1">
      <alignment vertical="top"/>
    </xf>
    <xf numFmtId="0" fontId="29" fillId="0" borderId="0" xfId="0" applyFont="1" applyAlignment="1">
      <alignment horizontal="center" vertical="center"/>
    </xf>
    <xf numFmtId="0" fontId="29" fillId="0" borderId="0" xfId="0" applyFont="1" applyAlignment="1">
      <alignment vertical="center" wrapText="1"/>
    </xf>
    <xf numFmtId="2" fontId="29" fillId="0" borderId="0" xfId="0" applyNumberFormat="1" applyFont="1" applyAlignment="1">
      <alignment vertical="center" wrapText="1"/>
    </xf>
    <xf numFmtId="173" fontId="29" fillId="0" borderId="0" xfId="1" applyNumberFormat="1" applyFont="1" applyFill="1" applyBorder="1" applyAlignment="1">
      <alignment vertical="center"/>
    </xf>
    <xf numFmtId="170" fontId="29" fillId="0" borderId="0" xfId="0" applyNumberFormat="1" applyFont="1" applyAlignment="1">
      <alignment horizontal="right" vertical="center"/>
    </xf>
    <xf numFmtId="170" fontId="29" fillId="0" borderId="0" xfId="0" applyNumberFormat="1" applyFont="1" applyAlignment="1">
      <alignment vertical="center" wrapText="1"/>
    </xf>
    <xf numFmtId="1" fontId="29" fillId="0" borderId="0" xfId="0" applyNumberFormat="1" applyFont="1" applyAlignment="1">
      <alignment vertical="center" wrapText="1"/>
    </xf>
    <xf numFmtId="0" fontId="29" fillId="31" borderId="0" xfId="0" applyFont="1" applyFill="1" applyAlignment="1">
      <alignment vertical="top" wrapText="1"/>
    </xf>
    <xf numFmtId="170" fontId="29" fillId="31" borderId="0" xfId="0" applyNumberFormat="1" applyFont="1" applyFill="1" applyAlignment="1">
      <alignment vertical="top" wrapText="1"/>
    </xf>
    <xf numFmtId="0" fontId="28" fillId="32" borderId="0" xfId="0" applyFont="1" applyFill="1" applyAlignment="1">
      <alignment vertical="top"/>
    </xf>
    <xf numFmtId="0" fontId="28" fillId="11" borderId="0" xfId="0" applyFont="1" applyFill="1" applyAlignment="1">
      <alignment vertical="center" wrapText="1"/>
    </xf>
    <xf numFmtId="184" fontId="29" fillId="0" borderId="0" xfId="0" applyNumberFormat="1" applyFont="1" applyAlignment="1">
      <alignment horizontal="center" vertical="center"/>
    </xf>
    <xf numFmtId="0" fontId="28" fillId="33" borderId="0" xfId="0" applyFont="1" applyFill="1" applyAlignment="1">
      <alignment horizontal="center" vertical="center"/>
    </xf>
    <xf numFmtId="0" fontId="28" fillId="33" borderId="0" xfId="0" applyFont="1" applyFill="1" applyAlignment="1">
      <alignment vertical="center" wrapText="1"/>
    </xf>
    <xf numFmtId="173" fontId="29" fillId="33" borderId="0" xfId="0" applyNumberFormat="1" applyFont="1" applyFill="1" applyAlignment="1">
      <alignment vertical="center"/>
    </xf>
    <xf numFmtId="170" fontId="29" fillId="33" borderId="0" xfId="0" applyNumberFormat="1" applyFont="1" applyFill="1" applyAlignment="1">
      <alignment horizontal="right" vertical="center"/>
    </xf>
    <xf numFmtId="0" fontId="29" fillId="33" borderId="0" xfId="0" applyFont="1" applyFill="1" applyAlignment="1">
      <alignment vertical="center" wrapText="1"/>
    </xf>
    <xf numFmtId="170" fontId="29" fillId="33" borderId="0" xfId="0" applyNumberFormat="1" applyFont="1" applyFill="1" applyAlignment="1">
      <alignment vertical="center" wrapText="1"/>
    </xf>
    <xf numFmtId="0" fontId="28" fillId="12" borderId="0" xfId="0" applyFont="1" applyFill="1" applyAlignment="1">
      <alignment vertical="top"/>
    </xf>
    <xf numFmtId="0" fontId="28" fillId="0" borderId="0" xfId="0" applyFont="1" applyAlignment="1">
      <alignment vertical="top" wrapText="1"/>
    </xf>
    <xf numFmtId="173" fontId="28" fillId="12" borderId="0" xfId="1" applyNumberFormat="1" applyFont="1" applyFill="1" applyBorder="1" applyAlignment="1">
      <alignment vertical="top" wrapText="1"/>
    </xf>
    <xf numFmtId="170" fontId="28" fillId="12" borderId="0" xfId="0" applyNumberFormat="1" applyFont="1" applyFill="1" applyAlignment="1">
      <alignment vertical="top"/>
    </xf>
    <xf numFmtId="0" fontId="28" fillId="34" borderId="0" xfId="0" applyFont="1" applyFill="1" applyAlignment="1">
      <alignment vertical="top"/>
    </xf>
    <xf numFmtId="0" fontId="28" fillId="11" borderId="0" xfId="0" applyFont="1" applyFill="1" applyAlignment="1">
      <alignment vertical="top"/>
    </xf>
    <xf numFmtId="0" fontId="28" fillId="11" borderId="0" xfId="0" applyFont="1" applyFill="1" applyAlignment="1">
      <alignment vertical="top" wrapText="1"/>
    </xf>
    <xf numFmtId="173" fontId="28" fillId="11" borderId="0" xfId="1" applyNumberFormat="1" applyFont="1" applyFill="1" applyBorder="1" applyAlignment="1">
      <alignment vertical="top" wrapText="1"/>
    </xf>
    <xf numFmtId="170" fontId="28" fillId="11" borderId="0" xfId="0" applyNumberFormat="1" applyFont="1" applyFill="1" applyAlignment="1">
      <alignment vertical="top"/>
    </xf>
    <xf numFmtId="183" fontId="29" fillId="0" borderId="0" xfId="0" applyNumberFormat="1" applyFont="1" applyAlignment="1">
      <alignment horizontal="center" vertical="center"/>
    </xf>
    <xf numFmtId="0" fontId="29" fillId="23" borderId="0" xfId="0" applyFont="1" applyFill="1" applyAlignment="1">
      <alignment horizontal="center" vertical="center"/>
    </xf>
    <xf numFmtId="0" fontId="29" fillId="23" borderId="0" xfId="0" applyFont="1" applyFill="1" applyAlignment="1">
      <alignment vertical="center" wrapText="1"/>
    </xf>
    <xf numFmtId="173" fontId="29" fillId="23" borderId="0" xfId="0" applyNumberFormat="1" applyFont="1" applyFill="1" applyAlignment="1">
      <alignment vertical="center"/>
    </xf>
    <xf numFmtId="170" fontId="29" fillId="23" borderId="0" xfId="0" applyNumberFormat="1" applyFont="1" applyFill="1" applyAlignment="1">
      <alignment horizontal="right" vertical="center"/>
    </xf>
    <xf numFmtId="170" fontId="29" fillId="23" borderId="0" xfId="0" applyNumberFormat="1" applyFont="1" applyFill="1" applyAlignment="1">
      <alignment vertical="center" wrapText="1"/>
    </xf>
    <xf numFmtId="0" fontId="28" fillId="37" borderId="0" xfId="0" applyFont="1" applyFill="1" applyAlignment="1">
      <alignment vertical="top"/>
    </xf>
    <xf numFmtId="170" fontId="29" fillId="0" borderId="0" xfId="0" applyNumberFormat="1" applyFont="1" applyAlignment="1">
      <alignment horizontal="left" vertical="top"/>
    </xf>
    <xf numFmtId="0" fontId="29" fillId="38" borderId="0" xfId="0" applyFont="1" applyFill="1" applyAlignment="1">
      <alignment horizontal="center" vertical="center"/>
    </xf>
    <xf numFmtId="0" fontId="29" fillId="38" borderId="0" xfId="0" applyFont="1" applyFill="1" applyAlignment="1">
      <alignment vertical="center" wrapText="1"/>
    </xf>
    <xf numFmtId="173" fontId="29" fillId="38" borderId="0" xfId="0" applyNumberFormat="1" applyFont="1" applyFill="1" applyAlignment="1">
      <alignment vertical="center"/>
    </xf>
    <xf numFmtId="170" fontId="29" fillId="38" borderId="0" xfId="0" applyNumberFormat="1" applyFont="1" applyFill="1" applyAlignment="1">
      <alignment horizontal="right" vertical="center"/>
    </xf>
    <xf numFmtId="0" fontId="28" fillId="35" borderId="0" xfId="0" applyFont="1" applyFill="1" applyAlignment="1">
      <alignment vertical="top" wrapText="1"/>
    </xf>
    <xf numFmtId="170" fontId="28" fillId="11" borderId="0" xfId="0" applyNumberFormat="1" applyFont="1" applyFill="1" applyAlignment="1">
      <alignment vertical="top" wrapText="1"/>
    </xf>
    <xf numFmtId="0" fontId="29" fillId="36" borderId="0" xfId="0" applyFont="1" applyFill="1" applyAlignment="1">
      <alignment horizontal="center" vertical="center"/>
    </xf>
    <xf numFmtId="0" fontId="29" fillId="36" borderId="0" xfId="0" applyFont="1" applyFill="1" applyAlignment="1">
      <alignment vertical="center" wrapText="1"/>
    </xf>
    <xf numFmtId="173" fontId="29" fillId="36" borderId="0" xfId="0" applyNumberFormat="1" applyFont="1" applyFill="1" applyAlignment="1">
      <alignment vertical="center"/>
    </xf>
    <xf numFmtId="170" fontId="29" fillId="36" borderId="0" xfId="0" applyNumberFormat="1" applyFont="1" applyFill="1" applyAlignment="1">
      <alignment horizontal="right" vertical="center"/>
    </xf>
    <xf numFmtId="170" fontId="29" fillId="36" borderId="0" xfId="0" applyNumberFormat="1" applyFont="1" applyFill="1" applyAlignment="1">
      <alignment vertical="center" wrapText="1"/>
    </xf>
    <xf numFmtId="0" fontId="28" fillId="39" borderId="0" xfId="0" applyFont="1" applyFill="1" applyAlignment="1">
      <alignment vertical="top" wrapText="1"/>
    </xf>
    <xf numFmtId="182" fontId="29" fillId="0" borderId="0" xfId="0" applyNumberFormat="1" applyFont="1" applyAlignment="1">
      <alignment horizontal="center" vertical="center"/>
    </xf>
    <xf numFmtId="0" fontId="29" fillId="40" borderId="0" xfId="0" applyFont="1" applyFill="1" applyAlignment="1">
      <alignment horizontal="center" vertical="center"/>
    </xf>
    <xf numFmtId="0" fontId="29" fillId="40" borderId="0" xfId="0" applyFont="1" applyFill="1" applyAlignment="1">
      <alignment vertical="center" wrapText="1"/>
    </xf>
    <xf numFmtId="173" fontId="29" fillId="40" borderId="0" xfId="0" applyNumberFormat="1" applyFont="1" applyFill="1" applyAlignment="1">
      <alignment vertical="center"/>
    </xf>
    <xf numFmtId="170" fontId="29" fillId="40" borderId="0" xfId="0" applyNumberFormat="1" applyFont="1" applyFill="1" applyAlignment="1">
      <alignment horizontal="right" vertical="center"/>
    </xf>
    <xf numFmtId="170" fontId="29" fillId="40" borderId="0" xfId="0" applyNumberFormat="1" applyFont="1" applyFill="1" applyAlignment="1">
      <alignment vertical="center" wrapText="1"/>
    </xf>
    <xf numFmtId="0" fontId="28" fillId="37" borderId="0" xfId="0" applyFont="1" applyFill="1" applyAlignment="1">
      <alignment vertical="top" wrapText="1"/>
    </xf>
    <xf numFmtId="181" fontId="29" fillId="0" borderId="0" xfId="0" applyNumberFormat="1" applyFont="1" applyAlignment="1">
      <alignment horizontal="center" vertical="center"/>
    </xf>
    <xf numFmtId="1" fontId="29" fillId="38" borderId="0" xfId="0" applyNumberFormat="1" applyFont="1" applyFill="1" applyAlignment="1">
      <alignment vertical="center" wrapText="1"/>
    </xf>
    <xf numFmtId="170" fontId="29" fillId="38" borderId="0" xfId="0" applyNumberFormat="1" applyFont="1" applyFill="1" applyAlignment="1">
      <alignment vertical="center" wrapText="1"/>
    </xf>
    <xf numFmtId="1" fontId="29" fillId="36" borderId="0" xfId="0" applyNumberFormat="1" applyFont="1" applyFill="1" applyAlignment="1">
      <alignment vertical="center" wrapText="1"/>
    </xf>
    <xf numFmtId="170" fontId="28" fillId="0" borderId="0" xfId="0" applyNumberFormat="1" applyFont="1" applyAlignment="1">
      <alignment horizontal="right" vertical="top"/>
    </xf>
    <xf numFmtId="1" fontId="29" fillId="23" borderId="0" xfId="0" applyNumberFormat="1" applyFont="1" applyFill="1" applyAlignment="1">
      <alignment vertical="center" wrapText="1"/>
    </xf>
    <xf numFmtId="2" fontId="29" fillId="0" borderId="0" xfId="0" applyNumberFormat="1" applyFont="1" applyAlignment="1">
      <alignment vertical="top" wrapText="1"/>
    </xf>
    <xf numFmtId="173" fontId="29" fillId="0" borderId="0" xfId="1" applyNumberFormat="1" applyFont="1" applyFill="1" applyBorder="1" applyAlignment="1">
      <alignment vertical="top"/>
    </xf>
    <xf numFmtId="173" fontId="28" fillId="0" borderId="0" xfId="1" applyNumberFormat="1" applyFont="1" applyFill="1" applyBorder="1" applyAlignment="1">
      <alignment horizontal="right" vertical="top"/>
    </xf>
    <xf numFmtId="173" fontId="28" fillId="0" borderId="0" xfId="1" applyNumberFormat="1" applyFont="1" applyFill="1" applyBorder="1" applyAlignment="1">
      <alignment vertical="top" wrapText="1"/>
    </xf>
    <xf numFmtId="0" fontId="49" fillId="0" borderId="0" xfId="0" applyFont="1"/>
    <xf numFmtId="0" fontId="50" fillId="0" borderId="0" xfId="0" applyFont="1"/>
    <xf numFmtId="14" fontId="51" fillId="0" borderId="0" xfId="0" applyNumberFormat="1" applyFont="1"/>
    <xf numFmtId="0" fontId="50" fillId="0" borderId="0" xfId="0" applyFont="1" applyAlignment="1">
      <alignment horizontal="right"/>
    </xf>
    <xf numFmtId="0" fontId="51" fillId="0" borderId="0" xfId="0" applyFont="1"/>
    <xf numFmtId="0" fontId="52" fillId="0" borderId="0" xfId="0" applyFont="1"/>
    <xf numFmtId="0" fontId="46" fillId="0" borderId="0" xfId="0" applyFont="1" applyAlignment="1">
      <alignment horizontal="left" vertical="top" wrapText="1"/>
    </xf>
    <xf numFmtId="0" fontId="49" fillId="9" borderId="27" xfId="0" applyFont="1" applyFill="1" applyBorder="1"/>
    <xf numFmtId="0" fontId="49" fillId="9" borderId="29" xfId="0" applyFont="1" applyFill="1" applyBorder="1"/>
    <xf numFmtId="0" fontId="53" fillId="0" borderId="0" xfId="0" applyFont="1"/>
    <xf numFmtId="0" fontId="49" fillId="13" borderId="0" xfId="0" applyFont="1" applyFill="1"/>
    <xf numFmtId="0" fontId="46" fillId="13" borderId="0" xfId="0" applyFont="1" applyFill="1" applyAlignment="1">
      <alignment horizontal="left" vertical="top" wrapText="1"/>
    </xf>
    <xf numFmtId="0" fontId="54" fillId="0" borderId="0" xfId="0" applyFont="1"/>
    <xf numFmtId="0" fontId="55" fillId="11" borderId="0" xfId="0" applyFont="1" applyFill="1" applyAlignment="1">
      <alignment vertical="center" wrapText="1"/>
    </xf>
    <xf numFmtId="0" fontId="55" fillId="11" borderId="0" xfId="0" applyFont="1" applyFill="1" applyAlignment="1">
      <alignment horizontal="center" vertical="center" wrapText="1"/>
    </xf>
    <xf numFmtId="0" fontId="55" fillId="0" borderId="0" xfId="0" applyFont="1"/>
    <xf numFmtId="0" fontId="50" fillId="11" borderId="34" xfId="0" applyFont="1" applyFill="1" applyBorder="1" applyAlignment="1">
      <alignment horizontal="center" wrapText="1"/>
    </xf>
    <xf numFmtId="0" fontId="51" fillId="0" borderId="0" xfId="0" applyFont="1" applyAlignment="1">
      <alignment wrapText="1"/>
    </xf>
    <xf numFmtId="0" fontId="54" fillId="0" borderId="0" xfId="0" applyFont="1" applyAlignment="1">
      <alignment horizontal="right"/>
    </xf>
    <xf numFmtId="0" fontId="56" fillId="0" borderId="0" xfId="0" applyFont="1" applyAlignment="1">
      <alignment horizontal="center"/>
    </xf>
    <xf numFmtId="173" fontId="57" fillId="0" borderId="0" xfId="1" applyNumberFormat="1" applyFont="1" applyFill="1" applyBorder="1" applyAlignment="1">
      <alignment horizontal="center"/>
    </xf>
    <xf numFmtId="173" fontId="56" fillId="0" borderId="0" xfId="1" applyNumberFormat="1" applyFont="1" applyFill="1" applyBorder="1" applyAlignment="1">
      <alignment horizontal="center"/>
    </xf>
    <xf numFmtId="0" fontId="56" fillId="0" borderId="0" xfId="0" applyFont="1"/>
    <xf numFmtId="0" fontId="54" fillId="0" borderId="0" xfId="0" applyFont="1" applyAlignment="1">
      <alignment wrapText="1"/>
    </xf>
    <xf numFmtId="0" fontId="54" fillId="9" borderId="27" xfId="0" applyFont="1" applyFill="1" applyBorder="1" applyAlignment="1">
      <alignment horizontal="right"/>
    </xf>
    <xf numFmtId="0" fontId="54" fillId="9" borderId="29" xfId="0" applyFont="1" applyFill="1" applyBorder="1" applyAlignment="1">
      <alignment horizontal="right"/>
    </xf>
    <xf numFmtId="0" fontId="55" fillId="0" borderId="0" xfId="0" applyFont="1" applyAlignment="1">
      <alignment horizontal="right"/>
    </xf>
    <xf numFmtId="0" fontId="55" fillId="13" borderId="0" xfId="0" applyFont="1" applyFill="1"/>
    <xf numFmtId="0" fontId="55" fillId="13" borderId="0" xfId="0" applyFont="1" applyFill="1" applyAlignment="1">
      <alignment horizontal="left" vertical="top" wrapText="1"/>
    </xf>
    <xf numFmtId="0" fontId="54" fillId="9" borderId="33" xfId="0" applyFont="1" applyFill="1" applyBorder="1" applyAlignment="1">
      <alignment horizontal="right"/>
    </xf>
    <xf numFmtId="0" fontId="58" fillId="0" borderId="0" xfId="0" applyFont="1"/>
    <xf numFmtId="0" fontId="59" fillId="0" borderId="0" xfId="0" applyFont="1"/>
    <xf numFmtId="0" fontId="60" fillId="0" borderId="0" xfId="0" applyFont="1"/>
    <xf numFmtId="0" fontId="54" fillId="0" borderId="0" xfId="0" applyFont="1" applyAlignment="1">
      <alignment horizontal="left" vertical="center"/>
    </xf>
    <xf numFmtId="9" fontId="61" fillId="0" borderId="0" xfId="4" applyFont="1" applyFill="1" applyBorder="1" applyAlignment="1">
      <alignment horizontal="right"/>
    </xf>
    <xf numFmtId="0" fontId="55" fillId="0" borderId="0" xfId="0" applyFont="1" applyAlignment="1">
      <alignment horizontal="left"/>
    </xf>
    <xf numFmtId="173" fontId="55" fillId="0" borderId="0" xfId="1" applyNumberFormat="1" applyFont="1" applyFill="1" applyBorder="1" applyAlignment="1"/>
    <xf numFmtId="0" fontId="61" fillId="0" borderId="0" xfId="0" applyFont="1"/>
    <xf numFmtId="0" fontId="55" fillId="11" borderId="24" xfId="0" applyFont="1" applyFill="1" applyBorder="1"/>
    <xf numFmtId="167" fontId="55" fillId="11" borderId="24" xfId="0" applyNumberFormat="1" applyFont="1" applyFill="1" applyBorder="1"/>
    <xf numFmtId="167" fontId="55" fillId="0" borderId="0" xfId="0" applyNumberFormat="1" applyFont="1"/>
    <xf numFmtId="167" fontId="54" fillId="0" borderId="0" xfId="0" applyNumberFormat="1" applyFont="1" applyAlignment="1">
      <alignment horizontal="right"/>
    </xf>
    <xf numFmtId="167" fontId="54" fillId="0" borderId="0" xfId="0" applyNumberFormat="1" applyFont="1"/>
    <xf numFmtId="1" fontId="54" fillId="0" borderId="0" xfId="0" applyNumberFormat="1" applyFont="1"/>
    <xf numFmtId="0" fontId="55" fillId="11" borderId="3" xfId="0" applyFont="1" applyFill="1" applyBorder="1"/>
    <xf numFmtId="0" fontId="55" fillId="11" borderId="34" xfId="0" applyFont="1" applyFill="1" applyBorder="1"/>
    <xf numFmtId="1" fontId="54" fillId="0" borderId="0" xfId="0" applyNumberFormat="1" applyFont="1" applyAlignment="1">
      <alignment horizontal="right"/>
    </xf>
    <xf numFmtId="0" fontId="54" fillId="0" borderId="7" xfId="0" applyFont="1" applyBorder="1"/>
    <xf numFmtId="9" fontId="54" fillId="9" borderId="33" xfId="0" applyNumberFormat="1" applyFont="1" applyFill="1" applyBorder="1"/>
    <xf numFmtId="9" fontId="54" fillId="0" borderId="6" xfId="0" applyNumberFormat="1" applyFont="1" applyBorder="1"/>
    <xf numFmtId="0" fontId="54" fillId="0" borderId="3" xfId="0" applyFont="1" applyBorder="1"/>
    <xf numFmtId="167" fontId="54" fillId="9" borderId="35" xfId="0" applyNumberFormat="1" applyFont="1" applyFill="1" applyBorder="1"/>
    <xf numFmtId="167" fontId="54" fillId="9" borderId="3" xfId="0" applyNumberFormat="1" applyFont="1" applyFill="1" applyBorder="1"/>
    <xf numFmtId="167" fontId="54" fillId="0" borderId="3" xfId="0" applyNumberFormat="1" applyFont="1" applyBorder="1"/>
    <xf numFmtId="0" fontId="54" fillId="9" borderId="0" xfId="0" applyFont="1" applyFill="1"/>
    <xf numFmtId="167" fontId="54" fillId="9" borderId="0" xfId="0" applyNumberFormat="1" applyFont="1" applyFill="1"/>
    <xf numFmtId="0" fontId="55" fillId="0" borderId="3" xfId="0" applyFont="1" applyBorder="1"/>
    <xf numFmtId="167" fontId="55" fillId="14" borderId="3" xfId="0" applyNumberFormat="1" applyFont="1" applyFill="1" applyBorder="1"/>
    <xf numFmtId="0" fontId="49" fillId="11" borderId="30" xfId="0" applyFont="1" applyFill="1" applyBorder="1"/>
    <xf numFmtId="167" fontId="49" fillId="11" borderId="30" xfId="0" applyNumberFormat="1" applyFont="1" applyFill="1" applyBorder="1"/>
    <xf numFmtId="167" fontId="49" fillId="0" borderId="0" xfId="0" applyNumberFormat="1" applyFont="1"/>
    <xf numFmtId="171" fontId="54" fillId="0" borderId="0" xfId="0" applyNumberFormat="1" applyFont="1"/>
    <xf numFmtId="175" fontId="54" fillId="0" borderId="0" xfId="4" applyNumberFormat="1" applyFont="1" applyBorder="1"/>
    <xf numFmtId="0" fontId="54" fillId="0" borderId="0" xfId="4" applyNumberFormat="1" applyFont="1" applyBorder="1"/>
    <xf numFmtId="0" fontId="55" fillId="16" borderId="10" xfId="0" applyFont="1" applyFill="1" applyBorder="1"/>
    <xf numFmtId="9" fontId="55" fillId="9" borderId="1" xfId="0" applyNumberFormat="1" applyFont="1" applyFill="1" applyBorder="1" applyAlignment="1">
      <alignment horizontal="center"/>
    </xf>
    <xf numFmtId="0" fontId="55" fillId="16" borderId="1" xfId="0" applyFont="1" applyFill="1" applyBorder="1"/>
    <xf numFmtId="0" fontId="55" fillId="16" borderId="11" xfId="0" applyFont="1" applyFill="1" applyBorder="1"/>
    <xf numFmtId="0" fontId="55" fillId="15" borderId="0" xfId="0" applyFont="1" applyFill="1"/>
    <xf numFmtId="0" fontId="54" fillId="15" borderId="0" xfId="0" applyFont="1" applyFill="1"/>
    <xf numFmtId="0" fontId="54" fillId="15" borderId="0" xfId="0" applyFont="1" applyFill="1" applyAlignment="1">
      <alignment horizontal="right"/>
    </xf>
    <xf numFmtId="167" fontId="54" fillId="15" borderId="0" xfId="0" applyNumberFormat="1" applyFont="1" applyFill="1"/>
    <xf numFmtId="0" fontId="54" fillId="16" borderId="5" xfId="0" applyFont="1" applyFill="1" applyBorder="1"/>
    <xf numFmtId="0" fontId="55" fillId="16" borderId="0" xfId="0" applyFont="1" applyFill="1"/>
    <xf numFmtId="0" fontId="55" fillId="16" borderId="13" xfId="0" applyFont="1" applyFill="1" applyBorder="1"/>
    <xf numFmtId="0" fontId="56" fillId="0" borderId="2" xfId="0" applyFont="1" applyBorder="1" applyAlignment="1">
      <alignment horizontal="center"/>
    </xf>
    <xf numFmtId="173" fontId="57" fillId="0" borderId="2" xfId="1" applyNumberFormat="1" applyFont="1" applyFill="1" applyBorder="1" applyAlignment="1">
      <alignment horizontal="center"/>
    </xf>
    <xf numFmtId="0" fontId="51" fillId="0" borderId="2" xfId="0" applyFont="1" applyBorder="1"/>
    <xf numFmtId="173" fontId="56" fillId="0" borderId="2" xfId="1" applyNumberFormat="1" applyFont="1" applyFill="1" applyBorder="1" applyAlignment="1">
      <alignment horizontal="center"/>
    </xf>
    <xf numFmtId="0" fontId="54" fillId="16" borderId="4" xfId="0" applyFont="1" applyFill="1" applyBorder="1"/>
    <xf numFmtId="0" fontId="54" fillId="16" borderId="2" xfId="0" applyFont="1" applyFill="1" applyBorder="1"/>
    <xf numFmtId="0" fontId="55" fillId="16" borderId="14" xfId="0" applyFont="1" applyFill="1" applyBorder="1"/>
    <xf numFmtId="0" fontId="46" fillId="0" borderId="0" xfId="0" applyFont="1" applyAlignment="1">
      <alignment horizontal="center" vertical="center"/>
    </xf>
    <xf numFmtId="0" fontId="50" fillId="14" borderId="0" xfId="0" applyFont="1" applyFill="1"/>
    <xf numFmtId="167" fontId="55" fillId="14" borderId="24" xfId="0" applyNumberFormat="1" applyFont="1" applyFill="1" applyBorder="1"/>
    <xf numFmtId="0" fontId="55" fillId="10" borderId="0" xfId="0" applyFont="1" applyFill="1"/>
    <xf numFmtId="167" fontId="54" fillId="10" borderId="0" xfId="0" applyNumberFormat="1" applyFont="1" applyFill="1"/>
    <xf numFmtId="176" fontId="54" fillId="10" borderId="0" xfId="0" applyNumberFormat="1" applyFont="1" applyFill="1"/>
    <xf numFmtId="167" fontId="55" fillId="10" borderId="24" xfId="0" applyNumberFormat="1" applyFont="1" applyFill="1" applyBorder="1"/>
    <xf numFmtId="0" fontId="64" fillId="0" borderId="0" xfId="0" applyFont="1" applyAlignment="1">
      <alignment horizontal="right" vertical="center" wrapText="1"/>
    </xf>
    <xf numFmtId="1" fontId="64" fillId="0" borderId="0" xfId="0" applyNumberFormat="1" applyFont="1" applyAlignment="1">
      <alignment horizontal="right" vertical="center" wrapText="1"/>
    </xf>
    <xf numFmtId="0" fontId="49" fillId="8" borderId="27" xfId="0" applyFont="1" applyFill="1" applyBorder="1"/>
    <xf numFmtId="0" fontId="49" fillId="8" borderId="28" xfId="0" applyFont="1" applyFill="1" applyBorder="1"/>
    <xf numFmtId="0" fontId="49" fillId="8" borderId="29" xfId="0" applyFont="1" applyFill="1" applyBorder="1"/>
    <xf numFmtId="3" fontId="55" fillId="0" borderId="0" xfId="0" applyNumberFormat="1" applyFont="1"/>
    <xf numFmtId="167" fontId="55" fillId="0" borderId="24" xfId="0" applyNumberFormat="1" applyFont="1" applyBorder="1"/>
    <xf numFmtId="9" fontId="19" fillId="0" borderId="0" xfId="4" applyFont="1"/>
    <xf numFmtId="0" fontId="46" fillId="0" borderId="0" xfId="0" applyFont="1" applyAlignment="1">
      <alignment vertical="top" wrapText="1"/>
    </xf>
    <xf numFmtId="0" fontId="46" fillId="0" borderId="0" xfId="0" applyFont="1" applyAlignment="1">
      <alignment vertical="top"/>
    </xf>
    <xf numFmtId="0" fontId="46" fillId="9" borderId="29" xfId="0" applyFont="1" applyFill="1" applyBorder="1" applyAlignment="1">
      <alignment vertical="top" wrapText="1"/>
    </xf>
    <xf numFmtId="9" fontId="46" fillId="0" borderId="0" xfId="4" applyFont="1" applyFill="1" applyBorder="1" applyAlignment="1">
      <alignment vertical="top" wrapText="1"/>
    </xf>
    <xf numFmtId="9" fontId="46" fillId="0" borderId="0" xfId="4" applyFont="1" applyFill="1" applyBorder="1" applyAlignment="1">
      <alignment horizontal="left" vertical="top" wrapText="1"/>
    </xf>
    <xf numFmtId="0" fontId="49" fillId="12" borderId="10" xfId="0" applyFont="1" applyFill="1" applyBorder="1"/>
    <xf numFmtId="0" fontId="19" fillId="12" borderId="1" xfId="0" applyFont="1" applyFill="1" applyBorder="1"/>
    <xf numFmtId="0" fontId="19" fillId="12" borderId="11" xfId="0" applyFont="1" applyFill="1" applyBorder="1"/>
    <xf numFmtId="0" fontId="65" fillId="0" borderId="0" xfId="0" applyFont="1"/>
    <xf numFmtId="0" fontId="21" fillId="9" borderId="5" xfId="0" applyFont="1" applyFill="1" applyBorder="1"/>
    <xf numFmtId="0" fontId="21" fillId="0" borderId="0" xfId="0" applyFont="1"/>
    <xf numFmtId="0" fontId="65" fillId="0" borderId="13" xfId="0" applyFont="1" applyBorder="1"/>
    <xf numFmtId="0" fontId="19" fillId="0" borderId="5" xfId="0" applyFont="1" applyBorder="1"/>
    <xf numFmtId="165" fontId="66" fillId="17" borderId="5" xfId="8" applyNumberFormat="1" applyFont="1" applyFill="1" applyBorder="1"/>
    <xf numFmtId="0" fontId="67" fillId="17" borderId="0" xfId="0" applyFont="1" applyFill="1" applyAlignment="1">
      <alignment horizontal="left" indent="1"/>
    </xf>
    <xf numFmtId="0" fontId="19" fillId="17" borderId="0" xfId="0" applyFont="1" applyFill="1"/>
    <xf numFmtId="0" fontId="19" fillId="17" borderId="13" xfId="0" applyFont="1" applyFill="1" applyBorder="1"/>
    <xf numFmtId="165" fontId="66" fillId="17" borderId="4" xfId="8" applyNumberFormat="1" applyFont="1" applyFill="1" applyBorder="1"/>
    <xf numFmtId="165" fontId="20" fillId="0" borderId="0" xfId="8" applyNumberFormat="1" applyFont="1" applyFill="1" applyBorder="1"/>
    <xf numFmtId="0" fontId="67" fillId="0" borderId="0" xfId="0" applyFont="1" applyAlignment="1">
      <alignment horizontal="left" indent="1"/>
    </xf>
    <xf numFmtId="0" fontId="66" fillId="9" borderId="5" xfId="0" applyFont="1" applyFill="1" applyBorder="1"/>
    <xf numFmtId="0" fontId="67" fillId="0" borderId="0" xfId="0" applyFont="1"/>
    <xf numFmtId="0" fontId="66" fillId="9" borderId="0" xfId="0" applyFont="1" applyFill="1"/>
    <xf numFmtId="164" fontId="66" fillId="11" borderId="13" xfId="8" applyNumberFormat="1" applyFont="1" applyFill="1" applyBorder="1" applyAlignment="1">
      <alignment horizontal="right"/>
    </xf>
    <xf numFmtId="0" fontId="20" fillId="11" borderId="0" xfId="0" applyFont="1" applyFill="1"/>
    <xf numFmtId="173" fontId="19" fillId="0" borderId="0" xfId="2" applyNumberFormat="1" applyFont="1"/>
    <xf numFmtId="0" fontId="65" fillId="0" borderId="47" xfId="0" applyFont="1" applyBorder="1" applyAlignment="1">
      <alignment horizontal="left" indent="4"/>
    </xf>
    <xf numFmtId="0" fontId="65" fillId="0" borderId="48" xfId="0" applyFont="1" applyBorder="1"/>
    <xf numFmtId="0" fontId="21" fillId="0" borderId="48" xfId="0" applyFont="1" applyBorder="1"/>
    <xf numFmtId="0" fontId="19" fillId="0" borderId="48" xfId="0" applyFont="1" applyBorder="1"/>
    <xf numFmtId="164" fontId="66" fillId="11" borderId="40" xfId="8" applyNumberFormat="1" applyFont="1" applyFill="1" applyBorder="1" applyAlignment="1">
      <alignment horizontal="right"/>
    </xf>
    <xf numFmtId="0" fontId="21" fillId="0" borderId="46" xfId="0" applyFont="1" applyBorder="1"/>
    <xf numFmtId="9" fontId="65" fillId="0" borderId="0" xfId="4" applyFont="1" applyFill="1" applyBorder="1"/>
    <xf numFmtId="0" fontId="21" fillId="0" borderId="36" xfId="0" applyFont="1" applyBorder="1"/>
    <xf numFmtId="0" fontId="65" fillId="0" borderId="36" xfId="0" applyFont="1" applyBorder="1"/>
    <xf numFmtId="0" fontId="19" fillId="0" borderId="36" xfId="0" applyFont="1" applyBorder="1"/>
    <xf numFmtId="164" fontId="67" fillId="11" borderId="13" xfId="8" applyNumberFormat="1" applyFont="1" applyFill="1" applyBorder="1" applyAlignment="1">
      <alignment horizontal="right"/>
    </xf>
    <xf numFmtId="0" fontId="20" fillId="0" borderId="37" xfId="0" applyFont="1" applyBorder="1"/>
    <xf numFmtId="0" fontId="20" fillId="0" borderId="38" xfId="0" applyFont="1" applyBorder="1"/>
    <xf numFmtId="0" fontId="19" fillId="0" borderId="38" xfId="0" applyFont="1" applyBorder="1"/>
    <xf numFmtId="164" fontId="66" fillId="11" borderId="49" xfId="0" applyNumberFormat="1" applyFont="1" applyFill="1" applyBorder="1"/>
    <xf numFmtId="0" fontId="68" fillId="0" borderId="0" xfId="9"/>
    <xf numFmtId="9" fontId="25" fillId="0" borderId="1" xfId="4" applyFont="1" applyFill="1" applyBorder="1"/>
    <xf numFmtId="173" fontId="69" fillId="0" borderId="0" xfId="1" applyNumberFormat="1" applyFont="1" applyBorder="1"/>
    <xf numFmtId="0" fontId="19" fillId="0" borderId="28" xfId="0" applyFont="1" applyBorder="1"/>
    <xf numFmtId="173" fontId="27" fillId="0" borderId="2" xfId="1" applyNumberFormat="1" applyFont="1" applyFill="1" applyBorder="1"/>
    <xf numFmtId="173" fontId="27" fillId="0" borderId="2" xfId="1" applyNumberFormat="1" applyFont="1" applyBorder="1"/>
    <xf numFmtId="0" fontId="20" fillId="0" borderId="10" xfId="0" applyFont="1" applyBorder="1"/>
    <xf numFmtId="173" fontId="20" fillId="0" borderId="1" xfId="1" applyNumberFormat="1" applyFont="1" applyBorder="1"/>
    <xf numFmtId="165" fontId="67" fillId="17" borderId="5" xfId="8" applyNumberFormat="1" applyFont="1" applyFill="1" applyBorder="1"/>
    <xf numFmtId="0" fontId="21" fillId="0" borderId="30" xfId="0" applyFont="1" applyBorder="1"/>
    <xf numFmtId="0" fontId="65" fillId="0" borderId="30" xfId="0" applyFont="1" applyBorder="1"/>
    <xf numFmtId="0" fontId="19" fillId="0" borderId="30" xfId="0" applyFont="1" applyBorder="1"/>
    <xf numFmtId="9" fontId="21" fillId="0" borderId="30" xfId="4" applyFont="1" applyFill="1" applyBorder="1"/>
    <xf numFmtId="165" fontId="66" fillId="0" borderId="4" xfId="8" applyNumberFormat="1" applyFont="1" applyFill="1" applyBorder="1"/>
    <xf numFmtId="0" fontId="67" fillId="0" borderId="2" xfId="0" applyFont="1" applyBorder="1" applyAlignment="1">
      <alignment horizontal="left" indent="1"/>
    </xf>
    <xf numFmtId="164" fontId="67" fillId="0" borderId="72" xfId="8" applyNumberFormat="1" applyFont="1" applyFill="1" applyBorder="1" applyAlignment="1">
      <alignment horizontal="right"/>
    </xf>
    <xf numFmtId="187" fontId="21" fillId="0" borderId="71" xfId="0" applyNumberFormat="1" applyFont="1" applyBorder="1"/>
    <xf numFmtId="173" fontId="25" fillId="24" borderId="53" xfId="1" applyNumberFormat="1" applyFont="1" applyFill="1" applyBorder="1" applyAlignment="1">
      <alignment horizontal="right"/>
    </xf>
    <xf numFmtId="9" fontId="65" fillId="0" borderId="0" xfId="4" applyFont="1" applyBorder="1"/>
    <xf numFmtId="0" fontId="65" fillId="0" borderId="5" xfId="0" applyFont="1" applyBorder="1"/>
    <xf numFmtId="187" fontId="20" fillId="17" borderId="5" xfId="0" applyNumberFormat="1" applyFont="1" applyFill="1" applyBorder="1"/>
    <xf numFmtId="187" fontId="20" fillId="17" borderId="0" xfId="4" applyNumberFormat="1" applyFont="1" applyFill="1" applyBorder="1"/>
    <xf numFmtId="187" fontId="20" fillId="17" borderId="13" xfId="0" applyNumberFormat="1" applyFont="1" applyFill="1" applyBorder="1"/>
    <xf numFmtId="187" fontId="21" fillId="0" borderId="5" xfId="0" applyNumberFormat="1" applyFont="1" applyBorder="1"/>
    <xf numFmtId="187" fontId="20" fillId="0" borderId="0" xfId="4" applyNumberFormat="1" applyFont="1" applyBorder="1"/>
    <xf numFmtId="187" fontId="70" fillId="0" borderId="13" xfId="9" applyNumberFormat="1" applyFont="1" applyBorder="1"/>
    <xf numFmtId="187" fontId="20" fillId="17" borderId="4" xfId="0" applyNumberFormat="1" applyFont="1" applyFill="1" applyBorder="1"/>
    <xf numFmtId="187" fontId="20" fillId="17" borderId="2" xfId="0" applyNumberFormat="1" applyFont="1" applyFill="1" applyBorder="1"/>
    <xf numFmtId="187" fontId="20" fillId="17" borderId="2" xfId="4" applyNumberFormat="1" applyFont="1" applyFill="1" applyBorder="1"/>
    <xf numFmtId="187" fontId="20" fillId="17" borderId="14" xfId="0" applyNumberFormat="1" applyFont="1" applyFill="1" applyBorder="1"/>
    <xf numFmtId="165" fontId="18" fillId="0" borderId="0" xfId="8" applyNumberFormat="1" applyFont="1" applyFill="1" applyBorder="1"/>
    <xf numFmtId="173" fontId="19" fillId="0" borderId="0" xfId="1" applyNumberFormat="1" applyFont="1"/>
    <xf numFmtId="173" fontId="19" fillId="0" borderId="11" xfId="1" applyNumberFormat="1" applyFont="1" applyFill="1" applyBorder="1"/>
    <xf numFmtId="187" fontId="19" fillId="0" borderId="39" xfId="0" applyNumberFormat="1" applyFont="1" applyBorder="1" applyAlignment="1">
      <alignment horizontal="left"/>
    </xf>
    <xf numFmtId="187" fontId="19" fillId="0" borderId="1" xfId="0" applyNumberFormat="1" applyFont="1" applyBorder="1"/>
    <xf numFmtId="187" fontId="19" fillId="0" borderId="1" xfId="4" applyNumberFormat="1" applyFont="1" applyFill="1" applyBorder="1"/>
    <xf numFmtId="187" fontId="19" fillId="0" borderId="4" xfId="0" applyNumberFormat="1" applyFont="1" applyBorder="1"/>
    <xf numFmtId="187" fontId="19" fillId="0" borderId="2" xfId="0" applyNumberFormat="1" applyFont="1" applyBorder="1"/>
    <xf numFmtId="187" fontId="19" fillId="0" borderId="2" xfId="4" applyNumberFormat="1" applyFont="1" applyFill="1" applyBorder="1"/>
    <xf numFmtId="187" fontId="19" fillId="0" borderId="14" xfId="1" applyNumberFormat="1" applyFont="1" applyFill="1" applyBorder="1" applyAlignment="1">
      <alignment horizontal="center" vertical="center"/>
    </xf>
    <xf numFmtId="1" fontId="54" fillId="9" borderId="0" xfId="0" applyNumberFormat="1" applyFont="1" applyFill="1"/>
    <xf numFmtId="0" fontId="50" fillId="0" borderId="10" xfId="0" applyFont="1" applyBorder="1"/>
    <xf numFmtId="9" fontId="61" fillId="0" borderId="11" xfId="4" applyFont="1" applyFill="1" applyBorder="1"/>
    <xf numFmtId="0" fontId="68" fillId="0" borderId="4" xfId="9" applyBorder="1"/>
    <xf numFmtId="9" fontId="61" fillId="0" borderId="14" xfId="4" applyFont="1" applyFill="1" applyBorder="1"/>
    <xf numFmtId="170" fontId="55" fillId="0" borderId="0" xfId="0" applyNumberFormat="1" applyFont="1" applyAlignment="1">
      <alignment horizontal="right"/>
    </xf>
    <xf numFmtId="0" fontId="67" fillId="9" borderId="2" xfId="0" applyFont="1" applyFill="1" applyBorder="1" applyAlignment="1">
      <alignment horizontal="left" indent="1"/>
    </xf>
    <xf numFmtId="0" fontId="19" fillId="9" borderId="2" xfId="0" applyFont="1" applyFill="1" applyBorder="1"/>
    <xf numFmtId="187" fontId="20" fillId="17" borderId="0" xfId="0" applyNumberFormat="1" applyFont="1" applyFill="1"/>
    <xf numFmtId="187" fontId="20" fillId="0" borderId="0" xfId="0" applyNumberFormat="1" applyFont="1"/>
    <xf numFmtId="0" fontId="65" fillId="8" borderId="0" xfId="0" applyFont="1" applyFill="1"/>
    <xf numFmtId="0" fontId="65" fillId="8" borderId="13" xfId="0" applyFont="1" applyFill="1" applyBorder="1"/>
    <xf numFmtId="186" fontId="39" fillId="0" borderId="1" xfId="0" applyNumberFormat="1" applyFont="1" applyBorder="1"/>
    <xf numFmtId="0" fontId="25" fillId="9" borderId="0" xfId="0" applyFont="1" applyFill="1"/>
    <xf numFmtId="0" fontId="20" fillId="0" borderId="11" xfId="0" applyFont="1" applyBorder="1"/>
    <xf numFmtId="0" fontId="25" fillId="38" borderId="8" xfId="0" applyFont="1" applyFill="1" applyBorder="1"/>
    <xf numFmtId="0" fontId="25" fillId="38" borderId="15" xfId="0" applyFont="1" applyFill="1" applyBorder="1"/>
    <xf numFmtId="9" fontId="25" fillId="38" borderId="15" xfId="4" applyFont="1" applyFill="1" applyBorder="1"/>
    <xf numFmtId="0" fontId="25" fillId="38" borderId="73" xfId="0" applyFont="1" applyFill="1" applyBorder="1"/>
    <xf numFmtId="0" fontId="25" fillId="38" borderId="9" xfId="0" applyFont="1" applyFill="1" applyBorder="1"/>
    <xf numFmtId="0" fontId="25" fillId="38" borderId="19" xfId="0" applyFont="1" applyFill="1" applyBorder="1"/>
    <xf numFmtId="0" fontId="25" fillId="38" borderId="0" xfId="0" applyFont="1" applyFill="1"/>
    <xf numFmtId="171" fontId="25" fillId="38" borderId="0" xfId="0" applyNumberFormat="1" applyFont="1" applyFill="1"/>
    <xf numFmtId="0" fontId="25" fillId="38" borderId="42" xfId="0" applyFont="1" applyFill="1" applyBorder="1"/>
    <xf numFmtId="0" fontId="25" fillId="9" borderId="19" xfId="0" applyFont="1" applyFill="1" applyBorder="1"/>
    <xf numFmtId="0" fontId="25" fillId="9" borderId="42" xfId="0" applyFont="1" applyFill="1" applyBorder="1"/>
    <xf numFmtId="0" fontId="25" fillId="9" borderId="21" xfId="0" applyFont="1" applyFill="1" applyBorder="1"/>
    <xf numFmtId="0" fontId="25" fillId="9" borderId="16" xfId="0" applyFont="1" applyFill="1" applyBorder="1"/>
    <xf numFmtId="171" fontId="25" fillId="9" borderId="16" xfId="0" applyNumberFormat="1" applyFont="1" applyFill="1" applyBorder="1"/>
    <xf numFmtId="173" fontId="69" fillId="0" borderId="0" xfId="1" applyNumberFormat="1" applyFont="1" applyFill="1" applyBorder="1"/>
    <xf numFmtId="171" fontId="19" fillId="23" borderId="3" xfId="0" applyNumberFormat="1" applyFont="1" applyFill="1" applyBorder="1"/>
    <xf numFmtId="2" fontId="0" fillId="0" borderId="0" xfId="0" applyNumberFormat="1"/>
    <xf numFmtId="14" fontId="19" fillId="0" borderId="0" xfId="0" applyNumberFormat="1" applyFont="1"/>
    <xf numFmtId="173" fontId="19" fillId="0" borderId="0" xfId="1" applyNumberFormat="1" applyFont="1" applyAlignment="1">
      <alignment horizontal="right"/>
    </xf>
    <xf numFmtId="0" fontId="19" fillId="0" borderId="24" xfId="0" applyFont="1" applyBorder="1"/>
    <xf numFmtId="173" fontId="19" fillId="0" borderId="0" xfId="0" applyNumberFormat="1" applyFont="1" applyAlignment="1">
      <alignment horizontal="center"/>
    </xf>
    <xf numFmtId="0" fontId="20" fillId="0" borderId="30" xfId="0" applyFont="1" applyBorder="1"/>
    <xf numFmtId="0" fontId="20" fillId="0" borderId="30" xfId="0" applyFont="1" applyBorder="1" applyAlignment="1">
      <alignment horizontal="center"/>
    </xf>
    <xf numFmtId="173" fontId="20" fillId="0" borderId="30" xfId="0" applyNumberFormat="1" applyFont="1" applyBorder="1" applyAlignment="1">
      <alignment horizontal="center"/>
    </xf>
    <xf numFmtId="0" fontId="19" fillId="9" borderId="24" xfId="0" applyFont="1" applyFill="1" applyBorder="1"/>
    <xf numFmtId="173" fontId="19" fillId="9" borderId="24" xfId="0" applyNumberFormat="1" applyFont="1" applyFill="1" applyBorder="1" applyAlignment="1">
      <alignment horizontal="center"/>
    </xf>
    <xf numFmtId="0" fontId="29" fillId="0" borderId="21" xfId="0" applyFont="1" applyBorder="1" applyAlignment="1">
      <alignment vertical="top"/>
    </xf>
    <xf numFmtId="0" fontId="29" fillId="0" borderId="43" xfId="0" applyFont="1" applyBorder="1" applyAlignment="1">
      <alignment vertical="top"/>
    </xf>
    <xf numFmtId="0" fontId="29" fillId="0" borderId="16" xfId="0" applyFont="1" applyBorder="1" applyAlignment="1">
      <alignment vertical="top"/>
    </xf>
    <xf numFmtId="2" fontId="19" fillId="0" borderId="0" xfId="0" applyNumberFormat="1" applyFont="1"/>
    <xf numFmtId="0" fontId="27" fillId="0" borderId="0" xfId="0" applyFont="1"/>
    <xf numFmtId="0" fontId="19" fillId="23" borderId="35" xfId="0" applyFont="1" applyFill="1" applyBorder="1" applyAlignment="1">
      <alignment horizontal="center" vertical="center"/>
    </xf>
    <xf numFmtId="0" fontId="19" fillId="23" borderId="6" xfId="0" applyFont="1" applyFill="1" applyBorder="1"/>
    <xf numFmtId="0" fontId="27" fillId="12" borderId="57" xfId="0" applyFont="1" applyFill="1" applyBorder="1" applyAlignment="1">
      <alignment horizontal="center"/>
    </xf>
    <xf numFmtId="0" fontId="27" fillId="12" borderId="58" xfId="0" applyFont="1" applyFill="1" applyBorder="1" applyAlignment="1">
      <alignment horizontal="center"/>
    </xf>
    <xf numFmtId="0" fontId="27" fillId="12" borderId="59" xfId="0" applyFont="1" applyFill="1" applyBorder="1" applyAlignment="1">
      <alignment horizontal="center"/>
    </xf>
    <xf numFmtId="3" fontId="20" fillId="0" borderId="10" xfId="0" applyNumberFormat="1" applyFont="1" applyBorder="1" applyAlignment="1">
      <alignment horizontal="center"/>
    </xf>
    <xf numFmtId="3" fontId="20" fillId="0" borderId="11" xfId="0" applyNumberFormat="1" applyFont="1" applyBorder="1" applyAlignment="1">
      <alignment horizontal="center"/>
    </xf>
    <xf numFmtId="0" fontId="19" fillId="11" borderId="0" xfId="0" applyFont="1" applyFill="1" applyAlignment="1">
      <alignment horizontal="center" wrapText="1"/>
    </xf>
    <xf numFmtId="0" fontId="19" fillId="11" borderId="16" xfId="0" applyFont="1" applyFill="1" applyBorder="1" applyAlignment="1">
      <alignment horizontal="center" wrapText="1"/>
    </xf>
    <xf numFmtId="0" fontId="22" fillId="0" borderId="0" xfId="0" applyFont="1" applyAlignment="1">
      <alignment horizontal="center" wrapText="1"/>
    </xf>
    <xf numFmtId="0" fontId="19" fillId="11" borderId="31" xfId="0" applyFont="1" applyFill="1" applyBorder="1" applyAlignment="1">
      <alignment horizontal="center" vertical="center"/>
    </xf>
    <xf numFmtId="0" fontId="19" fillId="11" borderId="17" xfId="0" applyFont="1" applyFill="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20" fillId="9" borderId="0" xfId="0" applyFont="1" applyFill="1" applyAlignment="1">
      <alignment horizontal="left"/>
    </xf>
    <xf numFmtId="0" fontId="19" fillId="0" borderId="0" xfId="0" applyFont="1" applyAlignment="1">
      <alignment horizontal="left"/>
    </xf>
    <xf numFmtId="0" fontId="42" fillId="22" borderId="0" xfId="0" applyFont="1" applyFill="1" applyAlignment="1">
      <alignment horizontal="center" vertical="center" wrapText="1"/>
    </xf>
    <xf numFmtId="0" fontId="29" fillId="29" borderId="0" xfId="0" applyFont="1" applyFill="1" applyAlignment="1">
      <alignment horizontal="left" vertical="top" wrapText="1"/>
    </xf>
    <xf numFmtId="0" fontId="29" fillId="29" borderId="0" xfId="0" applyFont="1" applyFill="1" applyAlignment="1">
      <alignment horizontal="left" vertical="top"/>
    </xf>
    <xf numFmtId="0" fontId="29" fillId="22" borderId="0" xfId="0" applyFont="1" applyFill="1" applyAlignment="1">
      <alignment horizontal="left" vertical="top" wrapText="1"/>
    </xf>
    <xf numFmtId="0" fontId="29" fillId="22" borderId="0" xfId="0" applyFont="1" applyFill="1" applyAlignment="1">
      <alignment horizontal="left" vertical="top"/>
    </xf>
    <xf numFmtId="0" fontId="28" fillId="0" borderId="8" xfId="0" applyFont="1" applyBorder="1" applyAlignment="1">
      <alignment horizontal="center" vertical="top"/>
    </xf>
    <xf numFmtId="0" fontId="28" fillId="0" borderId="9" xfId="0" applyFont="1" applyBorder="1" applyAlignment="1">
      <alignment horizontal="center" vertical="top"/>
    </xf>
    <xf numFmtId="0" fontId="28" fillId="0" borderId="15" xfId="0" applyFont="1" applyBorder="1" applyAlignment="1">
      <alignment horizontal="center" vertical="top"/>
    </xf>
    <xf numFmtId="0" fontId="19" fillId="23" borderId="34" xfId="0" applyFont="1" applyFill="1" applyBorder="1" applyAlignment="1">
      <alignment horizontal="center" vertical="center"/>
    </xf>
    <xf numFmtId="0" fontId="19" fillId="23" borderId="50" xfId="0" applyFont="1" applyFill="1" applyBorder="1" applyAlignment="1">
      <alignment horizontal="center" vertical="center"/>
    </xf>
    <xf numFmtId="0" fontId="18" fillId="23" borderId="31" xfId="0" applyFont="1" applyFill="1" applyBorder="1" applyAlignment="1">
      <alignment horizontal="left"/>
    </xf>
    <xf numFmtId="0" fontId="18" fillId="23" borderId="16" xfId="0" applyFont="1" applyFill="1" applyBorder="1" applyAlignment="1">
      <alignment horizontal="left"/>
    </xf>
    <xf numFmtId="0" fontId="18" fillId="20" borderId="31" xfId="0" applyFont="1" applyFill="1" applyBorder="1" applyAlignment="1">
      <alignment horizontal="left"/>
    </xf>
    <xf numFmtId="0" fontId="18" fillId="20" borderId="16" xfId="0" applyFont="1" applyFill="1" applyBorder="1" applyAlignment="1">
      <alignment horizontal="left"/>
    </xf>
    <xf numFmtId="0" fontId="20" fillId="22" borderId="0" xfId="0" applyFont="1" applyFill="1" applyAlignment="1">
      <alignment horizontal="left" vertical="top" wrapText="1"/>
    </xf>
    <xf numFmtId="0" fontId="20" fillId="21" borderId="0" xfId="0" applyFont="1" applyFill="1" applyAlignment="1">
      <alignment horizontal="center"/>
    </xf>
    <xf numFmtId="0" fontId="20" fillId="23" borderId="51" xfId="0" applyFont="1" applyFill="1" applyBorder="1" applyAlignment="1">
      <alignment horizontal="center"/>
    </xf>
    <xf numFmtId="0" fontId="20" fillId="23" borderId="52" xfId="0" applyFont="1" applyFill="1" applyBorder="1" applyAlignment="1">
      <alignment horizontal="center"/>
    </xf>
    <xf numFmtId="0" fontId="18" fillId="9" borderId="1" xfId="0" applyFont="1" applyFill="1" applyBorder="1" applyAlignment="1">
      <alignment horizontal="center"/>
    </xf>
    <xf numFmtId="0" fontId="18" fillId="9" borderId="11" xfId="0" applyFont="1" applyFill="1" applyBorder="1" applyAlignment="1">
      <alignment horizontal="center"/>
    </xf>
    <xf numFmtId="0" fontId="19" fillId="23" borderId="18" xfId="0" applyFont="1" applyFill="1" applyBorder="1" applyAlignment="1">
      <alignment horizontal="center" vertical="center" wrapText="1"/>
    </xf>
    <xf numFmtId="0" fontId="19" fillId="23" borderId="20" xfId="0" applyFont="1" applyFill="1" applyBorder="1" applyAlignment="1">
      <alignment horizontal="center" vertical="center" wrapText="1"/>
    </xf>
    <xf numFmtId="0" fontId="19" fillId="23" borderId="22" xfId="0" applyFont="1" applyFill="1" applyBorder="1" applyAlignment="1">
      <alignment horizontal="center" vertical="center" wrapText="1"/>
    </xf>
    <xf numFmtId="0" fontId="19" fillId="23" borderId="19" xfId="0" applyFont="1" applyFill="1" applyBorder="1" applyAlignment="1">
      <alignment horizontal="center" vertical="center" wrapText="1"/>
    </xf>
    <xf numFmtId="0" fontId="20" fillId="8" borderId="1" xfId="0" applyFont="1" applyFill="1" applyBorder="1" applyAlignment="1">
      <alignment horizontal="center"/>
    </xf>
    <xf numFmtId="0" fontId="19" fillId="8" borderId="3" xfId="0" applyFont="1" applyFill="1" applyBorder="1" applyAlignment="1">
      <alignment horizontal="left"/>
    </xf>
    <xf numFmtId="0" fontId="19" fillId="23" borderId="34" xfId="0" applyFont="1" applyFill="1" applyBorder="1" applyAlignment="1">
      <alignment horizontal="center" vertical="center" wrapText="1"/>
    </xf>
    <xf numFmtId="0" fontId="19" fillId="23" borderId="50" xfId="0" applyFont="1" applyFill="1" applyBorder="1" applyAlignment="1">
      <alignment horizontal="center" vertical="center" wrapText="1"/>
    </xf>
    <xf numFmtId="0" fontId="19" fillId="23" borderId="35" xfId="0" applyFont="1" applyFill="1" applyBorder="1" applyAlignment="1">
      <alignment horizontal="center" vertical="center" wrapText="1"/>
    </xf>
    <xf numFmtId="0" fontId="19" fillId="23" borderId="35" xfId="0" applyFont="1" applyFill="1" applyBorder="1" applyAlignment="1">
      <alignment horizontal="center" vertical="center"/>
    </xf>
    <xf numFmtId="0" fontId="18" fillId="12" borderId="10" xfId="0" applyFont="1" applyFill="1" applyBorder="1" applyAlignment="1">
      <alignment horizontal="center"/>
    </xf>
    <xf numFmtId="0" fontId="18" fillId="12" borderId="1" xfId="0" applyFont="1" applyFill="1" applyBorder="1" applyAlignment="1">
      <alignment horizontal="center"/>
    </xf>
    <xf numFmtId="0" fontId="18" fillId="12" borderId="11" xfId="0" applyFont="1" applyFill="1" applyBorder="1" applyAlignment="1">
      <alignment horizontal="center"/>
    </xf>
    <xf numFmtId="0" fontId="49" fillId="12" borderId="10" xfId="0" applyFont="1" applyFill="1" applyBorder="1" applyAlignment="1">
      <alignment horizontal="center" vertical="center"/>
    </xf>
    <xf numFmtId="0" fontId="49" fillId="12" borderId="1" xfId="0" applyFont="1" applyFill="1" applyBorder="1" applyAlignment="1">
      <alignment horizontal="center" vertical="center"/>
    </xf>
    <xf numFmtId="0" fontId="46" fillId="0" borderId="0" xfId="0" applyFont="1" applyAlignment="1">
      <alignment horizontal="center" vertical="top" wrapText="1"/>
    </xf>
    <xf numFmtId="0" fontId="46" fillId="0" borderId="0" xfId="0" applyFont="1" applyAlignment="1">
      <alignment horizontal="left" vertical="top" wrapText="1"/>
    </xf>
    <xf numFmtId="0" fontId="69" fillId="0" borderId="5" xfId="0" applyFont="1" applyBorder="1" applyAlignment="1">
      <alignment horizontal="left" wrapText="1"/>
    </xf>
    <xf numFmtId="0" fontId="69" fillId="0" borderId="0" xfId="0" applyFont="1" applyAlignment="1">
      <alignment horizontal="left" wrapText="1"/>
    </xf>
    <xf numFmtId="0" fontId="27" fillId="0" borderId="4" xfId="0" applyFont="1" applyBorder="1" applyAlignment="1">
      <alignment horizontal="left" wrapText="1"/>
    </xf>
    <xf numFmtId="0" fontId="27" fillId="0" borderId="2" xfId="0" applyFont="1" applyBorder="1" applyAlignment="1">
      <alignment horizontal="left" wrapText="1"/>
    </xf>
    <xf numFmtId="0" fontId="15" fillId="7" borderId="0" xfId="6" applyAlignment="1">
      <alignment horizontal="center" wrapText="1"/>
    </xf>
    <xf numFmtId="172" fontId="12" fillId="11" borderId="2" xfId="0" applyNumberFormat="1" applyFont="1" applyFill="1" applyBorder="1" applyAlignment="1">
      <alignment horizontal="center"/>
    </xf>
    <xf numFmtId="0" fontId="0" fillId="9" borderId="0" xfId="0" applyFill="1" applyAlignment="1">
      <alignment horizontal="center"/>
    </xf>
    <xf numFmtId="0" fontId="46" fillId="9" borderId="27" xfId="0" applyFont="1" applyFill="1" applyBorder="1" applyAlignment="1">
      <alignment horizontal="left" vertical="top" wrapText="1"/>
    </xf>
    <xf numFmtId="0" fontId="46" fillId="9" borderId="28" xfId="0" applyFont="1" applyFill="1" applyBorder="1" applyAlignment="1">
      <alignment horizontal="left" vertical="top" wrapText="1"/>
    </xf>
    <xf numFmtId="0" fontId="46" fillId="9" borderId="29" xfId="0" applyFont="1" applyFill="1" applyBorder="1" applyAlignment="1">
      <alignment horizontal="left" vertical="top" wrapText="1"/>
    </xf>
    <xf numFmtId="0" fontId="55" fillId="11" borderId="0" xfId="0" applyFont="1" applyFill="1" applyAlignment="1">
      <alignment horizontal="center" vertical="center" wrapText="1"/>
    </xf>
    <xf numFmtId="0" fontId="55" fillId="0" borderId="0" xfId="0" applyFont="1" applyAlignment="1">
      <alignment horizontal="right"/>
    </xf>
  </cellXfs>
  <cellStyles count="11">
    <cellStyle name="Bad" xfId="6" builtinId="27"/>
    <cellStyle name="Comma" xfId="1" builtinId="3"/>
    <cellStyle name="Currency" xfId="8" builtinId="4"/>
    <cellStyle name="Hyperlink" xfId="9" builtinId="8"/>
    <cellStyle name="Komma 2" xfId="2" xr:uid="{00000000-0005-0000-0000-000001000000}"/>
    <cellStyle name="Neutral" xfId="3" builtinId="28"/>
    <cellStyle name="Normal" xfId="0" builtinId="0"/>
    <cellStyle name="Per cent" xfId="4" builtinId="5"/>
    <cellStyle name="Prozent 2" xfId="5" xr:uid="{00000000-0005-0000-0000-000004000000}"/>
    <cellStyle name="Standard 2" xfId="7" xr:uid="{00000000-0005-0000-0000-000007000000}"/>
    <cellStyle name="Standard 2 2" xfId="10" xr:uid="{3335E289-F5A5-475F-8754-96E77542A35F}"/>
  </cellStyles>
  <dxfs count="281">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84" formatCode="&quot;D&quot;@"/>
      <fill>
        <patternFill patternType="none">
          <fgColor indexed="64"/>
          <bgColor indexed="65"/>
        </patternFill>
      </fill>
      <alignment horizontal="center" vertical="center" textRotation="0" wrapText="0" indent="0" justifyLastLine="0" shrinkToFit="0" readingOrder="0"/>
    </dxf>
    <dxf>
      <font>
        <strike val="0"/>
        <outline val="0"/>
        <shadow val="0"/>
        <u val="none"/>
        <name val="Gadugi"/>
        <family val="2"/>
        <scheme val="none"/>
      </font>
      <numFmt numFmtId="2" formatCode="0.00"/>
      <fill>
        <patternFill patternType="solid">
          <fgColor indexed="64"/>
          <bgColor theme="7" tint="0.79998168889431442"/>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numFmt numFmtId="170" formatCode="0.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numFmt numFmtId="2" formatCode="0.00"/>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9" tint="0.79998168889431442"/>
        </patternFill>
      </fill>
      <alignment horizontal="general" vertical="top"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1" formatCode="0.000"/>
      <fill>
        <patternFill patternType="solid">
          <fgColor indexed="64"/>
          <bgColor theme="9" tint="0.79998168889431442"/>
        </patternFill>
      </fill>
      <alignment horizontal="general" vertical="top"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theme="9"/>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E1FF"/>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E1FF"/>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E1FF"/>
        </patternFill>
      </fill>
      <alignment horizontal="center" vertical="center" textRotation="0" wrapText="0" indent="0" justifyLastLine="0" shrinkToFit="0" readingOrder="0"/>
    </dxf>
    <dxf>
      <font>
        <strike val="0"/>
        <outline val="0"/>
        <shadow val="0"/>
        <u val="none"/>
        <name val="Gadugi"/>
        <family val="2"/>
        <scheme val="none"/>
      </font>
      <numFmt numFmtId="182" formatCode="&quot;F&quot;@"/>
    </dxf>
    <dxf>
      <font>
        <strike val="0"/>
        <outline val="0"/>
        <shadow val="0"/>
        <u val="none"/>
        <name val="Gadugi"/>
        <family val="2"/>
        <scheme val="none"/>
      </font>
      <fill>
        <patternFill patternType="solid">
          <fgColor indexed="64"/>
          <bgColor rgb="FFFFE1FF"/>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rgb="FFFF99FF"/>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FFCC"/>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fgColor indexed="64"/>
          <bgColor rgb="FFFFFFCC"/>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rgb="FFFDF25F"/>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patternType="solid">
          <fgColor indexed="64"/>
          <bgColor theme="8"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8"/>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1" formatCode="&quot;B&quot;@"/>
    </dxf>
    <dxf>
      <font>
        <strike val="0"/>
        <outline val="0"/>
        <shadow val="0"/>
        <u val="none"/>
        <name val="Gadugi"/>
        <family val="2"/>
        <scheme val="none"/>
      </font>
      <fill>
        <patternFill patternType="solid">
          <fgColor indexed="64"/>
          <bgColor theme="6"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6"/>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8"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fill>
        <patternFill patternType="solid">
          <fgColor indexed="64"/>
          <bgColor theme="8"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8"/>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6"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fill>
        <patternFill patternType="solid">
          <fgColor indexed="64"/>
          <bgColor theme="6" tint="0.79998168889431442"/>
        </patternFill>
      </fill>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none">
          <fgColor indexed="64"/>
          <bgColor theme="6"/>
        </patternFill>
      </fill>
      <alignment horizontal="general" vertical="top"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rgb="FFFFFFCC"/>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rgb="FFFFFFCC"/>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general" vertical="center" textRotation="0" wrapText="1"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fill>
        <patternFill patternType="solid">
          <fgColor indexed="64"/>
          <bgColor rgb="FFFFFFCC"/>
        </patternFill>
      </fill>
      <alignment horizontal="center" vertical="center" textRotation="0" wrapText="0" indent="0" justifyLastLine="0" shrinkToFit="0" readingOrder="0"/>
    </dxf>
    <dxf>
      <font>
        <strike val="0"/>
        <outline val="0"/>
        <shadow val="0"/>
        <u val="none"/>
        <name val="Gadugi"/>
        <family val="2"/>
        <scheme val="none"/>
      </font>
      <numFmt numFmtId="183" formatCode="&quot;W&quot;@"/>
    </dxf>
    <dxf>
      <font>
        <strike val="0"/>
        <outline val="0"/>
        <shadow val="0"/>
        <u val="none"/>
        <name val="Gadugi"/>
        <family val="2"/>
        <scheme val="none"/>
      </font>
      <numFmt numFmtId="2" formatCode="0.00"/>
      <fill>
        <patternFill patternType="none">
          <fgColor indexed="64"/>
          <bgColor rgb="FFFFFFCC"/>
        </patternFill>
      </fill>
    </dxf>
    <dxf>
      <border outline="0">
        <left style="thin">
          <color indexed="64"/>
        </left>
        <right style="thin">
          <color indexed="64"/>
        </right>
        <top style="thin">
          <color indexed="64"/>
        </top>
      </border>
    </dxf>
    <dxf>
      <font>
        <b val="0"/>
        <i val="0"/>
        <strike val="0"/>
        <condense val="0"/>
        <extend val="0"/>
        <outline val="0"/>
        <shadow val="0"/>
        <u val="none"/>
        <vertAlign val="baseline"/>
        <sz val="10"/>
        <color indexed="8"/>
        <name val="Gadugi"/>
        <family val="2"/>
        <scheme val="none"/>
      </font>
      <numFmt numFmtId="2" formatCode="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2" formatCode="0.00"/>
      <fill>
        <patternFill patternType="solid">
          <fgColor indexed="64"/>
          <bgColor rgb="FFFDF25F"/>
        </patternFill>
      </fill>
      <alignment horizontal="general" vertical="top"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 formatCode="0"/>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indexed="8"/>
        <name val="Gadugi"/>
        <family val="2"/>
        <scheme val="none"/>
      </font>
      <numFmt numFmtId="170" formatCode="0.0"/>
      <fill>
        <patternFill patternType="solid">
          <fgColor indexed="64"/>
          <bgColor theme="7" tint="0.79998168889431442"/>
        </patternFill>
      </fill>
      <alignment horizontal="right" vertical="center" textRotation="0" wrapText="0" indent="0" justifyLastLine="0" shrinkToFit="0" readingOrder="0"/>
    </dxf>
    <dxf>
      <font>
        <strike val="0"/>
        <outline val="0"/>
        <shadow val="0"/>
        <u val="none"/>
        <name val="Gadugi"/>
        <family val="2"/>
        <scheme val="none"/>
      </font>
    </dxf>
    <dxf>
      <font>
        <b val="0"/>
        <i val="0"/>
        <strike val="0"/>
        <condense val="0"/>
        <extend val="0"/>
        <outline val="0"/>
        <shadow val="0"/>
        <u val="none"/>
        <vertAlign val="baseline"/>
        <sz val="10"/>
        <color indexed="8"/>
        <name val="Gadugi"/>
        <family val="2"/>
        <scheme val="none"/>
      </font>
      <numFmt numFmtId="173" formatCode="_ * #,##0_ ;_ * \-#,##0_ ;_ * &quot;-&quot;??_ ;_ @_ "/>
      <fill>
        <patternFill patternType="solid">
          <fgColor indexed="64"/>
          <bgColor theme="7" tint="0.79998168889431442"/>
        </patternFill>
      </fill>
      <alignment horizontal="general" vertical="center" textRotation="0" wrapText="0" indent="0" justifyLastLine="0" shrinkToFit="0" readingOrder="0"/>
    </dxf>
    <dxf>
      <font>
        <strike val="0"/>
        <outline val="0"/>
        <shadow val="0"/>
        <u val="none"/>
        <name val="Gadugi"/>
        <family val="2"/>
        <scheme val="none"/>
      </font>
      <numFmt numFmtId="173" formatCode="_ * #,##0_ ;_ * \-#,##0_ ;_ * &quot;-&quot;??_ ;_ @_ "/>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general" vertical="center" textRotation="0" wrapText="1"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center" vertical="center" textRotation="0" wrapText="0" indent="0" justifyLastLine="0" shrinkToFit="0" readingOrder="0"/>
    </dxf>
    <dxf>
      <font>
        <strike val="0"/>
        <outline val="0"/>
        <shadow val="0"/>
        <u val="none"/>
        <name val="Gadugi"/>
        <family val="2"/>
        <scheme val="none"/>
      </font>
    </dxf>
    <dxf>
      <font>
        <b/>
        <i val="0"/>
        <strike val="0"/>
        <condense val="0"/>
        <extend val="0"/>
        <outline val="0"/>
        <shadow val="0"/>
        <u val="none"/>
        <vertAlign val="baseline"/>
        <sz val="10"/>
        <color indexed="8"/>
        <name val="Gadugi"/>
        <family val="2"/>
        <scheme val="none"/>
      </font>
      <fill>
        <patternFill patternType="solid">
          <fgColor indexed="64"/>
          <bgColor theme="7" tint="0.79998168889431442"/>
        </patternFill>
      </fill>
      <alignment horizontal="center" vertical="center" textRotation="0" wrapText="0" indent="0" justifyLastLine="0" shrinkToFit="0" readingOrder="0"/>
    </dxf>
    <dxf>
      <font>
        <strike val="0"/>
        <outline val="0"/>
        <shadow val="0"/>
        <u val="none"/>
        <name val="Gadugi"/>
        <family val="2"/>
        <scheme val="none"/>
      </font>
      <numFmt numFmtId="184" formatCode="&quot;D&quot;@"/>
    </dxf>
    <dxf>
      <font>
        <b/>
        <strike val="0"/>
        <outline val="0"/>
        <shadow val="0"/>
        <u val="none"/>
        <name val="Gadugi"/>
        <family val="2"/>
        <scheme val="none"/>
      </font>
      <numFmt numFmtId="171" formatCode="0.000"/>
      <fill>
        <patternFill patternType="solid">
          <fgColor indexed="64"/>
          <bgColor theme="7" tint="0.79998168889431442"/>
        </patternFill>
      </fill>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indexed="8"/>
        <name val="Gadugi"/>
        <family val="2"/>
        <scheme val="none"/>
      </font>
      <numFmt numFmtId="171" formatCode="0.000"/>
      <fill>
        <patternFill patternType="solid">
          <fgColor indexed="64"/>
          <bgColor theme="7" tint="0.39997558519241921"/>
        </patternFill>
      </fill>
      <alignment horizontal="general" vertical="top" textRotation="0" wrapText="1" indent="0" justifyLastLine="0" shrinkToFit="0" readingOrder="0"/>
    </dxf>
    <dxf>
      <font>
        <color auto="1"/>
      </font>
      <fill>
        <patternFill>
          <bgColor theme="0" tint="-4.9989318521683403E-2"/>
        </patternFill>
      </fill>
    </dxf>
    <dxf>
      <font>
        <color theme="0" tint="-4.9989318521683403E-2"/>
      </font>
      <fill>
        <patternFill>
          <bgColor theme="0" tint="-0.24994659260841701"/>
        </patternFill>
      </fill>
    </dxf>
    <dxf>
      <border>
        <left style="thin">
          <color auto="1"/>
        </left>
        <right style="thin">
          <color auto="1"/>
        </right>
        <top style="thin">
          <color auto="1"/>
        </top>
        <bottom style="thin">
          <color auto="1"/>
        </bottom>
        <vertical style="thin">
          <color auto="1"/>
        </vertical>
      </border>
    </dxf>
  </dxfs>
  <tableStyles count="1" defaultTableStyle="Tabellenformat 1" defaultPivotStyle="PivotStyleLight16">
    <tableStyle name="Tabellenformat 1" pivot="0" count="3" xr9:uid="{00000000-0011-0000-FFFF-FFFF00000000}">
      <tableStyleElement type="wholeTable" dxfId="280"/>
      <tableStyleElement type="headerRow" dxfId="279"/>
      <tableStyleElement type="totalRow" dxfId="278"/>
    </tableStyle>
  </tableStyles>
  <colors>
    <mruColors>
      <color rgb="FFFFFFFF"/>
      <color rgb="FFFFE1FF"/>
      <color rgb="FFFFCCFF"/>
      <color rgb="FFFF99FF"/>
      <color rgb="FFFF66FF"/>
      <color rgb="FFFDF25F"/>
      <color rgb="FFFFFF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2" Type="http://schemas.openxmlformats.org/officeDocument/2006/relationships/image" Target="../media/image110.png"/><Relationship Id="rId16" Type="http://schemas.openxmlformats.org/officeDocument/2006/relationships/image" Target="../media/image8.png"/><Relationship Id="rId20" Type="http://schemas.openxmlformats.org/officeDocument/2006/relationships/image" Target="../media/image10.png"/><Relationship Id="rId29" Type="http://schemas.openxmlformats.org/officeDocument/2006/relationships/customXml" Target="../ink/ink15.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17</xdr:col>
      <xdr:colOff>739589</xdr:colOff>
      <xdr:row>2</xdr:row>
      <xdr:rowOff>0</xdr:rowOff>
    </xdr:from>
    <xdr:to>
      <xdr:col>23</xdr:col>
      <xdr:colOff>206751</xdr:colOff>
      <xdr:row>30</xdr:row>
      <xdr:rowOff>593</xdr:rowOff>
    </xdr:to>
    <xdr:pic>
      <xdr:nvPicPr>
        <xdr:cNvPr id="2" name="Grafik 1">
          <a:extLst>
            <a:ext uri="{FF2B5EF4-FFF2-40B4-BE49-F238E27FC236}">
              <a16:creationId xmlns:a16="http://schemas.microsoft.com/office/drawing/2014/main" id="{22F21349-CF61-D6EA-7E0D-F9BC42A3687F}"/>
            </a:ext>
          </a:extLst>
        </xdr:cNvPr>
        <xdr:cNvPicPr>
          <a:picLocks noChangeAspect="1"/>
        </xdr:cNvPicPr>
      </xdr:nvPicPr>
      <xdr:blipFill>
        <a:blip xmlns:r="http://schemas.openxmlformats.org/officeDocument/2006/relationships" r:embed="rId1"/>
        <a:stretch>
          <a:fillRect/>
        </a:stretch>
      </xdr:blipFill>
      <xdr:spPr>
        <a:xfrm>
          <a:off x="16427824" y="459441"/>
          <a:ext cx="4029637" cy="5058481"/>
        </a:xfrm>
        <a:prstGeom prst="rect">
          <a:avLst/>
        </a:prstGeom>
      </xdr:spPr>
    </xdr:pic>
    <xdr:clientData/>
  </xdr:twoCellAnchor>
  <xdr:twoCellAnchor editAs="oneCell">
    <xdr:from>
      <xdr:col>18</xdr:col>
      <xdr:colOff>0</xdr:colOff>
      <xdr:row>29</xdr:row>
      <xdr:rowOff>168088</xdr:rowOff>
    </xdr:from>
    <xdr:to>
      <xdr:col>23</xdr:col>
      <xdr:colOff>381586</xdr:colOff>
      <xdr:row>49</xdr:row>
      <xdr:rowOff>57985</xdr:rowOff>
    </xdr:to>
    <xdr:pic>
      <xdr:nvPicPr>
        <xdr:cNvPr id="3" name="Grafik 2">
          <a:extLst>
            <a:ext uri="{FF2B5EF4-FFF2-40B4-BE49-F238E27FC236}">
              <a16:creationId xmlns:a16="http://schemas.microsoft.com/office/drawing/2014/main" id="{FD9E4BFD-4EB3-FE0A-8896-239903A5B8F1}"/>
            </a:ext>
          </a:extLst>
        </xdr:cNvPr>
        <xdr:cNvPicPr>
          <a:picLocks noChangeAspect="1"/>
        </xdr:cNvPicPr>
      </xdr:nvPicPr>
      <xdr:blipFill>
        <a:blip xmlns:r="http://schemas.openxmlformats.org/officeDocument/2006/relationships" r:embed="rId2"/>
        <a:stretch>
          <a:fillRect/>
        </a:stretch>
      </xdr:blipFill>
      <xdr:spPr>
        <a:xfrm>
          <a:off x="16450235" y="5614147"/>
          <a:ext cx="4191585" cy="3591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181239</xdr:colOff>
      <xdr:row>27</xdr:row>
      <xdr:rowOff>142883</xdr:rowOff>
    </xdr:from>
    <xdr:to>
      <xdr:col>27</xdr:col>
      <xdr:colOff>243904</xdr:colOff>
      <xdr:row>37</xdr:row>
      <xdr:rowOff>153826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Freihand 1">
              <a:extLst>
                <a:ext uri="{FF2B5EF4-FFF2-40B4-BE49-F238E27FC236}">
                  <a16:creationId xmlns:a16="http://schemas.microsoft.com/office/drawing/2014/main" id="{9BDADB53-C37E-478A-A9DE-C7756FBAFE0F}"/>
                </a:ext>
              </a:extLst>
            </xdr14:cNvPr>
            <xdr14:cNvContentPartPr/>
          </xdr14:nvContentPartPr>
          <xdr14:nvPr macro=""/>
          <xdr14:xfrm>
            <a:off x="14821517" y="1530476"/>
            <a:ext cx="1598990" cy="1735495"/>
          </xdr14:xfrm>
        </xdr:contentPart>
      </mc:Choice>
      <mc:Fallback xmlns="">
        <xdr:pic>
          <xdr:nvPicPr>
            <xdr:cNvPr id="25" name="Freihand 24">
              <a:extLst>
                <a:ext uri="{FF2B5EF4-FFF2-40B4-BE49-F238E27FC236}">
                  <a16:creationId xmlns:a16="http://schemas.microsoft.com/office/drawing/2014/main" id="{4D57CC91-1446-4A96-BA2D-5EFADBE683B1}"/>
                </a:ext>
              </a:extLst>
            </xdr:cNvPr>
            <xdr:cNvPicPr/>
          </xdr:nvPicPr>
          <xdr:blipFill>
            <a:blip xmlns:r="http://schemas.openxmlformats.org/officeDocument/2006/relationships" r:embed="rId2"/>
            <a:stretch>
              <a:fillRect/>
            </a:stretch>
          </xdr:blipFill>
          <xdr:spPr>
            <a:xfrm>
              <a:off x="14812852" y="1521251"/>
              <a:ext cx="1616680" cy="1753577"/>
            </a:xfrm>
            <a:prstGeom prst="rect">
              <a:avLst/>
            </a:prstGeom>
          </xdr:spPr>
        </xdr:pic>
      </mc:Fallback>
    </mc:AlternateContent>
    <xdr:clientData/>
  </xdr:twoCellAnchor>
  <xdr:twoCellAnchor editAs="oneCell">
    <xdr:from>
      <xdr:col>26</xdr:col>
      <xdr:colOff>58185</xdr:colOff>
      <xdr:row>29</xdr:row>
      <xdr:rowOff>17944</xdr:rowOff>
    </xdr:from>
    <xdr:to>
      <xdr:col>26</xdr:col>
      <xdr:colOff>587085</xdr:colOff>
      <xdr:row>32</xdr:row>
      <xdr:rowOff>136511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Freihand 2">
              <a:extLst>
                <a:ext uri="{FF2B5EF4-FFF2-40B4-BE49-F238E27FC236}">
                  <a16:creationId xmlns:a16="http://schemas.microsoft.com/office/drawing/2014/main" id="{34E50128-A54B-4881-9C77-FD70CCAE4A50}"/>
                </a:ext>
              </a:extLst>
            </xdr14:cNvPr>
            <xdr14:cNvContentPartPr/>
          </xdr14:nvContentPartPr>
          <xdr14:nvPr macro=""/>
          <xdr14:xfrm>
            <a:off x="15466273" y="1978973"/>
            <a:ext cx="521280" cy="584553"/>
          </xdr14:xfrm>
        </xdr:contentPart>
      </mc:Choice>
      <mc:Fallback xmlns="">
        <xdr:pic>
          <xdr:nvPicPr>
            <xdr:cNvPr id="26" name="Freihand 25">
              <a:extLst>
                <a:ext uri="{FF2B5EF4-FFF2-40B4-BE49-F238E27FC236}">
                  <a16:creationId xmlns:xdr14="http://schemas.microsoft.com/office/excel/2010/spreadsheetDrawing" xmlns:aink="http://schemas.microsoft.com/office/drawing/2016/ink" xmlns="" xmlns:a16="http://schemas.microsoft.com/office/drawing/2014/main" id="{DC612509-B619-4F7D-ACD1-5FD310BB949F}"/>
                </a:ext>
              </a:extLst>
            </xdr:cNvPr>
            <xdr:cNvPicPr/>
          </xdr:nvPicPr>
          <xdr:blipFill>
            <a:blip xmlns:r="http://schemas.openxmlformats.org/officeDocument/2006/relationships" r:embed="rId4"/>
            <a:stretch>
              <a:fillRect/>
            </a:stretch>
          </xdr:blipFill>
          <xdr:spPr>
            <a:xfrm>
              <a:off x="15420197" y="1831027"/>
              <a:ext cx="538920" cy="608790"/>
            </a:xfrm>
            <a:prstGeom prst="rect">
              <a:avLst/>
            </a:prstGeom>
          </xdr:spPr>
        </xdr:pic>
      </mc:Fallback>
    </mc:AlternateContent>
    <xdr:clientData/>
  </xdr:twoCellAnchor>
  <xdr:twoCellAnchor editAs="oneCell">
    <xdr:from>
      <xdr:col>25</xdr:col>
      <xdr:colOff>426399</xdr:colOff>
      <xdr:row>35</xdr:row>
      <xdr:rowOff>83161</xdr:rowOff>
    </xdr:from>
    <xdr:to>
      <xdr:col>26</xdr:col>
      <xdr:colOff>136460</xdr:colOff>
      <xdr:row>37</xdr:row>
      <xdr:rowOff>12139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Freihand 3">
              <a:extLst>
                <a:ext uri="{FF2B5EF4-FFF2-40B4-BE49-F238E27FC236}">
                  <a16:creationId xmlns:a16="http://schemas.microsoft.com/office/drawing/2014/main" id="{45FC63E1-0694-4B0D-9AC4-18F0BA1FE26A}"/>
                </a:ext>
              </a:extLst>
            </xdr14:cNvPr>
            <xdr14:cNvContentPartPr/>
          </xdr14:nvContentPartPr>
          <xdr14:nvPr macro=""/>
          <xdr14:xfrm>
            <a:off x="15066677" y="2070476"/>
            <a:ext cx="474415" cy="315655"/>
          </xdr14:xfrm>
        </xdr:contentPart>
      </mc:Choice>
      <mc:Fallback xmlns="">
        <xdr:pic>
          <xdr:nvPicPr>
            <xdr:cNvPr id="27" name="Freihand 26">
              <a:extLst>
                <a:ext uri="{FF2B5EF4-FFF2-40B4-BE49-F238E27FC236}">
                  <a16:creationId xmlns:xdr14="http://schemas.microsoft.com/office/excel/2010/spreadsheetDrawing" xmlns:aink="http://schemas.microsoft.com/office/drawing/2016/ink" xmlns="" xmlns:a16="http://schemas.microsoft.com/office/drawing/2014/main" id="{D4A5EEC3-BB58-4D0A-A0A5-339607915E4E}"/>
                </a:ext>
              </a:extLst>
            </xdr:cNvPr>
            <xdr:cNvPicPr/>
          </xdr:nvPicPr>
          <xdr:blipFill>
            <a:blip xmlns:r="http://schemas.openxmlformats.org/officeDocument/2006/relationships" r:embed="rId6"/>
            <a:stretch>
              <a:fillRect/>
            </a:stretch>
          </xdr:blipFill>
          <xdr:spPr>
            <a:xfrm>
              <a:off x="14981869" y="1972652"/>
              <a:ext cx="644030" cy="511667"/>
            </a:xfrm>
            <a:prstGeom prst="rect">
              <a:avLst/>
            </a:prstGeom>
          </xdr:spPr>
        </xdr:pic>
      </mc:Fallback>
    </mc:AlternateContent>
    <xdr:clientData/>
  </xdr:twoCellAnchor>
  <xdr:twoCellAnchor editAs="oneCell">
    <xdr:from>
      <xdr:col>25</xdr:col>
      <xdr:colOff>357652</xdr:colOff>
      <xdr:row>30</xdr:row>
      <xdr:rowOff>106201</xdr:rowOff>
    </xdr:from>
    <xdr:to>
      <xdr:col>25</xdr:col>
      <xdr:colOff>646965</xdr:colOff>
      <xdr:row>31</xdr:row>
      <xdr:rowOff>160725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Freihand 4">
              <a:extLst>
                <a:ext uri="{FF2B5EF4-FFF2-40B4-BE49-F238E27FC236}">
                  <a16:creationId xmlns:a16="http://schemas.microsoft.com/office/drawing/2014/main" id="{9A99292A-8C3A-4314-AF75-C3BCACDC2760}"/>
                </a:ext>
              </a:extLst>
            </xdr14:cNvPr>
            <xdr14:cNvContentPartPr/>
          </xdr14:nvContentPartPr>
          <xdr14:nvPr macro=""/>
          <xdr14:xfrm>
            <a:off x="15003740" y="2291348"/>
            <a:ext cx="289313" cy="210238"/>
          </xdr14:xfrm>
        </xdr:contentPart>
      </mc:Choice>
      <mc:Fallback xmlns="">
        <xdr:pic>
          <xdr:nvPicPr>
            <xdr:cNvPr id="28" name="Freihand 27">
              <a:extLst>
                <a:ext uri="{FF2B5EF4-FFF2-40B4-BE49-F238E27FC236}">
                  <a16:creationId xmlns:xdr14="http://schemas.microsoft.com/office/excel/2010/spreadsheetDrawing" xmlns:aink="http://schemas.microsoft.com/office/drawing/2016/ink" xmlns="" xmlns:a16="http://schemas.microsoft.com/office/drawing/2014/main" id="{B741A878-4690-4332-9966-91E438919F13}"/>
                </a:ext>
              </a:extLst>
            </xdr:cNvPr>
            <xdr:cNvPicPr/>
          </xdr:nvPicPr>
          <xdr:blipFill>
            <a:blip xmlns:r="http://schemas.openxmlformats.org/officeDocument/2006/relationships" r:embed="rId8"/>
            <a:stretch>
              <a:fillRect/>
            </a:stretch>
          </xdr:blipFill>
          <xdr:spPr>
            <a:xfrm>
              <a:off x="14961437" y="1915676"/>
              <a:ext cx="677703" cy="564480"/>
            </a:xfrm>
            <a:prstGeom prst="rect">
              <a:avLst/>
            </a:prstGeom>
          </xdr:spPr>
        </xdr:pic>
      </mc:Fallback>
    </mc:AlternateContent>
    <xdr:clientData/>
  </xdr:twoCellAnchor>
  <xdr:twoCellAnchor editAs="oneCell">
    <xdr:from>
      <xdr:col>25</xdr:col>
      <xdr:colOff>348888</xdr:colOff>
      <xdr:row>30</xdr:row>
      <xdr:rowOff>35458</xdr:rowOff>
    </xdr:from>
    <xdr:to>
      <xdr:col>27</xdr:col>
      <xdr:colOff>148643</xdr:colOff>
      <xdr:row>32</xdr:row>
      <xdr:rowOff>46330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Freihand 5">
              <a:extLst>
                <a:ext uri="{FF2B5EF4-FFF2-40B4-BE49-F238E27FC236}">
                  <a16:creationId xmlns:a16="http://schemas.microsoft.com/office/drawing/2014/main" id="{DF81309B-0B99-4A7B-83F7-A7876A1BB578}"/>
                </a:ext>
              </a:extLst>
            </xdr14:cNvPr>
            <xdr14:cNvContentPartPr/>
          </xdr14:nvContentPartPr>
          <xdr14:nvPr macro=""/>
          <xdr14:xfrm>
            <a:off x="14994976" y="2220605"/>
            <a:ext cx="1316137" cy="313558"/>
          </xdr14:xfrm>
        </xdr:contentPart>
      </mc:Choice>
      <mc:Fallback xmlns="">
        <xdr:pic>
          <xdr:nvPicPr>
            <xdr:cNvPr id="29" name="Freihand 28">
              <a:extLst>
                <a:ext uri="{FF2B5EF4-FFF2-40B4-BE49-F238E27FC236}">
                  <a16:creationId xmlns:xdr14="http://schemas.microsoft.com/office/excel/2010/spreadsheetDrawing" xmlns:aink="http://schemas.microsoft.com/office/drawing/2016/ink" xmlns="" xmlns:a16="http://schemas.microsoft.com/office/drawing/2014/main" id="{EACD8540-4675-41ED-A8EE-3B78B8BB890F}"/>
                </a:ext>
              </a:extLst>
            </xdr:cNvPr>
            <xdr:cNvPicPr/>
          </xdr:nvPicPr>
          <xdr:blipFill>
            <a:blip xmlns:r="http://schemas.openxmlformats.org/officeDocument/2006/relationships" r:embed="rId10"/>
            <a:stretch>
              <a:fillRect/>
            </a:stretch>
          </xdr:blipFill>
          <xdr:spPr>
            <a:xfrm>
              <a:off x="14812092" y="1885076"/>
              <a:ext cx="1697760" cy="676440"/>
            </a:xfrm>
            <a:prstGeom prst="rect">
              <a:avLst/>
            </a:prstGeom>
          </xdr:spPr>
        </xdr:pic>
      </mc:Fallback>
    </mc:AlternateContent>
    <xdr:clientData/>
  </xdr:twoCellAnchor>
  <xdr:twoCellAnchor editAs="oneCell">
    <xdr:from>
      <xdr:col>25</xdr:col>
      <xdr:colOff>404079</xdr:colOff>
      <xdr:row>30</xdr:row>
      <xdr:rowOff>20805</xdr:rowOff>
    </xdr:from>
    <xdr:to>
      <xdr:col>26</xdr:col>
      <xdr:colOff>96205</xdr:colOff>
      <xdr:row>32</xdr:row>
      <xdr:rowOff>122587</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7" name="Freihand 6">
              <a:extLst>
                <a:ext uri="{FF2B5EF4-FFF2-40B4-BE49-F238E27FC236}">
                  <a16:creationId xmlns:a16="http://schemas.microsoft.com/office/drawing/2014/main" id="{7ECF83FF-B596-4E0B-A92E-24D5F06FF6DD}"/>
                </a:ext>
              </a:extLst>
            </xdr14:cNvPr>
            <xdr14:cNvContentPartPr/>
          </xdr14:nvContentPartPr>
          <xdr14:nvPr macro=""/>
          <xdr14:xfrm>
            <a:off x="15044357" y="1831731"/>
            <a:ext cx="456480" cy="407160"/>
          </xdr14:xfrm>
        </xdr:contentPart>
      </mc:Choice>
      <mc:Fallback xmlns="">
        <xdr:pic>
          <xdr:nvPicPr>
            <xdr:cNvPr id="30" name="Freihand 29">
              <a:extLst>
                <a:ext uri="{FF2B5EF4-FFF2-40B4-BE49-F238E27FC236}">
                  <a16:creationId xmlns:xdr14="http://schemas.microsoft.com/office/excel/2010/spreadsheetDrawing" xmlns:aink="http://schemas.microsoft.com/office/drawing/2016/ink" xmlns="" xmlns:a16="http://schemas.microsoft.com/office/drawing/2014/main" id="{D648E4FA-F46D-4CD5-B67B-6EEC70698BBF}"/>
                </a:ext>
              </a:extLst>
            </xdr:cNvPr>
            <xdr:cNvPicPr/>
          </xdr:nvPicPr>
          <xdr:blipFill>
            <a:blip xmlns:r="http://schemas.openxmlformats.org/officeDocument/2006/relationships" r:embed="rId12"/>
            <a:stretch>
              <a:fillRect/>
            </a:stretch>
          </xdr:blipFill>
          <xdr:spPr>
            <a:xfrm>
              <a:off x="14838437" y="1683771"/>
              <a:ext cx="867960" cy="703440"/>
            </a:xfrm>
            <a:prstGeom prst="rect">
              <a:avLst/>
            </a:prstGeom>
          </xdr:spPr>
        </xdr:pic>
      </mc:Fallback>
    </mc:AlternateContent>
    <xdr:clientData/>
  </xdr:twoCellAnchor>
  <xdr:twoCellAnchor editAs="oneCell">
    <xdr:from>
      <xdr:col>25</xdr:col>
      <xdr:colOff>460959</xdr:colOff>
      <xdr:row>28</xdr:row>
      <xdr:rowOff>42336</xdr:rowOff>
    </xdr:from>
    <xdr:to>
      <xdr:col>27</xdr:col>
      <xdr:colOff>173764</xdr:colOff>
      <xdr:row>32</xdr:row>
      <xdr:rowOff>135513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8" name="Freihand 7">
              <a:extLst>
                <a:ext uri="{FF2B5EF4-FFF2-40B4-BE49-F238E27FC236}">
                  <a16:creationId xmlns:a16="http://schemas.microsoft.com/office/drawing/2014/main" id="{B79B4853-A6A7-4F14-ADC7-8E5A2BDF1291}"/>
                </a:ext>
              </a:extLst>
            </xdr14:cNvPr>
            <xdr14:cNvContentPartPr/>
          </xdr14:nvContentPartPr>
          <xdr14:nvPr macro=""/>
          <xdr14:xfrm>
            <a:off x="15101237" y="1629836"/>
            <a:ext cx="1241510" cy="730440"/>
          </xdr14:xfrm>
        </xdr:contentPart>
      </mc:Choice>
      <mc:Fallback xmlns="">
        <xdr:pic>
          <xdr:nvPicPr>
            <xdr:cNvPr id="35" name="Freihand 34">
              <a:extLst>
                <a:ext uri="{FF2B5EF4-FFF2-40B4-BE49-F238E27FC236}">
                  <a16:creationId xmlns:xdr14="http://schemas.microsoft.com/office/excel/2010/spreadsheetDrawing" xmlns:aink="http://schemas.microsoft.com/office/drawing/2016/ink" xmlns="" xmlns:a16="http://schemas.microsoft.com/office/drawing/2014/main" id="{E7712BBE-C80D-4924-85EF-24E57E6769B7}"/>
                </a:ext>
              </a:extLst>
            </xdr:cNvPr>
            <xdr:cNvPicPr/>
          </xdr:nvPicPr>
          <xdr:blipFill>
            <a:blip xmlns:r="http://schemas.openxmlformats.org/officeDocument/2006/relationships" r:embed="rId14"/>
            <a:stretch>
              <a:fillRect/>
            </a:stretch>
          </xdr:blipFill>
          <xdr:spPr>
            <a:xfrm>
              <a:off x="14898829" y="1451636"/>
              <a:ext cx="1643440" cy="1086480"/>
            </a:xfrm>
            <a:prstGeom prst="rect">
              <a:avLst/>
            </a:prstGeom>
          </xdr:spPr>
        </xdr:pic>
      </mc:Fallback>
    </mc:AlternateContent>
    <xdr:clientData/>
  </xdr:twoCellAnchor>
  <xdr:twoCellAnchor editAs="oneCell">
    <xdr:from>
      <xdr:col>30</xdr:col>
      <xdr:colOff>389761</xdr:colOff>
      <xdr:row>33</xdr:row>
      <xdr:rowOff>106679</xdr:rowOff>
    </xdr:from>
    <xdr:to>
      <xdr:col>32</xdr:col>
      <xdr:colOff>187292</xdr:colOff>
      <xdr:row>34</xdr:row>
      <xdr:rowOff>63422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9" name="Freihand 8">
              <a:extLst>
                <a:ext uri="{FF2B5EF4-FFF2-40B4-BE49-F238E27FC236}">
                  <a16:creationId xmlns:a16="http://schemas.microsoft.com/office/drawing/2014/main" id="{D8855091-5B75-482E-AFE7-893B9B4C8ECF}"/>
                </a:ext>
              </a:extLst>
            </xdr14:cNvPr>
            <xdr14:cNvContentPartPr/>
          </xdr14:nvContentPartPr>
          <xdr14:nvPr macro=""/>
          <xdr14:xfrm>
            <a:off x="19450967" y="2796091"/>
            <a:ext cx="1313912" cy="131780"/>
          </xdr14:xfrm>
        </xdr:contentPart>
      </mc:Choice>
      <mc:Fallback xmlns="">
        <xdr:pic>
          <xdr:nvPicPr>
            <xdr:cNvPr id="53" name="Freihand 52">
              <a:extLst>
                <a:ext uri="{FF2B5EF4-FFF2-40B4-BE49-F238E27FC236}">
                  <a16:creationId xmlns:xdr14="http://schemas.microsoft.com/office/excel/2010/spreadsheetDrawing" xmlns:aink="http://schemas.microsoft.com/office/drawing/2016/ink" xmlns="" xmlns:a16="http://schemas.microsoft.com/office/drawing/2014/main" id="{BB38B7EF-4724-4A77-BCDB-5C5DF29E0D0B}"/>
                </a:ext>
              </a:extLst>
            </xdr:cNvPr>
            <xdr:cNvPicPr/>
          </xdr:nvPicPr>
          <xdr:blipFill>
            <a:blip xmlns:r="http://schemas.openxmlformats.org/officeDocument/2006/relationships" r:embed="rId16"/>
            <a:stretch>
              <a:fillRect/>
            </a:stretch>
          </xdr:blipFill>
          <xdr:spPr>
            <a:xfrm>
              <a:off x="19354536" y="2426528"/>
              <a:ext cx="1322945" cy="138280"/>
            </a:xfrm>
            <a:prstGeom prst="rect">
              <a:avLst/>
            </a:prstGeom>
          </xdr:spPr>
        </xdr:pic>
      </mc:Fallback>
    </mc:AlternateContent>
    <xdr:clientData/>
  </xdr:twoCellAnchor>
  <xdr:twoCellAnchor editAs="oneCell">
    <xdr:from>
      <xdr:col>31</xdr:col>
      <xdr:colOff>235211</xdr:colOff>
      <xdr:row>30</xdr:row>
      <xdr:rowOff>122446</xdr:rowOff>
    </xdr:from>
    <xdr:to>
      <xdr:col>31</xdr:col>
      <xdr:colOff>334676</xdr:colOff>
      <xdr:row>34</xdr:row>
      <xdr:rowOff>54131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0" name="Freihand 9">
              <a:extLst>
                <a:ext uri="{FF2B5EF4-FFF2-40B4-BE49-F238E27FC236}">
                  <a16:creationId xmlns:a16="http://schemas.microsoft.com/office/drawing/2014/main" id="{7D67F02C-8D10-4C99-A983-A8D6533AC66E}"/>
                </a:ext>
              </a:extLst>
            </xdr14:cNvPr>
            <xdr14:cNvContentPartPr/>
          </xdr14:nvContentPartPr>
          <xdr14:nvPr macro=""/>
          <xdr14:xfrm>
            <a:off x="19943730" y="1933372"/>
            <a:ext cx="97560" cy="576360"/>
          </xdr14:xfrm>
        </xdr:contentPart>
      </mc:Choice>
      <mc:Fallback xmlns="">
        <xdr:pic>
          <xdr:nvPicPr>
            <xdr:cNvPr id="55" name="Freihand 54">
              <a:extLst>
                <a:ext uri="{FF2B5EF4-FFF2-40B4-BE49-F238E27FC236}">
                  <a16:creationId xmlns:xdr14="http://schemas.microsoft.com/office/excel/2010/spreadsheetDrawing" xmlns:aink="http://schemas.microsoft.com/office/drawing/2016/ink" xmlns="" xmlns:a16="http://schemas.microsoft.com/office/drawing/2014/main" id="{DB1949F2-E34C-4F2E-9513-BD06D3588CD6}"/>
                </a:ext>
              </a:extLst>
            </xdr:cNvPr>
            <xdr:cNvPicPr/>
          </xdr:nvPicPr>
          <xdr:blipFill>
            <a:blip xmlns:r="http://schemas.openxmlformats.org/officeDocument/2006/relationships" r:embed="rId18"/>
            <a:stretch>
              <a:fillRect/>
            </a:stretch>
          </xdr:blipFill>
          <xdr:spPr>
            <a:xfrm>
              <a:off x="19889370" y="1919692"/>
              <a:ext cx="206640" cy="603360"/>
            </a:xfrm>
            <a:prstGeom prst="rect">
              <a:avLst/>
            </a:prstGeom>
          </xdr:spPr>
        </xdr:pic>
      </mc:Fallback>
    </mc:AlternateContent>
    <xdr:clientData/>
  </xdr:twoCellAnchor>
  <xdr:twoCellAnchor editAs="oneCell">
    <xdr:from>
      <xdr:col>26</xdr:col>
      <xdr:colOff>192714</xdr:colOff>
      <xdr:row>30</xdr:row>
      <xdr:rowOff>95512</xdr:rowOff>
    </xdr:from>
    <xdr:to>
      <xdr:col>26</xdr:col>
      <xdr:colOff>335234</xdr:colOff>
      <xdr:row>32</xdr:row>
      <xdr:rowOff>46204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1" name="Freihand 10">
              <a:extLst>
                <a:ext uri="{FF2B5EF4-FFF2-40B4-BE49-F238E27FC236}">
                  <a16:creationId xmlns:a16="http://schemas.microsoft.com/office/drawing/2014/main" id="{DFD7EF36-4570-49B8-8A7A-84B542DF0246}"/>
                </a:ext>
              </a:extLst>
            </xdr14:cNvPr>
            <xdr14:cNvContentPartPr/>
          </xdr14:nvContentPartPr>
          <xdr14:nvPr macro=""/>
          <xdr14:xfrm>
            <a:off x="15600802" y="2280659"/>
            <a:ext cx="144425" cy="260998"/>
          </xdr14:xfrm>
        </xdr:contentPart>
      </mc:Choice>
      <mc:Fallback xmlns="">
        <xdr:pic>
          <xdr:nvPicPr>
            <xdr:cNvPr id="56" name="Freihand 55">
              <a:extLst>
                <a:ext uri="{FF2B5EF4-FFF2-40B4-BE49-F238E27FC236}">
                  <a16:creationId xmlns:xdr14="http://schemas.microsoft.com/office/excel/2010/spreadsheetDrawing" xmlns:aink="http://schemas.microsoft.com/office/drawing/2016/ink" xmlns="" xmlns:a16="http://schemas.microsoft.com/office/drawing/2014/main" id="{6FB0650A-F270-4DF6-B952-7CC76056A9E6}"/>
                </a:ext>
              </a:extLst>
            </xdr:cNvPr>
            <xdr:cNvPicPr/>
          </xdr:nvPicPr>
          <xdr:blipFill>
            <a:blip xmlns:r="http://schemas.openxmlformats.org/officeDocument/2006/relationships" r:embed="rId20"/>
            <a:stretch>
              <a:fillRect/>
            </a:stretch>
          </xdr:blipFill>
          <xdr:spPr>
            <a:xfrm>
              <a:off x="15570705" y="2123331"/>
              <a:ext cx="152879" cy="267840"/>
            </a:xfrm>
            <a:prstGeom prst="rect">
              <a:avLst/>
            </a:prstGeom>
          </xdr:spPr>
        </xdr:pic>
      </mc:Fallback>
    </mc:AlternateContent>
    <xdr:clientData/>
  </xdr:twoCellAnchor>
  <xdr:twoCellAnchor editAs="oneCell">
    <xdr:from>
      <xdr:col>25</xdr:col>
      <xdr:colOff>207722</xdr:colOff>
      <xdr:row>31</xdr:row>
      <xdr:rowOff>121796</xdr:rowOff>
    </xdr:from>
    <xdr:to>
      <xdr:col>26</xdr:col>
      <xdr:colOff>627408</xdr:colOff>
      <xdr:row>32</xdr:row>
      <xdr:rowOff>48729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2" name="Freihand 11">
              <a:extLst>
                <a:ext uri="{FF2B5EF4-FFF2-40B4-BE49-F238E27FC236}">
                  <a16:creationId xmlns:a16="http://schemas.microsoft.com/office/drawing/2014/main" id="{5D0581A8-1378-4102-B125-65F96AEBE37D}"/>
                </a:ext>
              </a:extLst>
            </xdr14:cNvPr>
            <xdr14:cNvContentPartPr/>
          </xdr14:nvContentPartPr>
          <xdr14:nvPr macro=""/>
          <xdr14:xfrm>
            <a:off x="14853810" y="2475031"/>
            <a:ext cx="1181688" cy="72000"/>
          </xdr14:xfrm>
        </xdr:contentPart>
      </mc:Choice>
      <mc:Fallback xmlns="">
        <xdr:pic>
          <xdr:nvPicPr>
            <xdr:cNvPr id="57" name="Freihand 56">
              <a:extLst>
                <a:ext uri="{FF2B5EF4-FFF2-40B4-BE49-F238E27FC236}">
                  <a16:creationId xmlns:xdr14="http://schemas.microsoft.com/office/excel/2010/spreadsheetDrawing" xmlns:aink="http://schemas.microsoft.com/office/drawing/2016/ink" xmlns="" xmlns:a16="http://schemas.microsoft.com/office/drawing/2014/main" id="{BD65B81B-B825-4836-A0BC-040090C6550D}"/>
                </a:ext>
              </a:extLst>
            </xdr:cNvPr>
            <xdr:cNvPicPr/>
          </xdr:nvPicPr>
          <xdr:blipFill>
            <a:blip xmlns:r="http://schemas.openxmlformats.org/officeDocument/2006/relationships" r:embed="rId22"/>
            <a:stretch>
              <a:fillRect/>
            </a:stretch>
          </xdr:blipFill>
          <xdr:spPr>
            <a:xfrm>
              <a:off x="14841972" y="2288276"/>
              <a:ext cx="1240560" cy="180720"/>
            </a:xfrm>
            <a:prstGeom prst="rect">
              <a:avLst/>
            </a:prstGeom>
          </xdr:spPr>
        </xdr:pic>
      </mc:Fallback>
    </mc:AlternateContent>
    <xdr:clientData/>
  </xdr:twoCellAnchor>
  <xdr:twoCellAnchor editAs="oneCell">
    <xdr:from>
      <xdr:col>31</xdr:col>
      <xdr:colOff>475454</xdr:colOff>
      <xdr:row>32</xdr:row>
      <xdr:rowOff>6042</xdr:rowOff>
    </xdr:from>
    <xdr:to>
      <xdr:col>32</xdr:col>
      <xdr:colOff>91788</xdr:colOff>
      <xdr:row>34</xdr:row>
      <xdr:rowOff>39390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13" name="Freihand 12">
              <a:extLst>
                <a:ext uri="{FF2B5EF4-FFF2-40B4-BE49-F238E27FC236}">
                  <a16:creationId xmlns:a16="http://schemas.microsoft.com/office/drawing/2014/main" id="{87DC722A-FDE0-4F03-82B3-69A2DABFDEFC}"/>
                </a:ext>
              </a:extLst>
            </xdr14:cNvPr>
            <xdr14:cNvContentPartPr/>
          </xdr14:nvContentPartPr>
          <xdr14:nvPr macro=""/>
          <xdr14:xfrm>
            <a:off x="20298660" y="2527366"/>
            <a:ext cx="378334" cy="340090"/>
          </xdr14:xfrm>
        </xdr:contentPart>
      </mc:Choice>
      <mc:Fallback xmlns="">
        <xdr:pic>
          <xdr:nvPicPr>
            <xdr:cNvPr id="60" name="Freihand 59">
              <a:extLst>
                <a:ext uri="{FF2B5EF4-FFF2-40B4-BE49-F238E27FC236}">
                  <a16:creationId xmlns:xdr14="http://schemas.microsoft.com/office/excel/2010/spreadsheetDrawing" xmlns:aink="http://schemas.microsoft.com/office/drawing/2016/ink" xmlns="" xmlns:a16="http://schemas.microsoft.com/office/drawing/2014/main" id="{55F6C3B2-C273-46A1-82D9-83D29BBB7EB0}"/>
                </a:ext>
              </a:extLst>
            </xdr:cNvPr>
            <xdr:cNvPicPr/>
          </xdr:nvPicPr>
          <xdr:blipFill>
            <a:blip xmlns:r="http://schemas.openxmlformats.org/officeDocument/2006/relationships" r:embed="rId24"/>
            <a:stretch>
              <a:fillRect/>
            </a:stretch>
          </xdr:blipFill>
          <xdr:spPr>
            <a:xfrm>
              <a:off x="20269189" y="2211228"/>
              <a:ext cx="389547" cy="351062"/>
            </a:xfrm>
            <a:prstGeom prst="rect">
              <a:avLst/>
            </a:prstGeom>
          </xdr:spPr>
        </xdr:pic>
      </mc:Fallback>
    </mc:AlternateContent>
    <xdr:clientData/>
  </xdr:twoCellAnchor>
  <xdr:twoCellAnchor editAs="oneCell">
    <xdr:from>
      <xdr:col>25</xdr:col>
      <xdr:colOff>537149</xdr:colOff>
      <xdr:row>28</xdr:row>
      <xdr:rowOff>58896</xdr:rowOff>
    </xdr:from>
    <xdr:to>
      <xdr:col>27</xdr:col>
      <xdr:colOff>154454</xdr:colOff>
      <xdr:row>32</xdr:row>
      <xdr:rowOff>130833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5">
          <xdr14:nvContentPartPr>
            <xdr14:cNvPr id="14" name="Freihand 13">
              <a:extLst>
                <a:ext uri="{FF2B5EF4-FFF2-40B4-BE49-F238E27FC236}">
                  <a16:creationId xmlns:a16="http://schemas.microsoft.com/office/drawing/2014/main" id="{84E2C52E-46B9-4A94-9EEF-D662ABCDA677}"/>
                </a:ext>
              </a:extLst>
            </xdr14:cNvPr>
            <xdr14:cNvContentPartPr/>
          </xdr14:nvContentPartPr>
          <xdr14:nvPr macro=""/>
          <xdr14:xfrm>
            <a:off x="15177427" y="1646396"/>
            <a:ext cx="1146010" cy="709200"/>
          </xdr14:xfrm>
        </xdr:contentPart>
      </mc:Choice>
      <mc:Fallback xmlns="">
        <xdr:pic>
          <xdr:nvPicPr>
            <xdr:cNvPr id="63" name="Freihand 62">
              <a:extLst>
                <a:ext uri="{FF2B5EF4-FFF2-40B4-BE49-F238E27FC236}">
                  <a16:creationId xmlns:xdr14="http://schemas.microsoft.com/office/excel/2010/spreadsheetDrawing" xmlns:aink="http://schemas.microsoft.com/office/drawing/2016/ink" xmlns="" xmlns:a16="http://schemas.microsoft.com/office/drawing/2014/main" id="{9B86D71E-AA76-4B85-AA6C-7E927876A896}"/>
                </a:ext>
              </a:extLst>
            </xdr:cNvPr>
            <xdr:cNvPicPr/>
          </xdr:nvPicPr>
          <xdr:blipFill>
            <a:blip xmlns:r="http://schemas.openxmlformats.org/officeDocument/2006/relationships" r:embed="rId26"/>
            <a:stretch>
              <a:fillRect/>
            </a:stretch>
          </xdr:blipFill>
          <xdr:spPr>
            <a:xfrm>
              <a:off x="15130050" y="1642076"/>
              <a:ext cx="1197335" cy="717840"/>
            </a:xfrm>
            <a:prstGeom prst="rect">
              <a:avLst/>
            </a:prstGeom>
          </xdr:spPr>
        </xdr:pic>
      </mc:Fallback>
    </mc:AlternateContent>
    <xdr:clientData/>
  </xdr:twoCellAnchor>
  <xdr:twoCellAnchor editAs="oneCell">
    <xdr:from>
      <xdr:col>30</xdr:col>
      <xdr:colOff>389723</xdr:colOff>
      <xdr:row>30</xdr:row>
      <xdr:rowOff>766</xdr:rowOff>
    </xdr:from>
    <xdr:to>
      <xdr:col>32</xdr:col>
      <xdr:colOff>701509</xdr:colOff>
      <xdr:row>37</xdr:row>
      <xdr:rowOff>103418</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Freihand 14">
              <a:extLst>
                <a:ext uri="{FF2B5EF4-FFF2-40B4-BE49-F238E27FC236}">
                  <a16:creationId xmlns:a16="http://schemas.microsoft.com/office/drawing/2014/main" id="{68EB3924-8DBF-4A27-9313-66E74330C7A7}"/>
                </a:ext>
              </a:extLst>
            </xdr14:cNvPr>
            <xdr14:cNvContentPartPr/>
          </xdr14:nvContentPartPr>
          <xdr14:nvPr macro=""/>
          <xdr14:xfrm>
            <a:off x="19406593" y="1814657"/>
            <a:ext cx="1833882" cy="1309733"/>
          </xdr14:xfrm>
        </xdr:contentPart>
      </mc:Choice>
      <mc:Fallback xmlns="">
        <xdr:pic>
          <xdr:nvPicPr>
            <xdr:cNvPr id="71" name="Freihand 70">
              <a:extLst>
                <a:ext uri="{FF2B5EF4-FFF2-40B4-BE49-F238E27FC236}">
                  <a16:creationId xmlns:a16="http://schemas.microsoft.com/office/drawing/2014/main" id="{253B6F1D-7BFE-4495-A6C6-8CFFD46C2096}"/>
                </a:ext>
              </a:extLst>
            </xdr:cNvPr>
            <xdr:cNvPicPr/>
          </xdr:nvPicPr>
          <xdr:blipFill>
            <a:blip xmlns:r="http://schemas.openxmlformats.org/officeDocument/2006/relationships" r:embed="rId28"/>
            <a:stretch>
              <a:fillRect/>
            </a:stretch>
          </xdr:blipFill>
          <xdr:spPr>
            <a:xfrm>
              <a:off x="19397595" y="1805938"/>
              <a:ext cx="1851519" cy="1327535"/>
            </a:xfrm>
            <a:prstGeom prst="rect">
              <a:avLst/>
            </a:prstGeom>
          </xdr:spPr>
        </xdr:pic>
      </mc:Fallback>
    </mc:AlternateContent>
    <xdr:clientData/>
  </xdr:twoCellAnchor>
  <xdr:twoCellAnchor editAs="oneCell">
    <xdr:from>
      <xdr:col>31</xdr:col>
      <xdr:colOff>277756</xdr:colOff>
      <xdr:row>30</xdr:row>
      <xdr:rowOff>10486</xdr:rowOff>
    </xdr:from>
    <xdr:to>
      <xdr:col>32</xdr:col>
      <xdr:colOff>34320</xdr:colOff>
      <xdr:row>30</xdr:row>
      <xdr:rowOff>143896</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Freihand 15">
              <a:extLst>
                <a:ext uri="{FF2B5EF4-FFF2-40B4-BE49-F238E27FC236}">
                  <a16:creationId xmlns:a16="http://schemas.microsoft.com/office/drawing/2014/main" id="{3356DEE9-E2B5-4BF0-8BFD-9BFB36579745}"/>
                </a:ext>
              </a:extLst>
            </xdr14:cNvPr>
            <xdr14:cNvContentPartPr/>
          </xdr14:nvContentPartPr>
          <xdr14:nvPr macro=""/>
          <xdr14:xfrm>
            <a:off x="19986275" y="1821412"/>
            <a:ext cx="513295" cy="129600"/>
          </xdr14:xfrm>
        </xdr:contentPart>
      </mc:Choice>
      <mc:Fallback xmlns="">
        <xdr:pic>
          <xdr:nvPicPr>
            <xdr:cNvPr id="72" name="Freihand 71">
              <a:extLst>
                <a:ext uri="{FF2B5EF4-FFF2-40B4-BE49-F238E27FC236}">
                  <a16:creationId xmlns:a16="http://schemas.microsoft.com/office/drawing/2014/main" id="{B9A992C1-19F2-4328-BA9F-EF6A47619E06}"/>
                </a:ext>
              </a:extLst>
            </xdr:cNvPr>
            <xdr:cNvPicPr/>
          </xdr:nvPicPr>
          <xdr:blipFill>
            <a:blip xmlns:r="http://schemas.openxmlformats.org/officeDocument/2006/relationships" r:embed="rId30"/>
            <a:stretch>
              <a:fillRect/>
            </a:stretch>
          </xdr:blipFill>
          <xdr:spPr>
            <a:xfrm>
              <a:off x="19977581" y="1812412"/>
              <a:ext cx="531045" cy="1472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312965</xdr:colOff>
      <xdr:row>27</xdr:row>
      <xdr:rowOff>272143</xdr:rowOff>
    </xdr:from>
    <xdr:to>
      <xdr:col>38</xdr:col>
      <xdr:colOff>316774</xdr:colOff>
      <xdr:row>75</xdr:row>
      <xdr:rowOff>59493</xdr:rowOff>
    </xdr:to>
    <xdr:pic>
      <xdr:nvPicPr>
        <xdr:cNvPr id="2" name="Grafik 1">
          <a:extLst>
            <a:ext uri="{FF2B5EF4-FFF2-40B4-BE49-F238E27FC236}">
              <a16:creationId xmlns:a16="http://schemas.microsoft.com/office/drawing/2014/main" id="{281A69AB-643A-469D-9510-C0034B297903}"/>
            </a:ext>
          </a:extLst>
        </xdr:cNvPr>
        <xdr:cNvPicPr>
          <a:picLocks noChangeAspect="1"/>
        </xdr:cNvPicPr>
      </xdr:nvPicPr>
      <xdr:blipFill>
        <a:blip xmlns:r="http://schemas.openxmlformats.org/officeDocument/2006/relationships" r:embed="rId1"/>
        <a:stretch>
          <a:fillRect/>
        </a:stretch>
      </xdr:blipFill>
      <xdr:spPr>
        <a:xfrm>
          <a:off x="25118786" y="4109357"/>
          <a:ext cx="6858000" cy="8857281"/>
        </a:xfrm>
        <a:prstGeom prst="rect">
          <a:avLst/>
        </a:prstGeom>
      </xdr:spPr>
    </xdr:pic>
    <xdr:clientData/>
  </xdr:twoCellAnchor>
  <xdr:twoCellAnchor editAs="oneCell">
    <xdr:from>
      <xdr:col>39</xdr:col>
      <xdr:colOff>0</xdr:colOff>
      <xdr:row>28</xdr:row>
      <xdr:rowOff>0</xdr:rowOff>
    </xdr:from>
    <xdr:to>
      <xdr:col>46</xdr:col>
      <xdr:colOff>646950</xdr:colOff>
      <xdr:row>72</xdr:row>
      <xdr:rowOff>21857</xdr:rowOff>
    </xdr:to>
    <xdr:pic>
      <xdr:nvPicPr>
        <xdr:cNvPr id="3" name="Grafik 2">
          <a:extLst>
            <a:ext uri="{FF2B5EF4-FFF2-40B4-BE49-F238E27FC236}">
              <a16:creationId xmlns:a16="http://schemas.microsoft.com/office/drawing/2014/main" id="{A4C0AA3D-AEB8-425D-8955-72728662FCD4}"/>
            </a:ext>
          </a:extLst>
        </xdr:cNvPr>
        <xdr:cNvPicPr>
          <a:picLocks noChangeAspect="1"/>
        </xdr:cNvPicPr>
      </xdr:nvPicPr>
      <xdr:blipFill>
        <a:blip xmlns:r="http://schemas.openxmlformats.org/officeDocument/2006/relationships" r:embed="rId2"/>
        <a:stretch>
          <a:fillRect/>
        </a:stretch>
      </xdr:blipFill>
      <xdr:spPr>
        <a:xfrm>
          <a:off x="32425821" y="4776107"/>
          <a:ext cx="5980952" cy="8028571"/>
        </a:xfrm>
        <a:prstGeom prst="rect">
          <a:avLst/>
        </a:prstGeom>
      </xdr:spPr>
    </xdr:pic>
    <xdr:clientData/>
  </xdr:twoCellAnchor>
  <xdr:twoCellAnchor editAs="oneCell">
    <xdr:from>
      <xdr:col>25</xdr:col>
      <xdr:colOff>789214</xdr:colOff>
      <xdr:row>0</xdr:row>
      <xdr:rowOff>68037</xdr:rowOff>
    </xdr:from>
    <xdr:to>
      <xdr:col>30</xdr:col>
      <xdr:colOff>263298</xdr:colOff>
      <xdr:row>22</xdr:row>
      <xdr:rowOff>54932</xdr:rowOff>
    </xdr:to>
    <xdr:pic>
      <xdr:nvPicPr>
        <xdr:cNvPr id="4" name="Grafik 3">
          <a:extLst>
            <a:ext uri="{FF2B5EF4-FFF2-40B4-BE49-F238E27FC236}">
              <a16:creationId xmlns:a16="http://schemas.microsoft.com/office/drawing/2014/main" id="{60F629E3-9439-4F20-87C3-BB4DFBBF6058}"/>
            </a:ext>
          </a:extLst>
        </xdr:cNvPr>
        <xdr:cNvPicPr>
          <a:picLocks noChangeAspect="1"/>
        </xdr:cNvPicPr>
      </xdr:nvPicPr>
      <xdr:blipFill>
        <a:blip xmlns:r="http://schemas.openxmlformats.org/officeDocument/2006/relationships" r:embed="rId3"/>
        <a:stretch>
          <a:fillRect/>
        </a:stretch>
      </xdr:blipFill>
      <xdr:spPr>
        <a:xfrm>
          <a:off x="22261285" y="68037"/>
          <a:ext cx="3571419" cy="36058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244336</xdr:colOff>
      <xdr:row>6</xdr:row>
      <xdr:rowOff>194641</xdr:rowOff>
    </xdr:from>
    <xdr:to>
      <xdr:col>34</xdr:col>
      <xdr:colOff>53791</xdr:colOff>
      <xdr:row>45</xdr:row>
      <xdr:rowOff>58364</xdr:rowOff>
    </xdr:to>
    <xdr:pic>
      <xdr:nvPicPr>
        <xdr:cNvPr id="3" name="Grafik 2">
          <a:extLst>
            <a:ext uri="{FF2B5EF4-FFF2-40B4-BE49-F238E27FC236}">
              <a16:creationId xmlns:a16="http://schemas.microsoft.com/office/drawing/2014/main" id="{7B38A43E-C318-4971-814E-FE1B4994E8A3}"/>
            </a:ext>
          </a:extLst>
        </xdr:cNvPr>
        <xdr:cNvPicPr>
          <a:picLocks noChangeAspect="1"/>
        </xdr:cNvPicPr>
      </xdr:nvPicPr>
      <xdr:blipFill>
        <a:blip xmlns:r="http://schemas.openxmlformats.org/officeDocument/2006/relationships" r:embed="rId1"/>
        <a:stretch>
          <a:fillRect/>
        </a:stretch>
      </xdr:blipFill>
      <xdr:spPr>
        <a:xfrm>
          <a:off x="17008336" y="1544706"/>
          <a:ext cx="5162588" cy="7505755"/>
        </a:xfrm>
        <a:prstGeom prst="rect">
          <a:avLst/>
        </a:prstGeom>
      </xdr:spPr>
    </xdr:pic>
    <xdr:clientData/>
  </xdr:twoCellAnchor>
  <xdr:twoCellAnchor>
    <xdr:from>
      <xdr:col>1</xdr:col>
      <xdr:colOff>421822</xdr:colOff>
      <xdr:row>33</xdr:row>
      <xdr:rowOff>95250</xdr:rowOff>
    </xdr:from>
    <xdr:to>
      <xdr:col>5</xdr:col>
      <xdr:colOff>688522</xdr:colOff>
      <xdr:row>57</xdr:row>
      <xdr:rowOff>114300</xdr:rowOff>
    </xdr:to>
    <xdr:pic>
      <xdr:nvPicPr>
        <xdr:cNvPr id="2" name="Grafik 1">
          <a:extLst>
            <a:ext uri="{FF2B5EF4-FFF2-40B4-BE49-F238E27FC236}">
              <a16:creationId xmlns:a16="http://schemas.microsoft.com/office/drawing/2014/main" id="{78138F11-EC02-86BA-012F-14E8C3395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715" y="7204983"/>
          <a:ext cx="4988378" cy="39379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647700</xdr:colOff>
      <xdr:row>52</xdr:row>
      <xdr:rowOff>9525</xdr:rowOff>
    </xdr:to>
    <xdr:pic>
      <xdr:nvPicPr>
        <xdr:cNvPr id="4195" name="Grafik 1">
          <a:extLst>
            <a:ext uri="{FF2B5EF4-FFF2-40B4-BE49-F238E27FC236}">
              <a16:creationId xmlns:a16="http://schemas.microsoft.com/office/drawing/2014/main" id="{00000000-0008-0000-0800-0000631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457700" cy="842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314325</xdr:colOff>
      <xdr:row>50</xdr:row>
      <xdr:rowOff>76200</xdr:rowOff>
    </xdr:to>
    <xdr:pic>
      <xdr:nvPicPr>
        <xdr:cNvPr id="96282" name="Grafik 1">
          <a:extLst>
            <a:ext uri="{FF2B5EF4-FFF2-40B4-BE49-F238E27FC236}">
              <a16:creationId xmlns:a16="http://schemas.microsoft.com/office/drawing/2014/main" id="{00000000-0008-0000-0900-00001A78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648325" cy="817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798"/>
    </inkml:context>
    <inkml:brush xml:id="br0">
      <inkml:brushProperty name="width" value="0.05" units="cm"/>
      <inkml:brushProperty name="height" value="0.05" units="cm"/>
    </inkml:brush>
  </inkml:definitions>
  <inkml:trace contextRef="#ctx0" brushRef="#br0">135 2186 1760 0 0,'0'0'-337'0'0,"0"0"61"0"0,0 0 32 0 0,0 0 77 0 0,0 0 190 0 0,0 0 36 0 0,0 0 98 0 0,0 0 59 0 0,0 0 39 0 0,0 0 34 0 0,0 0 50 0 0,0 0 70 0 0,0 0-9 0 0,0 0-13 0 0,0 0 20 0 0,0 0-98 0 0,0 0-17 0 0,2 11 140 0 0,3-2-341 0 0,0 2-1 0 0,-3 0 0 0 0,1 0 0 0 0,-1 0 1 0 0,0 2-1 0 0,-1-2 0 0 0,-1 1-90 0 0,1 94 530 0 0,-2-63-310 0 0,-30 816 1987 0 0,-8-504-1363 0 0,10-114-396 0 0,-3 146-310 0 0,12 0-1 0 0,18-361-137 0 0,0-7 29 0 0,1-3 1 0 0,1 2 0 0 0,0 0-1 0 0,1 0 1 0 0,3 10-30 0 0,-4-27-21 0 0,0-1-14 0 0,0 0-29 0 0,0 0-51 0 0,0 0-5 0 0,0 0-5 0 0,0 0-51 0 0,0 0-40 0 0,0 0-59 0 0,0 0-45 0 0,1-2 76 0 0,1-1 0 0 0,-1 1 0 0 0,0-2-1 0 0,0 2 1 0 0,2-1 0 0 0,-3 0 0 0 0,0 1-1 0 0,0-2 245 0 0,9-36-3519 0 0,-6 20 2029 0 0</inkml:trace>
  <inkml:trace contextRef="#ctx0" brushRef="#br0" timeOffset="1">189 2357 2833 0 0,'0'0'194'0'0,"0"0"-136"0"0,0 0 27 0 0,0 0 78 0 0,0 0 6 0 0,0 0 23 0 0,0 0 24 0 0,0 0-4 0 0,0 0 8 0 0,0 0 8 0 0,0 0-56 0 0,0 0-22 0 0,0 0-10 0 0,0 0-66 0 0,0 0-11 0 0,0 0 0 0 0,0 0-2 0 0,0 0 11 0 0,0 0-9 0 0,3-6 0 0 0,31-3 206 0 0,3 0 1 0 0,0 2 0 0 0,-1-1 0 0 0,2 5 0 0 0,31-2-270 0 0,57 3 301 0 0,10 8-301 0 0,-56-5 133 0 0,387-1-17 0 0,-201-1-88 0 0,413 2 42 0 0,-544-5-42 0 0,-73 1-23 0 0,1 1 0 0 0,-2 5 0 0 0,51 6-5 0 0,167 30 167 0 0,-242-39-103 0 0,-3 0 1 0 0,1 0-1 0 0,12-9-64 0 0,-6 8 67 0 0,-1 1 1 0 0,13 3-68 0 0,-37-3 5 0 0,21 7 44 0 0,-3-7 0 0 0,1 0 0 0 0,-1 0 0 0 0,24-10-49 0 0,-48 10 45 0 0,21-6 6 0 0,-30 6-21 0 0,0 0 0 0 0,1 0 0 0 0,-1 0 0 0 0,1 0 0 0 0,-1 0-1 0 0,1 0 1 0 0,-1 0 0 0 0,0 1 0 0 0,1-1 0 0 0,0 1 0 0 0,-1-1 0 0 0,0 1 0 0 0,0-1 0 0 0,0 1-1 0 0,1 1 1 0 0,-1-2 0 0 0,1 0-30 0 0,-2 0 170 0 0,0 0 50 0 0,0 0-7 0 0,0 0 0 0 0,0 0 11 0 0,0 0-42 0 0,0 0-39 0 0,1 11 137 0 0,3 30-133 0 0,-3 4 0 0 0,-2-1 0 0 0,-4 12-147 0 0,1 27 84 0 0,-6 91 20 0 0,0 63-45 0 0,3-27 235 0 0,-10 7-294 0 0,8-134 87 0 0,-3 17 26 0 0,4-42 72 0 0,-1 56-185 0 0,8-30 85 0 0,-11 55-85 0 0,12-134-17 0 0,0 4 0 0 0,0-6 0 0 0,0 0 0 0 0,1 2 0 0 0,0-2-1 0 0,0 5 1 0 0,1-1 17 0 0,3 22-916 0 0,-5-27 414 0 0,0-2-69 0 0,0 0-79 0 0,0 0-91 0 0,6-16-1278 0 0,3-13 850 0 0,-5 17 1042 0 0</inkml:trace>
  <inkml:trace contextRef="#ctx0" brushRef="#br0" timeOffset="2">8 4548 1384 0 0,'0'0'115'0'0,"0"0"-63"0"0,0 0 75 0 0,15 13 1309 0 0,-11-9-1280 0 0,2 0-1 0 0,1-2 1 0 0,-2 3-1 0 0,1-3 1 0 0,-1 0-1 0 0,0 2 1 0 0,3-2-1 0 0,-2-1 1 0 0,1 0-1 0 0,-2 0 1 0 0,1 2-1 0 0,3-2 1 0 0,2 0-156 0 0,124 1 2817 0 0,98-11-2817 0 0,-32 0 213 0 0,-140 7-207 0 0,434-5-283 0 0,1 20-46 0 0,-10 29 151 0 0,-148-13 191 0 0,12 9 47 0 0,-187-19 51 0 0,-79-12 127 0 0,54-6-244 0 0,-113-1 20 0 0,36-9 149 0 0,-60 9-145 0 0,-1 0 7 0 0,0 0 1 0 0,0 0 1 0 0,3 0 335 0 0,0-9-453 0 0,-3 0 62 0 0,0 2 1 0 0,1-1-1 0 0,0 0 1 0 0,0 0-1 0 0,0 1 0 0 0,2 0 1 0 0,-1-1-1 0 0,3-5 23 0 0,8-27-63 0 0,15-116 30 0 0,-8 37 18 0 0,2-19-2026 0 0,-4-32 2041 0 0,4-13-1273 0 0,-14 121 458 0 0</inkml:trace>
  <inkml:trace contextRef="#ctx0" brushRef="#br0" timeOffset="3">266 2334 528 0 0,'-5'0'-329'0'0,"5"0"390"0"0,-32 0 3072 0 0,29 0-3093 0 0,3 0 1 0 0,-1 0 0 0 0,1 0 0 0 0,-1 0-1 0 0,1 0 1 0 0,-1 0 0 0 0,1 0 0 0 0,-2 0-1 0 0,1 0 1 0 0,1 0 0 0 0,-1 0 0 0 0,1 0-1 0 0,-1 0 1 0 0,1 0 0 0 0,-1 0-1 0 0,1-1 1 0 0,0 1 0 0 0,0 0 0 0 0,0 0-1 0 0,-1-2 1 0 0,1 2 0 0 0,-1 0 0 0 0,1-1-1 0 0,0 1 1 0 0,-1 0 0 0 0,1 0-1 0 0,0 0 1 0 0,0 0 0 0 0,0 0 0 0 0,0-1-1 0 0,0 1 1 0 0,0 0 0 0 0,-2 0 0 0 0,2-3-1 0 0,0 3 1 0 0,0-1 0 0 0,0 1 0 0 0,0-3-1 0 0,0 3 1 0 0,0-1 0 0 0,0 1-1 0 0,0 0 1 0 0,0 0 0 0 0,0-1 0 0 0,0 0-1 0 0,0 1 1 0 0,0-1 0 0 0,0 1 0 0 0,2-1-1 0 0,-2 1 1 0 0,0 0 0 0 0,0-1 0 0 0,0 0-41 0 0,1 0 1 0 0,0 1 0 0 0,0-4 1 0 0,-1 0-1 0 0,2 1 1 0 0,-1 2-1 0 0,2-1 1 0 0,-2 0-1 0 0,1 1 1 0 0,2 0-1 0 0,-2-1 1 0 0,1-4-2 0 0,94-47-55 0 0,76-44 71 0 0,-143 79-18 0 0,1 3-1 0 0,-1-1 1 0 0,5 2 2 0 0,-8 1-1 0 0,24-8 37 0 0,-2-3 0 0 0,-2-3-1 0 0,1 1 1 0 0,23-23-36 0 0,-34 20 6 0 0,2 4 0 0 0,3-4 0 0 0,0 8 0 0 0,32-14-6 0 0,72-40-29 0 0,-39 23 24 0 0,-52 25 0 0 0,31-10 5 0 0,13-8-6 0 0,-54 23 6 0 0,-20 11 33 0 0,-1-3 1 0 0,8-7-34 0 0,10-3 101 0 0,-22 23-1544 0 0,-17 1 1388 0 0</inkml:trace>
  <inkml:trace contextRef="#ctx0" brushRef="#br0" timeOffset="4">3488 2386 920 0 0,'0'0'95'0'0,"0"0"-38"0"0,-31 0 3088 0 0,31-3-3134 0 0,1 2 1 0 0,-1-1-1 0 0,1 1 0 0 0,-1-1 1 0 0,1 1-1 0 0,0-1 1 0 0,0-1-1 0 0,0 1 0 0 0,0 1 1 0 0,0-1-1 0 0,2 0 1 0 0,-3 2-1 0 0,1-2 0 0 0,1 1 1 0 0,0 0-12 0 0,29-28 196 0 0,-12 16-36 0 0,79-74 654 0 0,39-39 239 0 0,12 3-1053 0 0,113-83 677 0 0,-208 156-532 0 0,-44 37-116 0 0,4 2 1 0 0,-2-1-1 0 0,1 3 1 0 0,-1-3-1 0 0,14-2-29 0 0,13-18-334 0 0,-30 16-2675 0 0,-9 16 2533 0 0</inkml:trace>
  <inkml:trace contextRef="#ctx0" brushRef="#br0" timeOffset="5">1513 1555 3057 0 0,'0'0'-266'0'0,"5"-2"-182"0"0,2-4 397 0 0,-5 1 20 0 0,0 3-1 0 0,1-1 1 0 0,0 2-1 0 0,2-1 1 0 0,-3 0-1 0 0,2 1 0 0 0,-1-1 1 0 0,-1 1-1 0 0,1 0 1 0 0,1 0-1 0 0,-1 0 1 0 0,0 0 31 0 0,49-1 249 0 0,41 0-249 0 0,25 1 284 0 0,285-3 440 0 0,-30 0-330 0 0,69-22-141 0 0,-288 14 11 0 0,513-26 558 0 0,-534 41-673 0 0,3 9 0 0 0,76 10-149 0 0,-200-21-283 0 0,1 0 0 0 0,-3 0-1 0 0,6 1 1 0 0,-4-2 0 0 0,-1-2 0 0 0,3 1-1 0 0,-1 0 1 0 0,-1 0 0 0 0,8-2 283 0 0,-4-6-92 0 0</inkml:trace>
  <inkml:trace contextRef="#ctx0" brushRef="#br0" timeOffset="6">3338 4548 888 0 0,'0'0'-2'0'0,"0"0"20"0"0,0 0 37 0 0,0 0 122 0 0,0 0 30 0 0,0 0 24 0 0,5 0 109 0 0,2 0-147 0 0,2 0 1 0 0,-3-2-1 0 0,4 1 0 0 0,-2-1 1 0 0,-1-1-1 0 0,4 3 1 0 0,-3-3-1 0 0,1 0 0 0 0,-1-1 1 0 0,-1 0-1 0 0,1-1 1 0 0,-1 2-1 0 0,0-1 0 0 0,5-5-193 0 0,18-13 662 0 0,2-3 1 0 0,13-15-663 0 0,-41 37 47 0 0,92-89 800 0 0,-38 40-483 0 0,-1-3 0 0 0,16-3-364 0 0,122-100 157 0 0,-73 53-28 0 0,-11 18-713 0 0,-29 26-3991 0 0,-73 54 3496 0 0</inkml:trace>
  <inkml:trace contextRef="#ctx0" brushRef="#br0" timeOffset="7">4529 1799 1840 0 0,'0'0'110'0'0,"0"0"-102"0"0,-6-20 893 0 0,6 20-874 0 0,-1-1-1 0 0,1 1 0 0 0,0-2 0 0 0,0 2 1 0 0,0 0-1 0 0,0-1 0 0 0,-1 1 0 0 0,1 0 1 0 0,0-1-1 0 0,0 1 0 0 0,-1-3 0 0 0,1 3 1 0 0,0 0-1 0 0,0 0 0 0 0,-1 0 0 0 0,1 0 1 0 0,0 0-1 0 0,-3 0 0 0 0,3-1 0 0 0,0 1 1 0 0,0 0-1 0 0,0 0 0 0 0,-1 0 0 0 0,1-1 1 0 0,-1 1-1 0 0,1 0 0 0 0,0 0 0 0 0,0 0 1 0 0,0 0-1 0 0,-1 0 0 0 0,1 0 1 0 0,0 0-1 0 0,0 0 0 0 0,0 0 0 0 0,-1 0 1 0 0,1 0-1 0 0,-1 0 0 0 0,1 0 0 0 0,-2 1 1 0 0,2-1-1 0 0,0 0 0 0 0,-1 0 0 0 0,1 0 1 0 0,0 1-1 0 0,-1-1-26 0 0,0 0 21 0 0,1 4 0 0 0,-1-1 1 0 0,0-1-1 0 0,0-1 0 0 0,1 1 0 0 0,-1 0 1 0 0,0-1-1 0 0,1 0 0 0 0,-1 0 0 0 0,1 2 1 0 0,0 0-1 0 0,0 0 0 0 0,0-2 0 0 0,0 0 0 0 0,0 2-21 0 0,-2 7 71 0 0,-44 381 1932 0 0,18-1-2003 0 0,19-259 123 0 0,6 44 381 0 0,13 117-504 0 0,2-59 732 0 0,-15 95-366 0 0,2-314-375 0 0,0 5-639 0 0,0 1 0 0 0,2-2 0 0 0,0 0 0 0 0,4 14 648 0 0,1-15-452 0 0</inkml:trace>
  <inkml:trace contextRef="#ctx0" brushRef="#br0" timeOffset="8">904 1872 152 0 0,'0'0'29'0'0,"0"0"75"0"0,0 0-14 0 0,0 0 27 0 0,0 0 48 0 0,0 0-14 0 0,0 0-8 0 0,0 0-12 0 0,0 0-34 0 0,0 0-29 0 0,0 0-12 0 0,0 0-11 0 0,0 0-18 0 0,0 0-11 0 0,0 0-7 0 0,0 0-1 0 0,0 0 0 0 0,0 0 2 0 0,0 0 3 0 0,0 0-8 0 0,0 0-23 0 0,0 0-30 0 0,0 0 1 0 0,0 0 7 0 0,0 0-16 0 0,0 0 5 0 0,0 0 3 0 0,0 0 7 0 0,0 0 32 0 0,0 0 26 0 0,0 0 6 0 0,0 0 34 0 0,0 0 66 0 0,0 0 21 0 0,0 0 22 0 0,0 0 72 0 0,0 0 35 0 0,0 0 2 0 0,0 0 5 0 0,0 0-12 0 0,0 0-73 0 0,0 0-18 0 0,0 0-17 0 0,0 0-91 0 0,0 0-31 0 0,0 0-18 0 0,0 0-8 0 0,0 0-16 0 0,0 0-4 0 0,0 0-2 0 0,0 0 0 0 0,0 0 16 0 0,0 0 17 0 0,0 0 13 0 0,0 0 27 0 0,0 0 25 0 0,0 0 20 0 0,0 0 9 0 0,0 0 27 0 0,0 0 24 0 0,0 0-6 0 0,0 0-6 0 0,0 0-2 0 0,0 0-40 0 0,0 0-16 0 0,0 0-8 0 0,0 0-56 0 0,0 0-22 0 0,0 0-2 0 0,0 0-20 0 0,0 0 1 0 0,0 0 0 0 0,0 0-5 0 0,0 0 5 0 0,0 0 1 0 0,0 0 0 0 0,0 0 0 0 0,0 0-1 0 0,0 0-5 0 0,0 0 5 0 0,0 0 0 0 0,0 0-6 0 0,0 0 0 0 0,0 0 5 0 0,0 0-4 0 0,0 0 5 0 0,0 0 0 0 0,0 0-5 0 0,0 0 4 0 0,0 0-5 0 0,0 0 0 0 0,0 0 5 0 0,0 0-4 0 0,0 0 2 0 0,0 0-8 0 0,0 0-6 0 0,0 0-48 0 0,0 0-58 0 0,0 0-50 0 0,0 0-116 0 0,0 0-231 0 0,0 0-42 0 0,0 0-1 0 0,0 0-204 0 0,0 0-54 0 0,2 0-14 0 0</inkml:trace>
  <inkml:trace contextRef="#ctx0" brushRef="#br0" timeOffset="9">92 2319 8 0 0,'0'0'25'0'0,"0"0"15"0"0,0 0 36 0 0,0 0-4 0 0,0 0-2 0 0,0 0 30 0 0,0 0-24 0 0,0 0 0 0 0,0 0-11 0 0,0 0-33 0 0,0 0-8 0 0,19-5 347 0 0,-14 0-322 0 0,0-1-1 0 0,-2 3 1 0 0,3-1-1 0 0,0 1 1 0 0,1-4 0 0 0,3 2-49 0 0,-3 3 14 0 0,2-3 0 0 0,-3 0 0 0 0,0 0 0 0 0,5-3-14 0 0,-7 3-1 0 0,1 1 0 0 0,0 1-1 0 0,0-1 1 0 0,0 1 0 0 0,-1 0 0 0 0,5 1 0 0 0,-4-2-1 0 0,2 0 1 0 0,2 0 1 0 0,-8 4-37 0 0,-1 0-7 0 0,0 0 4 0 0,0 0-12 0 0,0 0 19 0 0,0 0-3 0 0,0 0 6 0 0,0 0 9 0 0,0 0-42 0 0,0 0-38 0 0,0 0-12 0 0,0 0-57 0 0,0 0-25 0 0,0 0-42 0 0</inkml:trace>
  <inkml:trace contextRef="#ctx0" brushRef="#br0" timeOffset="10">1738 1405 3233 0 0,'0'0'248'0'0,"0"0"-168"0"0,0 0 52 0 0,0 0 32 0 0,-2 2-121 0 0,1-2 0 0 0,1 0 0 0 0,-1 0 0 0 0,0 0 0 0 0,-1 0 0 0 0,2 0 0 0 0,-1 0 0 0 0,0 0 0 0 0,1 0 0 0 0,-1 0 0 0 0,0 0 0 0 0,1 0 0 0 0,-1 0 0 0 0,0 0 0 0 0,1-2 0 0 0,-1 2 0 0 0,1 0 1 0 0,0 0-1 0 0,0 0 0 0 0,0 0 0 0 0,-1-1 0 0 0,0 1-43 0 0,3-6 30 0 0,-1 2 0 0 0,2-2 0 0 0,0-1 1 0 0,2 2-1 0 0,-1 2 0 0 0,1-1 1 0 0,-1 1-1 0 0,1-2 0 0 0,0 0-30 0 0,15-19 133 0 0,36-36-22 0 0,3-2-1 0 0,0 7 1 0 0,6-1 0 0 0,1 5 0 0 0,19-11-111 0 0,206-125 5 0 0,-227 150 21 0 0,-3-3 0 0 0,24-23-26 0 0,104-100 111 0 0,-148 129-63 0 0,31-26 56 0 0,50-31-104 0 0,170-122-106 0 0,-277 205 98 0 0,-1-4-8 0 0,3 0 0 0 0,-2 4 0 0 0,13-8 16 0 0,-20 13 15 0 0,2 0 0 0 0,-5-1 0 0 0,1-2 0 0 0,2 2 0 0 0,-1-1-1 0 0,1 0 1 0 0,2-5-15 0 0,-10 10 8 0 0,0-1-2 0 0,0 0-12 0 0,0 1-3 0 0,0 0-6 0 0,0 0-1 0 0,0 0 0 0 0,0 0 0 0 0,0 0 2 0 0,0 0 4 0 0,0 0 2 0 0,0 0 8 0 0,0 1 0 0 0,1-1 0 0 0,0 0-1 0 0,0 0 1 0 0,-1 1 0 0 0,1-1 0 0 0,-1 0 0 0 0,0 1-1 0 0,2-1 1 0 0,-1 1 0 0 0,-1-1 0 0 0,1 0-1 0 0,0 0 1 0 0,-1 2 0 0 0,1-2 0 0 0,-1 0 0 0 0,1 1-1 0 0,-1-1 1 0 0,0 1 0 0 0,2 2 0 0 0,-2-3-1 0 0,0 1 1 0 0,1-1 0 0 0,-1 1 0 0 0,0-1 0 0 0,0 1-1 0 0,0-1 1 0 0,1 1 0 0 0,-1-1 0 0 0,0 2 0 0 0,0 0-1 0 0,0-2 1 0 0,1 37 10 0 0,-1-26-5 0 0,6 22-7 0 0,0 1 0 0 0,11 29 2 0 0,-4-20-10 0 0,-2-10 14 0 0,-1 4 0 0 0,5-3 0 0 0,14 25-4 0 0,15 14 117 0 0,2 3-117 0 0,-31-46 8 0 0,26 31 47 0 0,25 53-55 0 0,-56-95 7 0 0,3 2 1 0 0,0 0-1 0 0,2-3 1 0 0,10 11-8 0 0,-10-10 20 0 0,1 3 0 0 0,-2-3 0 0 0,1 4 0 0 0,0 0-20 0 0,20 40 11 0 0,-21-43-4 0 0,-1 6-1 0 0,8 13-6 0 0,-11-17 10 0 0,-2-3-1 0 0,3-2 1 0 0,14 14-10 0 0,1 9 11 0 0,-8 2 18 0 0,-15-35-28 0 0,0 4 0 0 0,0-5-1 0 0,2 4 1 0 0,2-1-1 0 0,14 27 19 0 0,-2-7 0 0 0,-4 2-1 0 0,5 13-18 0 0,-18-38-11 0 0,2 0-214 0 0,-2-1 1 0 0,1-2-1 0 0,-1 3 0 0 0,0 0 0 0 0,0-4 1 0 0,1 3-1 0 0,1 0 225 0 0,0-4-56 0 0</inkml:trace>
  <inkml:trace contextRef="#ctx0" brushRef="#br0" timeOffset="11">198 2274 248 0 0,'0'0'21'0'0,"0"0"21"0"0,0 0 11 0 0,0 0 44 0 0,0 0 22 0 0,0 0 74 0 0,0 0 8 0 0,0 0 5 0 0,0 0 64 0 0,0 0-37 0 0,0 0-1 0 0,0 0-4 0 0,0 0-61 0 0,0 0 0 0 0,0 0-14 0 0,0 0-9 0 0,0 0 12 0 0,0 0-23 0 0,0 0-9 0 0,0 0 0 0 0,0 0-38 0 0,0 0-30 0 0,5-3 6 0 0,76-66 940 0 0,59-66-1002 0 0,12-15 361 0 0,-33 45-269 0 0,58-77-92 0 0,52-63 116 0 0,-187 202-80 0 0,80-73 98 0 0,14-5-134 0 0,-29 27 1 0 0,-92 82-27 0 0,72-66-557 0 0,33-46 583 0 0,-110 113-189 0 0,-7 8-2487 0 0,-3 3 2668 0 0,0 0-359 0 0</inkml:trace>
  <inkml:trace contextRef="#ctx0" brushRef="#br0" timeOffset="12">1772 773 1920 0 0,'0'0'119'0'0,"0"0"-26"0"0,0 0 122 0 0,0 0-109 0 0,0 0-56 0 0,0 0 6 0 0,0 0 48 0 0,11 18 394 0 0,40 55-89 0 0,-30-40-274 0 0,1-5 0 0 0,1 3 0 0 0,3-5 0 0 0,2 6-135 0 0,22 14 76 0 0,29 27 243 0 0,7 10-319 0 0,72 106-50 0 0,-104-123 36 0 0,-26-31-7 0 0,4-7-1 0 0,2 5 1 0 0,36 22 21 0 0,-27-21-12 0 0,-1 1 1 0 0,15 23 11 0 0,98 130 19 0 0,-98-114 14 0 0,4-6 1 0 0,42 48-34 0 0,-81-96-55 0 0,19 15 209 0 0,24 18-154 0 0,-48-39-144 0 0,0-1 0 0 0,2-5 0 0 0,-2 1 0 0 0,2 4 0 0 0,0-7 0 0 0,1 2 144 0 0,12 5-977 0 0,-20-9 664 0 0</inkml:trace>
  <inkml:trace contextRef="#ctx0" brushRef="#br0" timeOffset="13">1718 857 96 0 0,'17'-8'582'0'0,"3"0"-1"0"0,-4-2 1 0 0,1 1-1 0 0,1-4 1 0 0,0 1-582 0 0,-4 2 139 0 0,75-50 217 0 0,3 6 0 0 0,0 3 1 0 0,6 3-1 0 0,15-4-356 0 0,135-33-15 0 0,30-18 38 0 0,75-33 190 0 0,-302 115-167 0 0,4-8-46 0 0,-17 10 39 0 0,-2 0-1 0 0,30-6-38 0 0,-41 15-75 0 0,-16 7-277 0 0,-1 2-1 0 0,0-4 1 0 0,0 4-1 0 0,1-1 1 0 0,2 0 0 0 0,-2 1-1 0 0,-2 0 1 0 0,5 1 352 0 0,-11 0-466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2"/>
    </inkml:context>
    <inkml:brush xml:id="br0">
      <inkml:brushProperty name="width" value="0.1" units="cm"/>
      <inkml:brushProperty name="height" value="0.6" units="cm"/>
      <inkml:brushProperty name="color" value="#008C3A"/>
      <inkml:brushProperty name="inkEffects" value="pencil"/>
    </inkml:brush>
  </inkml:definitions>
  <inkml:trace contextRef="#ctx0" brushRef="#br0">73 21 1968 136252 54803,'0'0'-112'0'0,"0"0"80"34"1186,0 0 56-34-1186,0 0-8-1286 608,0 0 16 1286-608,-1 0-24 0 1206,1 0 8 0-1206,-1 0 0 1367 599,1-4 352-1320 628,0 0-255-47-1227,0 0-1 0 0,0 1 16 0 0,0 1 8 0 0,0 0 8 0 0,0 1 368 0 0,0 0 856 0 0,0 1-1176 0 0,0 1-16 0 0,0 0 8 0 0,0 1 8 0 0,3 6 128 0 0,16 26 1641 0 0,4 8-1745 0 0,3-1 8 0 0,-2-4-40 0 0,-5-7-40 0 0,1-4 104 0 0,19 17 512 0 0,4 0-656 0 0,-3-2 48 0 0,-6-9-32 0 0,-8-8 0 0 0,-4-3 104 0 0,15 11 432 0 0,1 4-624 0 0,-3-2-24 0 0,-6-5 8 0 0,-5-7 0 0 0,-1-1 24 0 0,11 15 40 0 0,2 6-56 0 0,16 15 0-1414-605,0 0-24 1414 605,-9-10 8 0 0,-9-10 0 0 0,-8-9-8 0 0,-8-9 0 0 0,11 8 8-2689-1258,-1 1-8 2689 1258,-1-4 0 0 0,4 6 32 0 0,3 4-24 0 0,0 0-8 0 0,-7-5 0 0 0,-3-6 0 0 0,-5-3 0 0 0,-2-3 0 0 0,10 7-8-1278-652,2-1 8 1278 652,-1 4 0 0 0,1-3 8-1236-665,-5-3 0 1236 665,-6-5 0 0 0,-7-7 8 0 0,-5-3-16 0 0,-3-4 8 0 0,-3-2 24 0 0,0 1-40 0 0,0 0-32 0 0,0 0 0 0 0,-1 0 0 0 0,1-1-16 0 0,-2 1-80 0 0,-33-32-504 0 0,-14-17 600 0 0,-5-3 8 0 0,4 0 0 0 0,2 3 0 0 0,-3-6-24 0 0,-55-59 80 0 0,-17-12-16 0 0,11 11-8 0 0,17 20 8 0 0,22 23 0 0 0,14 15 8 0 0,-18-12 160 0 0,-3-4-168 0 0,-9-16 104 0 0,9 6-88 0 0,18 18 16 0 0,17 17-8 0 0,20 19 16 0 0,11 14 56 1236 665,9 8 472-1236-665,6 7-536 0 0,22 26 249 2642 75,11 12-257-2642-75,17 23 120 0 0,41 40 552 0 0,10 11-624 0 0,-11-12-8 0 0,-12-17-8 0 0,-19-18-8 0 0,-11-16 0 0 0,-14-11-8 0 0,32 33 224 0 0,16 20-176 0 0,-3-1-48 0 0,-10-13-16 0 0,-14-15 16 0 0,-14-13-16 0 0,-6-8 48 0 0,26 32 168 0 0,5 9-240 0 0,-8-9 8 0 0,-7-14-8 0 0,-15-13 0 0 0,-7-13-8 0 0,-7-4 0 0 0,5 2-384-3878-740,-5-7 296 3878 740,-7-7-8 0 0,-4-5 40 0 0,-5-6-8 0 0,-5-9-40 0 0,-37-49-32-1196-679,-19-23 144 1196 679,-2-5-8 0 0,1 9 0 0 0,7 5-8 0 0,-3 2-8 0 0,-60-63-72 0 0,-18-18 88 0 0,5 9 8 0 0,20 24-8 0 0,23 22 0 0 0,20 26 16 0 0,14 13 0 0 0,-12-7 48 0 0,2 2-64 0 0,10 10 0 0 0,10 9 0 0 0,8 9 0 0 0,4 1 0 0 0,-10-17 48 1196 679,-2 0-40-1196-679,5 3 16 0 0,7 6 112 1236 665,7 11-120-1236-665,9 9-8 0 0,3 6 8 0 0,5 4-8 0 0,1 4 8 0 0,42 45 520 1359-554,21 18-480-1359 554,7 7 8 0 0,-3 0 8 0 0,-7-7-16 0 0,2 1 64 0 0,60 73 272 0 0,12 18-368 0 0,-8-10 8 0 0,-22-23 0 0 0,-23-27 0 0 0,-16-17 24 0 0,18 14-16 0 0,-4-6-48 0 0,-13-19-8 0 0,-19-18 8 0 0,-14-19-16 0 0,-13-12 8 0 0,-11-11 0 0 0,-7-6-272 0 0,-3-3 240 0 0,-6-11-120-1245-644,-61-68-48-1301 498,-27-32 200 2546 146,-6-6-8 0 0,6 6 8 0 0,11 14 16 0 0,12 12 0 0 0,0 6-8 0 0,-64-70 80 0 0,-14-14-64 0 0,16 16 0 0 0,27 28 0 0 0,28 30 0 0 0,22 22 24 0 0,15 18 376 1196 679,16 18-400-1196-679,12 14 0 0 0,7 12 8 0 0,6 4-16 0 0,3 4 0 1236 665,25 32 16-1236-665,25 23 32 0 0,8 13-32 0 0,2 0-16 0 0,-4-3 0 0 0,-5-8 8 0 0,4 2 16 0 0,61 64 112 0 0,24 25-120 0 0,37 38 96 0 0,-6-2-104 0 0,-23-28-208 0 0,-40-39 112 0 0,-52-62-368-1236-665,-40-46 432 1236 665,-29-31 0 0 0,-18-20 16 0 0,-11-11 0 0 0,-13-13 8 0 0,-81-96 16-1196-679,-33-34-16 1196 679,-30-28 48 0 0,16 20-40 0 0,32 40 16 0 0,38 43 160 1196 679,45 49-232-1196-679,74 78-80 1236 665,41 46 120-1236-665,23 19 0 0 0,71 77 88 0 0,25 27-56 0 0,23 35 8 0 0,-9-10-32 0 0,-22-20-104 0 0,-34-41-32 0 0,-55-61-376-1236-665,-50-49 416 1236 665,-119-126-272-1196-679,-64-67 312 1196 679,-85-75-64 0 0,-6-4 120 0 0,19 23 184 1196 679,50 51-152-1196-679,55 52-24 0 0,51 47-8 0 0,39 34 8 0 0,24 24-32 0 0,18 17-8 0 0,25 34 112 1236 665,24 27-8-1236-665,64 73 384 1359-554,22 25-408-1359 554,-6-12-8 0 0,-20-24-8 0 0,-21-23 0 0 0,-21-25 0 0 0,-11-11 16 0 0,37 36 104 0 0,4 6-128 0 0,-13-14-16 0 0,-16-19-8 0 0,-18-21 8 0 0,-18-20 0 0 0,-9-10-32 0 0,-7-8-376 0 0,-5-8 304 0 0,-33-37-240-2595-111,-29-36 240 2595 111,-88-102-184-1196-679,-30-31 248 1196 679,-13-10-144 0 0,-12-12-160 0 0,22 28 304 0 0,38 41 0 0 0,38 45 8 0 0,36 37 8 0 0,25 26-8 0 0,14 17 0 0 0,9 3 96 0 0,6 10-80 1196 679,3 4-16-1196-679,2 4 0 0 0,0 1-32 0 0,0 1-88 0 0,6 10-6426 1236 665,3 2 1169-1236-665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3"/>
    </inkml:context>
    <inkml:brush xml:id="br0">
      <inkml:brushProperty name="width" value="0.1" units="cm"/>
      <inkml:brushProperty name="height" value="0.6" units="cm"/>
      <inkml:brushProperty name="color" value="#AB008B"/>
      <inkml:brushProperty name="inkEffects" value="pencil"/>
    </inkml:brush>
  </inkml:definitions>
  <inkml:trace contextRef="#ctx0" brushRef="#br0">699 279 1496 233044 39607,'-2'1'-456'0'0,"-2"0"128"0"0,0 1 24 0 0,-3-1-80 54 1007,4 1 424-54-1007,-1-2 96-835 2689,11-6-256-2061 1311,9-6 104 2896-4000,3-2-8 0 0,0-1-8 0 0,4-1 32 0 0,20-17 0 0 0,2 0 0 1042-617,-7 3 928 986-654,-11 9-808-2028 1271,-16 10 96 0 0,-49 32 168 988-653,-25 20-400-988 653,-13 7 0 0 0,2-1-8 0 0,4 0 0 0 0,2-7 16 0 0,-7 7 168-100-1056,-39 22 985-962 653,-3-3-1073 1062 403,17-8 128-72-1037,33-18-200-2008 205,40-22-144 2043-181,74-46-96 37 1013,55-31 216 0 0,62-32 24 0 0,10-4 24 0 0,-19 12 240 0 0,-36 19-136 0 0,-73 43 424 0 0,-53 32-544 0 0,-44 23-8 0 0,-85 57-80 0 0,-31 22 0 0 0,7 3-1233 0 0,35-16 1265 0 0,42-30 8 0 0,39-30 72 0 0,32-24 56 0 0,30-25 105 0 0,119-75 447-1022-430,42-31-624 1022 430,1 1-8 0 0,-20 13-8 0 0,-33 23 8 0 0,-23 14 8 0 0,7-4-248 0 0,-13 11 176 0 0,-24 13 56 991-571,-27 16 24-991 571,-19 11-8 0 0,-14 10 80 0 0,-13 8 104 1016 411,-66 41 296 2-13,-57 34-496-1018-398,-110 69-40 1021 385,-22 15 40-1021-385,28-18 8 0 0,47-27 0 0 0,53-34 64 0 0,44-25-24 0 0,35-24 48 0 0,54-36-272-2039-783,35-23 200 2039 783,15-12-8 0 0,8-4 8 0 0,-1-4-16 0 0,4-2 24 0 0,81-39 16-1016-411,20-9-40 1016 411,-13 10 0 0 0,-30 19 0 0 0,-33 17 8 0 0,-29 15 24 0 0,-19 10 600 1016 411,-19 9-584-1016-411,-16 9 8 0 0,-14 4-8 0 0,-4 5 0 0 0,-7 3 0 1018 398,-5 4 48-1018-398,-57 31-776 0 0,-20 10 472 0 0,6-2-88 0 0,15-8-80 0 0,18-9-56 0 0,16-7-633 0 0,10-6-167 0 0,13-7 480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4"/>
    </inkml:context>
    <inkml:brush xml:id="br0">
      <inkml:brushProperty name="width" value="0.2" units="cm"/>
      <inkml:brushProperty name="height" value="1.2" units="cm"/>
      <inkml:brushProperty name="color" value="#AB008B"/>
      <inkml:brushProperty name="inkEffects" value="pencil"/>
    </inkml:brush>
  </inkml:definitions>
  <inkml:trace contextRef="#ctx0" brushRef="#br0">575 348 1504 225000 18249,'3'-2'-456'0'0,"4"-2"176"0"0,4-3 32 0 0,1-1-56-1286 377,2-2 520 36-20,0 0-48 37-20,-1-1 112-1111 282,-1 1 104 1370 473,-2-1 0 48 2,0 1-8 1051-268,-2 0 89-1019 285,0-1-25 1111 586,-1 0-8 926-272,1-1 16-1092-556,0 0-56 1020 563,-1 0-88-34-1,1-1-24-1032-528,0 0 8-25-903,-1 0-104 1006 531,-1 0-56-994 386,0 0-24-12-917,0 2 0 0 0,-2 0-56 0 0,0 0 8 7 928,-2 2-8-7-928,1 1 8 0 0,-1 0 0 0 0,0 2 72 997 525,-1 2 16-997-525,-1 1-16 0 0,1 1 72 0 0,-1 2 40 997 512,0 0-80-997-512,-1 0 0 0 0,-1 0-23 0 0,-5 2-137-997 431,-2 2 0 997-431,-4 2 24 0 0,-4 4-168 0 0,-3 3 15 996 517,-5 4 1-996-517,-5 3 24 0 0,-4 3 24 0 0,-3 3 16 999 503,-4 2 0-999-503,-3 3-8 0 0,-2 1 16 0 0,-1 1 16-1003 457,-1 0 0 1003-457,1 0 0 0 0,2 0 16 0 0,3-1 0 0 0,3-3 8 0 0,5-2 0 0 0,5-4 0 0 0,6-3-8 0 0,5-4 0 0 0,4-4 8 0 0,6-4-16 0 0,3-3 8 0 0,3-2-24 0 0,2-2-8 0 0,1-2-8 0 0,-1 1-64 0 0,1-1 16 0 0,0 0 8 0 0,0 1-56 0 0,2-1 72 0 0,2 1 16 0 0,3-4-8 0 0,3-1 88 0 0,2-4 16 0 0,5-4 0 0 0,3-4 8 0 0,5-4 8 0 0,3-3 0-1003 443,6-4-24 1003-443,3-3 8 0 0,3-1-16 0 0,2-2-8 0 0,2-1 0 0 0,0 0 8 0 0,0 1-8 0 0,-2 1 0 0 0,-1 2 0 0 0,-4 1 0 0 0,-2 3 0 0 0,-4 1 0 0 0,-3 4 8 0 0,-4 2-8 0 0,-3 3 0 0 0,-4 2 0 0 0,-3 3 16 0 0,-4 3-8 0 0,-3 4 8 0 0,-3 1 32 0 0,-2 3 8 0 0,-2 1 8 0 0,-1 0 24 0 0,-1 1-40 0 0,0-1 16 0 0,1 1 8 0 0,-2 1-32 0 0,-1 2 8 0 0,-2 3-16 0 0,-5 2-8 0 0,-4 4 16 0 0,-4 3-16 997 528,-5 4 0-997-528,-6 4 8 0 0,-6 3-24 0 0,-4 2 0 1003 514,-4 3 0-1003-514,-3 0 16 0 0,-1 1-8 0 0,-2-1 136 0 0,1-2 8 0 0,2-2-24 0 0,3-3 120 0 0,3-3-39 0 0,4-2 15 0 0,3-3 24 0 0,4-3-80 0 0,3-2-64 0 0,3-1-24 0 0,3-1 8 0 0,2-1-80 0 0,3-1 0 0 0,1 1-16 0 0,2-2 0 0 0,2 1-8 0 0,1-1-72 0 0,1 0-8 0 0,1-1 8 0 0,1-1-64 0 0,1-1-64 0 0,3-1-24 0 0,0-1-17 0 0,1-1-47 0 0,1-1 32 0 0,0 0 24 0 0,3 0-24 0 0,1-2 64 0 0,4-2 96 0 0,3-2 8 0 0,5-3 8 0 0,3-4 96 0 0,6-3-8 0 0,4-4 16 0 0,5-2 0 0 0,4-3-16 0 0,4-1 0 0 0,2-2 8 0 0,1 1-8 0 0,0 0 0 0 0,0 0 0-1003-514,-2 2-8 1003 514,-3 1 8 0 0,-2 1 0 0 0,-3 3 0 0 0,-3 0-8 0 0,-3 2 16 0 0,-3 1-8 0 0,-2 1 16 0 0,-2 2-8 0 0,-3 1 0 0 0,-2 2 8 0 0,-3 2 16 0 0,-3 1 0 0 0,-3 3-8 0 0,-3 2 24 0 0,-2 2 24 0 0,-2 0 0 0 0,-1 1 16 0 0,-1 1 8 0 0,1-1-48 0 0,-1 1-48 0 0,1-1 8 0 0,-1 0-80 0 0,-2 2-280 0 0,-4 2-80 0 0,-3 0-40 0 0,-3 3-304 0 0,-4 1 8 0 0,-3 2-169 0 0,2-1-1263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5"/>
    </inkml:context>
    <inkml:brush xml:id="br0">
      <inkml:brushProperty name="width" value="0.2" units="cm"/>
      <inkml:brushProperty name="height" value="1.2" units="cm"/>
      <inkml:brushProperty name="color" value="#AB008B"/>
      <inkml:brushProperty name="inkEffects" value="pencil"/>
    </inkml:brush>
  </inkml:definitions>
  <inkml:trace contextRef="#ctx0" brushRef="#br0">1442 27 2841 220012 33655,'0'0'616'988'-388,"0"0"-608"-988"388,0 0 632 1000 521,0 0 384-1000-521,-1 0-360 0 0,1 0 40 0 0,-2 0-95 0 0,1 0 7 0 0,-1-1 32 0 0,0 1-152 0 0,-7-5-176 1000 506,-4-2-24-1000-506,-2 1-16 0 0,0 1-192 0 0,1 3-24 1000 492,0 1-24-1000-492,0 3-24 0 0,-1 3-16 0 0,-2 4-8 1000 478,-1 2-8-1000-478,-4 4 16 0 0,-1 3-16 0 0,-3 1 8 0 0,-4 4 8 0 0,-2 3-16 0 0,-2 0 16 0 0,-4 3 8 0 0,-3 1 8 0 0,0 2-8 0 0,-3 0 8 0 0,-3 2 16 1000 465,-1 1-32-1000-465,-2 1 24 0 0,-1 0-16 0 0,0 2 0 0 0,-1 0 8 0 0,-1 1-8 0 0,3 2 0 0 0,2-1-8 0 0,0 3 16 0 0,3-3-16 0 0,3 2 0 0 0,2-4-8 0 0,4-1 0 0 0,2-2 0 0 0,4-4-8 0 0,5-5 0 0 0,4-6-24 0 0,3-3-16 0 0,5-5-8 0 0,6-6-88 0 0,2-2 16 0 0,4-3 8 0 0,0-2-72 0 0,3 1 56 0 0,1-2-32 0 0,4 0 0 0 0,4-3 64 0 0,3-6 16-1000 484,4-2 16 1000-484,5-6 0 0 0,6-2 24 0 0,3-8 24 0 0,3-2 8 0 0,4-5 0 0 0,3-3 24 0 0,3-3 0-1000-484,0 1-8 1000 484,3-1 8 0 0,2 2 0 0 0,1-1 0 0 0,-1 4-8 0 0,1 0 8 0 0,0 4 0 0 0,-1 0 0 0 0,-2 1 8 0 0,0 3-8 0 0,-3 0-8 0 0,-2 3 8 0 0,-4 0 0 0 0,-2 3 0 0 0,-3 2-8 0 0,-4 2 0 0 0,-5 2-8 0 0,-2 4 8 0 0,-3 2-8 0 0,-4 1-8 0 0,-2 5 8 0 0,-3 1-8 0 0,-1 0 8 0 0,-3 1 16 1000 484,-1 2 8-1000-484,-1 0 0 0 0,-2 1 16 0 0,-1-1 72 0 0,-1 1 0 0 0,-1 1-16 0 0,0-1 64 0 0,0 0-56 1001 470,0 0-8-1001-470,-1 0 24 0 0,0 1-72 0 0,-2 5-16 0 0,-2-1-8 0 0,-3 5-8 0 0,-4 1-8 0 0,-3 3 0 1003 457,-3 3-8-1003-457,-5 3 16 0 0,-4 3 0 0 0,-3 0 0 0 0,-1 4 0 0 0,-3-1 0 0 0,-1 1 8 0 0,-1 1-8 0 0,0-2 0 0 0,1 3 0 0 0,-1-1 0 0 0,2-1-16 0 0,-1 2-8 0 0,3 0 0 0 0,-1 0-16 0 0,3-1 0 0 0,1 1-16 0 0,3-2 0 0 0,3-2-8 0 0,5-2-8 0 0,2-4 0 0 0,5-1 0 0 0,3-4-16 0 0,3-3-40 0 0,2-4-8 0 0,1-1 0 0 0,2-4-48 0 0,0-1 32 0 0,5 0 16 0 0,3-1-8 0 0,3-2 32 0 0,4-4 56 0 0,6-5 7 0 0,3-3 9 0 0,3-5 40 0 0,5-4 0-1000 508,4-5 0 1000-508,3-3 8 0 0,4-1 0 0 0,1-2-8 0 0,2 0 0 0 0,0 2 16 0 0,1-1-8 0 0,-2 1-8-1004-476,-1 3 16 1004 476,-4 0-8 0 0,-2-1 1 0 0,-4 3-1 0 0,-3 2 8 0 0,-5 0-8 0 0,-3 4 8 0 0,-5 4 24 0 0,-1 2-24 0 0,-6 2 16 0 0,-1 4 16 0 0,-4 1 0 0 0,-2 5 8 0 0,-2 1 8 0 0,0 2-8 0 0,-2 0 24 0 0,-2 0 8 0 0,2 1 0 0 0,-1-1 16 0 0,1 0-24 0 0,-1 1 0 0 0,1-1-8 0 0,0 0-16 0 0,-2 2-32 1004 476,-2 4 0-1004-476,-2 1-8 0 0,-3 5-16 0 0,-3 5 0 0 0,-4 2 0 0 0,-3 4 0 0 0,-3 3 0 0 0,-5 4-8 0 0,-3 0 8 0 0,-4 3 0 0 0,-2 0 0 0 0,-2 1 0 0 0,-2 0 0 0 0,1-2 0 0 0,-2 1 0 0 0,4-4 0 0 0,3 1 0 0 0,3-2 0 0 0,5-4 0 0 0,4-1-48 0 0,4-4-16 0 0,5-1-8 0 0,5-5-48 0 0,2-5-40 0 0,4-1-8 0 0,1-4-8 0 0,1-2-32 0 0,4 0 63 0 0,5-1 17 0 0,2-2-8 0 0,3-4 72 0 0,5-3 40 0 0,3-5 0 0 0,6-5 24 0 0,5-2 8 0 0,5-7 16-1004-476,4-3 0 1004 476,3-2 0 0 0,3-3 0 0 0,2 1-8 0 0,-1-1-8 0 0,-1-2 8 0 0,-1 2-16 0 0,-4 1 8 0 0,1 2-8 0 0,-4 2 0 0 0,-1 0 0 0 0,-4 3 8 0 0,-2 2 8 0 0,-3 4 0 0 0,-3 2 0 0 0,-2 3 64 0 0,-5 4 8 0 0,-3 2 1 0 0,-3 4 55 0 0,-4 1 56 0 0,-5 3-8 0 0,-1 2 8 0 0,-3 0 40 0 0,-1 1-80 0 0,-2 2 16 0 0,-3 2 16 0 0,-2 4-88 0 0,-4 1 0 0 0,-2 2-16 0 0,-4 2 0 0 0,-2 2-8 0 0,-4 2-24 1004 476,-3 2 8-1004-476,-3 2 0 0 0,-3 4-32 0 0,-2 2-8 0 0,-3 1 8 0 0,-2 3-8 0 0,-2 2 0 0 0,-2 1-16 0 0,-2 0 8 0 0,0 2-16 0 0,-1 0 0 0 0,2 1 8 0 0,0-2 0 0 0,4-2-8 0 0,4-3 0 0 0,5-2-32 0 0,6-3-8 0 0,5-5 32 0 0,7-3-64 0 0,4-4-24 0 0,3-4-16 0 0,6-2-8 0 0,-1-4-16 0 0,2-2-8 0 0,2 1 16 0 0,5-1-8 0 0,2 0 16 0 0,3-3 64 0 0,4-2 16 0 0,5-5-16 0 0,3-4 80 0 0,6-5 8-1004-476,5-4 0 1004 476,2-5 8 0 0,1-2-8 0 0,4-2-16 0 0,-3-3 8 0 0,1 1 0 0 0,-1 1-8 0 0,-3 1 0 0 0,-1 2 0 0 0,-4 3 8 0 0,-2 2 0 0 0,-3 2 8 0 0,-1 4 0 0 0,-4 0-8 0 0,-2 2 16 0 0,-3 3 8 0 0,-2 1 16 0 0,-3 3-8 0 0,-1 1 16 0 0,-2 1 96 0 0,-3 2 0 0 0,-2 3-8 0 0,-3-1 80 0 0,0 3-64 0 0,-1 0-16 0 0,-1 0 24 0 0,1 0-96 0 0,-4 3-56 0 0,-3 2-16 0 0,-3 3-8 0 0,-3 4-40 0 0,-4 4 0 0 0,-7 4 8 0 0,-4 7 0 0 0,-3 2 24 0 0,-6 6 0 0 0,-2 4 8 0 0,-2 1 0 0 0,-1 4 16 0 0,-2-2 8 0 0,3 2-16 0 0,1-3 16 0 0,6-3-8 0 0,1-3-24 0 0,7-5 0 0 0,4-5-8 0 0,5-3-24 0 0,4-5-48 0 0,7-6 0 0 0,2-3-24 0 0,2-4-24 0 0,5-2 24 0 0,2 0 16 0 0,3-2-24 0 0,2-1 40 0 0,4-3 48 0 0,2-4 0 0 0,3-4 24 0 0,3-4 16 0 0,4-4 0-1004 476,2-8 8 1004-476,5-2 0 0 0,2-5-8 0 0,4-3-8 0 0,3-3-8 0 0,4-1 16 0 0,1 0-16 0 0,2 1 0 0 0,2-2 8 0 0,-1 3 0 0 0,2 0-8 0 0,-3 2 16 0 0,-2 2-8 0 0,-3 2 8 0 0,-5 3-8 0 0,-3 2 24 0 0,-5 5-8 0 0,-6 4 16 0 0,-4 3 0 0 0,-5 5 40 0 0,-5 4 16 0 0,-4 3-8 0 0,-4 3 40 0 0,-2 1-32 0 0,-2 2-8 0 0,-1 0 16 0 0,-4 4-40 0 0,1 1-24 0 0,-6 3 0 0 0,-1 4-16 0 0,-4 2-16 0 0,-4 4 8 0 0,-3 2-8 0 0,-5 6 8 0 0,-4 3-8 0 0,-5 4 8 0 0,-3 3 0 0 0,-4 3-8 0 0,-2 3 8 0 0,-2 3-16 0 0,1 0 0 0 0,2 0 0 0 0,3-1-8 0 0,6-4-48 0 0,6-3 0 0 0,6-5 8 0 0,5-7-32 0 0,8-3-24 0 0,4-7-8 0 0,4-5-8 0 0,3-3-8 0 0,4-4 16 0 0,1-2 16 0 0,1-2 0 0 0,2-3 32 0 0,3-2 24 0 0,1-5 24 0 0,6-4 8 0 0,2-4 24 0 0,4-3 0 0 0,7-8 8 0 0,3-3 0 0 0,7-4-8 0 0,3-3 0 0 0,5-4-8 0 0,3-2 8 0 0,3-2-8 0 0,1 0 0 0 0,1 0 0 0 0,-1 0 8 0 0,-4 2-16 0 0,-3 2 8 0 0,-4 2 0 0 0,-6 4 0 0 0,-5 5 8 0 0,-5 3 0 0 0,-5 6 8 0 0,-5 5-8 0 0,-4 4 16 0 0,-4 3 24 0 0,-4 4 16 0 0,-3 4-8 0 0,-2 2 32 0 0,-2 1-16 1004 495,0 1 0-1004-495,-1-1 8 0 0,-1 4-16 0 0,-4 2-24 0 0,0 5-8 0 0,-5 2-16 0 0,-3 5-16 0 0,-5 4 0 0 0,-3 6 8 0 0,-6 5-16 0 0,-6 4 16 0 0,-4 3-16 1007 482,-5 5 8-1007-482,-5 1 8 0 0,-1 2-16 0 0,-1 0 0 0 0,-1-1 0 0 0,3-4 0 0 0,3 1-8 0 0,8-6-8 0 0,5-2 0 0 0,4-5-8 0 0,8-2 0 0 0,4-6-24 0 0,5-3-16 0 0,5-6 8 0 0,3-1-32 0 0,2-2-40 0 0,1-4 0 0 0,3-2 16 0 0,1-2-40 0 0,2 0 64 0 0,2-3 0 0 0,3-3-16 0 0,2-3 88 0 0,5-3 0 0 0,2-6 16 0 0,4-5 8 0 0,7-5 16 0 0,3-5-16 0 0,6-5 0 0 0,5-3 8 0 0,3-4-8 0 0,4-3-8-1007-482,2-1 0 1007 482,-1 0 0 0 0,0-1 0 0 0,-2 5 16 0 0,-5-1 0 0 0,-2 4-8 0 0,-4 4 8 0 0,-5 3 0 0 0,-4 3 8 0 0,-5 6 0 0 0,-2 3-8 0 0,-5 2 0 0 0,-3 6 8 0 0,-3 2 8 0 0,-4 3 8 0 0,-4 3 32 0 0,-2 2-16 0 0,-2 0 0 0 0,-1 4 24 0 0,-1-1-24 0 0,-2 2 8 0 0,-3 4-8 0 0,-2 4-40 0 0,-5 3 8 0 0,-3 7-16 0 0,-4 4 0 0 0,-4 6 0 0 0,-5 2 0 0 0,-1 4 0 0 0,-6 4 0 0 0,-2 0 0 0 0,0 1 8 0 0,-3 0-8 0 0,1 0 8 0 0,0-2 0 0 0,3 0-8 0 0,1-3-8 0 0,5-2 0 0 0,3-2-8 0 0,7-5-24 0 0,4-3-8 0 0,5-3 0 0 0,3-6-24 0 0,6-4 8 0 0,2-2-8 0 0,3-5 8 0 0,3-1 0 0 0,3-2 40 0 0,3-5 0 0 0,3-2 0 0 0,2-4 32 0 0,5-2 0 0 0,1-7 8 0 0,6-5 0 0 0,3-3-8 0 0,2-5-8 0 0,3-4 0 0 0,5-2 0 0 0,0-4-8 0 0,4-1 0 0 0,2-1 8 0 0,1-1-8 0 0,1 1 8 0 0,0-2 8 0 0,1 2-8 0 0,-1 1 8 0 0,-2 2 0 0 0,-2 2 0 0 0,-5 3 0 0 0,-3 4 0 0 0,-4 4 0 0 0,-6 3-16 0 0,-4 5 0 0 0,-4 5 8 0 0,-3 3-16 0 0,-5 5 24 0 0,-4 2 8 0 0,-2 3-16 0 0,-2 1 48 0 0,-4 4-16 0 0,-1 2 8 0 0,-3 5 8 0 0,-2 2-8 0 0,-4 3-16 0 0,-4 4-8 0 0,-3 3 0 0 0,-4 5-8 0 0,-3 5 0 0 0,-6 2 8 0 0,-3 6-16 0 0,-7 2 8 0 0,-2 4-16 0 0,-4 1 0 0 0,-3 2 8 0 0,0 1-16 0 0,1 0 0 0 0,2 0-8 0 0,3-2-8 0 0,7-2 8 0 0,5-4-8 0 0,7-6-8 0 0,7-4 0 0 0,6-6-16 0 0,4-6-16 0 0,4-5 8 0 0,3-3 0 0 0,2-5-16 0 0,2-3 32 0 0,1-2 8 0 0,3-1-16 0 0,2-6 40 0 0,0 1 8 0 0,3-5 0 0 0,3-4 16 0 0,2-4 0 0 0,5-6 0 0 0,2-4-8 0 0,4-4 0 0 0,4-3-8 0 0,3-3 0 0 0,3-1 0 0 0,3-2 0 0 0,1 0 8 0 0,1 1 0 0 0,2 0 8 0 0,1-2 0 0 0,0 2 0 0 0,-1-3 0 0 0,0 3-8 0 0,0 0 8 0 0,-2-1-16 0 0,-2 4 24 0 0,-3 2-16 0 0,-4 2 0 0 0,-5 6 8 0 0,-5 3-16 0 0,-5 5 8 0 0,-4 3 8 0 0,-5 5-16 0 0,-4 4 8 0 0,-5 3 8 0 0,0 1 0 0 0,-1 2 8 0 0,-2 1 0 1007 482,0 3 8-1007-482,-2 5-8 0 0,-4 1 0 0 0,-2 5 0 0 0,-2 5-8 0 0,-3 3 8 0 0,-5 4-16 0 0,-5 5 0 0 0,-2 1-8 0 0,-6 6 16 0 0,-5 2-8 0 0,-3 0 0 0 0,-4 5 0 0 0,-2 0-8 0 0,-1 0 0 0 0,2-2-8 0 0,3-2 0 0 0,5-2-8 0 0,4-4-16 0 0,7-3 8 0 0,7-6-16 0 0,5-5 0 0 0,6-4 8 0 0,4-4-24 0 0,3-3 8 0 0,2-5 0 0 0,2-1-16 0 0,3-4 40 0 0,2-1 0 0 0,0-3-8 0 0,4-4 40 0 0,2-1 0 0 0,2-5 0 0 0,3-4 8 0 0,3-2-8 0 0,3-6 8 0 0,3-3-8 0 0,3-5 8 0 0,5-2 0 0 0,2-3-8 0 0,4-4 8 0 0,2 0 0 0 0,3-4 0 0 0,0 2-16 0 0,0-2 8 0 0,-3 2-8 0 0,-2 2-8 0 0,-3 0 0 0 0,-5 5 0 0 0,-4 4 0 0 0,-5 4 0 0 0,-5 6-8 0 0,-2 4 0 0 0,-5 6 0 0 0,-3 5-8 0 0,-5 2 8 0 0,-2 4 0 0 0,-1 1 0 0 0,-1 0 8 0 0,-1 1 16 0 0,2 4 8 0 0,-2 1 8 0 0,0 5 8 0 0,-3 3-8 0 0,-3 3 0 0 0,-3 2 8 0 0,-2 3-16 0 0,-4 4 0 0 0,-4 2-8 0 0,-4 3 8 0 0,-2 1-8 0 0,-3 5 8 0 0,-4-1-16 0 0,-2 2 8 0 0,-3 0-8 0 0,0 3 0 0 0,1-3 0 0 0,1 0 8 0 0,2-1-8 0 0,3-3-8 0 0,7-1 0 0 0,3-2 8 0 0,5-6-16 0 0,4-4-8 0 0,5-1 0 0 0,1-5-8 0 0,4-5-8 0 0,2-2 24 0 0,0-5-8 0 0,3-2 0 0 0,4-1 24 0 0,1-3 8 0 0,2-4 0 0 0,5-2 8 0 0,1-5 8 0 0,5-4-8 0 0,2-4 8 0 0,3-4-16 0 0,4-5 0 0 0,3-1 0 0 0,2-4 0 0 0,2 0-8 0 0,1-3 0 0 0,0 0 0 0 0,0 1 0 0 0,1-3-8 0 0,-3 5-8 0 0,-2-3 16 0 0,0 5-8 0 0,-2-2 8 0 0,-3 5 0 0 0,-1 2 0 0 0,-4 2 0 0 0,-2 4 8 0 0,-2 1 0 0 0,-3 5 8 0 0,-2 4-8 0 0,-3 1 8 0 0,-4 2 0 0 0,-1 3 8 0 0,-3 3-8 0 0,-2 3 0 0 0,-2-1 0 0 0,0 2 0 0 0,0 0 0 0 0,-1 2-8 0 0,0-2-8 0 0,0 3 0 0 0,-3 2 0 0 0,-3 3 0 0 0,0 2 0 0 0,-4 4-8 0 0,-3 5 0 0 0,-4 5 8 0 0,-3 3-8 0 0,-4 5 0 0 0,-1 3 8 0 0,-4 6 0 0 0,-2-1 0 0 0,-3 3 0 0 0,0 0 8 0 0,-1 0-8 0 0,2 0 0 0 0,1-3 0 0 0,1-3 8 0 0,4-4-16 0 0,3-1 8 0 0,4-4-16 0 0,5-5 8 0 0,4-3 0 0 0,2-2-24 0 0,4-6 16 0 0,2-1-40 0 0,3-3 48 0 0,0-3-24 0 0,1-3 16 0 0,1-2-8 0 0,-1 0 8 0 0,4-1 8 0 0,3-3 0 0 0,-1-4 8 0 0,4-1 0 0 0,2-4 0 0 0,1-3 0 0 0,3-2 0 0 0,1-4-8 0 0,3-1 8 0 0,-1-2-8 0 0,2 1 8 0 0,1-2 0 0 0,-1 1 0 0 0,0-1-16 0 0,1 1 8 0 0,0 0 0 0 0,-1 2-8 0 0,1-2 8 0 0,0 2-8 0 0,0 1-8 0 0,1 0 16 0 0,-1 0-8 0 0,1 1 16 0 0,-2-1-8 0 0,-1 3 0 0 0,1-1 8 0 0,-1 2 0 0 0,1-1 0 0 0,-3 3 0 0 0,0 0 16 0 0,0 1-16 0 0,-3 1 0 0 0,-1 1 0 0 0,0 1-8 0 0,-3 1-8 0 0,0 1 8 0 0,-1 1 0 0 0,-1 1-8 0 0,-1 2 8 0 0,-1 0-8 0 0,0 1 16 0 0,-1 2-8 0 0,-1 1 0 0 0,1-1 0 0 0,-2 2-8 0 0,1 1 16 0 0,-2-1-16 0 0,0 1 8 0 0,-2 1 0 0 0,0-1 8 0 0,-1 0 0 0 0,0 0 0 0 0,0 0 0 0 0,0 0 24 0 0,1 0 0 0 0,-1 0 8 0 0,0 0 16 0 0,0 0 8 0 0,0 0 0 0 0,0 0 0 0 0,0 0 8 0 0,0 0-32 0 0,0 0 8 0 0,0 0-8 0 0,0 0-32 0 0,-1 6 0 0 0,-1 4 0 0 0,-2-1-8 0 0,-3 3 8 0 0,0 0 0 0 0,-4 2-8 0 0,0-1 8 0 0,-2 3 0 0 0,-2 0-8 0 0,0 1 8 0 0,-2 2 0 0 0,-2 2 0 0 0,0-1 8 0 0,-2 3-8 0 0,0 2 8 0 0,-3-1-8 0 0,0 1 0 0 0,-1-1 0 0 0,1 1 0 0 0,-1-1 0 0 0,1 0 0 0 0,1-1-8 0 0,3-2 0 0 0,1 1 8 0 0,2-1-8 0 0,0-1 8 0 0,4 0-8 0 0,-1 1 8 0 0,2-1 0 0 0,0-1 8 0 0,1-1-8 0 0,0 0 0 0 0,1-1 8 0 0,2-3 0 0 0,0 0-8 0 0,1-2 8 0 0,2-3 0 0 0,0 1-8 0 0,0-4 0 0 0,2 2 0 0 0,1-3 0 0 0,0 0 0 0 0,-2 0 0 0 0,1 1 0 0 0,0-1 0 0 0,1 3 0 0 0,-3-2 8 0 0,1 1-8 0 0,-2 1 0 0 0,2 0 0 0 0,0 2 8 0 0,-2-2-8 0 0,2 0 0 0 0,-1 1 0 0 0,2-4 0 0 0,1 0 0 0 0,1-3 0 0 0,0-1-16 0 0,1 0 16 0 0,0-1-16 0 0,0-1-8 0 0,1 1 0 0 0,-1 0-8 0 0,0 0 0 0 0,0-1-8 0 0,0 1 8 0 0,0 0 0 0 0,0 0-8 0 0,0 0 0 0 0,0 0 8 0 0,0 0 0 0 0,0 0 8 0 0,0 0 0 0 0,0 0 8 0 0,0 0-8 0 0,0 0 16 0 0,1 0-8 0 0,4-2 8 0 0,2-5 0 0 0,3-2-8 0 0,0-2 0 0 0,1-2-8 0 0,-1-2 8 0 0,2-1-16 0 0,2-3 16 0 0,1-2 8 0 0,1-1-16 0 0,2-1 16 0 0,1-2 8 0 0,2 0 0 0 0,1-1 0 0 0,1 0 0 0 0,0-1 0 0 0,2-1-8 0 0,0 3 8 0 0,1 0-8 0 0,0 3 0 0 0,-1-2 8 0 0,0 3-8 0 0,0 1 8 0 0,-2 1-8 0 0,-1 1-8 0 0,-1 1 16 0 0,-3 2-16 0 0,0 0 16 0 0,-3 0-8 0 0,-1 4 0 0 0,0 0 8 0 0,-2 0 8 0 0,-1 0-8 0 0,0 2 0 0 0,-1 1 8 0 0,-1 0 8 0 0,-1 0-16 0 0,0 2 8 0 0,-1-2-8 0 0,-1 3 0 0 0,1-2 8 0 0,-2 1-8 0 0,-1 1 8 0 0,2 2 16 0 0,-2 1-24 0 0,0 0 0 0 0,-1 0 8 0 0,-1 0-8 0 0,-1 2 0 0 0,0 0 0 0 0,-1 0-8 0 0,0 0 0 0 0,1 0 8 0 0,0 0 0 0 0,0 0 8 0 0,1 0 0 0 0,1 0 8 0 0,-1 0-8 0 0,-1 0 0 0 0,0 0-8 0 0,1 0 24 0 0,-1 0-24 0 0,1-1 8 0 0,1 0 0 0 0,-1 0-8 0 0,0-1 8 0 0,0 1 0 0 0,0-1 0 0 0,-1 1-8 0 0,1 0 0 0 0,0-1 8 0 0,-1 1 8 0 0,-1 0-8 0 0,1-1 0 0 0,-1 0 8 0 0,0 1 0 0 0,0 0 16 0 0,0 0 0 0 0,0 0 0 0 0,0 0 8 0 0,-1-1 0 0 0,1 2 16 0 0,0 0-8 0 0,0 0 0 0 0,0 0 0 0 0,0 0 0 0 0,0 0 0 0 0,0 0 0 0 0,0 0-8 0 0,0 0 16 0 0,0 0-8 0 0,0-1 0 0 0,0 0 16 0 0,0-1-24 0 0,0-1 8 0 0,-1 1 16 0 0,0-1 0 0 0,-2 1-8 0 0,2 0 0 0 0,0 0 0 0 0,-10-5-16 0 0,-4 0 32 0 0,0-1-24 0 0,0 3-8 0 0,-1-1 0 0 0,2 1-8 0 0,0 1 8 0 0,1 0-8 0 0,-2 2 8 0 0,2 0-8 0 0,-3 0 8 0 0,2-2-16 0 0,-2 1 0 0 0,-1 0 0 0 0,0 0 0 0 0,0-2-8 0 0,-2 0 8 0 0,2-1-8 0 0,-2 1 0 0 0,0-1 8 0 0,1 0 0 0 0,-2 0 8 0 0,1 1 8 0 0,0 1-7 0 0,0 1-9 0 0,-2-2 16 0 0,0 3-16 0 0,2 1 0 0 0,-2 0-16 0 0,0 0 8 0 0,-1 0-8 0 0,2 1 0 0 0,-1-1-8 0 0,-1 1 0 0 0,1 0 0 0 0,0 1 0 0 0,-1-1 8 0 0,1 2-8 0 0,-2-1 0 0 0,1 1 0 0 0,0 1 8 0 0,1 0-8 0 0,-1-1 8 0 0,1 1 0 0 0,-1-1-8 0 0,2 1 0 0 0,0 1 8 0 0,-1-1 8 0 0,3 0-8 0 0,-2 1 8 0 0,2-1 0 0 0,0 1 0 0 0,-1-2 0 0 0,1-1 0 0 0,0 2 0 0 0,0-3-8 0 0,1 1 16 0 0,-1-1-16 0 0,1 0 8 0 0,-1 1-8 0 0,2 0 0 0 0,-1 0 8 0 0,-1 1-8 0 0,2-1 8 0 0,-3 1-16 0 0,2 1 8 0 0,-1-1 0 0 0,2 0 0 0 0,1 0 16 0 0,-2-1-16 0 0,2 0 16 0 0,0 0 0 0 0,1 0 0 0 0,-2-1-8 0 0,1 1 8 0 0,1-1 8 0 0,0 0-16 0 0,0 0 0 0 0,1 0 0 0 0,-1 0 0 0 0,0 0 0 0 0,0 0 0 0 0,1 0 0 0 0,-1 0 0 0 0,1 3-8 0 0,-1-2 16 0 0,1 1-8 0 0,-2-1 0 0 0,0 0 0 0 0,2 0 0 0 0,-1 0 8 0 0,-1 0-16 0 0,0 0 16 0 0,0 1-8 0 0,-1-1 0 0 0,1 0-8 0 0,-2 0 16 0 0,0 0-16 0 0,0 1 8 0 0,1-1 0 0 0,1 0 0 0 0,0-1 0 0 0,0 0 0 0 0,2-1 8 0 0,0 0-8 0 0,2 1 0 0 0,3-2 8 0 0,-1 1 0 0 0,1 0 8 0 0,1 0-16 0 0,-1-2 24 0 0,3 1-8 0 0,-3 0 0 0 0,1 0-8 0 0,0 0 8 0 0,0-3-8 0 0,-2 3-8 0 0,2 0 8 0 0,-1 1-8 0 0,2-1-8 0 0,-1 1 0 0 0,0 0 8 0 0,0 0-8 0 0,0-1 8 0 0,2 1-8 0 0,-2-1-8 0 0,2 1 8 0 0,-1 0-8 0 0,1-1 0 0 0,0 1 0 0 0,-1-1 0 0 0,0-1 0 0 0,-1 2-8 0 0,-1-2 8 0 0,1 0 0 0 0,-1 2 0 0 0,-1 0 8 0 0,2 0 0 0 0,-2-1 8 0 0,1 2-8 0 0,-1-1 8 0 0,1 1-8 0 0,-1 0-8 0 0,0 0 8 0 0,0 0-8 0 0,-2-1 8 0 0,0 1-8 0 0,1 0 8 0 0,-2-1 0 0 0,1 0 0 0 0,0 1 8 0 0,-1-1 0 0 0,0 1-8 0 0,1-1 8 0 0,1 0 0 0 0,-1 0 0 0 0,1-1-16 0 0,-1-1 8 0 0,2 2-8 0 0,0 0 0 0 0,1 1 0 0 0,-1 0 0 0 0,0-1-8 0 0,3 1 0 0 0,-3 0 0 0 0,1 0 0 0 0,1 1 0 0 0,-1-1 0 0 0,1 0 0 0 0,-1 1 0 0 0,0 0 0 0 0,1 2 8 0 0,0-1 0 0 0,0 0 0 0 0,-1-1 8 0 0,0 1-8 0 0,2 0 8 0 0,-2-1-8 0 0,1 2 0 0 0,-1-2 0 0 0,1 1 0 0 0,0 1 0 0 0,-1-1-16 0 0,1-1 16 0 0,2 0-8 0 0,1 1 0 0 0,1-1 0 0 0,2-1 0 0 0,0 0-8 0 0,0 0 8 0 0,0 0-8 0 0,0 0 0 0 0,0 0-8 0 0,-1 0 8 0 0,0 0-8 0 0,-1 0-8 0 0,1 0 24 0 0,1 0 0 0 0,-1 1 8 0 0,0-1-24 0 0,-1 1 8 0 0,0-1 8 0 0,1 1-8 0 0,0 0 8 0 0,1 1 8 0 0,-1 1-32 0 0,-1 0 32 0 0,1-1-8 0 0,0 0 0 0 0,0 0 8 0 0,0 0-8 0 0,0 0 0 0 0,0 2-16 0 0,0-3 0 0 0,0 1 0 0 0,0 0-24 0 0,0 0 0 0 0,0-1 0 0 0,-1 2-8 0 0,1 0 8 0 0,1 0 0 0 0,-1-1 8 0 0,0 1 16 0 0,0-1 16 0 0,-1 0-8 0 0,1 0 16 0 0,0 0 8 0 0,0 1 0 0 0,1 0 16 0 0,-1-1-8 0 0,-1 1 8 0 0,1 0-8 0 0,0 3 16 0 0,0-2-24 0 0,0 0 8 0 0,0 1 0 0 0,-10 10-8 0 0,-3 4 8 0 0,0 0-8 0 0,0-1-8 0 0,1-3 8 0 0,2-4 0 0 0,0-1 0 0 0,1-1 0 0 0,1-1-8 0 0,0-1 0 0 0,0 2 0 0 0,-1-2 16 0 0,-1 1 0 0 0,2 1-16 0 0,-2 0 8 0 0,-1-2 0 0 0,-1 2 8 0 0,1-1 0 0 0,0 1-8 0 0,-1-1-8 0 0,1 2 8 0 0,-1-3 0 0 0,-2 3-8 0 0,0-1 8 0 0,1-1 0 0 0,-1 0-8 0 0,-1 1 0 0 0,1 1 16 0 0,1-2-8 0 0,-2 2 0 0 0,2-1 0 0 0,-1 0-8 0 0,-1-1 0 0 0,1 2 16 0 0,-1 0-16 0 0,0-1 0 0 0,1 0 0 0 0,-3 0 0 0 0,1 1 0 0 0,-1 0 0 0 0,1 1 0 0 0,-1-1 0 0 0,1 1 8 0 0,-1 0 0 0 0,3 1 0 0 0,-1-2-8 0 0,2 0 0 0 0,-1 1 8 0 0,2-3 8 0 0,1 1-16 0 0,2-1 8 0 0,-1 0-8 0 0,1-1 0 0 0,1-2 0 0 0,0 2 0 0 0,0-2-8 0 0,3 1 0 0 0,-3-1 0 0 0,1 0 8 0 0,-1 1-16 0 0,3 0 16 0 0,-2 0-8 0 0,1-1 8 0 0,-1 2 0 0 0,1-1-8 0 0,0 2 8 0 0,1-3 0 0 0,-2 1 8 0 0,2 0 8 0 0,-1 0-8 0 0,1-1 0 0 0,-2 1 0 0 0,3-2 8 0 0,-1-1-16 0 0,1 2 8 0 0,1-2-8 0 0,2-1 0 0 0,1-1 0 0 0,1 0 8 0 0,-1-1-8 0 0,1 0 0 0 0,0 0 0 0 0,-1 0 8 0 0,1 0 0 0 0,-1 1-8 0 0,-1 0-8 0 0,-9 5 0 0 0,-5 1-8 0 0,0 0 8 0 0,1 2-8 0 0,0-3 0 0 0,3 1 8 0 0,1-2 0 0 0,3 1 0 0 0,-1-2 0 0 0,3 2 8-1007-482,0 0 0 1007 482,0 0 0 0 0,-1 0 0 0 0,3-1 0 0 0,-2 2 0 0 0,1-3 0 0 0,1-2 0 0 0,2 1 8-1004-495,1-2 0 1004 495,1-1 0 0 0,0 0 0 0 0,0 0-8 0 0,0 0 0 0 0,0 0 0 0 0,-2 1 0 0 0,2 1-8-1000-508,0 0-8 1000 508,-1-2 0 0 0,1 1 0 0 0,0-1 0 0 0,-1 0 16 0 0,1 0-16 0 0,-2 0 16 0 0,1 0 0 0 0,0 0 8 0 0,1 0 0 0 0,-1 0 0 0 0,1 1-8 0 0,0 0 8 0 0,0 2-8 0 0,-1-2 0 0 0,1 0 8 0 0,0 0 0 0 0,-1 0-8 0 0,0-1 0 0 0,0 1 8 0 0,1-1-8 0 0,-2 1 0 0 0,2 0 0 0 0,0 0-8 0 0,0-1-16 0 0,0 0 8 0 0,1 0-24 0 0,-1 0-32 0 0,1 0 0 0 0,0 0 0 0 0,0 0-32 0 0,0 0-16 0 0,1 2 8 0 0,-1-1-16 0 0,0 2 0 0 0,0-2 24 0 0,0 0 0 0 0,0-1 8 0 0,0 0 23 0 0,0 0 9 0 0,0 0 8 0 0,0 0 0 0 0,0 0 0 0 0,0 0-16 0 0,4 1 8 0 0,3-1-16 0 0,3 0-8 0 0,0 0 16 0 0,2-2-16 0 0,1 0 8 0 0,3-3 8 0 0,0 1 0-996-522,3 0 0 996 522,2-2 16 0 0,2 0 0 0 0,-1 0-16 0 0,3 0 16 0 0,1 0-8 0 0,-1 1 0 0 0,1-1 0 0 0,-1 2 8 0 0,1 1-8 0 0,-3-1 24 0 0,2 1 16 0 0,-2-1-8 0 0,1 1 8 0 0,0-2 16 0 0,2 1 0 0 0,-1-2 8 0 0,3 0 0 0 0,1-2 0 0 0,1 1 0 0 0,0-2-8 0 0,0 2 0 0 0,0 0-16 0 0,-1-1 8 0 0,2 3 0 0 0,-3-2-8 0 0,-1 2 8 0 0,0 0-24 0 0,0 1 24 0 0,-1 0 8 0 0,1 0-16 0 0,-2 1 0 0 0,0 1 0 0 0,1 0 0 0 0,-2-1 8 0 0,3 0-8 0 0,-2 2 0 0 0,0 0-8 0 0,0-1 0 0 0,0 1 16 0 0,0-1 0 0 0,-1 1-8 0 0,1 0 16 0 0,-2-2 0 0 0,0 1 0 0 0,0 0 8 0 0,-4 1 0 0 0,2 0 0 0 0,-2 0 0 0 0,0 0 0 0 0,-1 0 0 0 0,0 0 0 0 0,-1 1 8 0 0,1-1-8 0 0,2 1 0 0 0,-3 0 0 0 0,2 0 0 0 0,-1 0 8 0 0,1-2 0 0 0,-1 2 0 0 0,-1 0 0 0 0,1 0 0 0 0,0 0-8 0 0,-1 0 0 0 0,-1 0 0 0 0,3 0 0 0 0,-2 0 0 0 0,2-1 0 0 0,0 1 0 0 0,0-1 0 0 0,1 0 0 0 0,-1-1 0 0 0,0 0 0 0 0,0 1 0 0 0,0-1 0 0 0,0-1 0 0 0,-1 2 0 0 0,1-1 8 0 0,1-1 0 0 0,0 0 8 0 0,1 0 0 0 0,0 1-8 0 0,2 0 0 0 0,-1 0 8 0 0,1-1-8 0 0,0 0 8 0 0,0-1-8 0 0,-1 1 0 0 0,-2 1 0 0 0,0 0 8 0 0,0-1 0 0 0,-2 1-8 0 0,-1 2 8 0 0,0-2 0 0 0,0 1 0 0 0,0 0-16 0 0,-1 1 8 0 0,0-1-8 0 0,1 1 0 0 0,-1-1 16 0 0,0 1-8 0 0,2-1-8 0 0,-2 1 24 0 0,2-2-16 0 0,-2 2 0 0 0,0 0 0 0 0,2 0-8 0 0,-3 0 8 996 522,1 0-8-996-522,0 0 0 0 0,-1 2 0 0 0,0-2 0 0 0,1 1 8 0 0,-1 0-8 0 0,0 0 0 0 0,0 0 0 0 0,-1 2 0 0 0,2-2 8 0 0,-2 0-8 0 0,0 2 0 0 0,0-2 0 0 0,-1 0 8 0 0,1 1 0 0 0,0-1 8 0 0,-2 0-8 0 0,0-1 0 0 0,0 1 0 0 0,1 0 8 0 0,-1 0 0 0 0,-1 1-8 0 0,0-2 8 0 0,0 2 0 0 0,-1-1 0 0 0,0 0-8 0 0,-1-1 8 0 0,0 0 8 0 0,0 1-8 0 0,-1-1 8 0 0,1 1 0 0 0,-3-1-8 0 0,1 1 8 0 0,0-1 0 0 0,-2 1 0 0 0,1 0-16 0 0,0 0 16 0 0,-2 0-8 0 0,2 0 0 0 0,-1 1-8 0 0,-1-1 0 0 0,1-1 8 0 0,0 0-8 0 0,-2 1 8 0 0,0-1 0 0 0,-1 0 0 0 0,-2 0 0 0 0,1 0-8 0 0,0-1 8 0 0,0 1 0 0 0,1 0-16 0 0,-1 0 8 0 0,1 0-8 0 0,1 0 16 0 0,-1 0-8 0 0,-1 0 0 0 0,1 0 0 0 0,0 0 8 0 0,0 0 0 0 0,1 0 8 0 0,-1 0 8 0 0,0 0 0 0 0,0 0 8 0 0,-2 0 32 0 0,1 0 16 0 0,0 0-16 0 0,-1 0 40 0 0,0 0-8 0 0,1 0 0 0 0,-1 0 8 0 0,0 0-16 0 0,0 0 8 0 0,0 0-16 0 0,2 0 9 0 0,-2 0-9 0 0,0 0-8 0 0,-2 0 0 0 0,2 0 0 0 0,0 0-24 0 0,0 0 8 0 0,0 0 0 0 0,-4 1-8 0 0,-6 1 8 0 0,-1-1-8 0 0,-1 0 0 0 0,-2-1 0 0 0,1-1-8 0 0,-1 1 8 0 0,-1-1 0 0 0,-3-2-16 0 0,0 2 8 0 0,-1-2 0 0 0,-2 1-8 0 0,0 1 8 0 0,-2-2 0 0 0,-3 1-8 1000 508,-1-1-8-1000-508,0 0 8 0 0,-1 0-8 0 0,-2 1 0 0 0,-1-1-16 0 0,-2 0 8 0 0,-1 1-16 0 0,1-1 0 0 0,-3 1 8 0 0,2 0-8 0 0,-2 0 0 0 0,-1 0 8 0 0,0 1 0 0 0,0-1-8 0 0,-2 1 16 0 0,-1-2-16 0 0,1 0 8 0 0,-3 1 0 0 0,1 0-8 0 0,0 0 8 0 0,-2 0-8 0 0,3 0 0 0 0,-2-2 8 0 0,3 2-8 0 0,0 0 0 0 0,1 1 8 0 0,1 0-8 0 0,0-1 8 0 0,-2 1-8 0 0,3-2 16 0 0,0 1 0 0 0,0-1 0 0 0,2 0 16 0 0,0-1-16 0 0,1 0 8 0 0,1-1-8 0 0,2-1 0 0 0,0 0 0 0 0,3-1-24 0 0,-1 2 0 0 0,3-1 0 0 0,1 1-8 0 0,1 2-16 0 0,0-1 8 0 0,3 1 0 0 0,1 2-8 0 0,0 0 8 0 0,2-1 0 0 0,0 1 0 0 0,1 1 0 0 0,0 1 0 0 0,0-1 8 0 0,2 3-8 0 0,0-2 8 0 0,1 1 0 0 0,0 0 8 0 0,1 2 0 0 0,0-3 0 0 0,1 1 8 0 0,-1-1 0 0 0,2 1 0 0 0,1-1 0 0 0,-1-1-8 0 0,1 0 0 0 0,-1 0 0 0 0,2 0 0 0 0,1 0-8 0 0,0 0 0 0 0,0 0 0 0 0,2 0 0 0 0,3 0-8 0 0,0 0-8 0 0,1 0 0 0 0,0 0 0 0 0,1 0-16 0 0,0 0 0 0 0,-1 0 0 0 0,-1 0 0 0 0,0 0-8 0 0,0 0 24 0 0,0 0-8 0 0,0 0 8 0 0,1 0 0 0 0,1 0 0 0 0,0 0-8 0 0,-1 0 8 0 0,1 0-24 0 0,0 0-24 0 0,0 0 0 0 0,-1 0 0 0 0,0 0-32 0 0,-1 0 0 0 0,1 1 8 0 0,0-1-8 0 0,1 3 16 0 0,-1-2-96 0 0,1 1-48 0 0,0 0-17 0 0,0 0-111 0 0,3 5-400 0 0,2 1-264 0 0,1 2-144 0 0,3-1-513 0 0,0 1 25 0 0,0-3-432 0 0,-2 1-729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6"/>
    </inkml:context>
    <inkml:brush xml:id="br0">
      <inkml:brushProperty name="width" value="0.2" units="cm"/>
      <inkml:brushProperty name="height" value="1.2" units="cm"/>
      <inkml:brushProperty name="color" value="#F6630D"/>
      <inkml:brushProperty name="inkEffects" value="pencil"/>
    </inkml:brush>
  </inkml:definitions>
  <inkml:trace contextRef="#ctx0" brushRef="#br0">969 141 528 212230 37295,'0'0'24'0'0,"0"0"-16"0"0,0 0 112-61 991,0 0-216 61-991,0-1 280-76 1001,0 0 152 983-302,0-1 232-81 1011,-7-3 369-122 1068,-30 26-985-704-2778,-55 59 72 0 0,-17 24-16 0 0,2 3-8 0 0,7 1 0 123-1054,-25 35 8-1981-333,-10 8-168 953 677,18-22 120 15-11,29-32 40 890 721,37-38 16-876-731,69-72 88 14-11,43-50-96 862 742,57-71 16 0 0,13-17-24 0 0,-12 14 0 967-270,-21 26 0-967 270,-23 29 0 0 0,-21 24 0 0 0,-11 17 0 0 0,6 5-96 969-281,-4 7 96 2-11,-11 9 0-971 292,-10 9-8 0 0,-10 5 16 0 0,-9 5 0 0 0,-8 6 40 0 0,-47 46 152 0 0,-21 22-192 0 0,-4 5 0 0 0,5-5 8 974-303,8-7-8-974 303,-1 4 32 0 0,-18 26 232 0 0,3-3-256 0 0,15-15-24 0 0,17-21-24 0 0,17-20 32 0 0,13-16 16 0 0,12-12 168 0 0,49-61 1416-974 303,23-32-1568 974-303,8-9-16 0 0,-1 3 16 0 0,-7 8-8 0 0,0 3 8 0 0,50-33 40 0 0,9-2-72 0 0,-14 17 0 0 0,-20 17-48 0 0,-26 27 40 0 0,-26 24 24 0 0,-21 20-16 0 0,-16 15 8 0 0,-11 8 0 0 0,-15 15 16 910 693,-61 67 80-910-693,-23 23-104 0 0,2-1 0 0 0,13-15-8 0 0,20-20 8 0 0,18-20-16 0 0,14-14-40 0 0,24-20 448 0 0,21-25-192-910-693,77-89 168 13-11,30-37-368 897 704,14-18 8 0 0,9-16 184 0 0,-18 17 0 0 0,-45 51 312 958-287,-38 44-504-958 287,-29 35 0 0 0,-20 24 0 0 0,-12 15 0 0 0,-24 22 8 913 688,-89 84 64-913-688,-26 24-72 0 0,9-9 0 0 0,28-26-8 0 0,32-29 8 0 0,25-25-32 0 0,27-23-264 0 0,24-23 312 0 0,22-25 48 0 0,94-99 184 0 0,46-45-223 0 0,23-18-914-913-688,-18 18 657 913 688,-33 33 232 0 0,-36 37-5905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17"/>
    </inkml:context>
    <inkml:brush xml:id="br0">
      <inkml:brushProperty name="width" value="0.2" units="cm"/>
      <inkml:brushProperty name="height" value="1.2" units="cm"/>
      <inkml:brushProperty name="color" value="#F6630D"/>
      <inkml:brushProperty name="inkEffects" value="pencil"/>
    </inkml:brush>
  </inkml:definitions>
  <inkml:trace contextRef="#ctx0" brushRef="#br0">967 941 1640 216097 33198,'0'-1'1017'975'604,"0"0"-593"-975"-604,0-1-144 0 0,0-2-48-964 332,0 2 0 964-332,0 1 8 0 0,0-1-56 0 0,0-1-16 0 947,0 0 8 0-947,0 1 176 0 0,-16 0 568-983 1288,-15 9-904 983-1288,-67 71 168 951 636,-22 27-160-951-636,4 1 0 0 0,21-11 8 0 0,20-24 0 0 0,17-12 168 0 0,18-18 633-1958 664,20-19-769 1958-664,14-18 16 0 0,12-9-24 0 0,7-14-16 0 0,10-12 24 0 0,70-72 72 0 0,34-32-136 0 0,13-9-8 0 0,-17 18 8 0 0,-30 34 16 0 0,-29 31 0 0 0,-26 26-8 0 0,-23 17 16 0 0,-8 14-16 0 0,-38 39 88 936 658,-25 25-64-936-658,-11 9-16 0 0,-3 2 0 0 0,2-3 0 0 0,3-3 0 0 0,-3 6 8 0 0,-61 66 104 0 0,-12 14-104 0 0,18-22 0 0 0,32-26-16 0 0,25-32-16 0 0,27-28-8 0 0,19-18-48 0 0,27-24-144-988 332,27-28 336 1-12,78-94 104 987-320,29-40-224 0 0,1 1 0 0 0,29-16 8 0 0,-16 26-16 0 0,-31 32 0 0 0,-34 39 0 0 0,-33 29 0 0 0,-26 24-24 0 0,-35 41 0 0 0,-23 26 32 0 0,-14 11 16 0 0,-7 6-8 921 681,-2 1 0-921-681,-9 8 8 0 0,-26 37-80 0 0,0 4 56 0 0,15-19-24 0 0,20-25 32 0 0,16-20 8 0 0,19-19 0 0 0,14-19 112 0 0,81-94 432-921-681,33-40-552 11-12,8-9-8 910 693,-11 12 0 0 0,-17 18 0 0 0,-10 15 0 0 0,15-14-112 0 0,-7 11 104 0 0,-20 21-32 0 0,-52 65 64 974-303,-37 43-8-974 303,-34 40 40 975-314,-53 72 104-975 314,-10 17-160 0 0,43-41 296 0 0,36-54-272-975 314,33-42 0 975-314,22-35 8 0 0,14-26-8 0 0,17-19-8 0 0,46-54 72 0 0,9-9-8 0 0,-22 23 152 0 0,-27 37-264 0 0,-29 29 8 0 0,-21 26 8 0 0,-19 19 8 0 0,-26 26 0 923 676,-55 68 64-923-676,-11 16-64 0 0,9-9-8 0 0,20-25-16 0 0,25-26-8 0 0,18-24 8 0 0,19-20-24 0 0,27-38 184 0 0,40-50-64 0 0,15-23-64 0 0,6-5 0 0 0,-2 8 0 0 0,-6 8 8 0 0,-2 3-8 0 0,18-23 192 0 0,-3 5-128 0 0,-16 17 112 0 0,-52 59-424 988-332,-41 50 224-988 332,-48 58 56 989-343,-12 19-16-989 343,6-6 0 0 0,17-20 0 0 0,18-23-16 0 0,17-19 8 0 0,13-16-128 0 0,36-41-120 0 0,26-29 240 0 0,54-64-40 0 0,20-20 56 0 0,-7 0 32 0 0,-22 25-72 0 0,-28 29 0 0 0,-25 34-8 0 0,-20 22 8 0 0,-18 20 0 0 0,-12 18-16 0 0,-59 64 96 0 0,-22 26-48 0 0,-1-2 0 0 0,11-15-8 0 0,14-16 8 0 0,14-15 0 0 0,13-13 0 0 0,-9 15 48 0 0,4 1-224 0 0,9-11 136 0 0,13-15 0 0 0,9-15-8 0 0,14-14 32 0 0,5-13 8 0 0,51-64 56-989 343,21-29-56 989-343,3 0 8 0 0,-4 8 0 0 0,-12 15-8 0 0,-4 10 0 0 0,35-28-40 0 0,4 1 24 0 0,-9 8 0 0 0,-16 15 0 0 0,-16 19 0 0 0,-12 11 0 0 0,9 0-48 0 0,7-6 80 0 0,-5 5-8 0 0,-8 10 0 0 0,-11 7 0 0 0,-10 7 8 0 0,-6 3 8 0 0,1 3 272 0 0,-5 2-232 0 0,-4 0 8 0 0,-3 3-8 0 0,-3 1 16 0 0,-2 1-16 0 0,-1 0 88 0 0,-18 6-200 1946 285,-8 5 40-1946-285,-5 4-8 0 0,-1 0 16 0 0,3 2-8 0 0,-6 7 0 0 0,-68 47 8 966 616,-23 13 16-966-616,5-4-8 0 0,16-9 0 0 0,23-18-8 0 0,16-15 8 0 0,2-5-200 0 0,13-8 0 0 0,37-29-96 0 0,25-14 280 0 0,15-10-8 0 0,9-2 0 0 0,2-2 0 0 0,2 1 0 0 0,-1 4-8 0 0,32-28-104 0 0,28-16 112 0 0,1 0 16 0 0,-13 12 0 0 0,-18 11 8 0 0,-18 15-8 0 0,-11 8 16 0 0,-12 7 680 0 0,-7 8-656 0 0,-14 5 0 0 0,-7 5-16 0 0,-7 6-24 0 0,-56 30-8 0 0,-27 19 8 0 0,-29 20-104 1008-392,4-1 56-1008 392,22-14-8 0 0,27-17-8 0 0,24-13-24 0 0,20-15 0 0 0,14-9 8 0 0,20-9-176-974-598,29-18 328 974 598,18-17-64 0 0,41-23-24 0 0,8-8 16 0 0,-12 9 0 0 0,-19 10 0 0 0,-21 16 0 0 0,-16 9 16 0 0,-15 12 592 0 0,-12 7-544 0 0,-10 7-8 0 0,-6 3 0 0 0,-7 4-40 0 0,-10 6 16 0 0,-66 29 96 974 598,-33 13-96-974-598,-45 11 168 0 0,6-6-192 0 0,29-13-16 0 0,38-13-72 0 0,33-16 16 0 0,28-8-192 0 0,48-20-88 0 0,25-10 344 0 0,21-7-32 0 0,67-27-192 0 0,18-8 224 0 0,-12 6 0 0 0,-23 7 8 0 0,-25 13 8 0 0,-23 8 0 0 0,-9 3 416 0 0,-13 5-344 0 0,-16 7 16 0 0,-11 5 8 0 0,-9 4-48 0 0,-6 2 0 0 0,-4 2 8 0 0,-39 19-104 0 0,-16 9 32 0 0,-3 3 0 0 0,2-1-8 0 0,8-2 0 0 0,1 3-24 0 0,-15 15-528 0 0,4 5 400 0 0,12-9 0 0 0,14-11 0 0 0,14-7-16 0 0,12-10 72 0 0,37-19-32-974-598,38-32 184 974 598,13-7-40 0 0,-2-5-8 0 0,-8 4 8 0 0,-11 5-8 0 0,-3-3 32 0 0,10-3 104 0 0,-6 3-96 0 0,-14 10 16 0 0,-13 12 40 0 0,-14 7-16 0 0,-8 6 104 0 0,-23 15 56 0 0,-12 8-248 0 0,-3 5-8 0 0,-4 0 16 0 0,5 4-8 0 0,0-1-8 0 0,-14 18-24 0 0,-28 32-2272 0 0,0 3-5178 0 0</inkml:trace>
  <inkml:trace contextRef="#ctx0" brushRef="#br0" timeOffset="1">2486 198 952 218927 19939,'2'-13'4241'-6234'1488,"-1"-3"-3801"5291"-1285,1 0-64 943-203,-1 1 16-919 192,1 5-16 919-192,-2 4-127 230 853,-5 2 239-230-853,-47 36-200 4649 4228,-21 19-256-4649-4228,-13 15 0 2099 1150,-63 49 120-934 2071,-11 7-144-1165-3221,10-9-24-974 345,36-28-648 8-13,38-30 600 8-12,37-27 24 958-320,31-24 0 0 0,21-15 16 0 0,15-16 8-951 308,70-61-104 969 625,30-34 87-18-933,1 1 17 965 622,-16 13 8-965-622,-20 24-8 0 0,-22 23 8 0 0,-16 13 0 0 0,-14 15 0 0 0,-21 20 24 1943 1204,-20 13-40-1943-1204,-16 12 24 0 0,-12 8 0 978 582,-8 6 0-978-582,-13 11 48 0 0,-97 76 89 0 0,-36 25-137 0 0,12-9-16 0 0,29-19-8 0 0,35-31 8 0 0,31-23-16 0 0,27-19-105 0 0,37-20-311 0 0,23-15 472 0 0,16-11 0 0 0,9-11 16 0 0,8-3-16 0 0,11-16 16 0 0,95-82 96-987 374,29-27-120 987-374,-10 9 16 0 0,-29 23-32 0 0,-34 30 8 0 0,-32 27 8 0 0,-25 24 72 0 0,-28 22 521 0 0,-29 26-537 0 0,-88 99 56 0 0,-36 34-128 0 0,-18 20 0 0 0,-3 3-400 0 0,27-26 344 0 0,35-37 8 0 0,38-40-32 0 0,31-28 80 0 0,29-33 8 0 0,100-99 192 0 0,39-45-192 0 0,4-5 16 0 0,-18 13-16 0 0,-23 23-8 0 0,-26 22 16 0 0,-10 17-16 0 0,-13 14 392 0 0,-18 17-304 0 0,-91 89-24 976 586,-45 44-56-976-586,-16 17-8 0 0,-1 0 8 0 0,10-10-8 0 0,-6 2 16 0 0,-13 9-192 0 0,15-18 128 0 0,24-23 8 0 0,29-23 0 0 0,25-18 0 0 0,17-19 8 0 0,28-17-288 0 0,80-69-4585 0 0,31-29 4592 0 0,1-2 73 0 0,-14 9 8 0 0,-23 16-64 0 0,-25 21-984 0 0</inkml:trace>
  <inkml:trace contextRef="#ctx0" brushRef="#br0" timeOffset="2">2541 163 3329 214657 20985,'-2'-5'1120'202'827,"-1"-3"-760"-202"-827,1-1 48 183 832,-4 4-32-183-832,3-2 0 165 838,1 5 296-17 7,-32 22 177 3291 2560,-16 17-841-2389-2874,-8 9 8-1050-531,-1 4 0 0 0,3 4-8 0 0,-6 9 24 45 875,-79 70 40 48 1806,-23 21-256-93-2681,45-31-8-1957 715,47-43 248 1957-715,47-40-40 0 0,34-36 8-967 338,25-22-8 967-338,27-27 8 0 0,98-99 48-961 326,30-25-72 961-326,-14 12 0 975 604,-33 30 0-975-604,-37 37 0 0 0,-35 31 0 0 0,-28 24 48 979 591,-36 34 280 988 549,-28 23-296-1967-1140,-97 104 136 0 0,-39 37-168 0 0,1 3 8 0 0,19-25-8 0 0,26-25 0 0 0,27-29 0 0 0,24-23-8 0 0,17-19 0 0 0,13-14-40 0 0,12-7 8 0 0,7-6-128 0 0,36-22 208-989 387,29-25 24 989-387,110-109 120-987 374,34-35-184 987-374,-10 7 0 0 0,-33 28 0 0 0,-41 37 0 0 0,-32 30-24 0 0,-52 59 64 976 586,-37 35-32-976-586,-23 21 0 0 0,-13 14 8 0 0,-7 2-8 0 0,-2 1 0 0 0,-12 10 16 0 0,-72 84 16 0 0,-16 26-48 0 0,16-17-8 0 0,32-32-8 0 0,34-36 8 0 0,32-33 64 0 0,58-64 912-993 381,36-40-888 993-381,18-18 0 0 0,1-10-24 0 0,0 1 8 0 0,-4 5-8 0 0,-6 4-16 0 0,31-19 80 0 0,16-8-128 0 0,-12 10 8 975 591,-50 48 80-975-591,-38 37-64 982 579,-48 37 24-982-579,-71 83-160 0 0,-23 23 88 0 0,15-16-8 0 0,25-26 8 0 0,31-34 16 0 0,26-30 0 0 0,21-21 24 0 0,15-18 8 0 0,10-14 8 0 0,19-19 104 0 0,84-82 128-1008 405,30-28-240 1008-405,-2 4 0-974-598,-20 14 0 974 598,-26 28-8 0 0,-25 21 8 0 0,-17 14 0 0 0,-6 4 48 0 0,-14 13-96 0 0,-55 65-80 974 598,-28 33 128-974-598,-19 19-8 0 0,-5 1 8 0 0,2-1 0 0 0,-4 0 0 0 0,-30 45-320 0 0,6 0 240 0 0,17-21-32 0 0,26-26 64 0 0,23-29-8 0 0,24-26 0 0 0,104-109 80-974-598,45-52-40 974 598,4-7 8 0 0,-16 17-8 0 0,-25 25 8 0 0,-21 22 8 0 0,-19 18 112 0 0,-24 28-144 0 0,-92 90-112 974 598,-43 48 152-974-598,-13 17-16 0 0,0-3 0 0 0,13-12 0 0 0,16-15 0 0 0,8-7-32 0 0,26-14 24 0 0,25-26 72 0 0,21-24 0 0 0,16-19-24 0 0,13-17 8 0 0,6-15-8 0 0,20-27 0-974-598,64-63 24 974 598,13-13-64 0 0,-10 14 0 0 0,-23 24 0 0 0,-27 29 0 0 0,-20 22-32 0 0,-23 27-152 0 0,-15 20 192 0 0,-15 11 0 0 0,-10 11 0 0 0,-7 4 0 0 0,-2 3-8 0 0,-12 7 8 0 0,-61 84 8 0 0,-19 21-32 0 0,8-5-16 0 0,19-28-8 0 0,25-28 8 0 0,25-26-48 0 0,63-70 120 0 0,36-38-48 0 0,14-17-8 0 0,-1-7 8 0 0,-9 8 0 0 0,-2 0 8 0 0,26-14-72 0 0,0 12 48 0 0,-18 12 8 0 0,-20 19 0 0 0,-23 16 0 0 0,-13 19 8 0 0,-67 79 88 1000-386,-30 37-80-1000 386,-11 10 0 0 0,2-5 8 0 0,7-12 0 0 0,8-15-8 0 0,3-5 8 0 0,-12 16-200 0 0,7-8 168 0 0,19-21-16 0 0,16-23 0 0 0,15-17 16 0 0,14-17-16 0 0,12-9-552 0 0,22-17-1177 0 0,11-5-4528 0 0</inkml:trace>
  <inkml:trace contextRef="#ctx0" brushRef="#br0" timeOffset="3">3170 1160 7946 225000 18249,'0'0'104'0'0,"-2"-3"64"0"0,-1 1 8 0 0,2 1 168 0 0,-2-1 3169-4928 1389,-1-1-2865 1588-535,1-1-472 2288-601,-1 1 0 29-13,2 0 56 240 820,0-1-152 2515 2932,1 0-112-1628-3126,0 1 8-104-866,0 0-8 1052 583,1 2 8-1052-583,0 1 0 76 876,0 0 88 2060 2036,0 0-56-2136-2912,0 0 0 0 0,-1 0 0 0 0,1 0 0 0 0,-5 3-8 0 0,-33 55 112 2014 1076,-17 25-104-2014-1076,-42 49 16-976 1305,-34 38-64 1971-765,3-9 0-1984-146,22-26-16 989-394,28-35 16 0 0,27-32-32 0 0,22-25-176-985 381,20-19-720 3-13,15-15 944 982-368,8-12 0 0 0,2-4 24 0 0,1-8 0 0 0,21-18-40 0 0,47-40-40-979 356,15-13 72 979-356,0-2-8 0 0,-14 12 0 0 0,-13 12 0 0 0,-4 6-16 0 0,22-15-40 0 0,-3 3 48 0 0,-14 12 0 0 0,-18 16 8 970 600,-16 14-8-970-600,-16 12 0 0 0,-9 9-32 0 0,-5 13-369 0 0,-8 3 425 0 0,-5 6 0 0 0,-6 2 0 0 0,-2 1 0 0 0,-2 1 8 0 0,-40 38-8 0 0,-13 15 0 0 0,0 0 0 0 0,3-7 0 0 0,7-12 0 0 0,13-7 0 0 0,-2-3 0 0 0,-34 43 48 976 586,-7 8-40-976-586,12-10 0 0 0,18-21-16 0 0,17-19 0 0 0,18-19-48 0 0,15-18-24 0 0,10-14 80 0 0,6-5 0 0 0,2-3-8 0 0,1-2 0 0 0,1 3 0 0 0,0-4-40 0 0,24-26-112 0 0,13-13 136 0 0,25-23-16 0 0,5 2 24 0 0,-11 8 8 0 0,-13 16 0 0 0,-12 15 0 0 0,-10 8-8 0 0,13-11 0 0 0,-1 2 16 0 0,-5 4 0 0 0,-13 11 0 0 0,-7 5 0 0 0,-1 5-8 0 0,-5 1-128 0 0,1 0 120 0 0,-3 6 16 0 0,0 0 72 0 0,-5 5-56 0 0,-1 0 0 0 0,-2 3 0 0 0,-3 1 8 0 0,0-1 8 0 0,-2-1 48 0 0,0-2-88 0 0,2-5-64 0 0,1 1 72 0 0,1 0 8 0 0,0-1-8 0 0,1 4 0 0 0,-2-1 32 0 0,1-1 16 0 0,0-1-16 0 0,0-2 16 0 0,-2 5 0 0 0,0-2 8 0 0,-2 3 208 0 0,-9-24 753 0 0,-9-14-785 0 0,-24-32 136 0 0,-6-9-328 0 0,4 11 8 0 0,6 11-8 0 0,7 17-8 0 0,9 11-8 0 0,-1 5 16 0 0,-13-9 16 0 0,1-3-56 0 0,-5-6-32 0 0,4-9 88 0 0,5 0-48 0 0,-5-13-16 0 0,2 2 8 0 0,2-3-64 0 0,5 4 48 0 0,6 0 32 994-392,3 9-8-994 392,4 15 0 0 0,6 11-8 0 0,4 12 0 0 0,1 9 0 0 0,1 2 32 0 0,-3 2-32 0 0,0 1 0 0 0,1 1 0 0 0,0 0 0 0 0,0-1 0 0 0,1 1 0 0 0,-4-3-8 0 0,-2-3 8 0 0,1 3 0 0 0,2-2 0 0 0,0 2 0 0 0,2 1 0 0 0,-3-7 8 988 554,-2 0-8-988-554,-2-10 24 0 0,0-1-24 0 0,-5-1-104 0 0,4 2 96 0 0,2 5-8 0 0,2 5 0 0 0,2 5 0 0 0,2 1-16 0 0,0 2-48 0 0,-19 14 0 0 0,-14 9 96 0 0,-42 45 128 0 0,-21 19-120 0 0,-49 48 48 0 0,-8 11-72 0 0,23-17 0 0 0,24-26 0 0 0,26-24 0 0 0,23-23 0 0 0,-12 4 8 0 0,1-3-48 0 0,12-6 40 0 0,16-14-8 0 0,14-12-8 0 0,12-9 8 0 0,10-7-24 0 0,5 0-120 0 0,4-2 72 0 0,5 0-536 0 0,19-10 560-988-554,8-9 56 988 554,5-5-8 0 0,1-2 8 0 0,0-2-8 0 0,-1-2 0 0 0,6-2-16 0 0,72-47 16 0 0,24-18 16 0 0,-1 5 8 0 0,-16 8 0 0 0,-18 13-8 0 0,-12 11 8 0 0,18 2-240 0 0,-11 14 200 988 554,-20 14 32-988-554,-25 12-8 0 0,-23 12 0 0 0,-20 12 24 0 0,-28 24 96 993 541,-15 9-120-993-541,-39 26 0 0 0,-36 21 32 0 0,-6 0-16 0 0,-5-2 8 0 0,-36 33-56 0 0,4-2 16 0 0,25-4-489 0 0,33-24 481 0 0,35-28 8 0 0,28-25 0 0 0,20-21 0 0 0,15-14 16 0 0,15-17 0 0 0,57-49 0 0 0,32-25 0 0 0,64-36 56 0 0,6-1-56 0 0,-24 20-8 0 0,-38 27 8 0 0,-37 25 0 0 0,-30 20 0 0 0,-22 16-16 0 0,-17 11 217 0 0,-8 9-161 0 0,-23 20 56 0 0,-34 21-48 0 0,-11 9-24 0 0,-6 3-16 997 528,3-9 0-997-528,3-3 0 0 0,8-4-8 0 0,-9 3 16 0 0,-48 49-32 0 0,-9 10-8 0 0,17-6-489 0 0,29-21 497 0 0,29-25-8 0 0,24-24 24 0 0,18-18 0 0 0,13-12 0 0 0,13-14 8 0 0,64-56-24 0 0,32-22 16 0 0,49-22-88-997-528,1 9 64 997 528,-28 23 0 0 0,-37 25 0 0 0,-35 23 0 0 0,-28 20 0 0 0,-24 10 0 0 0,-18 22 104 0 0,-11 13-56 0 0,-21 10 433 0 0,-1 0-369 0 0,3-9 8 0 0,9-7 0 0 0,6-5-16 0 0,4-14-8 0 0,3-12 64 0 0,0-37 8 0 0,0-17-120 0 0,-1-5-8 0 0,1 5-16 0 0,-1 8 16 0 0,-3 0 0 0 0,-17-61-96 0 0,-3-12 120 0 0,3 14-40 0 0,4 24-8 0 0,9 27 8 0 0,4 24 8 0 0,4 16-184 0 0,5 15 104 0 0,1 9-16 0 0,2 3 8 0 0,2 1-40 0 0,-1 0 24 0 0,2-1-96 0 0,13 12-289 0 0,6 6 457 0 0,3 2-24 0 0,-1-2 24 0 0,-3 3 0 0 0,7 2-24 0 0,24 41 64 0 0,9 14-24 0 0,-6-1 0 0 0,-7-10 8 0 0,-10-14 0 0 0,-12-11 0 0 0,-6-6 8 0 0,16 20 64 0 0,2 3-64 0 0,-1-1 0 0 0,-7-11 0 0 0,-5-12 0 0 0,-4-10 8 0 0,-3-4 16 0 0,19 9 176 0 0,3 5-200 0 0,-4-6 8 0 0,-4-6-8 0 0,-10-6 0 0 0,-5-5 0 0 0,-2-4 8 0 0,-1 2 201 0 0,-3 1-137 0 0,-1-3 24 0 0,-3-4 936 0 0,-3-2-1024 0 0,-8-1 0 0 0,-5-1 8 0 0,-1-1-8 0 0,-3-1-24 0 0,-17 6-96 0 0,-10 6 64 0 0,-28 31-56 0 0,-5 15 96 0 0,5-1 0 0 0,11-5 0 0 0,11-6 0 0 0,12-5-8 0 0,7-7 8 0 0,-24 32-32 0 0,-10 9 16 0 0,4-2 16 0 0,6-11 0 0 0,12-17 0 0 0,11-8 8 0 0,-1-8 24 0 0,-3 6 0 0 0,0 1-32 0 0,5-9 112 0 0,10-8-104 0 0,4-8 40 0 0,8-4-32 0 0,2-6 0 0 0,3-2-8 0 0,2-2 16 0 0,-4-9 24 0 0,-12-30 176 0 0,-6-12-200 0 0,-4-1-16 0 0,3 1-8 0 0,-2 6 0 0 0,-5-5 0 0 0,-30-52 104 0 0,-10-10-88 0 0,4 9 0 0 0,11 18 0 0 0,10 19 0 0 0,7 15-8 0 0,-22-19-16 0 0,-4 3 0 0 0,8 9-8 0 0,10 13 0 0 0,12 14-8 0 0,10 12-8 0 0,7 8-224 0 0,4 4 216 0 0,8 6 8 0 0,0 3-16 0 0,4 2-8 0 0,2-2 8 0 0,-1 1-904 0 0,3 3 744 0 0,3 4 103 0 0,25 30-287 0 0,13 14 392 0 0,1 2 0 0 0,-3-3 0 0 0,-6-8 16 0 0,4 6 0-993-541,36 41 16 993 541,9 7-24 0 0,-3-5 8 0 0,-16-18 0 0 0,-13-15 8 0 0,-7-9 48 0 0,5 9 193 0 0,-5-8-217 0 0,-12-9 0 0 0,-11-14 40 0 0,-9-12 16 0 0,-8-7-8 0 0,-7-8 848 0 0,-10-13-656 0 0,-8-9-264 0 0,-2-2 16 0 0,-3-3-16 0 0,1-1 0 0 0,-2 2 8 0 0,-5-5-8 0 0,-44-56 40 0 0,-16-18-64 0 0,3 3 0 0 0,13 15 0 0 0,13 15 0 0 0,12 17 0 0 0,11 13 8 0 0,-23-9 8 0 0,-21-10-48 0 0,2 3 16 0 0,9 10 0 0 0,17 12 8 0 0,13 10 0 0 0,10 7-8 0 0,-9 2-200 0 0,4 3 184 0 0,6 5-8 0 0,8 4 8 0 0,9 2 0 0 0,5 2-56 0 0,4 1-696 0 0,2 0 728 0 0,-1 7 8 0 0,0 4 8 0 0,1 0 8 0 0,0 3-56 0 0,13 23-537 0 0,10 6 593 0 0,2 0-8 0 0,0-3 16 0 0,0-7-8 0 0,-1 1-16 0 0,49 34-200-988-554,20 9 240 988 554,-4-4 8 0 0,-11-13 0 0 0,-14-16 8 0 0,-12-9 16 0 0,24 11 184 0 0,1-6-168 0 0,-10-3-8 0 0,-17-11 0 0 0,-13-7 0 0 0,-13-7 0 0 0,-10-4 104 0 0,-5-5 1009 0 0,-11-4-961 0 0,-30-21 360 0 0,-14-11-520 0 0,-2-5 16 0 0,4 2-16 0 0,4 2 0 0 0,6 0 0 0 0,0-1 8 0 0,-43-47 96 0 0,-16-9-128 0 0,4 4 0 0 0,13 11-16 0 0,16 17 8 0 0,15 12 0 0 0,11 12 0 0 0,-7-10-64 0 0,-2-5 40 0 0,6 2-32 0 0,8 9-200 0 0,10 11-144 0 0,8 9-168 0 0,3 9-825 0 0,3 5-9393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1"/>
    </inkml:context>
    <inkml:brush xml:id="br0">
      <inkml:brushProperty name="width" value="0.025" units="cm"/>
      <inkml:brushProperty name="height" value="0.15" units="cm"/>
      <inkml:brushProperty name="color" value="#E71224"/>
      <inkml:brushProperty name="inkEffects" value="pencil"/>
    </inkml:brush>
  </inkml:definitions>
  <inkml:trace contextRef="#ctx0" brushRef="#br0">263 334 4241 231194 62595,'-3'0'232'1373'-722,"0"-1"-224"-1373"722,-2 0-8 0 0,2 1 528 0 0,1 0-728 0 0,-4-2 4489 0 0,-1 2-3905 0 0,2 0-104 0 0,0 0 0 0 0,2 0 24 0 0,1 0-128 0 0,4 0-16 0 0,0 0-24 0 0,6 0 8 0 0,3-4-16 0 0,2 3 56 0 0,7-4-16 0 0,1 4-8 0 0,2-1 49 0 0,6-3-57 0 0,3 1 8 0 0,4 0 8 0 0,3 0-64 0 0,3 3 8 0 0,1-1-8 0 0,0 0-16 0 0,1 2 8 0 0,2 0-16 0 0,-4 0 8 0 0,4 0 0 0 0,0 0-16 0 0,-3 2-24 0 0,2-2-16 0 0,-2 0 0 0 0,1 3-32 0 0,0-3 8 0 0,-1 0-8 0 0,3 4-8 0 0,-3-4 0 0 0,2 0 0 0 0,-2 0 0 0 0,1 0 8 0 0,1-4 0 0 0,-4 4 0 0 0,-2-3 0 0 0,-3 3 0 0 0,-2-2 8 0 0,-6 1 8 0 0,-3-2 8 0 0,-2 2 0 0 0,-6 1 24 0 0,-4 0 40 1669 512,-5 0 16-1669-512,-2 0 8 0 0,-4 0 48 0 0,-2 0-8 0 0,0 0-8 0 0,0 0 8 0 0,-1 0-16 0 0,-2 0-80 1724 491,-2-2 8-1724-491,-4 1-16 0 0,-1 0-72 0 0,-4-1 0 0 0,-6 0-8 0 0,1 2-8 0 0,-7-1 0 0 0,-2 1 8 0 0,-4-3 8 0 0,-2 3-16 0 0,-1-2 16 0 0,-2 2 0 0 0,-6 0-8 0 0,3 0 16 0 0,-2 0-8 0 0,-2 0 16 0 0,-2 2-8 0 0,-4 1 0 0 0,0-2 16 0 0,0 1-8 0 0,-3 1 8 0 0,3 0 0 0 0,1 1 0 0 0,-2-1 8 0 0,5 0 0 0 0,2 1 0 0 0,1 0 0 0 0,6 0 8 0 0,3-1 0 0 0,3 0 0 0 0,3-2 0 0 0,4 0-8 0 0,5-1 0 0 0,6 3 0 0 0,2-2-8 0 0,3 0-40 0 0,6-1-16 0 0,0 0 8 0 0,2 0-32 0 0,1-1 8 0 0,0 1 0 0 0,1 0-8 0 0,4 0 24 0 0,3 0 24 0 0,3 0 8 0 0,6 0 8 0 0,1 0 16 0 0,9-1 24 1257-781,0-2 8-1257 781,8 2 8 0 0,2 0 16 0 0,1-4 0 0 0,3 0 8 0 0,4 1 0 0 0,0-3 0 0 0,4 3 0 0 0,2-1 0 0 0,-5-1-8 0 0,9 0-8 0 0,-3 0-8 0 0,0 3-16 0 0,0-2 16 0 0,2-1-24 0 0,-1 1 0 0 0,0 1-8 0 0,2 0 8 0 0,0 0-16 0 0,-2 1 16 0 0,-3-2-8 0 0,1 3 0 0 0,-1 0 0 0 0,-4-2 0 0 0,-2 1 8 0 0,-2 2-8 0 0,0-3-8 0 0,1 2 8 0 0,-6-1-8 0 0,3 1 0 0 0,-4 0 8 0 0,0 1-8 0 0,-7-1 0 0 0,0 1 0 0 0,-3 1 0 0 0,-2-1 0 0 0,-6 1 16 0 0,4 1-8 0 0,-7 0 16 0 0,-2 0 24 0 0,-6-1 8 0 0,-1 1 0 0 0,-2-1 32 0 0,-4 0-32 0 0,0 1-8 0 0,-2-1 16 0 0,-1 0-40 0 0,-6 0-24 0 0,-1 0-16 0 0,-4 0 0 0 0,-3 0-40 0 0,-8 0 8 0 0,3 0 8 0 0,-8-1-8 0 0,-3 1 16 0 0,-4 0 0 0 0,-5 1-8 0 0,-3-1 8 0 0,-4 2 0 0 0,-1 0-8 0 0,-3 0 8 0 0,-2 4-8 0 0,-3-5 8 0 0,-5 2 8 1742 447,3 2 8-1742-447,-3-2 0 0 0,-3 3 16 0 0,2-3 0 0 0,2 1 0 0 0,-3 1 8 0 0,6-2 8 0 0,3 1 0 0 0,-1 1-8 0 0,5-3 0 0 0,4 3 8 0 0,1-3 0 0 0,4-1 8 0 0,0 1-16 0 0,5 0 16 0 0,0 0-16 0 0,6-2 8 0 0,2 0 8 0 0,2 0-16 0 0,5 2 0 0 0,3-2-8 0 0,-1 0 0 0 0,8 0 0 0 0,-2 0 0 0 0,4 0-8 0 0,4 0-16 0 0,1-2-8 0 0,3 2-88 0 0,1 0 8 0 0,1 0 16 0 0,0 0-80 0 0,0 0 48 0 0,1 0-8 0 0,2 0-24 0 0,3 0 80 0 0,2 0 40 0 0,5 0 40 0 0,2 0-8 0 0,8 0 56 0 0,0 0 32 0 0,4-1 16 0 0,7-3 0 0 0,3 2 16 0 0,8-2-24 0 0,0-2-8 0 0,8 2 8 0 0,6-3-32 0 0,3 2-24 0 0,5-1-8 0 0,3-1 8 0 0,4 1-24 0 0,5 1 8 0 0,2-2-16 0 0,2 0 0 0 0,0 2 8 0 0,1-2 16 0 0,1 6-16 0 0,-5-6 0 0 0,-1 4 8 0 0,0 0-8 0 0,0 0 24 0 0,-1 2-24 0 0,-1 0-8 0 0,-2 1 0 0 0,3 0 8 0 0,-4 0 0 0 0,2 0 0 0 0,-4 1-8 0 0,1 0 8 0 0,-1 1-8 0 0,-6 1 8 0 0,1 1-8 0 0,-7-3 0 0 0,-4 2 8 0 0,1 0-8 0 0,-5-2 8 0 0,-5 2 0 0 0,-1 1 0 0 0,-3-4 0 0 0,-4 1 8 1792 423,-3 1 8-1792-423,-4-1-8 0 0,-1 1 8 0 0,-7-2 0 0 0,-4 2 16 0 0,-4-1 0 0 0,-2-1 8 0 0,0 1 40 0 0,-7-1 8 0 0,-3 0 8 0 0,-2 0 40 0 0,-1 0-56 1841 400,-2 0-8-1841-400,1-1 16 0 0,-2 0-56 0 0,-2-1-40 0 0,-3 1-24 0 0,-8-2-16 0 0,0 1-40 0 0,-3 2 24 1888 375,-4-4-16-1888-375,-4 3 8 0 0,-3-1 16 0 0,-6 2 8 0 0,-1 0 16 0 0,-1 0-8 0 0,-3 0 24 0 0,-4 0-16 0 0,-1 0 16 0 0,-4 3-8 0 0,-3 0 0 0 0,-2-2 16 0 0,-6-1 0 0 0,-6 0-16 0 0,-4 2 16 0 0,-3 0-8 0 0,-6 0 8 0 0,-4 1 0 0 0,-1 0 0 0 0,-1 3 0 0 0,-6-5 0 0 0,-6 0 0 0 0,5 1 8 0 0,-3 0 0 0 0,2 0 0 0 0,-6-1 0 0 0,3-1 0 0 0,0 0 0 0 0,1 0 0 0 0,-1 0 8 0 0,3 0 0 0 0,4-3 8 0 0,2 2 8 0 0,4 0 0 0 0,5-1 16 0 0,5 2-16 0 0,5-1 8 0 0,4 0 0 0 0,8 1-8 0 0,4 0 0 0 0,6-3-8 0 0,4 2-8 0 0,7 1 16 0 0,1-1-16 0 0,8 0-8 0 0,5 1 0 0 0,2-1-8 0 0,1 0 0 0 0,6 0 0 0 0,1 0-16 0 0,4-1 0 0 0,2 2-32 0 0,0 0 0 0 0,3-1 0 0 0,1 1-32 0 0,1 0-24-1888-375,0 0 0 1888 375,1 0-8 0 0,-1 0-16 0 0,1 0 24 0 0,1 1 0 0 0,4 3 0 0 0,0-2 32 0 0,6 1 16-1841-400,0 0 24 1841 400,9-2 0 0 0,0-1 24 0 0,3 1 8 0 0,7-2 16 0 0,3 0 0 0 0,3-2 16 0 0,8 0 8 0 0,5-1-8 0 0,2 0 0 0 0,7 0 8 0 0,6 0-16 0 0,1 1 0 0 0,7-2 0 0 0,2 1-16 0 0,6-3 0 0 0,2 4 0 0 0,5-1 0 0 0,3-5 0 0 0,6 4 0 0 0,-2-1 0 0 0,3 0 0 0 0,1-1 0 0 0,1 5-8 0 0,-2-3 0 0 0,2 1 0 0 0,0 0 0 0 0,-5 0-8 0 0,-1 2 8 0 0,-4 2 0 0 0,0-3 0 0 0,-6 0 0 0 0,-2 2 0 0 0,-6 0 0 0 0,0 0 0 0 0,-6 1 0 0 0,-3 0-8 0 0,0-1 8 0 0,-4 0-8 0 0,-4 0 8 0 0,-2-1 0 0 0,-3 0 0 0 0,-6 1 0 0 0,0 0 8 0 0,-8 1 16 0 0,0-1 0 0 0,-7 0 8 0 0,-2 1-16 1841 400,-6 0-8-1841-400,-7-1 24 0 0,3 2-24 0 0,-8-2 16 0 0,-2 1 8 0 0,-4-2-32 0 0,-2 2 32 0 0,-3 0 24 0 0,-1 0 24 0 0,-1 0-16 0 0,-1 0 32 0 0,1 0-32 1888 375,-1 0 0-1888-375,1 0 0 0 0,-1 0-32 0 0,1 0-48 0 0,0 0-24 0 0,-2 0 8 0 0,-2 0-56 0 0,-3 0 32 0 0,-3-2-8 0 0,-2 2-8 0 0,-8 0 40 0 0,4 0 8 1935 349,-7 2 8-1935-349,1-2 0 0 0,-5 3 16 0 0,3-1 0 0 0,-2 0 0 0 0,-4 2 8 0 0,2-2 0 0 0,-7-1 0 0 0,-2 1 0 0 0,0 1 8 0 0,-3 1-8 0 0,-9-3 0 0 0,-4 0 0 0 0,-1 5-8 0 0,-6 0 8 0 0,-4-2-8 0 0,-8-2 8 0 0,-1 5 0 0 0,-6-6-8 0 0,-3 6 8 0 0,-2-3 0 0 0,-3 0 0 0 0,-3-2 8 0 0,-2-1 0 0 0,0 2 0 0 0,3-3 0 0 0,-1 5 0 0 0,1-5-8 0 0,4 0 8 0 0,-2 1-8 0 0,5-1 0 0 0,-3 1 0 0 0,6 1 0 0 0,-3-1 0 0 0,4 2 0 0 0,-3-1 0 0 0,4 2 8 0 0,1-3-8 0 0,1 0 8 0 0,5-1-8 0 0,0 0 8 0 0,5 2 0 0 0,4-4-8 0 0,5 2 56 0 0,5-1-64 0 0,3 1 16 0 0,4-1 16 0 0,6-2-16 0 0,3 2 0 0 0,4-2 8 0 0,4 1-24 0 0,7 1-24 0 0,-1-2 24 0 0,6 2-8 0 0,-1-3-8 0 0,5 3-8 0 0,3 1 0 0 0,-1 0 0 0 0,3 0-16 0 0,-2 0 16-1935-349,-3 5-8 1935 349,6-5 0 0 0,0 1 8 0 0,0 2 8 0 0,-1-3-8 0 0,-1 1 8 0 0,2 1 8 0 0,2 0-16-1888-375,-1 1 0 1888 375,2-1 0 0 0,1-1-8 0 0,0-1-32 0 0,1 0 0 0 0,0 1-8 0 0,0-1-24 0 0,1-1-8 0 0,-1 1 8 0 0,0 0-8 0 0,3 1 16 0 0,3 2 16-1841-400,3 0 8 1841 400,4-2 0 0 0,2 1 40 0 0,5-1 16 0 0,1 2 0 0 0,9-2 0 0 0,7-1 16 0 0,3 0 16 0 0,7 0-8 0 0,5 0 8 0 0,7-1-8 0 0,1-3 8-1792-423,10 2 0 1792 423,3 1-8 0 0,2-5 8 0 0,6 4-16 0 0,2-3 8 0 0,7 1 0 0 0,1 1-8 0 0,4 1-8 0 0,-1-3 8 0 0,7 1-8 0 0,-2 1 8 0 0,2 0-8 0 0,2-1 8 0 0,-2 3-8 0 0,1-5 0 0 0,2 5 0 0 0,-4 1 0 0 0,-2-3 0 0 0,0-1 0 0 0,-4 4 8 0 0,-4-1 0 0 0,-5 0-8 0 0,-3 0 0 0 0,-7 1 0 0 0,-1 0 0 0 0,-7 0 8 0 0,-5 0-8 0 0,-4 1 0 1792 423,-5-1 8-1792-423,-5 1 0 0 0,-2-1 0 0 0,-7 0 0 0 0,-3 0 0 0 0,-3 0 0 0 0,-8-1 0 0 0,1 0 8 1841 400,-4 0 0-1841-400,-4 0 8 0 0,-1 0 0 0 0,-3-1 16 0 0,0 1 0 0 0,-4 0 16 0 0,-4 0 0 0 0,-1 1 16 0 0,-2 0-16 0 0,-2 0 0 0 0,-1 0 16 0 0,0 0-64 1888 375,0 0-16-1888-375,-1 0 8 0 0,1 0-56 0 0,-1 0-40 0 0,-4 0 0 0 0,-1-1-16 0 0,-5 0-8 0 0,-2 0 24 0 0,-4 2 8 0 0,-3 0-8 0 0,-2 0 40 0 0,-3 2 16 1935 349,-6 0 16-1935-349,-2 0-8 0 0,-4-1 32 0 0,-2 5-8 0 0,-4-6 8 0 0,-6 6 0 0 0,1-3 0 0 0,-5 1 16 0 0,-3-3-16 0 0,-1 2 8 0 0,-5 1 0 0 0,-2-2-8 0 0,-5 0 8 0 0,-5 0 8 0 0,-1 1-8 0 0,-3-2 8 0 0,-4 1 8 0 0,-1 0-24 0 0,-1-2 0 0 0,-3 1 16 0 0,-4 2 8 0 0,3-3-16 0 0,-1-1 8 0 0,1 0 8 0 0,-3 1-16 0 0,3 0 48 0 0,-3-1-32 0 0,8 1 0 0 0,0-1 8 0 0,5 0-8 0 0,1 0 0 0 0,8-1 8 0 0,4 0-8 0 0,4 0 8 0 0,3-3 0 0 0,4 1 0 0 0,1-1 0 0 0,6 0 0 0 0,0 0 8 0 0,2 1-32 0 0,-1 1 0 0 0,2 1-8 0 0,4 1-8 0 0,-4 1-8 0 0,3 1 0 0 0,-1 1-16 0 0,4 1 8 0 0,-3 0 8 956-892,4 0 0-956 892,2 3 8 0 0,4-3 0 0 0,1 1 0 0 0,3 0 8 0 0,2 0 8 0 0,1-4 0 0 0,5 2 8-1876-331,1 0 0 1876 331,6-2 0 0 0,-6-1 0 0 0,7 0 8 0 0,-1 0-24 0 0,2 0 16 0 0,4 0-16 0 0,-1 0 0-1835-355,-2 0 0 1835 355,4 0-8 0 0,3 0-8 0 0,-1 0-32 0 0,2 0-24 0 0,1 0 0 0 0,0 0-40 0 0,0 0-24 0 0,0 0 8 0 0,0 0-8 0 0,1 0-16 0 0,0 0 64 0 0,3 1 16 0 0,7-1 8 0 0,1 1 64 0 0,5-1 40 0 0,7-1 0 0 0,3 1 8 0 0,7-1 32 0 0,10-2-16-1793-380,-1-1-8 1793 380,8 2 8 0 0,9-4-16 0 0,-3 0-8 0 0,7 3 0 0 0,4 0-16 0 0,1-2 8 0 0,7 2-16 0 0,-1 0 8 0 0,4 0 0 0 0,3-1-16 0 0,5 2 8 0 0,1-2-16 0 0,3 2 16 0 0,0-1-8 0 0,4 2-8 0 0,1-4 8 0 0,1 2-8 0 0,2 1 8 0 0,1-1-8 0 0,-3 0 8 0 0,3 0-8 0 0,-1 0 0 0 0,-2-1 8 0 0,2 3 0 0 0,-4-1-8 0 0,1-2 8 0 0,-5 3 0 0 0,-5 1-8 0 0,-3 0 8 0 0,-2 0-8 0 0,-6 0 0 0 0,0 0 0 0 0,-4 1 8 0 0,-5 2-8 0 0,1-2 8 0 0,-8 1-8 0 0,-4-2 8 0 0,-2 0 0 0 0,-6 0 0 0 0,-8 1 8 0 0,-1-1-8 0 0,-6 0 0 0 0,-6 0 0 1793 380,0 3 0-1793-380,-5-2 8 0 0,-7 1 0 0 0,1-2 0 0 0,0 0-8 0 0,-5 0 8 0 0,-6 1-8 0 0,2-1 32 1835 355,-4 0 24-1835-355,-1 0-32 0 0,-1 0 32 0 0,0 0-32 0 0,0 0 16 0 0,0 0 0 0 0,0 0-32 0 0,0 0 0 0 0,0 0-48 0 0,0 0 32 0 0,0 0-40 0 0,-2 0 0 1876 331,-4 0-8-1876-331,1 0 0 0 0,-5-1-8 0 0,-5 1 8 0 0,-2 0 16 0 0,-1 1-8 0 0,-3-1 24 0 0,-6 1 8 0 0,0 1-8 0 0,-9 0 8 0 0,2 0 8 0 0,-8-1 0 0 0,-1 0 0 0 0,-9 0 0 0 0,-2-1 8 0 0,-3 0-8 0 0,-9 0 0 0 0,0-1 8 0 0,-6-1-8 0 0,-5-1 8 0 0,-1-1-8 0 0,-5 1 8 0 0,0-1 0 0 0,-5 0 8 0 0,-1 0-8 0 0,-1-2 16 0 0,1 1 0 0 0,-3-2 40 0 0,0 5 0 0 0,-2-5-8 0 0,0 3 40 0 0,4-3-32 0 0,-1 0 24 0 0,-1 2 0 0 0,-2-4-24 0 0,9 2-16 0 0,-3 1 8 0 0,5-3-16 0 0,1 3 0 0 0,5-1-8 0 0,1 4-8 0 0,6 0 0 0 0,2-4-24 0 0,1 3 8 0 0,4-2-8 0 0,5 4 8 0 0,1-3-8 0 0,3 2 0 0 0,3-2-8 0 0,4 3 8 0 0,-1 1-8 0 0,8 1 0 0 0,-2 0-8 0 0,4 2 8 0 0,3-1-16 0 0,5 4 16 900-898,-1-2-8-900 898,3 1 8 0 0,2-2 0 0 0,-1 2 8 0 0,2 1-8 0 0,4 0 8 0 0,-5-1 0 0 0,3 1 0-1819-314,0-3 0 1819 314,2 1-8 0 0,2 1 0 0 0,-2 0 0 0 0,7 0-8 0 0,0-2 8 0 0,-3-1-16 0 0,8 2-16 0 0,2-1 0 0 0,2-2-8 0 0,3 0-32 0 0,1 1-48 0 0,1-1-8 0 0,0 0 8 0 0,1 0-48 0 0,-1 4 48 0 0,2 2-16 0 0,3 1 0 0 0,2-2 56 0 0,5 1 8 0 0,5-2 24 0 0,2 1-8 0 0,6-2 16 0 0,4-1 16-1783-337,2-1 8 1783 337,4 2 0 0 0,9-2 8 0 0,4-1 16 0 0,6-1 8 0 0,6-2 8 0 0,7 2 8 0 0,2-1 0 0 0,6-1 8 0 0,5-3 0 0 0,-1 1 0 0 0,6 2-16-1745-360,-3-1 0 1745 360,7-4 0 0 0,0 2-16 0 0,1 0 16 0 0,3 0-16 0 0,-1-4 8 0 0,5 3 0 0 0,0 3-8 0 0,2-3 8 0 0,-1 4 0 0 0,1-2 0 0 0,-3 0-8 0 0,1 3 0 0 0,-2 1 0 0 0,0-3 0 0 0,-6 2 0 0 0,-2-2 0 0 0,-1 4-8 0 0,-6-2 0 0 0,-4 2 8 0 0,-5 2 0 0 0,-3 1-16 0 0,-8-1 8 0 0,-6 3 8 0 0,-6-4-8 0 0,-9 1 0 0 0,-3 4 0 0 0,-4-2 8 0 0,-9-1 0 0 0,-2 2-8 0 0,-3-1 8 0 0,-3-3 16 0 0,-4 3 24 0 0,-5-4-8 0 0,1 2 32 0 0,-4-2 16 0 0,-2 1 0 0 0,-1-1 16 0 0,-1 0 8 0 0,1-1-48 0 0,-1 1-8 0 0,1 0 0 0 0,-1 0-48 0 0,-6-2-24 0 0,1 2 0 0 0,-5-4-8 0 0,-4 3-8 0 0,4-1 16 0 0,-6 2 0 0 0,4 0 0 0 0,-3 0 8 0 0,-5 0 16 0 0,2 2 0 0 0,-4-1 0 0 0,-5 3 0 0 0,1-2 8 1745 360,-5 2 16-1745-360,-7-2 0 0 0,0 4 0 0 0,-6-5 0 0 0,-2 3-8 0 0,-4-3 8 0 0,-7 1-8 0 0,-1 1-8 0 0,-5 0 0 0 0,-8 0 8 0 0,-2 1-16 0 0,-7 1 0 0 0,-4-2 0 0 0,-6 1 0 0 0,-3-1 0 0 0,-5 0 0 0 0,-4 2 0 0 0,-1-2 8 0 0,-4 0-8 0 0,4 3 8 0 0,-1-4 8 0 0,0 5 8 0 0,3-1 8 0 0,2-1 40 0 0,1 2-8 0 0,4-6-8 0 0,2 6 32 0 0,4-1-32 0 0,0-1 8 0 0,6-1 0 0 0,4 1-40 0 0,4-1-8 0 0,9 0 0 0 0,6 1 0 0 0,5-1-8 0 0,8 0 0 0 0,10-3 0 0 0,0 1-8 0 0,11 2 0 0 0,8-3 0 0 0,4-1-24 0 0,6 1 0 0 0,2-1-32 0 0,6 1-40 0 0,0-1-24 0 0,3 0 16 0 0,-2 0-56 0 0,0 0 32 0 0,1 1-8 0 0,4 2 0 0 0,0 0 40 0 0,6 0 40 0 0,3-1 16 0 0,9 2 16 0 0,5-4 32 0 0,4 0 40 0 0,9 0 0 0 0,3-4 0 0 0,10 1 24 0 0,4-3-16 0 0,6 1 0 0 0,8-2-8 0 0,5-1-24 0 0,5-1 0-1745-360,4 3-16 1745 360,5-3 8 0 0,0 0-16 0 0,4 1 8 0 0,2 0-8 0 0,1 4 8 0 0,-3-3 0 0 0,5-1-8 0 0,-2 4 0 0 0,-1-2 0 0 0,4 3 0 0 0,-6-3 0 0 0,3 3 8 0 0,0 1-8 0 0,-6 0 0 0 0,2 1 0 0 0,-4 0 0 0 0,-2 1 0 0 0,-1 0 0 0 0,-8 2 8 0 0,-6 0-8 0 0,-2 0 0 0 0,-8 1 0 0 0,-7-1 8 0 0,-5 4 0 0 0,-8-3 8 0 0,-6 1-8 0 0,-7-1 8 0 0,0-1 0 0 0,-5 2 8 0 0,-5-2 8 0 0,2 1 8 1745 360,-4-2 8-1745-360,-3 1 0 0 0,-2-2 16 0 0,-3 0 16 0 0,-2 0 24 0 0,-3 0 8 0 0,-5 0 32 0 0,0 0-24 0 0,-1 0-24 0 0,-1 0 8 0 0,0 0-24 0 0,-4-2-80 0 0,-4-1-16 0 0,0-1-16 0 0,-8 0-72 0 0,-2 3 16 0 0,-3-3 0 0 0,-11 1-16 0 0,-3 1 32 0 0,-5 1 8 0 0,-2 0 16 0 0,-6 1-8 0 0,-7-1 16 0 0,-2 1 8 0 0,-4 1 8 0 0,-8-1-8 0 0,1 2 16 0 0,-12 0 8 0 0,0 1-8 0 0,-8 1 16 0 0,-2-2 0 0 0,-4 4 0 1783 337,-5 0 0-1783-337,-2-1 0 0 0,-3 0 8 0 0,1-1 16 0 0,-3 3-16 0 0,1-1 0 0 0,-1-1 8 0 0,3-1 8 0 0,3 1 0 0 0,1-1 8 0 0,8 0-8 0 0,1 2 8 0 0,6-3 16 0 0,8 1-8 0 0,7-3 0 0 0,5 6-16 0 0,7-7 8 0 0,13 2 0 0 0,4 0-24 0 0,10 0-8 0 0,6 0-32 0 0,6-1-16 0 0,8-1-40 0 0,4 1-64 0 0,4-1 0 0 0,3 0 16 0 0,2 0-72 0 0,2 0 88 0 0,5 1 8 0 0,9 0-8 0 0,4 0 112 0 0,8-1 8-1783-337,2 0 40 1783 337,13-1 0 0 0,4 0 24 0 0,3-2-8 0 0,8-2 8 0 0,5 2 8 0 0,4-4-16 0 0,6 0 16 0 0,6-2-16 0 0,2 3 0 0 0,5-3 8 0 0,5 1-16-1745-360,7-2-8 1745 360,-1 3 0 0 0,4 4-16 0 0,8-1-16 0 0,-3-2 8 0 0,2 0 0 0 0,-2 5-8 0 0,4 0 0 0 0,-6-2 0 0 0,-2 0 0 0 0,0 2 0 0 0,-9-1 8 0 0,-1 0-8 0 0,-5 2 0 0 0,-3-1 0 0 0,-7 1 0 0 0,-6-2-8 0 0,-7 2 16 0 0,-2 0-8 0 0,-7 2 0 0 0,-1-2 0 0 0,-10 0 0 0 0,-3 0 0 0 0,-1 1 16 0 0,-9 0 0 0 0,-1 0-8 0 0,-6 0 8 0 0,-4 0 8 1745 360,-5 0 8-1745-360,-1 1 8 0 0,-2-2 0 0 0,-5-2 0 0 0,2 1 8 0 0,-4 1 0 0 0,-1-2 0 0 0,1 1 16 1783 337,-4 0 0-1783-337,1 1 0 0 0,0-1 8 0 0,-4 1 8 0 0,1 0-8 0 0,-2 0-8 0 0,1 0 8 0 0,0-2-80 0 0,0 2 0 0 0,-3-4 0 0 0,1-1-80 0 0,-4-1-32 0 0,-3 0-8 0 0,-2 2 0 0 0,-6 3-32 0 0,-4-1 40 1819 314,-3 2 0-1819-314,-6-2 0 0 0,-10 2 48 0 0,0 2 16 0 0,-12-2-8 0 0,-2 2 24 0 0,-7-2 8 0 0,0 1 16 0 0,-11 3 0 0 0,1 1-16 0 0,-4-3 24 0 0,-6 1 0 0 0,0 2 16 0 0,-7-1-16 0 0,-3 3 0 0 0,-5-1 8 0 0,-1-1-8 0 0,-7 3 16 0 0,-2 0-16 0 0,1-1 0 0 0,-10 0 16 0 0,3 1-8 0 0,0-2 0 0 0,1 3 0 0 0,-1-3 0 0 0,4 2 0 0 0,-1-1 8 0 0,10 0 0 0 0,1-4 0 0 0,2 1 0 0 0,9 1 8 0 0,3-1 8 0 0,6 0 8 0 0,5-3 0 0 0,-1 3 8 0 0,10-1-16 0 0,4-1 0 0 0,6 0 0 0 0,4 1-16 0 0,6 0-16 0 0,2-1 0 0 0,8 2-8 0 0,3-2-8 0 0,5 1 8 0 0,4 0-8 0 0,1-2 8 0 0,3 2 0 0 0,7 0 0 0 0,3-2 8 0 0,4 0 0 0 0,0-1 0 0 0,3 2 8 0 0,1-2 0 0 0,-1 0-8 0 0,0 0 16 0 0,0-2-16-1819-314,0 2 0 1819 314,-2 0 0 0 0,2 0 0 0 0,0 0-32 0 0,-1 0-24 0 0,-1 0 8 0 0,2 0-32 0 0,0 0-40 0 0,0 0 8 0 0,1 0-8 0 0,0 0-24 0 0,0 0 40 0 0,0 0 8 0 0,0 0-8 0 0,2 2 48 0 0,4 2 32 0 0,1-1 0 0 0,3-2 8 0 0,0-1 16 0 0,5 0 24 0 0,1 0 8 0 0,9-1 0 0 0,0 0 16 0 0,5-2 0 0 0,5-2 8 0 0,4 0 0 0 0,11 1 0 0 0,5-2 0 0 0,6 0 0 0 0,5 1-8 0 0,11 0 0 0 0,3-1-16-1783-337,9 2 0 1783 337,-2 0 0 0 0,6 0-8 0 0,6-1-8 0 0,1 3 0 0 0,3 0 0 0 0,3 0-8 0 0,6 2 16 0 0,-2-4-8 0 0,7 1-8 0 0,-2 3 8 0 0,3-1-16 0 0,-3-2 16 0 0,2 2 0 0 0,-6-1-8 0 0,2 1 0 0 0,-7 0-8 0 0,1-1 8 0 0,-9 2 0 0 0,-2 0 8 0 0,-2 0-8 0 0,-9 2 0 0 0,-4-1 8 0 0,-3-1-8 0 0,-4 1 0 0 0,-6 1 8 0 0,-6-1-8 0 0,-1 2 0 0 0,-6-3 0 0 0,-8 1 8 0 0,-5-1-8 0 0,-1 2 16 0 0,-8-1 0 0 0,-3 3-8 0 0,-4-4 16 0 0,-6 0 0 0 0,-2 0 0 0 0,2 1 8 0 0,-9-1-8 0 0,3 0 0 1783 337,-3 1-8-1783-337,-3-2 8 0 0,1 1-16 0 0,-2-1-32 0 0,1 1-72 0 0,0 0-32 0 0,-1 0-80 0 0,-2 0-656 0 0,0 0-448 0 0,-2 0 560 0 0,0 0 752 0 0,-2 0-753 0 0,0 0-10561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2"/>
    </inkml:context>
    <inkml:brush xml:id="br0">
      <inkml:brushProperty name="width" value="0.05" units="cm"/>
      <inkml:brushProperty name="height" value="0.3" units="cm"/>
      <inkml:brushProperty name="color" value="#004F8B"/>
      <inkml:brushProperty name="inkEffects" value="pencil"/>
    </inkml:brush>
  </inkml:definitions>
  <inkml:trace contextRef="#ctx0" brushRef="#br0">186 400 1896 174960 39891,'1'-2'184'0'0,"1"0"209"0"0,0 0 15 0 0,1-2-72-180 991,-1 3 336 180-991,-1 0-112 0 0,0 1 72 0 0,-1-2-216-186 991,0 2-56 186-991,0-1 16-192 990,0 1-240-6 0,0-1 88 198-990,0-1-56-204 990,0-1-16 204-990,0 2 73 0 0,0-2-89-212 988,0 1 8 212-988,0 0 24 0 0,0 1-96 0 0,0-2 0 1035 52,0 1-24-1035-52,0 0-16 0 0,0-2 16 0 0,0 2-24 0 0,0 2 16 0 0,0-2-8 0 0,0-1-16 0 0,0 2 56 0 0,0-2 0 0 0,0 3 0 0 0,0-3 48 0 0,0 2-32 0 0,0-2 0 0 0,0 3 8 0 0,0-1-32 0 0,3-2-24 1035 42,0 6-16-1035-42,-1 3-8 0 0,0 3-16 0 0,-1 3 0 0 0,0 6 0 0 0,0 5 8 0 0,-1 4-8 0 0,0 6 8 1036 33,0 3-8-1036-33,0 2 16 0 0,-1 1-16 0 0,0 6 0 0 0,1 0 8 0 0,0 1-8 0 0,-1-1 0 0 0,1 2 8 0 0,0-4 0 0 0,0 0-8 0 0,0-5 16 0 0,0-1-8 0 0,0-5-8 0 0,-1 0 16 0 0,-1-3-16 0 0,0-3 8 0 0,-2-2 0 0 0,2-3 0 0 0,0 1 0 0 0,0-3-8 0 0,1-3 0 0 0,1 0 8 0 0,0-5-8 0 0,1-2-24 0 0,0-1-8 0 0,0-6 0 0 0,-1 1-24 0 0,1-3-32-1036-33,-1 0 8 1036 33,0-1 8 0 0,0 1-32 0 0,0-2 72 0 0,0 0 0 0 0,1-5-16 0 0,0-3 72 0 0,2-1-16-1035-42,-2-8 24 1035 42,-1-2 0 0 0,0-2-16 0 0,0-8 0 0 0,0-2 0 0 0,-1-2-8 0 0,-1-8 0 0 0,1-3 8 0 0,-1-2-16 0 0,0-6 8 0 0,0 1-8 0 0,-1-5 16-1035-52,2 3-8 1035 52,-1 5 8 0 0,0-3-8 0 0,-1 8 24 0 0,2 3 8 0 0,0 6 0 0 0,-1 6 16 0 0,-1 3 40 0 0,0 4 0 0 0,0 4 8 0 0,-2 4 32 0 0,2 0-40 0 0,1 4-8 0 0,0 1 16 0 0,0 2-48 0 0,1-1-24 1035 52,-1 5-8-1035-52,1 1-8 0 0,0 1-16 0 0,1-2 0 0 0,0 2 0 0 0,0 2 8 0 0,0 0 0 0 0,0 2 40 1035 42,0-2-8-1035-42,0-2 8 0 0,0 2 40 0 0,0 0-32 0 0,0-2 0 0 0,0 2 0 0 0,0-1-40 0 0,1 1-32 1036 33,-1 0 0-1036-33,1 3-8 0 0,0 6-40 0 0,-1 3 40 0 0,1 3-16 0 0,-1 3 8 0 0,0 5 24 0 0,0 5 8 0 0,1 2 0 0 0,-1 4 0 0 0,0 1 0 0 0,0 3 8 0 0,0 4 0 0 0,-1 1 0 0 0,1 4 8 0 0,-2 2-8 0 0,1 1 0 0 0,0-1 8 0 0,-2 0-8 0 0,2-3 0 0 0,0 0-8 0 0,0-5 0 0 0,0-1 8 0 0,1-6-8 0 0,0-2 0 0 0,0-5 8 0 0,0 0-8 0 0,0 1 0 0 0,1-5 0 0 0,1-2 0 0 0,-1 0 0 0 0,2 0 0 0 0,0-2 0 0 0,-2 3 0 0 0,1-3 8 0 0,1-3 0 0 0,-2 0 0 0 0,1-3 0 0 0,0-2 0 0 0,-1-2-8 0 0,2-2 0 0 0,-3-4-24 0 0,1 0-8 0 0,-1-2-16-1036-33,0-1-8 1036 33,0 0 0 0 0,0-4-16 0 0,0 0 32 0 0,0-5-16 0 0,-1-6 8 0 0,0-5 24 0 0,1-4 0-1035-42,0-5 8 1035 42,-2-3 0 0 0,1-3 8 0 0,-1-3-8 0 0,0-5 8 0 0,0-3 0 0 0,1-1 0 0 0,0-5 0-1035-52,0 0-16 1035 52,1 0-8 0 0,0-9 0 0 0,0 3-48 0 0,1-1-8 0 0,-1 0 8 0 0,0-1-40 0 0,0 6 24 0 0,-1 1 16 0 0,0 2-8 0 0,-2 7 56 0 0,-2 4 24 0 0,1 5 16 0 0,-1 5 32 0 0,-1 4 48 0 0,2 6 32 0 0,0 4 8 0 0,0 7-16 0 0,1 1 56 0 0,0 2 16 1035 52,2 5-8-1035-52,0 0-40 0 0,1 1 16 0 0,0 1-120 1035 42,0 0-16-1035-42,-3 1 24 0 0,-1 2-128 0 0,-1-1 16 0 0,1 8-24 0 0,0 3-16 0 0,1 2 40 0 0,1 6 16 1036 33,0 4 16-1036-33,1 5 8 0 0,1 7 16 0 0,0 4 8 0 0,0 4 8 0 0,0 5-8 0 0,0 5 8 0 0,0 3 0 0 0,0 1 0 0 0,0 3 0 0 0,0-2 8 0 0,0-2-8 0 0,0-3 0 0 0,0-5 0 0 0,1 1 8 0 0,0-6-8 0 0,1-8 8 0 0,-1 3-8 0 0,2-5 0 0 0,-2-4 16 0 0,1 0-16 0 0,-1-2 8 0 0,0-4 0 0 0,0-1 0 0 0,1-1 8 0 0,-2-1 0 0 0,2-2 0 0 0,0 1-8 0 0,-1-5 8 0 0,1-5 0 0 0,-1 0 0 0 0,-1-3-8-1036-33,1-6 0 1036 33,-1-1 0 0 0,0-1-8 0 0,0-2-16-1035-42,0 1 0 1035 42,0-3-8 0 0,1-4-16 0 0,0-2 24 0 0,0-4-8 0 0,0-4-8 0 0,0-10 16 0 0,0 2 8-1035-52,1-6 8 1035 52,0-5 0 0 0,1-3-8 0 0,2 1 0 0 0,-2-4 8 0 0,3-1 0 0 0,0 1-8 0 0,0-1 8-1034-61,1 0-16 1034 61,-1-2 8 0 0,2 0-8 0 0,0 1 16 0 0,-2-2-16 0 0,2 4 8 0 0,-1-3 0 0 0,0 2 0 0 0,-1 4 8 0 0,-3 4 0 0 0,1-1 0 0 0,-1 4-8 0 0,-2 3 8 0 0,0 1 0 0 0,-2 6 0 0 0,2-1 0 0 0,-1 5 8 0 0,0 0 0 0 0,0 4 0 0 0,0 5 8 0 0,0 2 16 0 0,0 3-8 0 0,0 3 0 0 0,0 1 8 1034 61,0 0 0-1034-61,0 1 8 0 0,0-1-8 0 0,0 0-16 0 0,0 2-16 0 0,0-2 8 0 0,0 0-24 0 0,0 2-8 1035 52,0 2-8-1035-52,0 5 8 0 0,1 6 0 0 0,-1 3 8 1035 42,0 5 0-1035-42,-1 4 0 0 0,0 6 16 0 0,-1 3 0 0 0,0 3-8 0 0,-1 3 8 0 0,0 3-8 0 0,1-3 8 0 0,-1 4 0 0 0,0-3 0 0 0,0 2 0 0 0,1-3 0 0 0,-1-2 0 0 0,1-4 16 0 0,1 4-16 0 0,-1-7 8 0 0,2 0 0 0 0,0-2-8 0 0,-1-1 8 0 0,1-3-8 0 0,0 1 8 0 0,0-2-8 0 0,0-3 8 0 0,0 0 0 0 0,1-1-8 0 0,-1-1 8 0 0,3-2-8 0 0,-2-2 16 0 0,1 0-16 0 0,0-5 0 0 0,-1-1 8 0 0,0-6-8 0 0,1 1 0 0 0,-2-4 0 0 0,0-2-8 0 0,0 0-8 0 0,0 0-16 0 0,0 1 16 0 0,1-1-16 0 0,0-1 8-1035-42,-1-1 0 1035 42,0-7 8 0 0,-1-10 8 0 0,0-1 0 0 0,-1-6 8 0 0,2-2 0 0 0,-1-4 0 0 0,0-4 0-1035-52,0-3 0 1035 52,0-1 0 0 0,1-6-8 0 0,0-2-8 0 0,0-7-16 0 0,1-1 8 0 0,0-4-16 0 0,0-4 8 0 0,0 2 8 0 0,1-2-8 0 0,-4 4 24 0 0,1 2 0 0 0,-1 5 0 0 0,0 9 8 0 0,0 3 8 0 0,-2 8 16 0 0,1 5-8 0 0,-1 5 8 0 0,3 5 8 0 0,-2 2 24 0 0,0 1 8 0 0,1 6-16 0 0,0 2 32 0 0,1 0-16 0 0,0 3-8 0 0,0 3 8 0 0,1 1-24 0 0,0 0-40 1035 52,0 0 0-1035-52,0 0 0 0 0,0 1-24 0 0,0-1-8 1035 42,0 0-8-1035-42,0 0 0 0 0,0 0 8 0 0,0 0-8 0 0,1 0-8 0 0,1 4 8 0 0,0 2 0 0 0,2 3 32 1036 33,0 6 0-1036-33,1 5-16 0 0,-1 2 32 0 0,0 1-8 0 0,-1 8 16 0 0,0-1 0 0 0,-1 6-16 0 0,0 1 16 0 0,-1 1-8 0 0,0 3-8 0 0,1 4 16 0 0,-1-1-8 0 0,0 1 8 0 0,0 2 0 0 0,0 1-8 0 0,-1-5 8 0 0,1 2-8 0 0,-1-2 8 0 0,1-2 0 0 0,0-1-8 0 0,1-5 0 0 0,-4-1 0 0 0,1-1 0 0 0,0 0-8 0 0,0-2 16 0 0,0-2-16 0 0,0 0 8 0 0,1-2 8 0 0,-1 0 0 0 0,1-1-8 0 0,0-4 8 0 0,1-1 8 0 0,0-1-16 0 0,-1-3 16 0 0,1-3 0 0 0,-1-3-32 0 0,0-3-8 0 0,0-3 8 0 0,1 0-40 0 0,-1-3 24-1036-33,0 0-8 1036 33,0-6-8 0 0,0-2 16 0 0,1-5 24-1035-42,-1 0 0 1035 42,0-7 0 0 0,0-5 16 0 0,-1-5-16 0 0,1 1 16 0 0,0-5-8 0 0,0-6-8 0 0,0 2 0-1035-52,0-1 0 1035 52,0 0 0 0 0,0-5 0 0 0,1 0 0 0 0,0-2 0 0 0,1-2 0 0 0,-2-4-8 0 0,2-1 0 0 0,0-4 0 0 0,-1 2 0 0 0,0-1-8 0 0,0 3 16 0 0,-1 3 0 0 0,1 3 0 0 0,-1 4 8 0 0,-1 4-8 0 0,0 0 8 0 0,0 6 8 0 0,0 4-16 0 0,1 0 8 0 0,0 4 0 0 0,0 1-8 0 0,-1-1 8 0 0,0 6 8 0 0,-1-2 0 0 0,-1 3-8 0 0,1 1 16 0 0,0 0 0 1035 52,-1 2 0-1035-52,1 2-8 0 0,-1 3 8 0 0,0-3 0 1035 42,1 8 0-1035-42,1-1 0 0 0,0 1 0 0 0,1 2 0 0 0,-1 0 0 0 0,1 2 8 0 0,0-1-16 0 0,1 0 0 1036 33,-1 1-8-1036-33,0-1 8 0 0,0 0-16 0 0,0 0 0 1035 23,0-1-8-1035-23,0 1-16 0 0,0 0 0 0 0,0-1-24 0 0,0 1 0 0 0,0 0 0 0 0,0 0-32 0 0,0 0 24 0 0,0 0 0 0 0,0 2 0 0 0,2 5 16 0 0,0-2 16 1035 14,2 10 0-1035-14,-1-3 16 0 0,0 4 8 0 0,0 7 0 0 0,2 2 8 0 0,1 1-8 0 0,-1 6 8 0 0,0-1 8 0 0,-1 6-8 0 0,-1 1-8 0 0,1 5 8 0 0,-2 4 0 0 0,1 3-8 0 0,-1 2 16 0 0,-1 3-8 0 0,1 1 0 0 0,-2 0 0 0 0,0-1 0 0 0,1-3 8 0 0,-1-4-8 0 0,1-4 8 0 0,0-2-16 0 0,0-9 8 0 0,1-3-8 0 0,0 1 0 0 0,0-3 8 0 0,-1-7-8 0 0,-1 2 8 0 0,0-3 0 0 0,0 2 0 0 0,0-3 8 0 0,0 3-8 0 0,0-5 0 0 0,0 1 8 0 0,2 0-16 0 0,-2-1 8 0 0,0-4 0 0 0,0 1-8 0 0,1-6 8 0 0,-1 1 16-1035-14,1 1-8 1035 14,1-2-8 0 0,0-5 16 0 0,0-2-8-1035-23,-1 0 0 1035 23,0-1 0 0 0,0 0 0 0 0,-1 0 0-1036-33,0-2-16 1036 33,-1 0 0 0 0,0-7 0 0 0,-1-1 40 0 0,0-1-48 0 0,-2-4 0 0 0,1-5 0 0 0,1-2-16-1035-42,-2-2 24 1035 42,1-5 0 0 0,-1-1-24 0 0,1-4-16 0 0,-1-1 40 0 0,1-1 0 0 0,0-7 0 0 0,1 3 0 0 0,-3-10 0 0 0,2 1 0 0 0,0-5 0 0 0,-1-3 0 0 0,2 2 8 0 0,-1-4-8 0 0,-2 2 0 0 0,3-2 0 0 0,0 5 8 0 0,-1 3-8 0 0,0 3 0 0 0,-1 0 8 0 0,1 4-8 0 0,0 3 0 0 0,0 2 0 0 0,0 2 0 0 0,1 1 0 0 0,-1 5 0 0 0,1-2 0 0 0,0 6 16 0 0,0 1-8 0 0,2 5 16 0 0,-1 2 0 0 0,-1 1 0 1035 42,2 5 0-1035-42,-1 0 8 0 0,0 7-8 0 0,0-2 32 1036 33,1 6 0-1036-33,-1 0 0 0 0,1 0 32 0 0,0 0 24 1035 23,0 2-8-1035-23,0 0 0 0 0,0 2 24 0 0,0-2-48 0 0,0 0 0 0 0,0 0 8 0 0,0 0-56 0 0,0 0-24 1035 14,0 0 0-1035-14,0 0-8 0 0,0 0-32 0 0,0 0-16 0 0,0 0 0 0 0,0 0-16 0 0,0 0-8 0 0,0 0 0 0 0,2 4 8 0 0,0 0 0 0 0,0 5 16 0 0,0 4 16 0 0,-2 1 0 0 0,1 6 8 0 0,-1 2 16 0 0,2 2 8 0 0,-1 1 0 0 0,1 6 0 0 0,0 0 8 0 0,0 3 0 0 0,0 6 0 0 0,0-1 0 0 0,0 6-8 0 0,-1 1 8 0 0,-1 6 24 0 0,1 4-32 0 0,0 0 24 0 0,0 6-16 0 0,0 0 0 0 0,0-1 16 0 0,0 1-24 0 0,0-3 16 0 0,1-5-24 0 0,-1-1 16 0 0,-1-6 8 0 0,1-5-8 0 0,-1-4 0 0 0,0-1 8 0 0,-1-6 0 0 0,1-1-8 0 0,-1-1 0 0 0,2-3 0 0 0,0 2 0 0 0,-1 1 0 0 0,1-5 8 0 0,0 4-16 0 0,0 1 8 0 0,0-4 8 0 0,0 4 0 0 0,-1-3-8 0 0,1-2 8 0 0,-1-3 8 0 0,0-1 8 0 0,0-2-8 0 0,0-3 0 0 0,0-5 8-1035-14,0-1 0 1035 14,0-2 8-1035-23,0-1 0 1035 23,0-4 8-1036-33,0-1-8 1036 33,0-1 8 0 0,0-1 8 0 0,0 1 16-1035-42,0-1-16 1035 42,0 1-8 0 0,0 0 8 0 0,0-1-40 0 0,0 1 8 0 0,0 0-8 0 0,-1-3-32 0 0,0-3-16-1035-52,1-7 0 1035 52,-1-3 0 0 0,0-1-8 0 0,0-7 8-1034-61,0-3 8 1034 61,0-4-8 0 0,1-3 8 0 0,-1-3 8 0 0,1-2 0 0 0,0-1 0 0 0,0-2 0 0 0,0-3 16-1034-70,0 0-8 1034 70,0-3-8 0 0,0-5 8 0 0,0-2-8 0 0,-2-7 8 0 0,2-4 0 0 0,-1-2-8 0 0,1-4-8 0 0,0-1 8 0 0,-1 0 8 0 0,1 5-8 0 0,0 4 16 0 0,0 4-16 0 0,0 9 16 0 0,-1 6 0 0 0,1 4 8 0 0,0 9 0 0 0,0 4 0 0 0,-1 6 8 0 0,1 1 8 1034 70,0 7 0-1034-70,0 0 0 0 0,1 6-8 0 0,-1 0 8 1034 61,0 2-8-1034-61,0 2 0 1035 52,0 2 0-1035-52,0 1-8 1035 42,0 0 8-1035-42,0 0 0 0 0,0 0-8 0 0,0-1 32 1036 33,0-1-8-1036-33,0 2 16 0 0,0-1 16 0 0,0 1-8 0 0,0-1 0 0 0,0 2 0 0 0,0 0-8 0 0,0 0-24 1035 23,0-1 8-1035-23,0 1-16 0 0,0 0-8 0 0,0-2-8 0 0,0 2 0 0 0,0 0 8 0 0,0 0-8 0 0,0 0-8 1035 14,0 0-8-1035-14,0 0 0 0 0,-1 0-16 0 0,1 0-16 0 0,-6 3 8 0 0,1 1-8 0 0,0 4 0 0 0,0 1 0 0 0,2 1-16 0 0,1 1 16 0 0,0 1 0 0 0,1 5 8 0 0,-2 3 8 0 0,1-2-16 0 0,-1 6 16 0 0,1 2 0 0 0,-1 2 16 0 0,3 7-8 0 0,-2 2 8 0 0,1 5 0 0 0,0 5 8 0 0,-1 3-8 0 0,0 4 16 0 0,0 6 0 0 0,-1-2-8 0 0,0 4 8 0 0,-2-2 0 0 0,0 1 0 0 0,2-5 8 0 0,2-1-8 0 0,0-8 8 0 0,1 1 0 0 0,1-5 8 0 0,1-1-8 0 0,0-5 0 0 0,-1-1 8 0 0,1-5-16 0 0,-2 2 8 0 0,0-4 8 0 0,-1 2-8 0 0,0-5-8 0 0,1-2 8 0 0,-1 0 0 0 0,1-3 0 0 0,1-2-8 0 0,-1-2 8 0 0,0-3 0 0 0,-1-2 8 0 0,1-1 8 0 0,0-3-8 0 0,0 2 8 0 0,0-1 16-1035-14,0-2-8 1035 14,0-2 16 0 0,0 0 8 0 0,0 0 16-1035-23,0-4 8 1035 23,0 0 24 0 0,0-1 24 0 0,0 0-56-1036-33,0 0 0 1036 33,0 0-7 0 0,0-1-25 0 0,0 1-40-1035-42,-1-5 0 1035 42,0 0-48 0 0,-1-1-9 0 0,-1-7 17-1035-52,1-4 0 1035 52,-1-5-8 0 0,-1-4 16 0 0,1-4 8 0 0,0-7 8 0 0,0-3-16 0 0,0-4 16 0 0,-1-1 8-1034-61,1-6-16 1034 61,1 0 8 0 0,-2-1-8 0 0,1-5-32 0 0,1-2 0 0 0,-1-5 8 0 0,2-3-32 0 0,1 1 32 0 0,-1-4 0 0 0,1 2-8 0 0,-1 1 40 0 0,0 2 0 0 0,-1 7 8 0 0,0 4 0 0 0,1 3 8 0 0,-1 9 0 0 0,0 2 0 0 0,0 6-8 0 0,0 4 8 0 0,1 5 8 0 0,0 3-8 0 0,0-1 0 0 0,0 4 0 0 0,0 2 8 1034 61,1 2 0-1034-61,-1-1 0 1035 52,0 2 0-1035-52,1 2 0 1035 42,-1 0 0-1035-42,1 1 8 0 0,0 0 0 0 0,0 3-16 1036 33,0 3 16-1036-33,0-2-16 0 0,0 5 0 0 0,0 0 0 1035 23,0 1-8-1035-23,0 1 0 0 0,0-1-8 0 0,0-2 8 0 0,0 3-8 0 0,0-3-8 0 0,0 1 16 0 0,0 0 8 1035 14,0 1 0-1035-14,0-2 0 0 0,0 0 8 0 0,0 2-8 0 0,0 0 0 0 0,0-2 0 0 0,0 0 0 0 0,0 2 0 0 0,0 0-8 0 0,0 0 0 0 0,0 1 8 0 0,0 0-8 0 0,0-1 0 0 0,0 1 8 0 0,0 0-16 0 0,0 1-8 0 0,0 2-16 0 0,-1 3 8 0 0,0 3-16 0 0,0 3 0 0 0,-1 4 0 0 0,1 1 0 0 0,-1 6 8 0 0,0 0 0 0 0,0 3 8 0 0,1 5 8 0 0,-1 2 0 0 0,0 4 8 0 0,0 2 8 0 0,1 3 0 0 0,-1-1 8 0 0,0 5 0 0 0,-1 1 8 0 0,0 6-8 0 0,1-1 16 0 0,-1 1-16 0 0,1-1 8 0 0,-1 5 8 0 0,2-3-16 0 0,-2-4 8 0 0,1-1 0 0 0,0-3-8 0 0,1-2 8 0 0,0-8 0 0 0,0-1-8 0 0,0-5 0 0 0,1-1 0 0 0,0-5 0 0 0,0 0 0 0 0,0-3 0 0 0,2-2-8 0 0,-1-2 8 0 0,2-1 0 0 0,-1-1 0 0 0,2-3 0 0 0,-1 0 0 0 0,-1-2 0 0 0,1-1 0 0 0,0-1 8 0 0,-2 2-8 0 0,2-7 0 0 0,-2 0-8 0 0,-1 1-16 0 0,0-4-32 0 0,0 0-8 0 0,0 0 8 0 0,0 0-40 0 0,0 0 16 0 0,0-1-8 0 0,0 1 0 0 0,0 0 16 0 0,0 0 16-1035-14,2-6 16 1035 14,2-1-16 0 0,-1-5 24 0 0,2 1 0-1035-23,0-4 8 1035 23,-1-1-8 0 0,1-3 8 0 0,1-2 8 0 0,-1-1-8 0 0,0-3 8 0 0,0-6-8 0 0,1 1 8-1036-33,0-3 8 1036 33,-1-7 0 0 0,0-4 0 0 0,0-5 0 0 0,0-4 8 0 0,2-2 0 0 0,-2-4 0 0 0,0-1 0 0 0,1 0 0 0 0,1 3 0 0 0,-3 2 0 0 0,1 4 0 0 0,-1 2 0 0 0,-2 9 0 0 0,0 3 0 0 0,-1 3 8 0 0,1 9 8 0 0,-2 3 0 0 0,1 5 24 0 0,-1 6-8 0 0,0 2 8 0 0,0 7 8 0 0,0 1 0 0 0,0 1-16 1036 33,-1 1 16-1036-33,1 0 0 0 0,0-1 8 0 0,0 1 0 0 0,0-1 0 0 0,0 0-16 0 0,0 0 16 0 0,0 0-48 1035 23,0 0-8-1035-23,0 0 0 0 0,0 2-56 0 0,1 2 8 0 0,0 4-16 0 0,0 3 8 0 0,0 4 8 0 0,3 2 16 0 0,-2 6 8 0 0,0 1-8 0 0,0 7 24 0 0,0 1 8 1035 14,-1 8 0-1035-14,0-2 0 0 0,-1 6 0 0 0,0 2 8 0 0,0 1-8 0 0,-1 3 8 0 0,0 3-8 0 0,0-2 16 0 0,0-1-8 0 0,1-3 0 0 0,0 1 0 0 0,-1-5 0 0 0,1-3 0 0 0,0-3 8 0 0,1-1-16 0 0,0-4 0 0 0,0-3 0 0 0,-1 0 16 0 0,1-4-8 0 0,0 0-8 0 0,-1-3 8 0 0,1-3-8 0 0,-1 0 8 0 0,1-2-8 0 0,0 1 8 0 0,-1-3 0 0 0,2 1-8 0 0,0-3 8 0 0,0 2 0 0 0,0 0 24 0 0,2-2 8 0 0,-1 1-24 0 0,-1 0 0 0 0,1-5 8 0 0,-1 5-8 0 0,0-8 48-1035-14,-1 1 16 1035 14,0-3-56 0 0,-1-1 72 0 0,0-2 24-1035-23,0-1 0 1035 23,0 0 0 0 0,0-1 8 0 0,0 1-48-1036-33,0 0-16 1036 33,0-2 24 0 0,0 2-72 0 0,0 0-8 0 0,0 0-16 0 0,0 0 8 0 0,0-1-24 0 0,0-1 8-1035-42,-4-4 0 1035 42,-1-4-8 0 0,0-7 0 0 0,1 4 0 0 0,-1-2 0 0 0,1-2 0 0 0,1-3-8 0 0,-1 0-72 0 0,1-3-88 0 0,-1-3-56 0 0,0 1-120 0 0,1-3-1096 0 0,1-3 1272 0 0,0-2-440 0 0,0-7 632 0 0,1 5-7594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3"/>
    </inkml:context>
    <inkml:brush xml:id="br0">
      <inkml:brushProperty name="width" value="0.05" units="cm"/>
      <inkml:brushProperty name="height" value="0.3" units="cm"/>
      <inkml:brushProperty name="color" value="#008C3A"/>
      <inkml:brushProperty name="inkEffects" value="pencil"/>
    </inkml:brush>
  </inkml:definitions>
  <inkml:trace contextRef="#ctx0" brushRef="#br0">396 120 4353 180000 90000,'0'-1'304'0'0,"-1"-1"296"0"0,0-4-256 0 0,-1 1 640 0 0,-1 0-239 0 0,1 3-121 0 0,0-3 0 0 0,1 3 32 0 0,0 2-144 0 0,1 0-80 1428-35008,0 0-48-1428 35008,0-2 480 0 0,-1-1 1201 1427-25,-1 0-1889-1427 25,-1 0-80 0 0,1 0-24 0 0,-1 0-16 0 0,2 2-8 0 0,-6-2-16 0 0,-4 2-16 1425-42,-1-1-16-1425 42,1 4 8 0 0,0 0-8 0 0,0 5-8 0 0,2 0 0 0 0,0 2 0 0 0,-2 1 0 0 0,2 3 0 0 0,-1 1 8 0 0,0 2 0 0 0,0-1-8 0 0,1 4 8 1423-59,-2-1 8-1423 59,-1 5-8 0 0,0-3 16 0 0,0-1-8 0 0,0 0-8 0 0,1 1 8 0 0,-1 0-8 0 0,1 0-8 0 0,2 1-8 0 0,1-1 0 0 0,1 2-16 0 0,1-2 0 0 0,0 0 8 0 0,1 1-8 0 0,0-1 8 0 0,1-2 0 0 0,1 4 0 0 0,0-4 0 0 0,2 1 0 0 0,0 1 16 0 0,-1-2-8 0 0,1 0 0 0 0,0-2 8 0 0,0-2-8 0 0,-2 3 16 0 0,1-3-8 0 0,0-1 0 0 0,1 0 0 0 0,0-2 0 0 0,2-1 0 0 0,0 1 8 0 0,1-4 0 0 0,0 0 0 0 0,-1-2 0 0 0,0-2 16 0 0,0-2 0 0 0,-1 1 8 0 0,0-1-8 0 0,0 0 8 0 0,0 0 0 0 0,0 0 8 0 0,0 1 0 0 0,0-2 8 0 0,0 1 0-1423 59,0-1 0 1423-59,0 0 0 0 0,0 1 8 0 0,0-1-8 0 0,0 0 0 0 0,0-1-8 0 0,0 1-8 0 0,0 0-16 0 0,0 0 0 0 0,0-4-8 0 0,1-4 0 0 0,0 0 0 0 0,1-3-8 0 0,-1 2-8 0 0,1-3 16 0 0,-1 0-8 0 0,-1-2 8 0 0,1 2-8 0 0,-1-1 8 0 0,0 0 0 0 0,0-1-16 0 0,0 1 16 0 0,1-1-16 0 0,0-1 8 0 0,0 0 0 0 0,1-1-8 0 0,1 2 0 0 0,-1-3-8 0 0,1 1 8 0 0,-1-1 0 0 0,1 1-8 0 0,0-2-8 0 0,2-1 8 0 0,1 1-8 0 0,2-3 0 0 0,-1 2 8 0 0,1-3-8 0 0,1 3 8 0 0,0-1 0 0 0,0 2 8 0 0,-1 2 0 0 0,0-1-8 0 0,2 0 8 0 0,-1 0 0 0 0,1 2 0 0 0,-2 0-8 0 0,0-1 0 0 0,-2 3 0 0 0,2 0-8 0 0,-1 0 16 0 0,0 3-16 0 0,0 1 16 0 0,1 4-16 0 0,-1-2 8 0 0,1 2 8 0 0,0 1 8 0 0,-2 2 0 0 0,0-4-8 0 0,-1 3 8 0 0,0-1-8 0 0,-1-1 16 0 0,0 4-16 0 0,-2-4 0 0 0,2 3 8 0 0,1 2 8 0 0,0-2-16 0 0,1 2 8 0 0,-1 0 8 0 0,-1 0 0 0 0,-2 0 8 0 0,0 0 8 0 0,-2 0 0 0 0,0 0 0 0 0,0 0 8 0 0,0 0 0 0 0,0 0 8 0 0,0 0 8 0 0,0 0-8 0 0,0 0 16 0 0,0 0 0 0 0,0 0 8 0 0,0 0 0 0 0,0 0 0 0 0,0 0 0 0 0,0 0-8 0 0,0 0 16 0 0,0 0-16 0 0,0 0 8 0 0,0 0-8 0 0,0 0 0 0 0,0 0 8 0 0,0 0-8 0 0,-3 2 0 0 0,-1-1 0 0 0,-3 4-8 0 0,0-3 0 0 0,-1 3-8 0 0,-2-1 8 0 0,-1-2 0 0 0,0 4-8 0 0,0-4-8 0 0,0 3 8 0 0,2 0-8 0 0,-2 0-16 0 0,2 1 0 0 0,1 2 0 0 0,1 1-8 0 0,0 1-16 1423-59,-2 2-8-1423 59,-2 0 8 0 0,0 1-16 0 0,-1 0 8 0 0,1 3-16 0 0,1 1 0 0 0,-2-2 0 0 0,1 2 8 0 0,0 3-16 0 0,1 0 8 0 0,1 1 0 0 0,1-1-8 0 0,-1 3 8 0 0,1-1 0 0 0,2 0 0 0 0,2-1 8 0 0,0 0 0 0 0,1 1 8 0 0,1-2 0 0 0,1 0 0 0 0,1 1 8 0 0,1-1-16 0 0,0-3 16 0 0,1 0-8 0 0,0 0 16 0 0,0-2-16 0 0,2-1 16 0 0,-2 1 0 0 0,1-4 0 0 0,-1-1 0 0 0,0 0 8 0 0,0-3 0 0 0,0 2 0 0 0,-1-3 0 0 0,-1-3 0 0 0,1 1 0 0 0,-1-4 16 0 0,0 1 0 0 0,0-1 0 0 0,0 1 24 0 0,0 1 0 0 0,0 0 8 0 0,1-1 16 0 0,0 0 0 0 0,0-1 0 0 0,-1 2 8 0 0,0 0 0 0 0,1-2-24-1423 59,-1 0 8 1423-59,0 0-8 0 0,0 0-16 0 0,0 0 0 0 0,0 0-8 0 0,0-2-8 0 0,0 0 8 0 0,-3-6-16 0 0,0-4 0 0 0,-1-2-8 0 0,0-2 0 0 0,1 0 0 0 0,2 3-8 0 0,-1-3 8 0 0,0 0-8 0 0,0 2 0 0 0,1-2 0 0 0,0 1 8 0 0,0-1 0 0 0,0-2 0 0 0,1 3-8 0 0,0-3-8 0 0,1 3 0 0 0,1-3-16 0 0,1-1 0 0 0,1 0 0 0 0,-1-1-24 0 0,3-2 8 0 0,1-2 0 0 0,2 2 16 0 0,-1-3 0 0 0,3 3 0 0 0,0-1 0 0 0,1-1 0 0 0,0 4 0 0 0,0-2 0 0 0,-2 2 0 0 0,0 2 0 0 0,-2 1-8 0 0,1 0 24 0 0,-1 3 0 0 0,0 0-8 0 0,-1 3 24 0 0,1 1 0 0 0,0 1 8 0 0,2 0 0 0 0,0 3 8 0 0,0 2-8 0 0,-2 0-8 0 0,1 0 32 0 0,0 1-16 0 0,-2-2-16 0 0,-1 2 0 0 0,-2-2 8 0 0,-1 3-8 0 0,-2-1 8 0 0,-1 2 24 0 0,0 1-40 0 0,1-4 40 0 0,0 0 24 0 0,1 0 8 0 0,-2 0 8 0 0,1 3 24 0 0,0-1 0 0 0,-1 2 0 0 0,0 0 8 0 0,0 0-8 0 0,0 0-16 0 0,0 0-8 0 0,0 0-8 0 0,-2 3-16 0 0,-2 5-24 0 0,-1-4-8 0 0,0 3 16 0 0,0 0-32 0 0,-1-1 16 0 0,1 0 0 0 0,-2-3-8 0 0,0 1 8 0 0,-1-2 8 0 0,-2 4 8 0 0,0-1-16 0 0,-1 2 16 0 0,2 2-32 0 0,0-1 16 0 0,-1 3 16 0 0,0 1-32 0 0,1 1 16 0 0,0 0-16 0 0,0 1 0 0 0,0 2 16 0 0,0-3 0 0 0,-2 5-24 0 0,1 1 8 0 0,-1-1-24 0 0,1 3 0 0 0,-2-2-8 0 0,2 3 0 0 0,0 0-8 0 0,1 0-16 0 0,0 0 0 0 0,1-1 8 0 0,1 2-24 0 0,2-3 16 0 0,2 0 0 0 0,1-1-8 0 0,1-2 24 0 0,2 1 0 0 0,-1 0 8 0 0,2-2 0 0 0,-1-3 8 0 0,2 2 8 0 0,0 0 8 0 0,0-3-8 0 0,0 1 16 0 0,1-1 0 0 0,0 1 0 0 0,1-5 0 0 0,0 3 0 0 0,-2-5 16 0 0,1-1-8 0 0,-2-3 0 0 0,-1-2 8 0 0,-1 2 8 0 0,0-2 8 0 0,0 0 0 0 0,0 4 8 0 0,1-2 16 0 0,0-1 0 0 0,-1 1 0 0 0,1-1 16 0 0,-1 0-16 0 0,0-1 16 0 0,1 2 0 0 0,-1-2-8 0 0,0 0 0 0 0,0 0-8 0 0,0 0 0 0 0,0-6 0 0 0,-1-1-8 0 0,0-3-8 0 0,-1-4-8 0 0,0 0 0 0 0,-1-2-16 0 0,0-2 8 0 0,0 3-8 0 0,0-4-16 0 0,0 1 16 0 0,-1-1-16 0 0,1 2 8 0 0,0-1 0 0 0,0 2-8 0 0,1 0 0 0 0,1 0 0 0 0,0 1-16 0 0,1-2 0 0 0,1 2 0 0 0,1 0-16 0 0,1-2 8 0 0,1-2-16 0 0,1 3 16 0 0,3-3-8 0 0,0 2 0 0 0,1-2-8 0 0,1 2-8 0 0,-1-3 16 0 0,1 0-16 0 0,0 1 8 0 0,0 2-8 0 0,-1 1 0 0 0,-1 2 0 0 0,1 4 8 0 0,-1 1-8 0 0,-1 1 16 0 0,0 1-8 0 0,1 2 24 0 0,0 0-8 0 0,1 2 0 0 0,1-2 24 0 0,-2-1 0 0 0,-1 1 0 0 0,2 0 0 0 0,-1 0 16 0 0,0 1 0 0 0,-1-1 8 0 0,-2-1-8 0 0,1 2 16 0 0,-2 3-8 0 0,-2-2 16 0 0,0 1 0 0 0,-1 2 8 0 0,-1 0 32 0 0,-1 0-8 0 0,1 0 0 0 0,0 0 40 0 0,0 0-8 0 0,-1 0-8 0 0,1 0-8 0 0,0 0-8 0 0,0 0-16 0 0,0 0-16 0 0,0 0 8 0 0,0 0-32 0 0,0 1 0 0 0,-1 0-8 0 0,0 0 16 0 0,-7 4-24 0 0,-1 2 16 0 0,-2 0-8 0 0,0 0 8 0 0,0 3-8 0 0,1-3 0 0 0,1 1-8 0 0,-1 1 8 0 0,1 0-16 0 0,-1 2 0 0 0,0-1 0 0 0,0 2 0 0 0,-1 0 0 0 0,-2 2-8 0 0,0 0-8 0 0,0 0 0 0 0,-2 4-16 0 0,2-2-16 0 0,0 2 8 0 0,0 2-8 0 0,2 0-16 0 0,0 2 16 0 0,4 0-8 0 0,0 1 0 0 0,1 2 16 0 0,0-2-8 0 0,2-1 8 0 0,1 2 0 0 0,0-1-16 0 0,1-3 8 0 0,1 2 0 0 0,1-3 0 0 0,1 0 8 0 0,0-2 16 0 0,1 0 8 0 0,1-1-16 0 0,1-3 32 0 0,0 1 0 0 0,0 0 0 0 0,1-4 0 0 0,-3 3 0 0 0,2-2 8 0 0,-1-2 0 0 0,0 0 0 0 0,-1-5 8 0 0,-1 0 8 0 0,-1-1 0 0 0,2-3 8 0 0,-2 2 8 0 0,-2-4 0 0 0,2 2 8 0 0,0 0 0 0 0,0-2 8 0 0,0 2 16 0 0,0 0-16 0 0,0 0 0 0 0,0 0 0 0 0,0-1-16 0 0,2-3 0 0 0,-2-4 0 0 0,1-3-16 0 0,-2-1-8 0 0,1-3 0 0 0,0-1 0 0 0,-2-1-8 0 0,2 0-8 0 0,0-5 0 0 0,-1 2 0 0 0,0-3 0 0 0,0-1-16 0 0,1-3-8 0 0,0-1 0 0 0,2 0 0 0 0,2 0 8 0 0,1-1-8 0 0,1 1 0 0 0,0 1 8 0 0,2 2 0 0 0,-1 0 0 0 0,0 3 8 0 0,1 3-8 0 0,1-2 0 0 0,-1 0 0 0 0,2 3-8 0 0,-1-1 0 0 0,1 1 0 0 0,1 2 8 0 0,-1-2 0 0 0,0 4-8 0 0,-1-2 8 0 0,1 2 0 0 0,1 1 0 0 0,-1 3 8 0 0,1 0-8 0 0,-1 3-8 0 0,-1 0 0 0 0,2 1 0 0 0,-1 0 0 0 0,-1 1 8 0 0,-1 0-8 0 0,0 2 8 0 0,-1 0 8 0 0,-1 0 0 0 0,-2 2 8 0 0,-1 0 0 0 0,-2 0 16 0 0,0 1 8 0 0,-1 0-8 0 0,0 0 16 0 0,0 0 24 0 0,1 0 0 0 0,0 0 16 0 0,0 1 8 0 0,0-1 32 0 0,0 0-8 0 0,0 0 8 0 0,0 0 16 0 0,-1 0-23 0 0,0 0-9 0 0,0 0-8 0 0,0 0-32 0 0,0 0-88 1423-59,0 0-96-1423 59,0 0-65 0 0,-1 0-143 0 0,1 0-1488 0 0,-2 0 1624 0 0,-3 4-496 0 0,-1 3 704 0 0,-1 3-13251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4"/>
    </inkml:context>
    <inkml:brush xml:id="br0">
      <inkml:brushProperty name="width" value="0.05" units="cm"/>
      <inkml:brushProperty name="height" value="0.3" units="cm"/>
      <inkml:brushProperty name="color" value="#008C3A"/>
      <inkml:brushProperty name="inkEffects" value="pencil"/>
    </inkml:brush>
  </inkml:definitions>
  <inkml:trace contextRef="#ctx0" brushRef="#br0">189 152 2433 255507 24298,'0'0'792'0'0,"0"0"-24"0"0,0 0-8 0 0,0 0 1344-1929 3701,-2-7 1889-4196 9036,-1-1-3785 6125-12737,0 0 24 0 0,1 1-120 0 0,1 1-24 0 0,0 1-24 0 0,1 0-16 0 0,0 3-24 0 0,0-1 0 0 0,3-5 49 0 0,2 0-41 0 0,3 0 24 0 0,2 2-8 0 0,5 2 16 0 0,0-2 8 0 0,-1 1-24 0 0,6 1 40 0 0,1 1-64 0 0,-1 2 56 0 0,5 1-8 0 0,0-1-8 0 0,5 1-16 0 0,0 1 8 0 0,0 0-24 0 0,4 1-8 702-849,0-1-8-702 849,5-1 8 0 0,1 0-16 0 0,0 2 0 0 0,6-2 8 0 0,-2 0-8 0 0,2-2 8 0 0,1 2 8 0 0,5 2 0 0 0,-1-2-8 0 0,0 0 16 0 0,3-2-24 0 0,-2 1 8 0 0,-1-1 0 0 0,3 2-16 0 0,0 0 8 687-856,1-1 0-687 856,-3 2 8 0 0,1-1 0 0 0,0 2 16 0 0,-1-1 0 0 0,1-1 8 0 0,-2 2 8 0 0,-3-2 8 0 0,-1-2-16 0 0,0-2 8 0 0,-4 0-8 0 0,-1-2-8 0 0,-2 2-8 0 0,0 0 0 0 0,-2-2-24 0 0,-6 1 0 0 0,4 2 0 0 0,-3 2 0 0 0,-1 0 0 0 0,-2 2 8 0 0,2 0 0 0 0,-3 5 8 0 0,0-4 8 0 0,1 4 0 904 168,-2-2 0-904-168,2 2 8 0 0,-1-3-8 0 0,1 1 8 649-874,-2-2-16-649 874,3 0 16 0 0,-2-2-8 0 0,-2-2 0 0 0,4 0 8 0 0,-4-1-8 0 0,3-1 8 0 0,-2 1-16 877 148,0 0 8-877-148,-1 0-8 0 0,2 2-8 0 0,-2 1 8 0 0,-1 0 0 0 0,0 1-8 0 0,-3 2 8 0 0,-1 0-8 874 141,1-2 16-874-141,-3 1-8 0 0,-2 1 8 0 0,-2 0 8 0 0,0 0-8 0 0,-4 0 16 0 0,-1 0 16 0 0,2-2 0 1432-776,-6 3-8-1432 776,1-3 16 0 0,1 1-8 0 0,-2-2-8 0 0,-2 0 8 0 0,2-2-8 0 0,-4 2-8 0 0,-1 0 0 0 0,-1 0-8 0 0,0 0 0 0 0,-1-1 0 0 0,0 1 16 842 117,-1 0 0-842-117,1 0 0 0 0,0 0 16 0 0,1 0 8 0 0,-1 0 0 0 0,0 0 0 0 0,0 0 8 0 0,1 0-24 0 0,-1 0-16 0 0,0-1 8 0 0,0-2-40 0 0,-4-4-8 0 0,-6 1-8 0 0,2 0 0 0 0,-6 0-16 0 0,3 5 8 523-922,-6-4 8-523 922,1 4-8 0 0,0 0 16 0 0,-2 1 0 0 0,-1-1 0 0 0,-1-2-8 0 0,-1 0 8 0 0,-4 1 0 0 0,1-1 0 0 0,-4 0-8 0 0,-1 3 0 0 0,-1 0 0 0 0,-5-2 0 0 0,0 4 0 0 0,-3-1-8 0 0,-2 4 8 0 0,0-2 0 0 0,0 2 8 0 0,-2-3 0 0 0,1 4 0 511-926,-2-3 8-511 926,3 0 0 0 0,-1-3 8 0 0,-2 1 0 0 0,0-2 0 0 0,0 1 0 0 0,-2 0 8 0 0,-1-2-16 0 0,0 1 0 0 0,-3 1 0 0 0,1 0 0 0 0,-2 1-8 0 0,-1 2 0 0 0,-2 0 0 0 0,0 0-8 0 0,1 1 8 0 0,-4 0 0 0 0,5 0 0 0 0,1 1 0 0 0,-1-4 0 0 0,2 5 0 0 0,3-5 8 0 0,-1 4-8 0 0,3-2 8 0 0,-1-1-8 0 0,0 4 8 0 0,0 1 8 0 0,0-2-8 0 0,0 3 8 0 0,1-1 0 0 0,1 1 0 0 0,-1-1 8 0 0,-1-4 24 0 0,1 2-24 0 0,1-3 8 0 0,1-1-8 0 0,-2-1-8 0 0,5 0 16 0 0,-2-2-24 0 0,0-3 16 0 0,7 4-32 0 0,-1-2 8 0 0,5-1 16 0 0,0 2-16 0 0,3-5 0 0 0,2 6 8 0 0,0-3-8 0 0,7 3 0-791-100,-2 0 8 791 100,0 0-8 0 0,3 1 16 0 0,-2-1 0 0 0,1 1 8 0 0,3 0-16 0 0,-3 1 8 0 0,5-1 0-796-107,-1-1 0 796 107,4 1 0 0 0,-3 0 0 0 0,5-3 8 0 0,0 2-8 0 0,-1 0 16 0 0,3 1 0 0 0,3 0 0-800-113,-1 0 0 800 113,3 0 8 0 0,1 0-8 0 0,0 0-8 0 0,0 0 0 0 0,1 0 0 0 0,-1 0-24 0 0,0 0 0 0 0,2 0-24 0 0,-2 0 0 0 0,0 0-24 0 0,0 0-8-805-119,0 0 24 805 119,0 0-16 0 0,0 2 8 0 0,3 2 40 0 0,1 2 0 0 0,5-4 8 0 0,1 5 40 0 0,0-7 0 0 0,8 2 0 0 0,-2-2 8 0 0,0 0-16 0 0,10-2-8-809-125,-1 1-8 809 125,5-2 8 0 0,3 0-24 0 0,-2 3 0 0 0,8 0-8 0 0,2 0 0 0 0,1 0 0 0 0,2 0 0 0 0,1 0 0 0 0,3-1 0 0 0,-1 0 8 0 0,1-2 0-633 881,6 1-8 633-881,-4 0 8 0 0,2-2 0 0 0,3 3 0 0 0,-1-2 0 0 0,5 0 0 0 0,0 3-8 0 0,-1 3 0 0 0,4 0 16 0 0,0-1-16 0 0,1 2 8 0 0,-2-1 8 0 0,3 2-8 0 0,2 2 16 0 0,-5-3-8 0 0,3 0 0 0 0,-3-3 0 0 0,0 4 16 0 0,0-4-8 0 0,-3 0-8 0 0,-1-1 8 0 0,-1 0-16 0 0,-3 0 8 0 0,-1-1 8 0 0,-4 1 0 0 0,-1-1-16 0 0,0-3 8 0 0,-3 4 1 833 136,0-1-1-833-136,-1 1 8 0 0,-3-1-8 0 0,1 0 0 0 0,-3 1-8 0 0,2-1 8 0 0,-4-1-8 0 0,-2-2 0 828 128,-1 4 8-828-128,-1-1-8 0 0,-2-2 8 0 0,0 3 0 825 122,1-3 0-825-122,-4 3 8 0 0,-1 0 0 0 0,5 3 0 0 0,-5 0 0 0 0,-1-3-8 0 0,1-3 8 0 0,-3 3 8 820 115,0-3-8-820-115,0 2 0 0 0,-3-3 0 0 0,-4 3 0 0 0,1 0-8 0 0,-2 0 8 0 0,-5 1-16 0 0,-1 1 8 817 108,-4 0 0-817-108,2-1 0 0 0,-5 1 8 0 0,-1 2 0 0 0,-1-3 0 0 0,0 0 16 0 0,0 0 0 0 0,0 0 0 0 0,2 0 16 0 0,-2 0-16 0 0,0 0 16 0 0,1 0 8 813 102,-1 0 0-813-102,0 0-16 0 0,0 0 8 0 0,0 0-16 0 0,-1 0-8 0 0,-2 0 0 0 0,-2-4-32 0 0,-6 2-8 0 0,1-3-8 0 0,-2-2 0 0 0,-4 3-32 0 0,3-1 8 0 0,-3-2 0 0 0,-3 6 0 0 0,-4-1 8 0 0,1-1 16 0 0,0 1-8 0 0,-5 1 0 0 0,0 1 16 0 0,-2 1 0 0 0,-4 3 8 0 0,-1-2 0 0 0,-1 0 0 0 0,-3 3 0 810 96,-4-3 0-810-96,-4 3 8 0 0,-2-2-8 0 0,-5-2 0 0 0,0 5 8 0 0,-4-4 0 0 0,-4 1 0 0 0,-4-2 0 0 0,-3-1 0 0 0,0 0 0 0 0,-5-1 0 0 0,2-2-40 0 0,-5 1 32 0 0,-2-5 0 0 0,2 4-16 0 0,4-1 0 0 0,0 4 8 0 0,4 1-16 0 0,3 5 24 0 0,0-2 32 0 0,1 4-32 0 0,3-4 0 0 0,1 7 0 0 0,-3-2 0 0 0,1-1 8 0 0,0 1 8 0 0,-2 0-8 0 0,-3 4 8 0 0,1-5 0 0 0,1 1 0 0 0,0 1 8 0 0,1-6 0 0 0,5 2-16 0 0,3-4 16 0 0,4 2-16 0 0,9-3 0-810-96,1-2-8 810 96,7-3 0 0 0,2 2-8 0 0,9 1 0-813-102,-4-4 0 813 102,7 4 0 0 0,-1-1-8 0 0,5 1 0 0 0,2-2-8 0 0,0 1 16 0 0,5 2-8 0 0,-2 0-8-817-108,6 2-8 817 108,1 1-8 0 0,2-2 0 0 0,1-1-24-820-115,2 1-8 820 115,0-1 8 0 0,1 0-24 0 0,-1 0 8 0 0,1 0 0 0 0,-1 0 0 0 0,0 0 8 0 0,0 0 24 0 0,3 2 8 0 0,2 4-8 0 0,2 0 16 0 0,5-3 16-825-122,-1 3 0 825 122,7-4 8 0 0,0 2 8 0 0,7-1 8 0 0,2 0 8 0 0,4-1-8 0 0,1-1 16 0 0,5-2-24-1451 757,5 0 16 1451-757,0-2 0 0 0,5-2-16 0 0,3-2 0 0 0,1 0 8 0 0,6 0-8 0 0,0-5 0 0 0,2 2 8 0 0,1 4 0 0 0,3-1 0 0 0,2 0 0 0 0,0 2 0 0 0,-2 1-8 0 0,1 2 8 0 0,0-2-8 0 0,-1 2 8 0 0,0 1 0 0 0,1 0-8 0 0,-1-3 8 0 0,2 1 0 0 0,-2-2-8 0 0,4 4 8 0 0,-2-1 0 0 0,1-1 8 0 0,-5-1-16 0 0,5 4 8 0 0,-4 0 0 0 0,-1 2 8 0 0,-1 2 0 0 0,-1-2-8 0 0,-4 0 0 0 0,0 4 0 0 0,-4-3 0 0 0,2 2 16 0 0,-3 1-16 0 0,-4-5 0 853 138,4 0 0-853-138,-2 0 8 0 0,-4-1 0 0 0,0-1 0 0 0,0 0 0 0 0,-4 1 0 0 0,1-1 0 0 0,-1 1 8 849 131,-3-4 0-849-131,1 4-8 0 0,-1 0 8 0 0,-3 4 8 846 124,0-3-8-846-124,-1 0 0 0 0,-4 0 8 0 0,-1-1-16 0 0,-1 0 16 0 0,-4 0-8 0 0,-3-1-8 0 0,0 0-8 842 117,0 0 8-842-117,-2-5 0 0 0,-3 4-8 0 0,2-2 0 0 0,-1 2 0 0 0,1 2-8 0 0,-5-1 8 0 0,0 2 16 0 0,-3-1-8 0 0,-2 1 8 0 0,-2-1 8 0 0,-3 1 8 839 111,-1-1 16-839-111,0 0-8 0 0,-2 0 16 0 0,1 0 8 0 0,0 0 0 0 0,0 0 8 0 0,0 0 0 0 0,0 0-16 0 0,0 0-8 0 0,0 0 16 0 0,0 0-32 0 0,0 0-24 0 0,0 0-16 0 0,0 0 8 0 0,-3-1-32 0 0,-5-1-16 0 0,-2-3 0 0 0,-3 3 0 0 0,-2-2 0 0 0,-5 0 0 836 103,-5-3 8-836-103,2 5-8 0 0,-9-2 24 0 0,-1 2 8 0 0,-5 1 0 0 0,-3-2-8 0 0,-4 1 16 0 0,-3 2 0 0 0,-5-7 0 0 0,-3 6 0 0 0,-1-5 0 0 0,-3 4 8 0 0,0-4 0 0 0,-2 4 0 0 0,-1-2-8 0 0,-2 0 8 0 0,-1-3 0 0 0,-1-1 0 0 0,-5 2 0 0 0,1-4-8 0 0,-8 3 0 0 0,2-3 8 0 0,-7 2-8 0 0,0 3 0 0 0,-5 1-8 0 0,1 3 8 0 0,-3 1-8 0 0,0 2 8 0 0,0 3 0 0 0,0 2 0 0 0,0 1 0 0 0,4-2 8 0 0,1-1 0 0 0,-1 1-8 0 0,5 0 8 0 0,2-3-8 0 0,6 3 0 0 0,1-1 8 0 0,5-2-8 0 0,5 2 0 0 0,5 0 0 0 0,5-3 0 0 0,4 0-8 0 0,2 3 8-339-1034,3-2 0 339 1034,4 3 0 0 0,2-4-8 0 0,0 4 0-813-102,5-5 0 813 102,6 3 0 0 0,-2-3 0 0 0,5 0 0-817-108,4 0 0 817 108,3 0 0 0 0,4 2 0 0 0,2-2 16 0 0,3-1 0 0 0,4 1 0 0 0,1-1 8 0 0,2 0-16-820-115,1 0-8 820 115,1 0 0 0 0,-1 0-24 0 0,1 0-40 0 0,-1 0-16 0 0,0 0 8 0 0,1 0-40 0 0,-1 0-8-825-122,0 0 0 825 122,2 6 0 0 0,1-1 0 0 0,4 0 32 0 0,1 2 16 0 0,5-1 0 0 0,3 2 40 0 0,7-4 32 0 0,5 2 8 0 0,5-2 0 0 0,5 0 24 0 0,4 0-8-828-128,6-2 8 828 128,6-2 0 0 0,6-1-8 0 0,6-3-8-833-136,4-1 8 833 136,9-3-8 0 0,4 3 0 0 0,5-3 0 0 0,1 1 0 0 0,1 0 0 0 0,-2 0 0 0 0,3 4 0 0 0,-3-3-8 0 0,-1 4 8 0 0,-2-2 0 0 0,-2 2-8 0 0,-3 1 8 0 0,1 1 0 0 0,-4 0 0 0 0,-1 1 8 0 0,-1 1 0 0 0,-3 3-8 0 0,-3 2 8 0 0,0-6 8 0 0,-5 5-8 0 0,-1-5 0 0 0,-4 0 0 0 0,0 0 0 833 136,-1-2 8-833-136,-2-1-16 0 0,1-4 8 0 0,-3 2 0 0 0,-1 0 8 0 0,-4-1-16 0 0,2 2 8 0 0,-6-1-8 828 128,-1 3 8-828-128,-1-2-8 0 0,-5 3 0 0 0,-1 3 16 825 122,-3-3-16-825-122,1 0 0 0 0,-5 1 16 0 0,-1-1-8 820 115,-7 1-8-820-115,5 2 16 0 0,-7-3-16 0 0,-1 1 0 0 0,-2 0 8 0 0,-4-1 0 0 0,-2 1 0 0 0,0-1 8 817 108,-4 0 16-817-108,0 0-16 0 0,2 1 16 0 0,-4 2 24 0 0,2-3 0 0 0,-2 1 0 0 0,-3-1 16 0 0,-1 1 8 813 102,0-1-8-813-102,-1-1 0 0 0,0 1 0 0 0,0-1-24 0 0,0 1 0 0 0,0 0-16 0 0,0 0-24 0 0,0 0-16 0 0,-1 0-16 0 0,-7-5 0 0 0,-1 0-40 0 0,-4-3 8 0 0,0 6-8 0 0,-2-4 8 0 0,-1 4-8 0 0,-1 1 16 0 0,-4 1 0 0 0,0 0 0 0 0,-6 1 16 0 0,3 0 24 810 96,-8 0-8-810-96,-1-1 0 0 0,-4 1 8 0 0,-5 2 0 0 0,-3-1 0 0 0,-7-1 8 0 0,2 3-8 0 0,-5-1 0 0 0,-6-1 0 0 0,-2 1 0 0 0,-4 0 0 0 0,-1 1 0 0 0,-1-3 0 0 0,-2 0 0 0 0,-2-1-8 0 0,0 0 8 0 0,-2 0 0 0 0,-2 6 0 0 0,0-5 8 0 0,-2 1-8 0 0,-2 2 0 0 0,-3-2 8 0 0,0 0 0 0 0,4 3 0 0 0,-2-4-8 0 0,5 0 8 0 0,-4 0 0 0 0,9-1 0 0 0,-2 1 0 0 0,9-1-8 0 0,0 0 0 0 0,7-1 0 0 0,4 0 16 0 0,2 0-16 0 0,6 0 0 0 0,4 1-8 0 0,5-1 0 0 0,3 1 8 0 0,3 1 0 0 0,3 0-8-810-96,3 1-16 810 96,3 2 16 0 0,1 0 0 0 0,5 1 0-813-102,3 2 0 813 102,-2-1-8 0 0,0-1 8 0 0,2 1 0-817-108,2-1 8 817 108,-1 2-16 0 0,2-5 8 0 0,-4 4 8 0 0,3-3-8 0 0,2 2 8 0 0,-4-2 0 0 0,3 1 0 0 0,0-1 0 0 0,2 3-8 0 0,-1-5 0 0 0,3 3 0-820-115,1-3-8 820 115,2 0-8 0 0,1-1-8 0 0,1 2-40 0 0,1-2 16 0 0,1-2-8 0 0,-1 2-32 0 0,0 0 24 0 0,1 0-8 0 0,-1 0-8 0 0,0 0 24 0 0,1 3 0-574 904,2 2 8 574-904,2 3 8 0 0,2-3 8 0 0,3 3 16-849-131,0-2 8 849 131,3-1 8 0 0,5 1 8 0 0,-2-1 16 0 0,8-5 8 0 0,1 1 0 0 0,6-2 8 0 0,6-2 0 0 0,8-2-8 0 0,3-1 0 0 0,7-2-8 0 0,5-3 0-853-138,7 1-8 853 138,3 0 8 0 0,5-2-16 0 0,1 3 8 0 0,2-5-8 0 0,1 5 8 0 0,2 1-8 0 0,3-3 0-635 880,-2 2 8 635-880,-5 1 0 0 0,1 0 0 0 0,0 1 0 0 0,-3 0-8 0 0,0 1 8 0 0,-4 1 0 0 0,-2 1 0 0 0,0 1-8 0 0,-4 3 8 0 0,-5-3-8 0 0,1 6 0 0 0,-1-3 0 0 0,-3 2 0 0 0,0 3 0 0 0,1-3 16 0 0,-3 4-16 0 0,1-3 8 0 0,-4 2 8 0 0,0-3 0 0 0,-2 3 0 0 0,-1-3 8 0 0,-6 0 0 0 0,3 2 0 877 148,-3-2 0-877-148,-1-1 0 0 0,-6 4-8 0 0,0-4 8 874 141,-2-1 0-874-141,-6 1-8 0 0,-3-2 8 0 0,-2 1 0 871 133,0 0-8-871-133,-5 0 8 0 0,-1-1-8 0 0,-3-3 8 0 0,-1 3-8 0 0,-2-1 0 0 0,0-2 0 0 0,-6 3 24 868 126,-2 0 0-868-126,-1 0-8 0 0,-1 1 16 0 0,-1 0 8 0 0,0 0 8 0 0,0 0 0 0 0,0 0-8 0 0,0 0 0 0 0,1 0-8 0 0,-1 0 8 0 0,0 0-16 0 0,0 0-8 0 0,0 0-8 0 0,-1 0 0 0 0,-2-1-16 0 0,-1 0-8 0 0,-1-4-8 0 0,-5 4 8 0 0,0-1-24 0 0,-6-4 0 0 0,1 2 0 0 0,-6 1 0 0 0,0 2 8 0 0,-7-3-8 865 119,2 2 8-865-119,-7 0-8 0 0,-4-2 8 0 0,-1 0 8 0 0,-6 0 0 0 0,0 1 0 0 0,-4-2 8 0 0,-5-1 0 0 0,-3 4 0 0 0,-1-1 0 0 0,-6-1 0 0 0,-2 2 0 0 0,-1-2 0 0 0,1 2 0 0 0,-6 1 8 0 0,-3-3-8 0 0,0 3 0 0 0,0-2 0 0 0,-4 2 0 0 0,0-2 0 0 0,0 1 0 0 0,-2 0 0 0 0,1-2-8 0 0,3 4-8 0 0,2 3 16 0 0,2-2-8 0 0,1 1 0 0 0,5 1 0 0 0,1 3-8 0 0,2 0 16 0 0,5 6-8 0 0,-3-3 8 509-926,5 2-8-509 926,1 3 8 0 0,-1-1 0 0 0,3-3 0 0 0,2 4 0 0 0,1-5 8 0 0,5-1 8 0 0,2 0-8 0 0,6-1 0 0 0,1-2-8 0 0,6 1 8 0 0,3-4 0-839-111,4 4 0 839 111,2-4-8 0 0,4 3 8 0 0,2-4-8 0 0,4 0 16 0 0,0 0-8 0 0,0 0-8 0 0,0-1 8-842-117,1 0 0 842 117,1-1-8 0 0,1 1 0 0 0,2 0 8 0 0,1 0 0 0 0,2 0 0 0 0,1 1 0 0 0,1-1 0-846-124,0 0 0 846 124,1 0 0 0 0,0 0 0 0 0,-1 0 0 0 0,0 0 8 0 0,1 0-16 0 0,-2 0 8 0 0,0 0 0 0 0,0 0-8 0 0,0 0 0 0 0,0 0 8 0 0,-2 0-8 0 0,2 0-8 0 0,-5-1-24 0 0,0-1-16 0 0,-3 1-584 0 0,3-3-425 0 0,2 3-295 0 0,3 0-792 0 0,-1 1 47-849-131,3 1-879 849 131,-2 4-4730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5"/>
    </inkml:context>
    <inkml:brush xml:id="br0">
      <inkml:brushProperty name="width" value="0.05" units="cm"/>
      <inkml:brushProperty name="height" value="0.3" units="cm"/>
      <inkml:brushProperty name="color" value="#FFC114"/>
      <inkml:brushProperty name="inkEffects" value="pencil"/>
    </inkml:brush>
  </inkml:definitions>
  <inkml:trace contextRef="#ctx0" brushRef="#br0">241 102 2064 125239 53659,'0'0'40'0'0,"0"0"8"0"0,0 0 8 0 0,0 0 48 1085 716,-1 0 57-1085-716,-2 0 119 0 0,1 0 1376 0 0,-3 0 2361 1120 704,-3 0-1905-1120-704,-2 0-1840 0 0,6 0 24 0 0,0 0 16 0 0,0 0-168 0 0,5 2-8 0 0,6 3-15 0 0,7 6-1 0 0,-2 4-16 0 0,6 1 0 0 0,3 5-24 0 0,0 2 8 0 0,3 1-8 0 0,-3 2-24 0 0,5 1 0 0 0,-4 1 0 0 0,5-5-32 0 0,-6 2 0 0 0,8 0 0 0 0,-6-3 0 0 0,4 3-8 0 0,-3-6 0 0 0,3 0 8 0 0,-4-1-8 0 0,-1 1 0 0 0,-3-5 0 0 0,0 0 8 0 0,-1-2-8 0 0,-5-1 0 0 0,-3-1 16-214 1186,0-4-24 214-1186,1 2 16 0 0,-7-3 0 0 0,1 1-24 0 0,-1-5 0 0 0,-2 3-8 0 0,-1-3-32 0 0,-1 0-104-1403 478,0-1-32 1403-478,0 0 0 0 0,0 0-112 0 0,-1-1 40 0 0,-1-4-9 0 0,-3 0-23 0 0,-5-6 56 0 0,-4 1 80-1434 461,-4-7 16 1434-461,-6-3 24 0 0,-1-6 80 0 0,-6-2-8 0 0,-1-1 24 0 0,-4-7 0 0 0,-1 2 8 0 0,-1 0 0 0 0,2 1 8 0 0,1-3 8 0 0,3 3 8 0 0,0 3-8 0 0,2 2 8 0 0,0 3 0 0 0,5 3 8 0 0,0 2 0 0 0,3 4 24 0 0,0 1 0 0 0,4 3 32 0 0,1 3 40 0 0,3 1 0 0 0,4-1-8 0 0,1 5 56 0 0,2 2-24 1146 742,2 0 33-1146-742,4 0 15 0 0,0 2-16 0 0,1 0 72 0 0,0 0 16 0 0,1 0-8 0 0,-1 0 72 0 0,0 2-112 0 0,1-2-16 0 0,-1 0 32 0 0,-1 1-136 0 0,2 1 24 0 0,4 3-56 0 0,5 8-8 0 0,4 1 8 0 0,7 5 16 0 0,4 4 8 0 0,5 7 0 0 0,3 1 8 0 0,3 2 0 1193 731,1 1 0-1193-731,1 4-8 0 0,2 0-8 0 0,-5-3-24 0 0,3 3 8 0 0,-1-4-8 0 0,0-1-24 0 0,-3-1-8 0 0,1-2 0 0 0,-1 0 0 0 0,-5-7-8 0 0,3 3 0 0 0,-4-3-8 0 0,-3-1 8 0 0,0 0-8 0 0,-3-4-8 0 0,-5-1 0 0 0,1-2 0 0 0,-3-2 0 0 0,-4-2-8 0 0,1-1 0 0 0,-5-4 0 0 0,1 1 0 0 0,-3-3-56 0 0,-2-2 0 0 0,-2-1-8 0 0,0-1-48 0 0,-1 0-96 0 0,-1 0-16 0 0,1 0 16 0 0,-2-2-96 0 0,-1-4 104-1511 485,-6-4-8 1511-485,0-2-32 0 0,-9-4 136 0 0,-4-6 24 0 0,-10-3 32 0 0,-6-7 0 0 0,-3-5 40 0 0,-8-2 0 0 0,-7-8 8 0 0,5 3 0 0 0,-3-3 0 0 0,3 4 8 0 0,5-1 8 0 0,3 8-8 0 0,6-1 16 0 0,3 5 0 0 0,4 5 0 0 0,4 5 8 0 0,2 3 0 0 0,3 1 0 0 0,0 6 0 0 0,4-3 16 0 0,2 5 0 0 0,-2 0 32 0 0,4 4 16 0 0,3 1-8 0 0,2-1 40 0 0,3 3 8 0 0,2 2 24 0 0,3 0 0 0 0,-3 1 16 0 0,6 0 48 0 0,-3 1 0 0 0,0-1-8 0 0,0 0 48 0 0,1 0-144 0 0,-1 0 8 0 0,0 2 40 0 0,1 3-144 0 0,4 1 40 0 0,4 7-31 0 0,4 1-33 0 0,9 8 56 0 0,5 4 0 0 0,6 4 16 0 0,6 5 0 0 0,4 5-8 0 0,1 2-16 0 0,3 2 0 0 0,1 2 8 0 0,7-1-24 0 0,-6 2-8 0 0,-2-3 0 0 0,2 0 8 0 0,-7-3-8 0 0,4 1 0 0 0,-5-6 8 0 0,-1 1-16 0 0,-1-3 16 0 0,-7-4-16 0 0,-2-3-8 0 0,-2 0-8 0 0,-3-7 0 0 0,-2-1-32 0 0,-4-5-8 0 0,-2-3-8 0 0,-3-3-32 0 0,-4-1-96 0 0,-5-3-8 0 0,1-3 0 0 0,-3-1-89 0 0,-3 0 33 0 0,0 0-8 0 0,-1-3-16 0 0,-3-7 48 0 0,-4-3 72 0 0,-2-1 24 0 0,-6-6 0 0 0,-6-3 80 0 0,-5-6 16-1550 466,-5-3 16 1550-466,-9-5 0 0 0,-5-6 8 0 0,-5-3 32 0 0,-6-3-32 0 0,-4-4 0 0 0,1 3 8 0 0,-2-2 0 0 0,2 1 8 0 0,-2 2-8 0 0,11 3-8 0 0,0 3 24 0 0,5 7 16 0 0,8 2 0 0 0,4 7 24 0 0,6 3 0 0 0,6 7 16 0 0,2 3 8 0 0,7 2 0 0 0,3 5 48 0 0,1 3 8 0 0,2-1-8 0 0,4 4 56 0 0,3 1-8 0 0,-3 0 0 0 0,6 0 17 0 0,-3 0-17 0 0,0 0-72 0 0,0 0-24 0 0,1 1 0 0 0,-1-1-72 0 0,2 5 32 0 0,3-1 0 0 0,6 4-40 0 0,3 4 64 0 0,9 4 0 0 0,1 4 8 0 0,9 4 24 0 0,4 1 0 0 0,3 7-16 0 0,3 0 0 0 0,2 7-16 0 0,3 0-8 0 0,-2 1 0 0 0,4 0-8 0 0,-1 1 0 0 0,-2-1-8 0 0,3 3-16 0 0,-6-7-8 0 0,0 1 16 0 0,-1-2-24 0 0,-5-3-8 0 0,-1-4 0 0 0,-3-4 0 0 0,-4 2 0 0 0,-2-5-8 0 0,-3-3-16 0 0,-2-4 0 0 0,-4-1-16 0 0,-3-2-16 0 0,-3-4-24 0 0,-2-2-16 0 0,-6-2-24 0 0,-2-2-104 0 0,-2-1 0 0 0,-1 0 8 0 0,0 0-104 0 0,-2-3 80 0 0,-2-3 7 0 0,-3-5-23 0 0,-6-2 104 0 0,-4-6 48 0 0,-4-4 16 0 0,-10-8 24 0 0,-7-4 40 0 0,-5-8 16 0 0,-7-4 0 0 0,-7-7 0 0 0,-1 3 16 0 0,-2-7-8 0 0,-3 2 8 0 0,4 2 8 0 0,1 1-8 0 0,7 4-8 0 0,2 2 16 0 0,5 9 0 0 0,6 3 8 0 0,3 3 8 0 0,5 9 32 0 0,6 0-32 0 0,3 6 40 0 0,2 3 0 0 0,4 4 8 0 0,3 2 0 0 0,0 3 9 0 0,4 0 87 0 0,4 3-32 0 0,1 1 24 0 0,2 1 64 0 0,1 0-16 0 0,0 0-16 0 0,1 1 8 0 0,-1-1-40 0 0,1 0-128 0 0,-1 0 0 0 0,0 3 24 0 0,3 2-120 0 0,5 5 32 0 0,5 1-8 0 0,5 8-16 0 0,8 4 56 0 0,2 6 16 0 0,11 6 8 0 0,1 5-8 0 0,5 2 24 0 0,3 4-24 0 0,3 2 16 0 0,-1 2-8 0 0,2-4-8 0 0,-6 0-8 0 0,3-1 16 0 0,-3-4-8 0 0,-3-1 0 0 0,-4-1-8 0 0,-3-5 8 0 0,-2-2-8 0 0,-3-5 0 0 0,-5 1-16 0 0,-2-5-8 0 0,-3-2 0 0 0,-2-4-16 0 0,-4-5-40 0 0,-3-2-24 0 0,-2-2-8 0 0,-5-4-56 0 0,-1-2-96 0 0,-3-2 0 0 0,-1 0 0 0 0,0 0-96 0 0,-1-3 104 0 0,-5-4 0 0 0,-3-4-16 0 0,-4-2 119 0 0,-6-7 33 0 0,-7-6 48 0 0,-8-6 0 0 0,-10-7 48 0 0,-3-8 0 0 0,-5-1 8 0 0,-5-2 0 0 0,-2-2 16 0 0,4-1 8 0 0,-3 1-8 0 0,9 5 8 0 0,1 8 16 0 0,8 1 0 0 0,4 4 9 0 0,4 6-1 0 0,4 6 16 0 0,4 2 0 0 0,2 4-8 0 0,1 2 0 0 0,2 2-8 0 0,-1 4 0 0 0,0 2-16 0 0,4-2 0 0 0,-4 3-16 0 0,5 0 8 0 0,0-1-8 0 0,1 3 16 0 0,0-3-8 0 0,2 2 64 0 0,1 3 24 0 0,2 0 0 0 0,1 1 64 0 0,1-1-8 0 0,6 1 16 0 0,-1 0 16 0 0,2 0-8 0 0,0 0-80 0 0,1 0-40 0 0,-1 0 0 0 0,1 0-80 0 0,-1 0-32 0 0,0 2-8 0 0,2 1-24 0 0,5 7-16 0 0,4 2 32 0 0,2 2 24 0 0,5 1-8 0 0,8 7 32 0 0,1 1 8 0 0,5 2 16 0 0,4 1 0 0 0,3 4 8 0 0,0 0 0 0 0,4 1-16 0 0,1 0 24 0 0,1 2 0 0 0,4 2 0 0 0,-3 1-8 0 0,3-2 0 0 0,2 2 0 0 0,-3 1 0 0 0,1-1 0 0 0,-4 2-8 0 0,1-2 0 0 0,-3-3-8 0 0,-3 0 0 0 0,1-3 0 0 0,-8-2-8 0 0,-1-3-8 0 0,-2-4 0 0 0,-6-2 8 0 0,-1-2-8 0 0,-6-5-24 0 0,-3-1 0 0 0,0-3 0 0 0,-4-4-8 0 0,-5-1-40 0 0,0-2-24 0 0,-3 3-8 0 0,-2-4-40 0 0,0-4-40 0 0,0 4 0 0 0,-1-1 0 0 0,-2-4-24 0 0,-3-1 72 0 0,-4-6 8 0 0,-7-3-16 0 0,-4-6 96 0 0,-7-4 16 0 0,-3-2 8 0 0,-7-8 8 0 0,-4-2 16 0 0,0-2 0 0 0,1-1 16 0 0,-4 1-16 0 0,6 1 16 0 0,1 3 0 0 0,2 2-8 0 0,0 1 8 0 0,-2 2-16 0 0,5 0 8 0 0,-3 3 0 0 0,1-3 0 0 0,5 1 0 0 0,-4 3 0 0 0,4-1 24 0 0,4 3 8 0 0,2-1 8 0 0,4 7 96 0 0,6 2-16 0 0,3 5-24 0 0,2 4 72 0 0,7 2-120 0 0,1 4-8 0 0,2 2 40 0 0,4 1-160 0 0,2 5 32 0 0,3 0-16 0 0,2 6-24 0 0,4 1 40 0 0,5 4 8 0 0,0 5 16 0 0,7 0 0 0 0,2 6 8 0 0,6 2-368 0 0,2 0-328 0 0,5 4-265 0 0,3 2-527 0 0,3 2 32 0 0,0 0-649 0 0,-9 0-8465 0 0</inkml:trace>
  <inkml:trace contextRef="#ctx0" brushRef="#br0" timeOffset="1">378 392 2304 199377 47340,'0'0'481'0'0,"0"0"-473"0"0,0 0 688 643 893,2 0 664-643-893,1-3 7154 3567 4386,3-3-7954-3567-4386,0 3-136 0 0,-1-2 24 0 0,-2 2-32 0 0,-2-1-16 0 0,-1 1 24 0 0,0 1-63 0 0,0-1-1 0 0,0 1 0 0 0,0-1-88 0 0,0 2-32 0 0,0 0-32 0 0,0-3-8 0 0,0 1-48 0 0,-1 2-32 0 0,-1 0 0 0 0,-8-1-8 0 0,-1 1-32 0 0,-2-1-16 0 0,-3 2-8 0 0,2 3 0 0 0,0 0-24 0 0,-1 5-32 0 0,1-2 0 0 0,-1 3 0 0 0,1 2-40 0 0,-1 0 0 0 0,1 4-8 0 0,0 1 0 0 0,-2 0 0 0 0,2-1 16 0 0,-1 3-16 0 0,0 2-8 0 0,3-5 16 0 0,-1 6-16 0 0,-1-4 24 0 0,1 1-8 0 0,2-1 0 0 0,1 1 16 0 0,0 2 0 0 0,2-2 8 0 0,0 2 16 0 0,2 1 0 0 0,2 1 0 0 0,0 0 0 0 0,0 0 0 0 0,0 0 0 0 0,1 1 0 0 0,1-4 0 0 0,0 0 0 0 0,2-2 0 0 0,-3-1 0 0 0,2-4 0 0 0,1 2-8 0 0,-1-2 0 0 0,1-1 0 0 0,0-4-8 0 0,0 2 8 0 0,0-3 0 0 0,0 3-8 0 0,1-6 8 0 0,0 0 8 0 0,2 0-32 0 0,-3 0 8 0 0,0-3 0 0 0,0 1-16 0 0,0-2 40 0 0,0 1-8 0 0,0 0 0 0 0,0 0 24 0 0,0 0 8 0 0,0-1-16 0 0,0 1 24 0 0,0 0-24 0 0,0-2-16-1317 268,1-4-16 1317-268,0-4 0 0 0,0-1-32 0 0,-1-2 0 0 0,1-5 0 0 0,1-3 0 0 0,3 1 8 0 0,-5-1 16 0 0,5-2 0 0 0,-2 0-8 0 0,2 0 8 0 0,0-1-8 0 0,1 1 0 0 0,3 2 8 0 0,-1-1-24 0 0,1-1 0 0 0,-2 2-8 0 0,4 1 8 0 0,2-2 0 0 0,0 1-8 0 0,-1-4 16 0 0,4 1-8 0 0,0 3 8 0 0,0-4 8 0 0,0 1 16 0 0,-1 3-16 0 0,3-3 24 0 0,-5 5 16 0 0,4-2 0 0 0,-2 3 0 0 0,-1 3 8 0 0,0 1-8 0 0,0 1 0 0 0,-2 0 0 0 0,3 4-8 0 0,0 2-16 0 0,-4 1-8 0 0,1-1 0 0 0,-1 2-8 0 0,-1 1 8 0 0,1 2 0 0 0,-2 0 0 0 0,-1 1 8 0 0,0-1 24 0 0,3 0 8 0 0,-9 2 8 0 0,4-3 24 0 0,-3 3 24 0 0,-1 0 8 0 0,-2 0 0 0 0,0 0 24 0 0,0 0 56 0 0,0 0-40 0 0,0 0 8 0 0,0 0 24 0 0,0 0 8 0 0,1 0 8 0 0,-1 0 16 0 0,0 0-16 0 0,0 0-16 0 0,0 0 16 0 0,0 0 16 0 0,0 0-16 0 0,0 0-56 0 0,0 0 8 0 0,0 0-8 0 0,0 0-48 0 0,0 0-16 0 0,-4 5-16 0 0,0-1-8 0 0,-4-1-16 0 0,-5 5 0 761 874,2-1 0-761-874,-1 0-8 0 0,-2 0 0 0 0,-1 4-8 0 0,-3-1 8 0 0,3 0 8 0 0,-1 1-24 0 0,-3 3 0 0 0,3-5 8 0 0,-5 5-8 0 0,5-3 0 0 0,0 4-16 0 0,2-2 8 0 0,-1 1 0 0 0,2 1-16 0 0,-1 1-8 0 0,3-1 0 0 0,-2 2-8 0 0,1 3-8 0 0,0-4 16 0 0,0 7-8 0 0,-1-5 0 0 0,1 2 16 0 0,0 4 16 0 0,0-2 0 0 0,0 1 8 0 0,1 2 8 0 0,-3-2 0 0 0,4 2 0 0 0,3 0 8 0 0,-3 1-8 0 0,4-1 0 0 0,-2-2 0 0 0,2-2-8 0 0,3 0 8 0 0,1-3-8 0 0,1 2 8 0 0,-2-6-8 0 0,3 1 8 0 0,-2 1 16 0 0,2-5 0 0 0,0 3 0 0 0,0-4 24 0 0,-1-1 0 0 0,1-3 0 0 0,0 1 8 0 0,-1-4 8 0 0,1 1 16 0 0,0-4-16 0 0,0 0 16 0 0,0 0 8 0 0,0 0 8 0 0,0 0 8 0 0,0-3-8 0 0,0 3 16 0 0,0 0-24 0 0,0 0-8 0 0,0 0 8 0 0,0 0-32 0 0,0 0-32 0 0,0 0-16 0 0,0-3 0 0 0,-1-5-40 0 0,1 2 0 0 0,0-3 0 0 0,0-3 0 0 0,2-3 0 0 0,1 1 8 0 0,-3-4 0 0 0,5 0-16 0 0,-2-4 8 0 0,4 3 0 0 0,1-3-16 0 0,-1 0 8 0 0,2-2-8 0 0,1 0-8 0 0,-1-2 8 0 0,5 1-8 0 0,0-2 0 0 0,0 6 0 0 0,3-4 16 0 0,0 2 8 0 0,-1 3 8 0 0,2 0 32 0 0,0 2-8 0 0,-2 1 8 0 0,3 3 24 0 0,-3-3 0 0 0,-1 8-8 0 0,1-5 0 0 0,-2 4-8 0 0,1 0 0 0 0,-1 1-8 0 0,-3-1-8 0 0,0 7 0 0 0,-3-4 16 0 0,3 3 8 0 0,-1 1 0 0 0,0-1 0 0 0,-4 4 16 0 0,4-5 0 0 0,-1 3 16 0 0,-1 0-8 0 0,1 1 8 0 0,-1-1 0 0 0,-1 1 8 0 0,0 1 8 0 0,-3-1 32 0 0,1 1-8 0 0,-3 0 8 0 0,-2 0 32 0 0,0 0 24 0 0,0 0 8 0 0,0 0 8 0 0,0 1 24 0 0,0-1-8 0 0,0 0-16 0 0,0 0 16 0 0,0 0-16 0 0,0 0-32 0 0,0 0-8 0 0,0 0 0 0 0,0 0-24 0 0,0 0-32 0 0,0 0-8 0 0,0 0 0 0 0,0 0-24 0 0,-1 0-24 0 0,-5-1-8 0 0,0 0-8 0 0,-2 2-16 0 0,1 1-48 0 0,-7 1 16 0 0,6 2-16 0 0,-2 2-24 0 0,0 0 8 0 0,-1 2 0 0 0,-1 0-16 0 0,-1 3 24 0 0,3-2 0 0 0,-3 4 0 0 0,-2 2 0 0 0,1-5 8 0 0,0 6 8 0 0,4 0 0 0 0,-4 0 0 0 0,4 2 16 0 0,-2 2 8 0 0,3-2 16 0 0,-2 3-8 0 0,0 1 16 0 0,-1-1 0 0 0,1 0 8 0 0,-2 0 0 0 0,4 2-8 0 0,-1-2 16 0 0,2-1 0 0 0,1-1-8 0 0,0 0 16 0 0,0 1-8 0 0,3-4 8 0 0,1 2 0 0 0,0-3 0 0 0,1-2 0 0 0,-1 0 0 0 0,-1 0 0 0 0,1-2 0 0 0,0-3 0 0 0,0-1 24 0 0,1-1-16 0 0,1-2 16 0 0,0-2 0 0 0,1-2 16 0 0,-1-1-8 0 0,1 0 16 0 0,1-1 24 0 0,-1 1-8 0 0,0-1 0 0 0,0 1 16 0 0,0 0-40 0 0,0 0-8 0 0,0 0 8 0 0,0 0-40 0 0,0 0-32 0 0,-1-5-8 0 0,0-1-8 0 0,-1-4-16 0 0,2-1 0 0 0,-1-6 8 0 0,2 5-8 0 0,1-9 8 0 0,1 4 0 0 0,3-3 0 0 0,-2 0 0 0 0,2-2 8 0 0,2 0-8 0 0,-1 2 0 0 0,7-3 0 0 0,-4-1 8 0 0,0 4 16 0 0,2-2 0 0 0,0 2 0 0 0,1 0 16 0 0,1 1 8 0 0,2 0 8 0 0,-5 3 0 0 0,2 1 0 0 0,-2 0-8 0 0,4 5 8 0 0,-6-1-16 0 0,3 0 0 0 0,-3 0 8 0 0,0 1-8 0 0,3 0-8 0 0,-2-2 8 0 0,2 5 0 0 0,1-2 8 0 0,-1-1 0 0 0,1 0 8 0 0,0 4 0 0 0,-1-2 8 0 0,6 1 8 0 0,-10-1 16 0 0,2 5 8 0 0,-2 0 0 0 0,-4-2 0 0 0,3 3 16 0 0,-5 1 0 0 0,-1 1 16 0 0,0-1 8 0 0,-1 1 0 0 0,3-1 16 0 0,-2-1 24 0 0,-1 0-16 0 0,4 1 32 0 0,-4 1 0 0 0,2-1-8 0 0,-1 1 8 0 0,-1-3-8 0 0,0 3-16 0 0,0 0-16 0 0,0 0 8 0 0,0 3-24 0 0,0-3-32 0 0,0 0-8 0 0,0 0 0 0 0,0 0-40 0 0,0 0-24 0 0,-1 0 0 0 0,-5-4-8 0 0,-7 3-32 0 0,2 1 0 0 0,-2 0 8 0 0,5 2-16 0 0,-9 2 8 0 0,6 0 8 0 0,0 0 0 0 0,2 4 8 0 0,-1-4 0 0 0,0 7 8 0 0,-2-2 8 0 0,0 3 0 0 0,-1 2 8 0 0,-2-1-8 0 0,-2-3 0 0 0,0 3 8 0 0,-2-1-16 0 0,1 2 0 0 0,1-2-8 0 0,0 1 0 0 0,1 1-8 0 0,0 1 8 0 0,3 2-8 0 0,2-2 8 0 0,-1 0 0 0 0,-2 3-8 0 0,2 0 16 0 0,3-5 0 0 0,-1 4 8 0 0,0 0 0 0 0,-1-2-8 0 0,6 3 0 0 0,-1-1 16 0 0,1-1 0 0 0,0-2 0 0 0,1 1-8 0 0,1 1 8 0 0,0-2-8 0 0,2-4 16 0 0,-2 2 0 0 0,2-1-8 0 0,0-3 24 0 0,-1 0-8 0 0,2-4 8 0 0,0-2 8 0 0,0 0 8 0 0,0-2 0 0 0,0 0 8 0 0,0 0 0 0 0,0 0-8 0 0,0 0 8 0 0,0-1 0 0 0,0 1-8 0 0,0 0-8 0 0,0 0 0 0 0,0 0 0 0 0,0-1-8 0 0,2-4 0 0 0,3-5-8 0 0,-3-1 8 0 0,2-6 0 0 0,1 4-16 0 0,-3-4 8 0 0,2-1 8 0 0,0 0-8 0 0,0-1 0 0 0,-1-3 0 0 0,0 0-8 0 0,3 1 16 0 0,-1-2-8 0 0,-2-2-8 0 0,2 2 8 0 0,-1-2-8 0 0,3 2-8 0 0,-3-1 0 0 0,-1 3 0 0 0,4 0-8 0 0,-3 3 8 0 0,2 2 8 0 0,0 5-16 0 0,1-2 16 0 0,-2 4-32 0 0,1 2-8 0 0,-1-1 24 0 0,2 1-48 0 0,1 2 24 0 0,3 1-8 0 0,-1-3-8 0 0,2 1 40 0 0,-1-1 0 0 0,4 2 16 0 0,-5-1 0 0 0,2-1 16 0 0,-1 1-16 0 0,-1-1-40 0 0,-1 3-88 0 0,1 1-40 0 0,-2-1-1489 0 0,-2 1 1537 0 0,3-2-408 0 0,-3 1 552 0 0,-1-1-14739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7"/>
    </inkml:context>
    <inkml:brush xml:id="br0">
      <inkml:brushProperty name="width" value="0.05" units="cm"/>
      <inkml:brushProperty name="height" value="0.3" units="cm"/>
      <inkml:brushProperty name="color" value="#FFC114"/>
      <inkml:brushProperty name="inkEffects" value="pencil"/>
    </inkml:brush>
  </inkml:definitions>
  <inkml:trace contextRef="#ctx0" brushRef="#br0">430 1189 10042 220012 36488,'-3'-1'1112'-983'-568,"-1"-4"-1096"983"568,0 2 240 983 568,-1-7 1017 5-14,0-11-1505-1067 3402,3-5 208 79-3956,1 2 32 0 0,1 4-8 0 0,1 6-8 0 0,-1 7 0 0 0,1 3-24 0 0,-1 2-16 0 0,0 2-8 0 0,0 1 0 0 0,1 0-24 0 0,-1 0-16 0 0,0 0-8 0 0,0 0 8 0 0,-2 2-16 0 0,-1 2 15 0 0,-4 2 9 0 0,-4 5-8 0 0,-2 3 32 0 0,-2 5 24 0 0,-1-3 8 0 0,-6 8 8 0 0,3 0 24 0 0,-4 4 8 0 0,3-3 8 0 0,-6 3-8 0 0,3-3 16 0 0,1 0 0-1032 436,-2-3 8 1032-436,3 1-8 0 0,0-4 8 0 0,1-1 0-1038 423,4-5 0 1038-423,0 0 0 0 0,3-3 8 0 0,5-4-40 0 0,1-4 0 0 0,5-1 8 0 0,1-2-32 0 0,1 0 0-1042 409,0-1-8 1042-409,1-2-8 0 0,3-3 16 0 0,3-3-8 985 622,1-2 0-985-622,3-5 16 0 0,5-2-8 0 0,1-8 0-1056 415,6-2 8 1056-415,4-7 0 0 0,7-1 8 0 0,0-8 0 0 0,7 0 8 0 0,-4-5 0 0 0,8-1 8 0 0,-2 1-8 0 0,3 2 8 0 0,-4 0-8 0 0,-2 2 8 0 0,4 5 0 0 0,-7 3-8 0 0,-1 2-16 0 0,-3 6 16 0 0,0 3-16 0 0,-9 9 0 0 0,-1 0 8 0 0,-5 4-24 0 0,-3 7 8 990 628,-6 0 8-990-628,-3 4 0 0 0,-3 1 0 0 0,-2 1 16 1005 616,0 3 0-1005-616,-1 3 0 0 0,0-1 0 0 0,-4 3 0 0 0,-3 4 8 0 0,-1 1 0 0 0,-5-2-8 0 0,-6 6 0 0 0,0 5 0 0 0,-5-3 0 0 0,-6 5 0 0 0,-2 2 0 0 0,-3 1 0 0 0,-1 7 0 0 0,-3-3 8 0 0,-1 4-8 0 0,-1 3 0 0 0,0-1 0 0 0,-2 1 0 0 0,4 5 0 0 0,-1-4 16 0 0,-1 0-16 0 0,3-1 8 0 0,0-2 0 0 0,7-2 8 0 0,1-3-8 0 0,1-5 16 0 0,4-2-8 0 0,8-5 0 0 0,-1-5 8 0 0,9-4-8 0 0,2-3-16 0 0,4-4 0 0 0,2-2 0 0 0,1-2-16 0 0,2-1 0-1080 441,1-2-8 1080-441,4-3-8 0 0,0-5 8 0 0,8-2-8 0 0,3-3 16 0 0,3-6-8 0 0,4-2 8 0 0,7-4 8 0 0,1-3 0 0 0,5-4 0 0 0,0-3 8 0 0,7 1 8 0 0,-8 0-8 0 0,5-5 8 0 0,-1 5 0 0 0,-5 4 0 0 0,-2 0 0 0 0,-1 4 0 0 0,-2 3 0 0 0,-6 2-8 0 0,-4 5 8 0 0,-1 6 0 0 0,-3-3-8 0 0,-2 8 8 0 0,-4 1 8 0 0,-3 3-8 0 0,-2 2 8 0 0,-3 2 8 0 0,-2-1-8 0 0,-1 2 8 0 0,-1 2-8 0 0,1-2-16 0 0,-3 1-16 0 0,2 6 16 0 0,-4-3-40 0 0,-3 6 24 0 0,-1 3 0 0 0,-7 1-16 0 0,0 7 32 0 0,-6 1 8 0 0,0 9 0 0 0,-6 1 0 0 0,-2 5 16 0 0,1-1-16 0 0,-3 2 8 0 0,3 4-8 0 0,-2-6 0 0 0,1-1-16 0 0,5-3 8 0 0,0-3 0 0 0,6-1 0 0 0,0-5 0 0 0,6-2-16 0 0,-2-4 8 0 0,3-3 0 0 0,6-4-8 0 0,2 1-8 0 0,1-7 16 0 0,0-2-8 0 0,6 0 16 0 0,1-2 0 0 0,3-3 0 0 0,5-2 32 0 0,5-8-16 0 0,-1-1 16 0 0,7-7-24 0 0,1-5 8 0 0,7-4-8 0 0,4-6 0 0 0,3-3 8 0 0,1 0-8 0 0,3-3 0-997-635,3-6 0 997 635,-1 7 8 0 0,3 1 0 0 0,-6 2-16 0 0,1 3 8 0 0,-4 4 8 0 0,-7 5-16 0 0,-4 4 0 0 0,-1 6 0 0 0,-9 0 0 0 0,-2 9 0 0 0,-7 0 0 0 0,-3 3 8 0 0,-3 3-8 0 0,-1 1 16 0 0,-1 0-8 0 0,-1 3 0 0 0,-2 4 8 0 0,-1-2-8 0 0,-3 8 0 0 0,-2-1 0 0 0,-5 6-8 0 0,0 1 0 0 0,-6 6 8 0 0,0 3 8 0 0,-2 3-8 0 0,-6 2 8 0 0,2 0-16 0 0,-1-3 8 0 0,-3 6 8 0 0,5-1-16 0 0,-2-6 0 0 0,2-1-8 0 0,8-3 0 0 0,5-3 0 0 0,-1-5 0 0 0,7-3-8 0 0,0-3 0 0 0,5-2 8 0 0,1-3 8 0 0,1-1 0 0 0,0-4-8 0 0,0-1 8 0 0,4-1 8 0 0,-1-4 0 0 0,5-3 8 0 0,2-4 0 0 0,0-2-8 0 0,3-4 0 0 0,8-7 0 0 0,0-3 0 0 0,2-4-8 0 0,7-1 0 0 0,-3-4 0 0 0,2-1 8 0 0,3-1-8 0 0,-4 3 0 0 0,3-1 0 0 0,-4 3 0 0 0,-4 0-8 0 0,4 5 8 0 0,-2-4-8 0 0,-2 6-8 0 0,3-3 8 0 0,-3 4 0 0 0,3-1-8 0 0,-3-1 0 0 0,1-1 8 0 0,4 5-8 0 0,-6-2 8 0 0,-1 3-8 0 0,2 3 8 0 0,-5 0-8 0 0,-3 7 8 0 0,0-1 8 0 0,-3 4-16 0 0,-4 2 8 0 0,1 3 0 0 0,-3-2 0 0 0,0 3 8 0 0,0 0 0 0 0,0 1 0 0 0,-2 3 16 0 0,3-2 0 0 0,-4 1 0 0 0,1 0 8 0 0,-3 1 0 0 0,-1 0-8 0 0,-1 0 8 0 0,0 0 0 0 0,0 0 0 0 0,-1 0 0 0 0,1 0-8 0 0,0 0 8 0 0,0 0-8 0 0,0 0-8 0 0,0 0 0 0 0,-1 1-8 0 0,-5 2 0 0 0,-3 4 0 0 0,1 0 0 0 0,-1 0 0 0 0,-2-2 0 0 0,1 1 8 0 0,0 1 0 0 0,1 3 0 0 0,-5 1-8 0 0,2-3 0 0 0,0 6 0 0 0,-4-2 8 0 0,0 1-8 0 0,-3-1 0 0 0,-1 0 0 0 0,-1 2 0 0 0,-4-2 8 0 0,1 1 9 0 0,1-4-1 0 0,-4 2-16 0 0,2-1 16 0 0,3 0 8 0 0,-4-1 0 0 0,4-2-8 0 0,3-2 8 0 0,-2 1-8 0 0,6-4 8 0 0,2 1 0 0 0,-1-2-8 0 0,4 1-8 0 0,4 1-8 0 0,1-2-8 0 0,1-1-16 0 0,3 0-64 0 0,1 0 24 0 0,0-5-1 0 0,5 1-47 0 0,0-4 32 0 0,3 1 0 0 0,4-7-8 0 0,7 1 40 0 0,3-5 32 0 0,4-3-8 0 0,2 0 0 0 0,7-3 24 0 0,1 0 0 0 0,3-4 0 0 0,-1 2 0 0 0,7-1-8 0 0,-3 1-8 0 0,-1 0 0 0 0,-1 1-8 0 0,-1 2 0 0 0,-1 1-8 0 0,-5 1 8 0 0,-1 6 0 0 0,-2-4-8 0 0,1 7 16 0 0,-2-4-8 0 0,-1 5 0 0 0,-1 1 16 0 0,-1 0 0 0 0,-1 4 8 0 0,1 2-8 0 0,-8 0 8 0 0,0 2 16 0 0,-3-1 0 0 0,-3-2 8 0 0,-2 2 8 0 0,-4 1 24 997 635,-3 2 0-997-635,-1-1 8 0 0,-2 1 24 0 0,0-1 24 0 0,0 1 8 0 0,-1 1-8 0 0,1-1 25 0 0,-1 0-25 0 0,1 0-8 0 0,0 0 16 0 0,0 0-56 0 0,0 0-32 0 0,-3 0-16 0 0,-3 0 8 0 0,-5 1-40 0 0,-3 2-16 0 0,-5 4 0 0 0,1-2 0 0 0,-3 4-16 0 0,-2 3 24 0 0,1-1 0 0 0,-4 2-8 0 0,3 5 16 0 0,-3-5 0 0 0,5 3 0 0 0,-2-3 8 0 0,1 2-8 0 0,3-3 8 0 0,5 1 0 0 0,-3-2 0 0 0,7 0 8 0 0,3-1-8 0 0,1-6-8 0 0,3 4 0 0 0,2-2-8 0 0,-2-3-16 0 0,3-2-16 0 0,0-1-1 0 0,0 0-31 0 0,0 0-8 0 0,0 0 0 0 0,3 0 0 0 0,-3 0-8 0 0,4 0 32 0 0,3-1 16 0 0,3-2-8 0 0,1-2 32 0 0,8-4 24 0 0,3 4 0 0 0,-1-8 8 0 0,5-3 0 0 0,0 1 8 0 0,1 2 0 0 0,1-5-8 0 0,-2 0 0 0 0,2 1 0 0 0,-4 0 0 0 0,-2 4 0 0 0,0-1 0 0 0,1 0 0 0 0,-9 4 0 0 0,3-1 8 0 0,-1 1 8 0 0,-2 3 8 0 0,-2 1 0 0 0,-3 3 24 0 0,-2 1 8 0 0,-5 2 64 0 0,0-1-16 0 0,-2 1-16 0 0,0 0 56 0 0,0 1-72 0 0,-1-1 9 0 0,1 0 15 0 0,-3 1-80 0 0,-5 1-16 0 0,-3 2 0 0 0,-1 2-8 0 0,-4 5-8 0 0,-5 1 8 0 0,-4-2-8 0 0,-3 6 0 0 0,-5 0 16 0 0,-2 0 0 0 0,-4 3-16 0 0,-2 1 16 0 0,-1 0 0 0 0,-4 0 0 0 0,-1 1-8 0 0,5-1 8 0 0,0-1-8 0 0,0-1 0 0 0,2 2 8 0 0,3-3-8 0 0,0-1 8 0 0,4-1 0 0 0,5-2 0 0 0,3-1 8 0 0,6-3 0 0 0,1 1-8 0 0,10-5-24 0 0,-1-1 8 0 0,7-3-17 0 0,1 0-31 0 0,1-1 8 0 0,3-2 0 0 0,2 0-16 0 0,4-3 16 0 0,4-5 16 0 0,4 0-16 0 0,4-2 32 0 0,2-4 0 0 0,8-3 8 0 0,-2-2 0 0 0,5-5 0 0 0,5 0 8 0 0,-4 5 0 0 0,5-7-8 0 0,-1 5 8 0 0,-1 2 0 0 0,5-4 8 0 0,-5 6-8 0 0,7 1 8 0 0,-5 0-496 0 0,1 4-272 0 0,4-1-48 0 0,-4-2-600 0 0,0 3 23 0 0,5 2-551 0 0,-9 0-2353 0 0</inkml:trace>
  <inkml:trace contextRef="#ctx0" brushRef="#br0" timeOffset="1">2376 141 5521 221832 44677,'-1'-2'368'0'0,"-2"-3"-360"0"0,0-5-8 0 0,2-3 8 0 0,2-10 576 0 0,4-4-184 0 0,-1 2-320 0 0,0 9 9 0 0,-2 1-49 0 0,-3 11 8 0 0,-4 5-24 0 0,-5 6-24 0 0,-5 6-8 0 0,-4 0 8 0 0,-7 9 0 0 0,2 0 8 0 0,-10 5 16 0 0,-1 4-8 0 0,-4 0 16 0 0,-4 3 8 0 0,-1 5-24 0 0,-7 1 8 0 0,6-1 0 0 0,-5 2-16 0 0,-3-2-8 0 0,3 0 16 0 0,-3 3-16 0 0,0-4 0 0 0,0-2 0 0 0,4 3 8 0 0,-4-6-8 0 0,5 1 8 0 0,3-5-8 0 0,5 1 0 0 0,5-8 0 0 0,4 2 0 0 0,10-7-8 0 0,3-3-16 0 0,6-2 8 0 0,-1-2-8 0 0,8-7 0 0 0,3-1-8 0 0,2-2 8 0 0,3 0-8 0 0,6-2 64 0 0,5-2 8 0 0,4-7-16 0 0,6-1 56 0 0,8-8-24-1027-584,9-4 8 1027 584,5-6 16 0 0,6-5-56 0 0,7-8 8-2077-162,2 0-8 2077 162,3-4 0 0 0,0-2-8 0 0,-2 3 0 0 0,1-1 0 0 0,-7 5 8 0 0,-5 1-8 0 0,-4 8-8 0 0,-4 0 8 0 0,-4 6 8 0 0,-1 2 0 0 0,-9 8 16 0 0,-4-2 0 0 0,-4 6 16 0 0,-5 6 16 0 0,-6-3 88 0 0,-2 5-16 0 0,-5 3-16 0 0,-2 2 72 0 0,-1 0-96 0 0,-3 0 16 0 0,-5 2 8 0 0,-1 0-104 0 0,-5 2-16 0 0,-2 6 0 0 0,-6 1-8 0 0,-1 4-16 0 0,-5 6 0 0 0,-8 4 8 0 0,-1 8-8 0 0,-8-1 8 0 0,-3 6-16 0 0,-6 7 16 0 0,1 1 0 0 0,-10 2 0 0 0,-1 2 0 0 0,-2-3 8 0 0,1 3-8 0 0,-1-3 8 0 0,6-5 0 0 0,5-3 0 0 0,1-4-8 0 0,11-6-16 0 0,9-5-48 0 0,5-3 0 0 0,10-10 8 0 0,6 1-64 0 0,7-6 24 0 0,1-3-8 0 0,9 0 0 0 0,1-3 16 0 0,7 0 56 0 0,3-4 0 0 0,9-3 0 0 0,3-6 48 0 0,3-1 8 0 0,14-5 8 0 0,-1-6 8 0 0,6-4-8 0 0,5-6-8 0 0,3-2 8 0 0,1-4-8 0 0,4-1 0 0 0,-3-1 8 0 0,4-4 0 0 0,-4 1-8 0 0,2-1 16 0 0,0 3-8 0 0,-5 0 0 0 0,-4 5-8 0 0,1 1 0 0 0,-4 4-8 0 0,-10 4 8 0 0,-2 9-8 0 0,-3 0 0 0 0,-5 9 16 0 0,-9 1-8 0 0,-3 7 16 0 0,-6 0 8 0 0,-5 3 32 0 0,-4 0-24 0 0,1 2 0 0 0,-3 0 24 0 0,-4 3-40 0 0,-2 1 16 0 0,-6 5-8 0 0,-3 1-40 0 0,-5 7 8 0 0,-7 3 0 0 0,-3 7-8 0 0,-10 2 8 0 0,-3 6-8 0 0,-6 5 0 0 0,-5 1 0 0 0,-3 8 0 0 0,2-1 0 0 0,-10 1-16 0 0,4 0 16 0 0,-4 2-8 0 0,5-5 8 0 0,-2 0-8 0 0,1 0 8 0 0,4-4-8 0 0,5-6-16 0 0,6-5-16 0 0,7-4 0 0 0,9-3-32 0 0,8-7-8 0 0,7-2 0 0 0,9-7 0 0 0,6-4-24 0 0,6-2 56 0 0,7-2 8 0 0,2-6 0 0 0,4-1 40 0 0,8-4 8 0 0,5-6 8 0 0,4-1 0 0 0,7-6 8 0 0,3-5-16 0 0,4-3 8 0 0,6-3-8 0 0,-1-4 0 0 0,7-4 16 0 0,-1 1 0 0 0,4-3 0 0 0,0-2 16 0 0,4-2-24 0 0,-3 5 8 0 0,-1-2 16 0 0,-3 4-32 0 0,-4 2 16 0 0,-1 5-16 0 0,-6 1 0 0 0,-10 9 0 0 0,-2 7 0 0 0,-7-2-8 0 0,-4 9 8 0 0,-8-3-8 0 0,-4 8 24 0 0,-7 2 0 0 0,-2 1 0 0 0,-4 2 16 0 0,-3 3-8 1005 616,-3 3 0-1005-616,-4 7 16 0 0,-2-2-16 0 0,-7 8-24 1022 603,-3-3 16-1022-603,-8 9-8 0 0,-3 6-8 0 0,-7 1 8 0 0,-4 5-8 0 0,-7 3 0 0 0,-2 2 16 0 0,-9 5-8 1036 591,-2 0-16-1036-591,-4 0 8 0 0,-3-2 0 0 0,1 0-8 0 0,1 2 0 0 0,2-4 0 0 0,4-3 0 0 0,8-3-16 0 0,7-1 0 0 0,4-5-8 0 0,9-4-8 0 0,9-5-16 0 0,5-6-8 0 0,7 1 0 0 0,4-7-8 0 0,7-2-8 0 0,7-4 24 0 0,1-1-8 0 0,5-5 24 0 0,7-3 8 0 0,0-3 8 0 0,10-3-8 0 0,-1-6 24 0 0,10-2 0 0 0,2-3 0 0 0,8-5 8 0 0,0-2-8 0 0,9-7 16 0 0,0 4-8 0 0,3-2 0 0 0,2-1 16 0 0,0-2-16-1036-591,0 4 0 1036 591,-6 0 0 0 0,2 0-8 0 0,-3 4 0 0 0,-6 4 0 0 0,-5-2 0 0 0,-1 5 0 0 0,-9 4 8 0 0,-3 3-8 0 0,-10 2 16 0 0,0 0 0 0 0,-4 6 40 0 0,-7 3-16 0 0,-3 2 0 0 0,-4 2 32 0 0,-5 3-40 0 0,-4 3 24 0 0,-4 3 0 0 0,-6 7-40 0 0,-2 4 8 0 0,-7 0-16 0 0,-3 6 8 0 0,-7 1 0 0 0,-3 4-8 1036 591,-9 2 0-1036-591,-4 2 8 0 0,-2 0-16 0 0,-7 3 24 0 0,1-3-24 0 0,-6 3 0 0 0,3-1 8 0 0,3 5-8 0 0,-2-4 0 0 0,5 2 8 0 0,3-1-16 0 0,1-2-8 0 0,8 0 16 0 0,3-2-8 0 0,4-4 0 0 0,6-2-24 0 0,6-7-8 0 0,7 2 8 0 0,6-8-32 0 0,2-5-8 0 0,6 0 8 0 0,4-5-8 0 0,6-3 0 0 0,3-3 40 0 0,7-2 0 0 0,1-5-8 0 0,6-6 40 0 0,7-1 0-1094 479,2-8 8 1094-479,7-2 0 0 0,3-2 8 0 0,4-5-8 0 0,4 0 16 0 0,2-4 0 0 0,0-1-8 0 0,0 3-8 0 0,1-1 0 0 0,0 2 8 0 0,-6 2-16 0 0,3 3 0-1030-610,-1 0-8 1030 610,-7 7 0 0 0,-1-2 0 0 0,-6 5 8 0 0,0 0-8 0 0,-7 5 8 0 0,-4 1 0 0 0,-3 3 8 0 0,-6 0 8 0 0,-1 3 0 0 0,-4 2 8 0 0,-5 1 40 0 0,-4 2-8 0 0,-1 0-8 0 0,-1 0 32 0 0,0 0-32 0 0,-2 1 8 0 0,-1 2 8 0 0,-3 2-40 0 0,-3 5-8 0 0,-6-2-8 0 0,0 8 0 0 0,-8-1-8 0 0,-4 6 8 0 0,-7 2-8 0 0,-6 2 0 0 0,-5 10 0 0 0,-5-1 0 0 0,-5 2 24 0 0,-1 3-24 0 0,0 1 8 0 0,-3 3-8 0 0,4-1 0 0 0,0-1 0 0 0,6-3-24 0 0,3 0 16 0 0,6-5-32 0 0,5-3 16 0 0,7-5 0 0 0,9-5-32 0 0,4-2 0 0 0,7-3 8 0 0,2-6-32 0 0,4 2 0 0 0,4-6 16 0 0,4-1-16 0 0,0-2 16 0 0,5-2 32 0 0,3-2 0 0 0,8-2 0 0 0,0-5 32 0 0,6-3 0 0 0,7-4 0 0 0,1-1 8 0 0,8-6 0 0 0,5-4-8 0 0,1-5 24 0 0,4-2-16 0 0,5-4 0 0 0,0-3-8 0 0,2-1 8 0 0,-3 2-8 0 0,3-1 0 0 0,-3 1 0 0 0,-2 4 0 0 0,-4 5 0 0 0,-5 1 8 0 0,-1 4 8 0 0,-6 5-8 0 0,-4 4 8 0 0,-7 3 0 0 0,-3 5-8 0 0,-6 4-8 0 0,-2-2 8 0 0,-7 6-8 0 0,2-1 8 0 0,-7 1 8 0 0,-3 2 0 0 0,-2-1 16 0 0,-1 2-16 0 0,-1 1 16 0 0,-6 5-16 0 0,-3 0-8 0 0,0 8 8 0 0,-4-1 0 0 0,-4 5-16 0 0,-8 6 0 0 0,-3 0 0 0 0,-5 7-8 0 0,-8 1 8 0 0,-1 4-16 0 0,-5 5-32 0 0,-5 1 8 0 0,-4 2 8 0 0,-4 0-32 0 0,0 5 40 0 0,-1 0-8 0 0,-1-4-8 0 0,0 2 40 0 0,3-6 0 0 0,4-1 0 0 0,8-4 0 0 0,2-2 0 0 0,9-6 0 0 0,6-6-8 0 0,8-4 8 0 0,2-2-16 0 0,6-2 0 0 0,5-3 8 0 0,5-7-8 0 0,1 1-8 0 0,4-2-16 0 0,3-3 16 0 0,2 0-16 0 0,4-5-8 0 0,2 0 32 0 0,3-3 16 0 0,10-4-24 0 0,3-1 32 0 0,5-5 8 0 0,4 0-8 0 0,10-7 24 0 0,2 0-16 0 0,6-8 0-1014-622,4-1-16 1014 622,-1-3 32 0 0,2 0-8 0 0,-3-3-24 0 0,1 3 0 0 0,-5 1 0 0 0,-3 0 0 0 0,-7 5 0 0 0,3 2 0 0 0,-10 5-32 0 0,0 1 32 0 0,-7 4 0 0 0,0 5 8 0 0,-4 0 0 0 0,-2 5 0 0 0,2 0 8 0 0,-10 1-8 0 0,1 3 8 0 0,1 0 0 0 0,-6 1-8 0 0,-1 2 8 0 0,4-1-8 0 0,-8 0 0 0 0,0 1 16 0 0,-1 0 8 0 0,-2 0-16 0 0,-1 0 24 0 0,-1 0-24 0 0,0 2 0 0 0,-3 5 8 0 0,-3 2-16 0 0,-2 0-8 0 0,-8 5 0 0 0,2 0 0 0 0,-8 6 0 0 0,0 2 0 0 0,-7 1 0 0 0,-2 3 0 0 0,-3 2 0 0 0,0 3 0 0 0,-3 2 0 0 0,0-1-8 0 0,-7 1 8 0 0,6 1 0 0 0,-4 2 0 0 0,3-4 0 0 0,-4 6 0 0 0,0-7 0 0 0,2 1 0 0 0,-3-2 0 0 0,8 0 0 0 0,-3 4 0 0 0,5-7 0 0 0,2 1-8 0 0,4-3 8 0 0,4 0 0 0 0,6-5 0 0 0,1 1-8 0 0,4-4 8 0 0,5-3-16 0 0,0-2-8 0 0,4-3 0 0 0,2-1-16 0 0,4-1-16 0 0,2-3 8 0 0,1-2 0 0 0,4-3 0 0 0,2-1 40 0 0,5-7 8 0 0,1 0 0 0 0,11-5 56 0 0,2-6 8 0 0,5 0 16 0 0,4-9 8 0 0,5-1 8 0 0,3 0-8-1090 427,3-4-8 1090-427,3-2-8 0 0,-1 0-8 0 0,-1 1-24 0 0,0 1-16 0 0,3 0 0 0 0,-7 6-24 0 0,4-2 8 0 0,-1 3 0 0 0,0 3-8 0 0,-7 2 0 0 0,1-1-8 0 0,-2 1-48 0 0,0 3-56 0 0,-3-2-56 0 0,-1 5 8 0 0,-2 1-88 0 0,-5 2-8002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29"/>
    </inkml:context>
    <inkml:brush xml:id="br0">
      <inkml:brushProperty name="width" value="0.05" units="cm"/>
      <inkml:brushProperty name="height" value="0.05" units="cm"/>
    </inkml:brush>
  </inkml:definitions>
  <inkml:trace contextRef="#ctx0" brushRef="#br0">176 2491 520 0 0,'-7'-147'1347'0'0,"10"119"383"0"0,-3 25-1142 0 0,0 3-7 0 0,0 0 6 0 0,0 0-75 0 0,0 0-86 0 0,0 0-44 0 0,5 7 273 0 0,-3 2-486 0 0,-1-2 1 0 0,0-2-1 0 0,-1 6 0 0 0,0-4 0 0 0,0 4-169 0 0,0 13 233 0 0,5 392 918 0 0,-5-407-1142 0 0,-11 346 257 0 0,-1 223 309 0 0,13-557-830 0 0,2-2 1 0 0,-1-1 0 0 0,6 12 254 0 0,-8-29-44 0 0,0-1 0 0 0,0 1 0 0 0,0-1 0 0 0,0 1 0 0 0,0 0 0 0 0,1-1 1 0 0,-1 1-1 0 0,0-1 0 0 0,0 0 0 0 0,1 0 0 0 0,-1 1 0 0 0,0-1 0 0 0,1 0 1 0 0,-1 0-1 0 0,1 1 0 0 0,-1-1 0 0 0,0 2 0 0 0,0-2 0 0 0,0 0 0 0 0,1 1 44 0 0,7-5-1274 0 0,5-17-962 0 0,-8 1 1156 0 0</inkml:trace>
  <inkml:trace contextRef="#ctx0" brushRef="#br0" timeOffset="1">211 2370 3913 0 0,'0'-3'13'0'0,"-1"3"1"0"0,1-1-1 0 0,0 1 0 0 0,-1 0 1 0 0,1 0-1 0 0,0 0 0 0 0,-1-2 1 0 0,1 2-1 0 0,0-1 0 0 0,-1 1 1 0 0,1-1-1 0 0,0 1 0 0 0,0 0 1 0 0,0 0-1 0 0,0-1 0 0 0,0 1 1 0 0,0-1-1 0 0,-1 1 0 0 0,1 0 1 0 0,0-1-1 0 0,1 1 1 0 0,-1-1-1 0 0,0 1 0 0 0,0 0 1 0 0,0 0-1 0 0,0-2 0 0 0,0 2 1 0 0,0-1-1 0 0,1 1 0 0 0,-1-1 1 0 0,0 1-1 0 0,0-1 0 0 0,1 1 1 0 0,-1-1-1 0 0,0 1 0 0 0,1-1 1 0 0,-1 1-1 0 0,1 0 0 0 0,-1-2 1 0 0,1 2-1 0 0,-1-1 1 0 0,0 1-1 0 0,1 0 0 0 0,-1 0 1 0 0,1-1-1 0 0,0 1-13 0 0,31-14 275 0 0,38-8 411 0 0,5 8-1 0 0,-1-1 1 0 0,2 4-686 0 0,20 0 112 0 0,-1 5 0 0 0,57 4-112 0 0,189 19-173 0 0,-207-9 35 0 0,221 21-94 0 0,-46-1 253 0 0,-102-23 73 0 0,-29-1-13 0 0,-25 2 1041 0 0,-148-7-1131 0 0,1-3 1 0 0,-1 1 0 0 0,1 2 0 0 0,0-1-1 0 0,-3 1 1 0 0,2-2 0 0 0,3-2 8 0 0,2 3-13 0 0,86-30-35 0 0,-84 27 34 0 0,4 2 0 0 0,-3 0 0 0 0,1 1 0 0 0,-1 0 0 0 0,1 0-1 0 0,14 2 15 0 0,35-5-4 0 0,-24 3 78 0 0,4 0 1 0 0,18 2-75 0 0,-36 0-28 0 0,0-8 19 0 0,-3 3-3 0 0,1-2 1 0 0,1 4-1 0 0,4 0 12 0 0,131-5-172 0 0,8-1 83 0 0,-71 0 170 0 0,-95 9-66 0 0,-1 0 3 0 0,0 0 10 0 0,0 0-1 0 0,0 0 5 0 0,0 0 8 0 0,0 0 52 0 0,0 0-1 0 0,0 0 1 0 0,1 0 0 0 0,-1 0-1 0 0,0 0 1 0 0,1 0 0 0 0,-1 0-1 0 0,0 0 1 0 0,0 0 0 0 0,0 0-1 0 0,0 0 1 0 0,0 0 0 0 0,1 0-1 0 0,-1 0 1 0 0,0 0-1 0 0,0 0 1 0 0,1 0 0 0 0,-1 0-1 0 0,0 0 1 0 0,0 0 0 0 0,2 0-1 0 0,-2 0 1 0 0,0 0 0 0 0,0 1-1 0 0,1-1 1 0 0,-1 0 0 0 0,0 0-1 0 0,0 0 1 0 0,1 0 0 0 0,-1 0-1 0 0,0 0 1 0 0,0 0 0 0 0,0 1-92 0 0,2 1 54 0 0,0 1 0 0 0,0 0 0 0 0,0 2 0 0 0,0-2 0 0 0,-1-1 1 0 0,1 1-1 0 0,-1 1 0 0 0,-1-2 0 0 0,3 1 0 0 0,-3 1 0 0 0,1-1 0 0 0,0 0 1 0 0,-1 4-55 0 0,1 49 625 0 0,-1-27-426 0 0,8 186 648 0 0,20 72-847 0 0,3-18 263 0 0,-9 63-263 0 0,-20-291-164 0 0,15 207-1948 0 0,-17-229-822 0 0,0-17 1703 0 0</inkml:trace>
  <inkml:trace contextRef="#ctx0" brushRef="#br0" timeOffset="2">0 3994 6457 0 0,'0'0'255'0'0,"0"0"-235"0"0,0 0-184 0 0,0 0 11 0 0,0 0-51 0 0,0 0-87 0 0,0 0 36 0 0,2-2 20 0 0,1 0 190 0 0,0 0-1 0 0,0-2 1 0 0,2 1-1 0 0,-2 2 1 0 0,-1 0-1 0 0,3-1 0 0 0,-3 1 1 0 0,3-2-1 0 0,-1 2 1 0 0,0-3-1 0 0,2 4 46 0 0,51-14-64 0 0,-41 11 81 0 0,253-45 750 0 0,-188 38-355 0 0,1 4 0 0 0,29 2-412 0 0,62 6 219 0 0,86-1 2696 0 0,173-22-2915 0 0,198-44 412 0 0,-337 46-541 0 0,-123 6-54 0 0,71 0-207 0 0,210 10-204 0 0,-1 26 441 0 0,-398-15 268 0 0,9 2-115 0 0,31 4 237 0 0,-85-12-329 0 0,-3-1 7 0 0,2-1 0 0 0,-3 1 0 0 0,2 1 0 0 0,-2-2 0 0 0,2 0-1 0 0,-1 0 1 0 0,0 0 0 0 0,1-2 0 0 0,-1 2 0 0 0,0-1 0 0 0,2 0 0 0 0,-1-1-1 0 0,-1 0 1 0 0,0 2 0 0 0,-2-2 0 0 0,2 1 0 0 0,0-1 85 0 0,6-5-313 0 0,2 1 244 0 0</inkml:trace>
  <inkml:trace contextRef="#ctx0" brushRef="#br0" timeOffset="3">1805 978 4489 0 0,'0'0'320'0'0,"0"0"31"0"0,0 0 85 0 0,0 0 604 0 0,0 0-469 0 0,0 0-100 0 0,0 0-21 0 0,-1 9 585 0 0,-3-3-779 0 0,1 4 0 0 0,1-4 0 0 0,0 3 0 0 0,1 0 0 0 0,0-1 0 0 0,0 9-256 0 0,1 58 751 0 0,1-20-305 0 0,-9 193 512 0 0,1 309-547 0 0,12-499-406 0 0,-2-34-73 0 0,-2-20-36 0 0,-1-6-66 0 0,-1-5 115 0 0,-16-286-663 0 0,36-145 631 0 0,-4 4 191 0 0,-9 321 303 0 0,-6 112-359 0 0,0 1 1 0 0,0 0 7 0 0,0 0 7 0 0,0 0 2 0 0,0 0 8 0 0,0 0 15 0 0,0 0 15 0 0,0 0 5 0 0,0 0-5 0 0,0 0 1 0 0,0 0-40 0 0,-2 17 115 0 0,-7 303 749 0 0,6-110-571 0 0,-9 540-18 0 0,14-442-290 0 0,-3-282-413 0 0,0-21-400 0 0,1-15 387 0 0,11-265-421 0 0,1 75 781 0 0,-8 45 27 0 0,12-524-16 0 0,-26 481 338 0 0,14 1071 556 0 0,-5-749-899 0 0,8 244-573 0 0,-7-366 423 0 0,0 0-191 0 0,0 0 1 0 0,0 0 0 0 0,0 1-1 0 0,1-1 1 0 0,-1 0 0 0 0,1 1-1 0 0,-1-1 1 0 0,1 0 0 0 0,-1 3 351 0 0,0-5-699 0 0</inkml:trace>
  <inkml:trace contextRef="#ctx0" brushRef="#br0" timeOffset="4">103 2416 2945 0 0,'0'0'281'0'0,"0"0"-196"0"0,0 0 105 0 0,0 0 222 0 0,0 0-219 0 0,0 0-69 0 0,0 0-10 0 0,0 0-56 0 0,1 0 0 0 0,-1 0 0 0 0,1 0 0 0 0,0-2 0 0 0,0 2 1 0 0,0 0-1 0 0,1 0 0 0 0,-1-1 0 0 0,0 1 0 0 0,-1-2 0 0 0,1 2 1 0 0,0 0-1 0 0,0 0 0 0 0,0-1 0 0 0,-1 1 0 0 0,1-2 0 0 0,0 2 0 0 0,0-2-58 0 0,59-51 941 0 0,-4-4-1 0 0,-3-4-940 0 0,-18 21-4 0 0,129-133 283 0 0,52-33-279 0 0,257-195 78 0 0,-303 257 52 0 0,-5-6-130 0 0,-130 117 113 0 0,24-34-113 0 0,-38 43 81 0 0,-12 20-55 0 0,-5 1 0 0 0,0-3 0 0 0,1 0 0 0 0,-1 2 0 0 0,0-1 0 0 0,1-3-26 0 0,-4 8 10 0 0,-1 0-2 0 0,0 0 1 0 0,0 0 4 0 0,18-22-270 0 0,3 2-3768 0 0,-19 18 3116 0 0</inkml:trace>
  <inkml:trace contextRef="#ctx0" brushRef="#br0" timeOffset="5">1761 796 848 0 0,'0'0'228'0'0,"0"0"-104"0"0,0 0 258 0 0,0 0 100 0 0,0 0-49 0 0,0 0 79 0 0,0 0-60 0 0,0 0 0 0 0,0 0 4 0 0,0 0-108 0 0,0 0 5 0 0,0 0-30 0 0,0 0-5 0 0,0 0 0 0 0,0 0-72 0 0,0 0-9 0 0,0 0 3 0 0,0 0-84 0 0,0 0 14 0 0,0 0-10 0 0,0 0-10 0 0,18 7 980 0 0,42 34-441 0 0,14 0-689 0 0,-11-4-5 0 0,-21-9 6 0 0,1 1 0 0 0,4 7-1 0 0,-15-9 14 0 0,-4-9-6 0 0,-5-2 1 0 0,4 1-1 0 0,23 11-8 0 0,-18-12-3 0 0,-5-1-1 0 0,10 11 4 0 0,-6-3-2 0 0,130 95 27 0 0,-91-61-30 0 0,-30-22 1 0 0,6-2 23 0 0,-2 1-1 0 0,-1-8 1 0 0,12 7-19 0 0,-18-10-1 0 0,0 2 0 0 0,0 6 0 0 0,-3-5 0 0 0,2 9 1 0 0,50 36-3 0 0,16 6 27 0 0,-30-20-24 0 0,2-1-1 0 0,35 46 1 0 0,-45-44 96 0 0,64 49-96 0 0,-65-56 48 0 0,17 14 195 0 0,-106-81 4385 0 0,-34-26-4779 0 0,7-1 273 0 0,15 10 5 0 0,-14-6-127 0 0,-77-52 104 0 0,-2-12-104 0 0,89 70 2 0 0,-2 2-1 0 0,-1 3 1 0 0,-38-17-2 0 0,21 12 3 0 0,-38-29-3 0 0,15 3-13 0 0,-136-100-46 0 0,160 120 75 0 0,-22-14-16 0 0,-39-24 16 0 0,66 38-24 0 0,1-2 0 0 0,-24-27 8 0 0,-203-193 25 0 0,172 160 157 0 0,109 100-173 0 0,1 1-4 0 0,0 0-13 0 0,0 0-12 0 0,0 0 3 0 0,0 0-2 0 0,0 0-9 0 0,0 0 3 0 0,0 0 2 0 0,0 0 6 0 0,0 0 1 0 0,0 0 1 0 0,0 0 6 0 0,0 0 0 0 0,0 0-5 0 0,0 0 5 0 0,0 0 1 0 0,-6 1 37 0 0,5-1-31 0 0,1 0 0 0 0,-1-1 0 0 0,0 1 0 0 0,0 0 0 0 0,0 0 0 0 0,0 0 0 0 0,0 0 0 0 0,1 0 0 0 0,-1 0 0 0 0,0 1 0 0 0,0-1 0 0 0,0 0 0 0 0,1 0 0 0 0,-4 0 0 0 0,4 0-1 0 0,-1 0 1 0 0,0 1 0 0 0,0-1 0 0 0,1 2 0 0 0,-1-2 0 0 0,0 1 0 0 0,0 1 2 0 0,-63 51-115 0 0,-48 54 115 0 0,-27 26 10 0 0,-95 63 9 0 0,-76 65-21 0 0,4 40-18 0 0,11-14 8 0 0,154-158-44 0 0,-16-3 56 0 0,152-120-3165 0 0,6-7 2818 0 0,1-6-123 0 0,3 1-725 0 0</inkml:trace>
  <inkml:trace contextRef="#ctx0" brushRef="#br0" timeOffset="6">3596 2207 5225 0 0,'0'0'203'0'0,"0"0"-148"0"0,0 0-31 0 0,0 0-10 0 0,0 0-24 0 0,0 0 115 0 0,2-6 223 0 0,0 2-304 0 0,2 1 0 0 0,-1 0 0 0 0,0-4 1 0 0,0 5-1 0 0,1-2 0 0 0,-1 1 0 0 0,2 1 0 0 0,-2 0 0 0 0,1-1 0 0 0,0-1-24 0 0,55-27 327 0 0,-24 16-150 0 0,342-204 858 0 0,-230 132-909 0 0,-18 8-59 0 0,-1 0-1269 0 0,123-51 1202 0 0,-201 108-120 0 0,-3 6-194 0 0</inkml:trace>
  <inkml:trace contextRef="#ctx0" brushRef="#br0" timeOffset="7">3581 3727 3545 0 0,'0'0'1135'0'0,"0"0"-326"0"0,0 0-70 0 0,0 0-86 0 0,0 0-511 0 0,0 0-170 0 0,3-1-6 0 0,24-9 56 0 0,-3-3 0 0 0,3 0 0 0 0,-2-3-22 0 0,10-7 89 0 0,220-110 615 0 0,4-6-378 0 0,-77 33-113 0 0,146-78-1078 0 0,-268 154 372 0 0</inkml:trace>
  <inkml:trace contextRef="#ctx0" brushRef="#br0" timeOffset="8">4778 1525 2945 0 0,'-12'19'1399'0'0,"4"-14"-1090"0"0,5 5 0 0 0,0-1 0 0 0,-1 1 0 0 0,0-3 1 0 0,2 4-1 0 0,-1-2-309 0 0,-51 345 2078 0 0,37-221-1823 0 0,-50 523-150 0 0,59-509-1987 0 0,9 71 1882 0 0,2-159-74 0 0</inkml:trace>
  <inkml:trace contextRef="#ctx0" brushRef="#br0" timeOffset="9">3173 427 1152 0 0,'0'0'400'0'0,"-20"-28"4112"0"0,20 27-4529 0 0,0 1 0 0 0,0 0-1 0 0,0 0 1 0 0,0 0 0 0 0,0-1 0 0 0,0 0 0 0 0,0 1-1 0 0,0-2 1 0 0,0 2 0 0 0,0-2 0 0 0,0 1-1 0 0,0 1 1 0 0,2-1 0 0 0,-2 1 0 0 0,0 0 0 0 0,1 0-1 0 0,-1-2 1 0 0,0 2 0 0 0,1 0 0 0 0,-1 0 0 0 0,3-1-1 0 0,-3 1 1 0 0,0 0 0 0 0,0-1 0 0 0,0 1 0 0 0,1 0-1 0 0,-1-1 1 0 0,1 1 17 0 0,1 0-14 0 0,0-1-1 0 0,1 1 1 0 0,-2-1-1 0 0,1 1 1 0 0,-1 0 0 0 0,1 0-1 0 0,0 0 1 0 0,0 0-1 0 0,0 0 1 0 0,1 1 14 0 0,9 1 23 0 0,1 0 1 0 0,-2 0-1 0 0,5 6-23 0 0,-12-8-8 0 0,42 20 130 0 0,-1 0-1 0 0,0 5 1 0 0,-4-3 0 0 0,31 25-122 0 0,-21-15 45 0 0,338 233 430 0 0,-153-101-421 0 0,-68-41-6 0 0,-54-46 96 0 0,3 1 0 0 0,16-1-144 0 0,22 2-568 0 0,106 34 568 0 0,-185-80-1313 0 0,-45-20 418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24T13:07:48.839"/>
    </inkml:context>
    <inkml:brush xml:id="br0">
      <inkml:brushProperty name="width" value="0.05" units="cm"/>
      <inkml:brushProperty name="height" value="0.05" units="cm"/>
    </inkml:brush>
  </inkml:definitions>
  <inkml:trace contextRef="#ctx0" brushRef="#br0">9 369 3177 0 0,'0'0'943'0'0,"0"0"-206"0"0,0 0-46 0 0,-6 1 258 0 0,4-2-898 0 0,2-1 253 0 0,1 0-269 0 0,0 1 1 0 0,0-2-1 0 0,0 2 0 0 0,1 0 1 0 0,-2-1-1 0 0,2 1 0 0 0,1 0 1 0 0,-3 0-1 0 0,0 1 0 0 0,2-1 1 0 0,-1 0-1 0 0,1 0 0 0 0,-1 1 1 0 0,1-1-1 0 0,0 0 0 0 0,0 1 1 0 0,1-1-1 0 0,-2 1 1 0 0,2-1-36 0 0,44-7 639 0 0,-21 5-392 0 0,159-40 647 0 0,30-14-894 0 0,-8 1 122 0 0,180-55 81 0 0,-356 103-201 0 0,121-35-470 0 0,-121 38-316 0 0,0-1 1 0 0,2 3-1 0 0,-2 0 0 0 0,1 2 784 0 0,2 3-1251 0 0</inkml:trace>
</inkml:ink>
</file>

<file path=xl/persons/person.xml><?xml version="1.0" encoding="utf-8"?>
<personList xmlns="http://schemas.microsoft.com/office/spreadsheetml/2018/threadedcomments" xmlns:x="http://schemas.openxmlformats.org/spreadsheetml/2006/main">
  <person displayName="Jan Staubli" id="{6F75F838-DC68-486D-ABAD-63D0F6A5BE8C}" userId="Jan Staubli" providerId="None"/>
  <person displayName="Jan Staubli" id="{62901CFB-C8D7-48EA-B5CB-4C946031BB8D}" userId="S::staubli@rundumenergie.ch::58492642-0477-4c4c-a3be-10797029357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3" displayName="Tabelle3" ref="B13:M19" totalsRowCount="1" headerRowDxfId="277" dataDxfId="275" totalsRowDxfId="273" headerRowBorderDxfId="276" tableBorderDxfId="274">
  <autoFilter ref="B13:M18"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Dach gegen Aussenluft" dataDxfId="272" totalsRowDxfId="271"/>
    <tableColumn id="2" xr3:uid="{00000000-0010-0000-0000-000002000000}" name="Ausrichtung" dataDxfId="270" totalsRowDxfId="269"/>
    <tableColumn id="3" xr3:uid="{00000000-0010-0000-0000-000003000000}" name="Beschrieb" dataDxfId="268" totalsRowDxfId="267"/>
    <tableColumn id="5" xr3:uid="{00000000-0010-0000-0000-000005000000}" name="Länge" dataDxfId="266" totalsRowDxfId="265"/>
    <tableColumn id="6" xr3:uid="{00000000-0010-0000-0000-000006000000}" name="Breite" dataDxfId="264" totalsRowDxfId="263"/>
    <tableColumn id="7" xr3:uid="{00000000-0010-0000-0000-000007000000}" name="Fläche" dataDxfId="262" totalsRowDxfId="261">
      <calculatedColumnFormula>E14*F14</calculatedColumnFormula>
    </tableColumn>
    <tableColumn id="8" xr3:uid="{00000000-0010-0000-0000-000008000000}" name="Anzahl" totalsRowFunction="sum" dataDxfId="260" totalsRowDxfId="259">
      <calculatedColumnFormula>1</calculatedColumnFormula>
    </tableColumn>
    <tableColumn id="9" xr3:uid="{00000000-0010-0000-0000-000009000000}" name="Fläche Total" totalsRowFunction="sum" dataDxfId="258" totalsRowDxfId="257">
      <calculatedColumnFormula>G14*H14</calculatedColumnFormula>
    </tableColumn>
    <tableColumn id="4" xr3:uid="{A6ED4FEC-B8B8-4D5C-A147-A8C89B664A33}" name="Fläche Neu" dataDxfId="256" totalsRowDxfId="255"/>
    <tableColumn id="10" xr3:uid="{0636181B-C5E4-4F36-A999-0E628B6AD461}" name="Anzahl Neu" totalsRowFunction="sum" dataDxfId="254" totalsRowDxfId="253"/>
    <tableColumn id="11" xr3:uid="{1E0254A6-BE2C-4DF5-AAE9-87BB524E220C}" name="Fläche Total Neu" totalsRowFunction="sum" dataDxfId="252" totalsRowDxfId="251"/>
    <tableColumn id="12" xr3:uid="{9ECA22A6-971C-4308-BC1F-E1D82F759B6C}" name="Beschrieb Neu" dataDxfId="250" totalsRowDxfId="249"/>
  </tableColumns>
  <tableStyleInfo name="Tabellenformat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elle4" displayName="Tabelle4" ref="B27:M33" totalsRowCount="1" headerRowDxfId="248" dataDxfId="246" totalsRowDxfId="244" headerRowBorderDxfId="247" tableBorderDxfId="245">
  <autoFilter ref="B27:M3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Wand gegen Aussenluft" dataDxfId="243" totalsRowDxfId="242"/>
    <tableColumn id="2" xr3:uid="{00000000-0010-0000-0100-000002000000}" name="Ausrichtung" dataDxfId="241" totalsRowDxfId="240"/>
    <tableColumn id="3" xr3:uid="{00000000-0010-0000-0100-000003000000}" name="Beschrieb" dataDxfId="239" totalsRowDxfId="238"/>
    <tableColumn id="5" xr3:uid="{00000000-0010-0000-0100-000005000000}" name="Länge" dataDxfId="237" totalsRowDxfId="236"/>
    <tableColumn id="6" xr3:uid="{00000000-0010-0000-0100-000006000000}" name="Höhe" dataDxfId="235" totalsRowDxfId="234"/>
    <tableColumn id="7" xr3:uid="{00000000-0010-0000-0100-000007000000}" name="Fläche" dataDxfId="233" totalsRowDxfId="232"/>
    <tableColumn id="8" xr3:uid="{00000000-0010-0000-0100-000008000000}" name="Anzahl" totalsRowFunction="sum" dataDxfId="231" totalsRowDxfId="230">
      <calculatedColumnFormula>1</calculatedColumnFormula>
    </tableColumn>
    <tableColumn id="9" xr3:uid="{00000000-0010-0000-0100-000009000000}" name="Fläche Total" totalsRowFunction="sum" dataDxfId="229" totalsRowDxfId="228">
      <calculatedColumnFormula>G28*H28</calculatedColumnFormula>
    </tableColumn>
    <tableColumn id="4" xr3:uid="{684D48A6-B859-4370-8E73-467A65C7353D}" name="Fläche Neu" dataDxfId="227" totalsRowDxfId="226"/>
    <tableColumn id="10" xr3:uid="{FF00852A-2158-4F4F-A478-C421C63F9D1D}" name="Anzahl Neu" totalsRowFunction="sum" dataDxfId="225" totalsRowDxfId="224"/>
    <tableColumn id="11" xr3:uid="{B20A5D59-B331-4E60-8017-056BB618C400}" name="Fläche Total Neu" totalsRowFunction="sum" dataDxfId="223" totalsRowDxfId="222"/>
    <tableColumn id="12" xr3:uid="{0FBBE905-E2DE-44A5-82A4-473FC1917557}" name="Beschrieb Neu" dataDxfId="221" totalsRowDxfId="220"/>
  </tableColumns>
  <tableStyleInfo name="Tabellenformat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e5" displayName="Tabelle5" ref="B34:M40" totalsRowCount="1" headerRowDxfId="219" dataDxfId="218" totalsRowDxfId="217">
  <autoFilter ref="B34:M39"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200-000001000000}" name="Wand gegen Erdreich" dataDxfId="216" totalsRowDxfId="215"/>
    <tableColumn id="2" xr3:uid="{00000000-0010-0000-0200-000002000000}" name="Ausrichtung" dataDxfId="214" totalsRowDxfId="213"/>
    <tableColumn id="3" xr3:uid="{00000000-0010-0000-0200-000003000000}" name="Beschrieb" dataDxfId="212" totalsRowDxfId="211"/>
    <tableColumn id="5" xr3:uid="{00000000-0010-0000-0200-000005000000}" name="Länge" dataDxfId="210" totalsRowDxfId="209"/>
    <tableColumn id="6" xr3:uid="{00000000-0010-0000-0200-000006000000}" name="Höhe" dataDxfId="208" totalsRowDxfId="207"/>
    <tableColumn id="7" xr3:uid="{00000000-0010-0000-0200-000007000000}" name="Fläche" dataDxfId="206" totalsRowDxfId="205">
      <calculatedColumnFormula>E35*F35</calculatedColumnFormula>
    </tableColumn>
    <tableColumn id="8" xr3:uid="{00000000-0010-0000-0200-000008000000}" name="Anzahl" totalsRowFunction="sum" dataDxfId="204" totalsRowDxfId="203"/>
    <tableColumn id="9" xr3:uid="{00000000-0010-0000-0200-000009000000}" name="Fläche Total" totalsRowFunction="sum" dataDxfId="202" totalsRowDxfId="201">
      <calculatedColumnFormula>G35*H35</calculatedColumnFormula>
    </tableColumn>
    <tableColumn id="4" xr3:uid="{D2B9F5CA-9BF6-4DEE-B446-A7C3C9F5FB61}" name="Fläche Neu" dataDxfId="200" totalsRowDxfId="199"/>
    <tableColumn id="10" xr3:uid="{A736D363-C0D2-4228-9023-A0C5A544E307}" name="Anzahl Neu" totalsRowFunction="sum" dataDxfId="198" totalsRowDxfId="197"/>
    <tableColumn id="11" xr3:uid="{589DEB04-17C8-4981-8744-C729AE7712E5}" name="Fläche Total Neu" totalsRowFunction="sum" dataDxfId="196" totalsRowDxfId="195"/>
    <tableColumn id="12" xr3:uid="{43CDB2DB-74C6-4A00-A640-63A57F6FF736}" name="Beschrieb Neu" dataDxfId="194" totalsRowDxfId="193"/>
  </tableColumns>
  <tableStyleInfo name="Tabellenformat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elle6" displayName="Tabelle6" ref="B41:M47" totalsRowCount="1" headerRowDxfId="192" dataDxfId="191" totalsRowDxfId="190">
  <autoFilter ref="B41:M4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300-000001000000}" name="Wand gegen unbeheizt" dataDxfId="189" totalsRowDxfId="188"/>
    <tableColumn id="2" xr3:uid="{00000000-0010-0000-0300-000002000000}" name="Ausrichtung" dataDxfId="187" totalsRowDxfId="186"/>
    <tableColumn id="3" xr3:uid="{00000000-0010-0000-0300-000003000000}" name="Beschrieb" dataDxfId="185" totalsRowDxfId="184"/>
    <tableColumn id="5" xr3:uid="{00000000-0010-0000-0300-000005000000}" name="Länge" dataDxfId="183" totalsRowDxfId="182"/>
    <tableColumn id="6" xr3:uid="{00000000-0010-0000-0300-000006000000}" name="Höhe" dataDxfId="181" totalsRowDxfId="180"/>
    <tableColumn id="7" xr3:uid="{00000000-0010-0000-0300-000007000000}" name="Fläche" dataDxfId="179" totalsRowDxfId="178">
      <calculatedColumnFormula>E42*F42</calculatedColumnFormula>
    </tableColumn>
    <tableColumn id="8" xr3:uid="{00000000-0010-0000-0300-000008000000}" name="Anzahl" totalsRowFunction="sum" dataDxfId="177" totalsRowDxfId="176">
      <calculatedColumnFormula>1</calculatedColumnFormula>
    </tableColumn>
    <tableColumn id="9" xr3:uid="{00000000-0010-0000-0300-000009000000}" name="Fläche Total" totalsRowFunction="sum" dataDxfId="175" totalsRowDxfId="174">
      <calculatedColumnFormula>G42*H42</calculatedColumnFormula>
    </tableColumn>
    <tableColumn id="4" xr3:uid="{B3F834E2-4528-4292-8A35-872D84B47343}" name="Fläche Neu" dataDxfId="173" totalsRowDxfId="172"/>
    <tableColumn id="10" xr3:uid="{6DA79A77-29E1-4C45-82A9-FB5950978553}" name="Anzahl Neu" totalsRowFunction="sum" dataDxfId="171" totalsRowDxfId="170"/>
    <tableColumn id="11" xr3:uid="{8916C094-97A5-40E3-8E28-B69867A11796}" name="Fläche Total Neu" totalsRowFunction="sum" dataDxfId="169" totalsRowDxfId="168"/>
    <tableColumn id="12" xr3:uid="{B48C1E4A-3C6B-4EA4-8946-3F69B11F7BAA}" name="Beschrieb Neu" dataDxfId="167" totalsRowDxfId="166"/>
  </tableColumns>
  <tableStyleInfo name="Tabellenformat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elle7" displayName="Tabelle7" ref="B56:M62" totalsRowCount="1" headerRowDxfId="165" dataDxfId="164" totalsRowDxfId="163">
  <autoFilter ref="B56:M61"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400-000001000000}" name="Boden gegen Erdreich" dataDxfId="162" totalsRowDxfId="161"/>
    <tableColumn id="2" xr3:uid="{00000000-0010-0000-0400-000002000000}" name="Ausrichtung" dataDxfId="160" totalsRowDxfId="159"/>
    <tableColumn id="3" xr3:uid="{00000000-0010-0000-0400-000003000000}" name="Beschrieb" dataDxfId="158" totalsRowDxfId="157"/>
    <tableColumn id="5" xr3:uid="{00000000-0010-0000-0400-000005000000}" name="Länge" dataDxfId="156" totalsRowDxfId="155"/>
    <tableColumn id="6" xr3:uid="{00000000-0010-0000-0400-000006000000}" name="Breite" dataDxfId="154" totalsRowDxfId="153"/>
    <tableColumn id="7" xr3:uid="{00000000-0010-0000-0400-000007000000}" name="Fläche" dataDxfId="152" totalsRowDxfId="151">
      <calculatedColumnFormula>E57*F57</calculatedColumnFormula>
    </tableColumn>
    <tableColumn id="8" xr3:uid="{00000000-0010-0000-0400-000008000000}" name="Anzahl" totalsRowFunction="sum" dataDxfId="150" totalsRowDxfId="149">
      <calculatedColumnFormula>1</calculatedColumnFormula>
    </tableColumn>
    <tableColumn id="9" xr3:uid="{00000000-0010-0000-0400-000009000000}" name="Fläche Total" totalsRowFunction="sum" dataDxfId="148" totalsRowDxfId="147">
      <calculatedColumnFormula>G57*H57</calculatedColumnFormula>
    </tableColumn>
    <tableColumn id="4" xr3:uid="{D91E6ADB-5A3D-4100-9A9B-2A898690413A}" name="Fläche Neu" dataDxfId="146" totalsRowDxfId="145"/>
    <tableColumn id="10" xr3:uid="{18F971F9-DE99-4EA3-A12E-E2037592B05B}" name="Anzahl Neu" totalsRowFunction="sum" dataDxfId="144" totalsRowDxfId="143"/>
    <tableColumn id="11" xr3:uid="{7C47DFDC-50F6-4700-AEDA-4EE7122F33FB}" name="Fläche Total Neu" totalsRowFunction="sum" dataDxfId="142" totalsRowDxfId="141"/>
    <tableColumn id="12" xr3:uid="{8C2C1B7E-373A-4163-8025-EC029C4A00B9}" name="Beschrieb Neu" dataDxfId="140" totalsRowDxfId="139"/>
  </tableColumns>
  <tableStyleInfo name="Tabellenformat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elle8" displayName="Tabelle8" ref="B63:M69" totalsRowCount="1" headerRowDxfId="138" dataDxfId="137" totalsRowDxfId="136">
  <autoFilter ref="B63:M6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500-000001000000}" name="Boden gegen unbeheizt" dataDxfId="135" totalsRowDxfId="134"/>
    <tableColumn id="2" xr3:uid="{00000000-0010-0000-0500-000002000000}" name="Ausrichtung" dataDxfId="133" totalsRowDxfId="132"/>
    <tableColumn id="3" xr3:uid="{00000000-0010-0000-0500-000003000000}" name="Beschrieb" dataDxfId="131" totalsRowDxfId="130"/>
    <tableColumn id="5" xr3:uid="{00000000-0010-0000-0500-000005000000}" name="Länge" dataDxfId="129" totalsRowDxfId="128"/>
    <tableColumn id="6" xr3:uid="{00000000-0010-0000-0500-000006000000}" name="Breite" dataDxfId="127" totalsRowDxfId="126"/>
    <tableColumn id="7" xr3:uid="{00000000-0010-0000-0500-000007000000}" name="Fläche" dataDxfId="125" totalsRowDxfId="124">
      <calculatedColumnFormula>E64*F64</calculatedColumnFormula>
    </tableColumn>
    <tableColumn id="8" xr3:uid="{00000000-0010-0000-0500-000008000000}" name="Anzahl" totalsRowFunction="sum" dataDxfId="123" totalsRowDxfId="122">
      <calculatedColumnFormula>1</calculatedColumnFormula>
    </tableColumn>
    <tableColumn id="9" xr3:uid="{00000000-0010-0000-0500-000009000000}" name="Fläche Total" totalsRowFunction="sum" dataDxfId="121" totalsRowDxfId="120">
      <calculatedColumnFormula>G64*H64</calculatedColumnFormula>
    </tableColumn>
    <tableColumn id="4" xr3:uid="{C7ACF48E-DD6F-4EA5-976F-4C414180D15B}" name="Fläche Neu" dataDxfId="119" totalsRowDxfId="118"/>
    <tableColumn id="10" xr3:uid="{1E9D8898-138F-4EC1-A6B3-E5EE91801132}" name="Anzahl Neu" totalsRowFunction="sum" dataDxfId="117" totalsRowDxfId="116"/>
    <tableColumn id="11" xr3:uid="{67E4BEB1-BEE1-4B41-A4DA-56F3D7DC5A0F}" name="Fläche Total Neu" totalsRowFunction="sum" dataDxfId="115" totalsRowDxfId="114"/>
    <tableColumn id="12" xr3:uid="{A3218707-06E5-49D0-92F2-6C118DCDDB48}" name="Beschrieb Neu" dataDxfId="113" totalsRowDxfId="112"/>
  </tableColumns>
  <tableStyleInfo name="Tabellenformat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elle9" displayName="Tabelle9" ref="B70:M76" totalsRowCount="1" headerRowDxfId="111" dataDxfId="110" totalsRowDxfId="109">
  <autoFilter ref="B70:M7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600-000001000000}" name="Boden gegen aussen" dataDxfId="108" totalsRowDxfId="107"/>
    <tableColumn id="2" xr3:uid="{00000000-0010-0000-0600-000002000000}" name="Ausrichtung" dataDxfId="106" totalsRowDxfId="105"/>
    <tableColumn id="3" xr3:uid="{00000000-0010-0000-0600-000003000000}" name="Beschrieb" dataDxfId="104" totalsRowDxfId="103"/>
    <tableColumn id="5" xr3:uid="{00000000-0010-0000-0600-000005000000}" name="Länge" dataDxfId="102" totalsRowDxfId="101"/>
    <tableColumn id="6" xr3:uid="{00000000-0010-0000-0600-000006000000}" name="Breite" dataDxfId="100" totalsRowDxfId="99"/>
    <tableColumn id="7" xr3:uid="{00000000-0010-0000-0600-000007000000}" name="Fläche" dataDxfId="98" totalsRowDxfId="97">
      <calculatedColumnFormula>E71*F71</calculatedColumnFormula>
    </tableColumn>
    <tableColumn id="8" xr3:uid="{00000000-0010-0000-0600-000008000000}" name="Anzahl" totalsRowFunction="sum" dataDxfId="96" totalsRowDxfId="95">
      <calculatedColumnFormula>1</calculatedColumnFormula>
    </tableColumn>
    <tableColumn id="9" xr3:uid="{00000000-0010-0000-0600-000009000000}" name="Fläche Total" totalsRowFunction="sum" dataDxfId="94" totalsRowDxfId="93">
      <calculatedColumnFormula>G71*H71</calculatedColumnFormula>
    </tableColumn>
    <tableColumn id="4" xr3:uid="{44535BFC-AD53-4F18-8FD3-8B2E16866AF6}" name="Fläche Neu" dataDxfId="92" totalsRowDxfId="91"/>
    <tableColumn id="10" xr3:uid="{975CDC38-553E-4D26-B07E-795A09173A62}" name="Anzahl Neu" totalsRowFunction="sum" dataDxfId="90" totalsRowDxfId="89"/>
    <tableColumn id="11" xr3:uid="{5CC71BC4-04E1-4749-B727-230EEE6C9E41}" name="Fläche Total Neu" totalsRowFunction="sum" dataDxfId="88" totalsRowDxfId="87"/>
    <tableColumn id="12" xr3:uid="{20027683-FA72-4606-BBC4-CA608AF4D46E}" name="Beschrieb Neu" dataDxfId="86" totalsRowDxfId="85"/>
  </tableColumns>
  <tableStyleInfo name="Tabellenformat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elle712" displayName="Tabelle712" ref="B48:M55" totalsRowCount="1" headerRowDxfId="84" dataDxfId="83" totalsRowDxfId="82">
  <autoFilter ref="B48:M5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700-000001000000}" name="Fenster und Türen" dataDxfId="81" totalsRowDxfId="80"/>
    <tableColumn id="2" xr3:uid="{00000000-0010-0000-0700-000002000000}" name="Ausrichtung" dataDxfId="79" totalsRowDxfId="78"/>
    <tableColumn id="3" xr3:uid="{00000000-0010-0000-0700-000003000000}" name="Beschrieb" dataDxfId="77" totalsRowDxfId="76"/>
    <tableColumn id="5" xr3:uid="{00000000-0010-0000-0700-000005000000}" name="Breite" dataDxfId="75" totalsRowDxfId="74"/>
    <tableColumn id="6" xr3:uid="{00000000-0010-0000-0700-000006000000}" name="Höhe" dataDxfId="73" totalsRowDxfId="72"/>
    <tableColumn id="7" xr3:uid="{00000000-0010-0000-0700-000007000000}" name="Fläche" dataDxfId="71" totalsRowDxfId="70">
      <calculatedColumnFormula>E49*F49</calculatedColumnFormula>
    </tableColumn>
    <tableColumn id="8" xr3:uid="{00000000-0010-0000-0700-000008000000}" name="Anzahl" totalsRowFunction="sum" dataDxfId="69" totalsRowDxfId="68">
      <calculatedColumnFormula>1</calculatedColumnFormula>
    </tableColumn>
    <tableColumn id="9" xr3:uid="{00000000-0010-0000-0700-000009000000}" name="Fläche Total" totalsRowFunction="sum" dataDxfId="67" totalsRowDxfId="66">
      <calculatedColumnFormula>G49*H49</calculatedColumnFormula>
    </tableColumn>
    <tableColumn id="4" xr3:uid="{130F517F-CCA2-4F17-B063-6350C2BD2C63}" name="Fläche Neu" dataDxfId="65" totalsRowDxfId="64"/>
    <tableColumn id="10" xr3:uid="{3AE67FD2-1715-406E-83AB-CEE2E238DACB}" name="Anzahl Neu" totalsRowFunction="sum" dataDxfId="63" totalsRowDxfId="62"/>
    <tableColumn id="11" xr3:uid="{6C18469C-8024-4BFB-BEE8-A030A16B1D73}" name="Fläche Total Neu" totalsRowFunction="sum" dataDxfId="61" totalsRowDxfId="60"/>
    <tableColumn id="12" xr3:uid="{06CFD310-B578-4A9D-A346-746EFE19ABE6}" name="Beschrieb Neu" dataDxfId="59" totalsRowDxfId="58"/>
  </tableColumns>
  <tableStyleInfo name="Tabellenformat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abelle315" displayName="Tabelle315" ref="B6:M12" totalsRowCount="1" headerRowDxfId="57" dataDxfId="55" totalsRowDxfId="53" headerRowBorderDxfId="56" tableBorderDxfId="54">
  <autoFilter ref="B6:M11"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800-000001000000}" name="EBF" totalsRowLabel="total EBF" dataDxfId="52" totalsRowDxfId="51"/>
    <tableColumn id="2" xr3:uid="{00000000-0010-0000-0800-000002000000}" name="Ausrichtung" dataDxfId="50" totalsRowDxfId="49"/>
    <tableColumn id="3" xr3:uid="{00000000-0010-0000-0800-000003000000}" name="Beschrieb" dataDxfId="48" totalsRowDxfId="47"/>
    <tableColumn id="5" xr3:uid="{00000000-0010-0000-0800-000005000000}" name="Länge" dataDxfId="46" totalsRowDxfId="45"/>
    <tableColumn id="6" xr3:uid="{00000000-0010-0000-0800-000006000000}" name="Breite" dataDxfId="44" totalsRowDxfId="43"/>
    <tableColumn id="7" xr3:uid="{00000000-0010-0000-0800-000007000000}" name="Fläche" dataDxfId="42" totalsRowDxfId="41">
      <calculatedColumnFormula>Tabelle315[[#This Row],[Länge]]*Tabelle315[[#This Row],[Breite]]</calculatedColumnFormula>
    </tableColumn>
    <tableColumn id="8" xr3:uid="{00000000-0010-0000-0800-000008000000}" name="Anzahl" totalsRowFunction="sum" dataDxfId="40" totalsRowDxfId="39">
      <calculatedColumnFormula>1</calculatedColumnFormula>
    </tableColumn>
    <tableColumn id="9" xr3:uid="{00000000-0010-0000-0800-000009000000}" name="Fläche Total" totalsRowFunction="sum" dataDxfId="38" totalsRowDxfId="37">
      <calculatedColumnFormula>G7*H7</calculatedColumnFormula>
    </tableColumn>
    <tableColumn id="4" xr3:uid="{5D69D029-F135-4DDB-8708-412B9001A7EF}" name="Fläche Neu" dataDxfId="36" totalsRowDxfId="35"/>
    <tableColumn id="10" xr3:uid="{45FBE7CF-4288-4BF8-A6E6-2F12D19908CC}" name="Anzahl Neu" totalsRowFunction="sum" dataDxfId="34" totalsRowDxfId="33"/>
    <tableColumn id="11" xr3:uid="{EEFFB7D1-4FA5-4122-B197-D9769EC5626C}" name="Fläche Total Neu" totalsRowFunction="sum" dataDxfId="32" totalsRowDxfId="31"/>
    <tableColumn id="12" xr3:uid="{5834563A-5F92-4FF2-A7CE-F5E30E6B6C42}" name="Beschrieb Neu" dataDxfId="30" totalsRowDxfId="29"/>
  </tableColumns>
  <tableStyleInfo name="Tabellenformat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9000000}" name="Tabelle438" displayName="Tabelle438" ref="B20:M26" totalsRowCount="1" headerRowDxfId="28" dataDxfId="26" totalsRowDxfId="24" headerRowBorderDxfId="27" tableBorderDxfId="25">
  <tableColumns count="12">
    <tableColumn id="1" xr3:uid="{00000000-0010-0000-0900-000001000000}" name="Decke gegen unbeheizt" dataDxfId="23" totalsRowDxfId="22"/>
    <tableColumn id="2" xr3:uid="{00000000-0010-0000-0900-000002000000}" name="Ausrichtung" dataDxfId="21" totalsRowDxfId="20"/>
    <tableColumn id="3" xr3:uid="{00000000-0010-0000-0900-000003000000}" name="Beschrieb" dataDxfId="19" totalsRowDxfId="18"/>
    <tableColumn id="5" xr3:uid="{00000000-0010-0000-0900-000005000000}" name="Länge" dataDxfId="17" totalsRowDxfId="16"/>
    <tableColumn id="6" xr3:uid="{00000000-0010-0000-0900-000006000000}" name="Breite" dataDxfId="15" totalsRowDxfId="14"/>
    <tableColumn id="7" xr3:uid="{00000000-0010-0000-0900-000007000000}" name="Fläche" dataDxfId="13" totalsRowDxfId="12">
      <calculatedColumnFormula>E21*F21</calculatedColumnFormula>
    </tableColumn>
    <tableColumn id="8" xr3:uid="{00000000-0010-0000-0900-000008000000}" name="Anzahl" totalsRowFunction="sum" dataDxfId="11" totalsRowDxfId="10">
      <calculatedColumnFormula>1</calculatedColumnFormula>
    </tableColumn>
    <tableColumn id="9" xr3:uid="{00000000-0010-0000-0900-000009000000}" name="Fläche Total" totalsRowFunction="sum" dataDxfId="9" totalsRowDxfId="8">
      <calculatedColumnFormula>G21*H21</calculatedColumnFormula>
    </tableColumn>
    <tableColumn id="4" xr3:uid="{11537BA2-B207-444D-9752-327BBC8C68FA}" name="Fläche Neu" dataDxfId="7" totalsRowDxfId="6"/>
    <tableColumn id="10" xr3:uid="{5FC41ADC-032E-4820-8323-BE615A6A59E6}" name="Anzahl Neu" totalsRowFunction="sum" dataDxfId="5" totalsRowDxfId="4"/>
    <tableColumn id="11" xr3:uid="{79F0610C-C8DC-46A0-9104-DF651DC89DE9}" name="Fläche Total Neu" totalsRowFunction="sum" dataDxfId="3" totalsRowDxfId="2"/>
    <tableColumn id="12" xr3:uid="{7093BDD2-9F35-4505-8823-C9D278D4138B}" name="Beschrieb Neu" dataDxfId="1" totalsRowDxfId="0"/>
  </tableColumns>
  <tableStyleInfo name="Tabellenformat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0" dT="2022-03-16T19:39:09.35" personId="{6F75F838-DC68-486D-ABAD-63D0F6A5BE8C}" id="{849307A4-B8C0-4F3C-87BC-3D3D0A16DFE5}">
    <text>2300 ohne Warmwasser</text>
  </threadedComment>
  <threadedComment ref="E14" dT="2022-09-07T07:47:53.16" personId="{6F75F838-DC68-486D-ABAD-63D0F6A5BE8C}" id="{E40429D2-C153-45C6-85D4-7BAAA497D8BD}">
    <text>EFH mit 4 Personen ohne WW 
= 20 kWh/m2 guter Mittelwert</text>
  </threadedComment>
  <threadedComment ref="D25" dT="2022-09-07T07:46:33.53" personId="{6F75F838-DC68-486D-ABAD-63D0F6A5BE8C}" id="{6BD14FF9-C8F5-49C9-8A08-90E437324860}">
    <text>40 kWh/m2 = Neubau</text>
  </threadedComment>
</ThreadedComments>
</file>

<file path=xl/threadedComments/threadedComment2.xml><?xml version="1.0" encoding="utf-8"?>
<ThreadedComments xmlns="http://schemas.microsoft.com/office/spreadsheetml/2018/threadedcomments" xmlns:x="http://schemas.openxmlformats.org/spreadsheetml/2006/main">
  <threadedComment ref="O12" dT="2025-03-12T05:48:25.81" personId="{62901CFB-C8D7-48EA-B5CB-4C946031BB8D}" id="{712F8A7B-9319-4524-8EA3-1DC3F61E73B7}">
    <text>https://www.pelletpreis.ch/de/article/55314/pelletpreis-ch-preise-steigen-im-montagsvergleich-leicht-an-deutlicher-preisvorteil-verglichen-mit-erdgas-und-heizol</text>
    <extLst>
      <x:ext xmlns:xltc2="http://schemas.microsoft.com/office/spreadsheetml/2020/threadedcomments2" uri="{F7C98A9C-CBB3-438F-8F68-D28B6AF4A901}">
        <xltc2:checksum>873959014</xltc2:checksum>
        <xltc2:hyperlink startIndex="0" length="160" url="https://www.pelletpreis.ch/de/article/55314/pelletpreis-ch-preise-steigen-im-montagsvergleich-leicht-an-deutlicher-preisvorteil-verglichen-mit-erdgas-und-heizol"/>
      </x:ext>
    </extLst>
  </threadedComment>
  <threadedComment ref="O15" dT="2024-02-21T09:25:29.65" personId="{62901CFB-C8D7-48EA-B5CB-4C946031BB8D}" id="{AB1477A6-FF73-4674-9721-2BC1FBEE762C}">
    <text>Stand 02.2024 Info EZL, Roman Fausch</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nergiezukunftschweiz.ch/de/foerderprogramme/angebot/klimapraemie-heizungsersatz/" TargetMode="External"/><Relationship Id="rId1" Type="http://schemas.openxmlformats.org/officeDocument/2006/relationships/hyperlink" Target="https://rechner.energie-foerderung.ch/z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rechner.energie-foerderung.ch/z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M55"/>
  <sheetViews>
    <sheetView zoomScale="70" zoomScaleNormal="70" workbookViewId="0">
      <selection activeCell="G11" sqref="G11"/>
    </sheetView>
  </sheetViews>
  <sheetFormatPr defaultColWidth="11.453125" defaultRowHeight="13" outlineLevelRow="1" x14ac:dyDescent="0.3"/>
  <cols>
    <col min="1" max="1" width="1.81640625" style="136" customWidth="1"/>
    <col min="2" max="2" width="15.54296875" style="136" customWidth="1"/>
    <col min="3" max="3" width="11.81640625" style="136" customWidth="1"/>
    <col min="4" max="4" width="10.54296875" style="136" customWidth="1"/>
    <col min="5" max="5" width="12" style="136" customWidth="1"/>
    <col min="6" max="6" width="14.36328125" style="136" customWidth="1"/>
    <col min="7" max="7" width="22.36328125" style="136" customWidth="1"/>
    <col min="8" max="8" width="11.36328125" style="136" bestFit="1" customWidth="1"/>
    <col min="9" max="9" width="14.36328125" style="136" bestFit="1" customWidth="1"/>
    <col min="10" max="10" width="36.453125" style="136" customWidth="1"/>
    <col min="11" max="11" width="20.54296875" style="136" bestFit="1" customWidth="1"/>
    <col min="12" max="12" width="8.6328125" style="136" bestFit="1" customWidth="1"/>
    <col min="13" max="16384" width="11.453125" style="136"/>
  </cols>
  <sheetData>
    <row r="1" spans="2:12" ht="18" x14ac:dyDescent="0.4">
      <c r="B1" s="135" t="s">
        <v>94</v>
      </c>
    </row>
    <row r="2" spans="2:12" ht="13.5" thickBot="1" x14ac:dyDescent="0.35">
      <c r="B2" s="137" t="s">
        <v>517</v>
      </c>
      <c r="D2" s="695"/>
      <c r="E2" s="695"/>
    </row>
    <row r="3" spans="2:12" x14ac:dyDescent="0.3">
      <c r="B3" s="137" t="s">
        <v>106</v>
      </c>
      <c r="C3" s="137"/>
      <c r="D3" s="695"/>
      <c r="E3" s="696"/>
      <c r="J3" s="683" t="s">
        <v>371</v>
      </c>
      <c r="K3" s="684"/>
      <c r="L3" s="685"/>
    </row>
    <row r="4" spans="2:12" ht="13.5" thickBot="1" x14ac:dyDescent="0.35">
      <c r="B4" s="137"/>
      <c r="C4" s="137"/>
      <c r="D4" s="138"/>
      <c r="J4" s="187"/>
      <c r="K4" s="188"/>
      <c r="L4" s="189"/>
    </row>
    <row r="5" spans="2:12" ht="15.5" x14ac:dyDescent="0.35">
      <c r="B5" s="162" t="s">
        <v>567</v>
      </c>
      <c r="C5" s="140"/>
      <c r="D5" s="140"/>
      <c r="E5" s="141"/>
      <c r="J5" s="187" t="s">
        <v>352</v>
      </c>
      <c r="K5" s="188" t="s">
        <v>353</v>
      </c>
      <c r="L5" s="189"/>
    </row>
    <row r="6" spans="2:12" x14ac:dyDescent="0.3">
      <c r="B6" s="142"/>
      <c r="C6" s="688" t="s">
        <v>96</v>
      </c>
      <c r="D6" s="688" t="s">
        <v>95</v>
      </c>
      <c r="E6" s="143" t="s">
        <v>97</v>
      </c>
      <c r="H6" s="240"/>
      <c r="I6" s="181"/>
      <c r="J6" s="187" t="s">
        <v>354</v>
      </c>
      <c r="K6" s="190" t="s">
        <v>355</v>
      </c>
      <c r="L6" s="189"/>
    </row>
    <row r="7" spans="2:12" x14ac:dyDescent="0.3">
      <c r="B7" s="142" t="s">
        <v>126</v>
      </c>
      <c r="C7" s="689"/>
      <c r="D7" s="689"/>
      <c r="E7" s="143" t="s">
        <v>98</v>
      </c>
      <c r="F7" s="181"/>
      <c r="G7" s="181"/>
      <c r="H7" s="240"/>
      <c r="I7" s="181"/>
      <c r="J7" s="187" t="s">
        <v>374</v>
      </c>
      <c r="K7" s="211">
        <f>C34</f>
        <v>100</v>
      </c>
      <c r="L7" s="189" t="s">
        <v>105</v>
      </c>
    </row>
    <row r="8" spans="2:12" x14ac:dyDescent="0.3">
      <c r="B8" s="145"/>
      <c r="C8" s="146"/>
      <c r="D8" s="147"/>
      <c r="E8" s="148"/>
      <c r="F8" s="181"/>
      <c r="G8" s="181"/>
      <c r="H8" s="149"/>
      <c r="J8" s="187"/>
      <c r="K8" s="191"/>
      <c r="L8" s="189"/>
    </row>
    <row r="9" spans="2:12" x14ac:dyDescent="0.3">
      <c r="B9" s="145"/>
      <c r="C9" s="146"/>
      <c r="D9" s="147"/>
      <c r="E9" s="148"/>
      <c r="F9" s="150"/>
      <c r="G9" s="149"/>
      <c r="H9" s="149"/>
      <c r="J9" s="187" t="s">
        <v>356</v>
      </c>
      <c r="K9" s="190" t="s">
        <v>357</v>
      </c>
      <c r="L9" s="189"/>
    </row>
    <row r="10" spans="2:12" x14ac:dyDescent="0.3">
      <c r="B10" s="145"/>
      <c r="C10" s="146"/>
      <c r="D10" s="147"/>
      <c r="E10" s="148"/>
      <c r="F10" s="150"/>
      <c r="G10" s="149"/>
      <c r="H10" s="149"/>
      <c r="J10" s="187" t="s">
        <v>507</v>
      </c>
      <c r="K10" s="190">
        <v>2700</v>
      </c>
      <c r="L10" s="189" t="s">
        <v>131</v>
      </c>
    </row>
    <row r="11" spans="2:12" x14ac:dyDescent="0.3">
      <c r="B11" s="145"/>
      <c r="C11" s="146"/>
      <c r="D11" s="147"/>
      <c r="E11" s="148"/>
      <c r="F11" s="150"/>
      <c r="G11" s="149"/>
      <c r="H11" s="149"/>
      <c r="J11" s="192" t="s">
        <v>358</v>
      </c>
      <c r="K11" s="190">
        <v>0.9</v>
      </c>
      <c r="L11" s="189" t="s">
        <v>359</v>
      </c>
    </row>
    <row r="12" spans="2:12" x14ac:dyDescent="0.3">
      <c r="B12" s="145"/>
      <c r="C12" s="146"/>
      <c r="D12" s="147"/>
      <c r="E12" s="148"/>
      <c r="F12" s="150"/>
      <c r="G12" s="149"/>
      <c r="H12" s="149"/>
      <c r="J12" s="187" t="s">
        <v>360</v>
      </c>
      <c r="K12" s="193">
        <f>D24</f>
        <v>10000</v>
      </c>
      <c r="L12" s="189" t="s">
        <v>98</v>
      </c>
    </row>
    <row r="13" spans="2:12" x14ac:dyDescent="0.3">
      <c r="B13" s="151" t="s">
        <v>99</v>
      </c>
      <c r="C13" s="137"/>
      <c r="D13" s="152"/>
      <c r="E13" s="153" t="e">
        <f>AVERAGE(E8:E12)</f>
        <v>#DIV/0!</v>
      </c>
      <c r="F13" s="150"/>
      <c r="G13" s="149"/>
      <c r="J13" s="194" t="s">
        <v>365</v>
      </c>
      <c r="K13" s="612">
        <f>K12/K7</f>
        <v>100</v>
      </c>
      <c r="L13" s="195" t="s">
        <v>100</v>
      </c>
    </row>
    <row r="14" spans="2:12" ht="13.5" thickBot="1" x14ac:dyDescent="0.35">
      <c r="B14" s="154" t="s">
        <v>100</v>
      </c>
      <c r="C14" s="155"/>
      <c r="D14" s="155"/>
      <c r="E14" s="156" t="e">
        <f>E13/C34</f>
        <v>#DIV/0!</v>
      </c>
      <c r="F14" s="150"/>
      <c r="G14" s="157"/>
      <c r="J14" s="187"/>
      <c r="K14" s="191"/>
      <c r="L14" s="189"/>
    </row>
    <row r="15" spans="2:12" ht="13.5" thickBot="1" x14ac:dyDescent="0.35">
      <c r="B15" s="158"/>
      <c r="C15" s="159"/>
      <c r="E15" s="137"/>
      <c r="G15" s="160"/>
      <c r="H15" s="161"/>
      <c r="J15" s="187" t="s">
        <v>372</v>
      </c>
      <c r="K15" s="193">
        <f>K12*K11</f>
        <v>9000</v>
      </c>
      <c r="L15" s="189" t="s">
        <v>98</v>
      </c>
    </row>
    <row r="16" spans="2:12" ht="15.5" x14ac:dyDescent="0.35">
      <c r="B16" s="162" t="s">
        <v>506</v>
      </c>
      <c r="C16" s="163"/>
      <c r="D16" s="141"/>
      <c r="J16" s="187" t="s">
        <v>200</v>
      </c>
      <c r="K16" s="196">
        <f>ROUND(K15/K10,1)</f>
        <v>3.3</v>
      </c>
      <c r="L16" s="189" t="s">
        <v>130</v>
      </c>
    </row>
    <row r="17" spans="2:13" ht="13.5" customHeight="1" x14ac:dyDescent="0.3">
      <c r="B17" s="142"/>
      <c r="C17" s="164" t="s">
        <v>97</v>
      </c>
      <c r="D17" s="143" t="s">
        <v>97</v>
      </c>
      <c r="E17" s="144"/>
      <c r="J17" s="194" t="s">
        <v>366</v>
      </c>
      <c r="K17" s="212">
        <f>K16/K7*1000</f>
        <v>33</v>
      </c>
      <c r="L17" s="195" t="s">
        <v>367</v>
      </c>
    </row>
    <row r="18" spans="2:13" x14ac:dyDescent="0.3">
      <c r="B18" s="142" t="s">
        <v>126</v>
      </c>
      <c r="C18" s="164" t="s">
        <v>295</v>
      </c>
      <c r="D18" s="143" t="s">
        <v>98</v>
      </c>
      <c r="E18" s="144"/>
      <c r="J18" s="187"/>
      <c r="K18" s="191"/>
      <c r="L18" s="189"/>
    </row>
    <row r="19" spans="2:13" x14ac:dyDescent="0.3">
      <c r="B19" s="165" t="s">
        <v>551</v>
      </c>
      <c r="C19" s="147">
        <v>1000</v>
      </c>
      <c r="D19" s="166">
        <f>C19*B29</f>
        <v>10000</v>
      </c>
      <c r="E19" s="144"/>
      <c r="F19" s="181"/>
      <c r="J19" s="187" t="s">
        <v>133</v>
      </c>
      <c r="K19" s="197">
        <v>0.1</v>
      </c>
      <c r="L19" s="189"/>
    </row>
    <row r="20" spans="2:13" ht="13.5" thickBot="1" x14ac:dyDescent="0.35">
      <c r="B20" s="165"/>
      <c r="C20" s="147"/>
      <c r="D20" s="166"/>
      <c r="E20" s="144"/>
      <c r="F20" s="181"/>
      <c r="J20" s="198" t="s">
        <v>361</v>
      </c>
      <c r="K20" s="199">
        <f>ROUND(K16*K19+K16,1)</f>
        <v>3.6</v>
      </c>
      <c r="L20" s="200" t="s">
        <v>130</v>
      </c>
    </row>
    <row r="21" spans="2:13" x14ac:dyDescent="0.3">
      <c r="B21" s="165"/>
      <c r="C21" s="147"/>
      <c r="D21" s="166"/>
      <c r="E21" s="150"/>
      <c r="F21" s="149"/>
      <c r="J21" s="201"/>
      <c r="K21" s="202"/>
      <c r="L21" s="203"/>
    </row>
    <row r="22" spans="2:13" ht="13.5" thickBot="1" x14ac:dyDescent="0.35">
      <c r="B22" s="165"/>
      <c r="C22" s="147"/>
      <c r="D22" s="166"/>
      <c r="E22" s="150"/>
      <c r="F22" s="149"/>
      <c r="J22" s="198" t="s">
        <v>513</v>
      </c>
      <c r="K22" s="204">
        <v>0.2</v>
      </c>
      <c r="L22" s="200"/>
      <c r="M22" s="136" t="s">
        <v>514</v>
      </c>
    </row>
    <row r="23" spans="2:13" ht="13.5" thickBot="1" x14ac:dyDescent="0.35">
      <c r="B23" s="165"/>
      <c r="C23" s="147"/>
      <c r="D23" s="166"/>
      <c r="E23" s="150"/>
      <c r="F23" s="149"/>
      <c r="J23" s="213" t="s">
        <v>362</v>
      </c>
      <c r="K23" s="214">
        <f>ROUND(K20*K22+K20,1)</f>
        <v>4.3</v>
      </c>
      <c r="L23" s="215" t="s">
        <v>130</v>
      </c>
    </row>
    <row r="24" spans="2:13" ht="14" thickTop="1" thickBot="1" x14ac:dyDescent="0.35">
      <c r="B24" s="151" t="s">
        <v>99</v>
      </c>
      <c r="C24" s="167">
        <f>AVERAGE(C19:C23)</f>
        <v>1000</v>
      </c>
      <c r="D24" s="168">
        <f>AVERAGE(D19:D23)</f>
        <v>10000</v>
      </c>
      <c r="E24" s="150"/>
      <c r="J24" s="205"/>
      <c r="K24" s="206"/>
      <c r="L24" s="207"/>
    </row>
    <row r="25" spans="2:13" ht="13.5" thickBot="1" x14ac:dyDescent="0.35">
      <c r="B25" s="154" t="s">
        <v>100</v>
      </c>
      <c r="C25" s="169"/>
      <c r="D25" s="170">
        <f>D24/C34</f>
        <v>100</v>
      </c>
      <c r="E25" s="150"/>
      <c r="F25" s="149"/>
      <c r="J25" s="172"/>
      <c r="K25" s="208"/>
      <c r="L25" s="172"/>
    </row>
    <row r="26" spans="2:13" ht="13.5" outlineLevel="1" thickBot="1" x14ac:dyDescent="0.35">
      <c r="B26" s="158"/>
      <c r="C26" s="159"/>
      <c r="E26" s="137"/>
      <c r="G26" s="160"/>
      <c r="H26" s="150"/>
      <c r="I26" s="157"/>
      <c r="J26" s="683" t="s">
        <v>373</v>
      </c>
      <c r="K26" s="684"/>
      <c r="L26" s="685"/>
    </row>
    <row r="27" spans="2:13" outlineLevel="1" x14ac:dyDescent="0.3">
      <c r="B27" s="686" t="s">
        <v>370</v>
      </c>
      <c r="C27" s="687"/>
      <c r="E27" s="137"/>
      <c r="G27" s="161"/>
      <c r="H27" s="171"/>
      <c r="J27" s="187" t="s">
        <v>363</v>
      </c>
      <c r="K27" s="191">
        <v>35</v>
      </c>
      <c r="L27" s="189" t="s">
        <v>134</v>
      </c>
    </row>
    <row r="28" spans="2:13" outlineLevel="1" x14ac:dyDescent="0.3">
      <c r="B28" s="691" t="s">
        <v>369</v>
      </c>
      <c r="C28" s="692"/>
      <c r="E28" s="137"/>
      <c r="F28" s="181"/>
      <c r="G28" s="161"/>
      <c r="H28" s="171"/>
      <c r="J28" s="187" t="s">
        <v>368</v>
      </c>
      <c r="K28" s="209">
        <v>0.75</v>
      </c>
      <c r="L28" s="189"/>
    </row>
    <row r="29" spans="2:13" ht="13.5" outlineLevel="1" thickBot="1" x14ac:dyDescent="0.35">
      <c r="B29" s="693">
        <v>10</v>
      </c>
      <c r="C29" s="694"/>
      <c r="D29" s="144"/>
      <c r="E29" s="172"/>
      <c r="F29" s="181"/>
      <c r="G29" s="161"/>
      <c r="H29" s="171"/>
      <c r="J29" s="216" t="s">
        <v>375</v>
      </c>
      <c r="K29" s="217">
        <f>K23/K27*K28*1000</f>
        <v>92.142857142857139</v>
      </c>
      <c r="L29" s="218" t="s">
        <v>135</v>
      </c>
    </row>
    <row r="30" spans="2:13" ht="13.5" outlineLevel="1" thickBot="1" x14ac:dyDescent="0.35">
      <c r="B30" s="158"/>
      <c r="C30" s="159"/>
      <c r="D30" s="690"/>
      <c r="F30" s="157"/>
      <c r="G30" s="161"/>
      <c r="H30" s="171"/>
      <c r="J30" s="187"/>
      <c r="K30" s="191"/>
      <c r="L30" s="189"/>
    </row>
    <row r="31" spans="2:13" ht="18" outlineLevel="1" x14ac:dyDescent="0.4">
      <c r="B31" s="173" t="s">
        <v>104</v>
      </c>
      <c r="C31" s="174"/>
      <c r="D31" s="690"/>
      <c r="F31" s="157"/>
      <c r="G31" s="161"/>
      <c r="H31" s="171"/>
      <c r="J31" s="187" t="s">
        <v>377</v>
      </c>
      <c r="K31" s="190">
        <v>1</v>
      </c>
      <c r="L31" s="189" t="s">
        <v>364</v>
      </c>
    </row>
    <row r="32" spans="2:13" ht="13.5" outlineLevel="1" thickBot="1" x14ac:dyDescent="0.35">
      <c r="B32" s="175"/>
      <c r="C32" s="143" t="s">
        <v>128</v>
      </c>
      <c r="D32" s="149"/>
      <c r="F32" s="157"/>
      <c r="G32" s="161"/>
      <c r="H32" s="171"/>
      <c r="J32" s="198" t="s">
        <v>376</v>
      </c>
      <c r="K32" s="210">
        <f>K29/K31</f>
        <v>92.142857142857139</v>
      </c>
      <c r="L32" s="200" t="s">
        <v>135</v>
      </c>
    </row>
    <row r="33" spans="2:9" outlineLevel="1" x14ac:dyDescent="0.3">
      <c r="B33" s="176" t="s">
        <v>127</v>
      </c>
      <c r="C33" s="177" t="s">
        <v>105</v>
      </c>
      <c r="D33" s="149"/>
      <c r="F33" s="157"/>
      <c r="G33" s="161"/>
      <c r="H33" s="171"/>
    </row>
    <row r="34" spans="2:9" ht="13.5" thickBot="1" x14ac:dyDescent="0.35">
      <c r="B34" s="178" t="s">
        <v>125</v>
      </c>
      <c r="C34" s="179">
        <f>Tabelle315[[#Totals],[Fläche Total]]</f>
        <v>100</v>
      </c>
      <c r="D34" s="149"/>
      <c r="I34" s="180"/>
    </row>
    <row r="35" spans="2:9" x14ac:dyDescent="0.3">
      <c r="D35" s="167"/>
      <c r="I35" s="180"/>
    </row>
    <row r="36" spans="2:9" ht="13.5" thickBot="1" x14ac:dyDescent="0.35">
      <c r="B36" s="181"/>
      <c r="C36" s="181"/>
      <c r="D36" s="181"/>
      <c r="I36" s="180"/>
    </row>
    <row r="37" spans="2:9" ht="15.5" x14ac:dyDescent="0.35">
      <c r="B37" s="139" t="s">
        <v>102</v>
      </c>
      <c r="C37" s="182"/>
      <c r="D37" s="181"/>
      <c r="I37" s="180"/>
    </row>
    <row r="38" spans="2:9" x14ac:dyDescent="0.3">
      <c r="B38" s="142"/>
      <c r="C38" s="143" t="s">
        <v>97</v>
      </c>
      <c r="D38" s="181"/>
      <c r="F38" s="137" t="s">
        <v>535</v>
      </c>
      <c r="G38" s="137" t="s">
        <v>536</v>
      </c>
      <c r="H38" s="180" t="s">
        <v>537</v>
      </c>
    </row>
    <row r="39" spans="2:9" x14ac:dyDescent="0.3">
      <c r="B39" s="142" t="s">
        <v>126</v>
      </c>
      <c r="C39" s="143" t="s">
        <v>101</v>
      </c>
      <c r="D39" s="181"/>
      <c r="F39" s="667"/>
      <c r="G39" s="626"/>
      <c r="H39" s="668"/>
    </row>
    <row r="40" spans="2:9" x14ac:dyDescent="0.3">
      <c r="B40" s="145"/>
      <c r="C40" s="183"/>
      <c r="D40" s="181"/>
      <c r="F40" s="667"/>
      <c r="G40" s="626"/>
      <c r="H40" s="668"/>
    </row>
    <row r="41" spans="2:9" x14ac:dyDescent="0.3">
      <c r="B41" s="145"/>
      <c r="C41" s="183"/>
      <c r="D41" s="181"/>
      <c r="F41" s="667"/>
      <c r="G41" s="626"/>
      <c r="H41" s="668"/>
    </row>
    <row r="42" spans="2:9" x14ac:dyDescent="0.3">
      <c r="B42" s="145"/>
      <c r="C42" s="183"/>
      <c r="D42" s="181"/>
      <c r="F42" s="667"/>
      <c r="G42" s="626"/>
      <c r="H42" s="668"/>
    </row>
    <row r="43" spans="2:9" x14ac:dyDescent="0.3">
      <c r="B43" s="145"/>
      <c r="C43" s="183"/>
      <c r="D43" s="181"/>
      <c r="F43" s="667"/>
      <c r="G43" s="626"/>
      <c r="H43" s="668"/>
    </row>
    <row r="44" spans="2:9" x14ac:dyDescent="0.3">
      <c r="B44" s="145"/>
      <c r="C44" s="183"/>
      <c r="D44" s="181"/>
      <c r="F44" s="667"/>
      <c r="G44" s="626"/>
      <c r="H44" s="668"/>
    </row>
    <row r="45" spans="2:9" x14ac:dyDescent="0.3">
      <c r="B45" s="151" t="s">
        <v>99</v>
      </c>
      <c r="C45" s="184" t="e">
        <f>AVERAGE(C40:C44)</f>
        <v>#DIV/0!</v>
      </c>
      <c r="D45" s="181"/>
      <c r="F45" s="667"/>
      <c r="G45" s="626"/>
      <c r="H45" s="668"/>
    </row>
    <row r="46" spans="2:9" ht="13.5" thickBot="1" x14ac:dyDescent="0.35">
      <c r="B46" s="185" t="s">
        <v>103</v>
      </c>
      <c r="C46" s="186" t="e">
        <f>C45/C34</f>
        <v>#DIV/0!</v>
      </c>
      <c r="D46" s="181"/>
      <c r="F46" s="667"/>
      <c r="G46" s="626"/>
      <c r="H46" s="668"/>
    </row>
    <row r="47" spans="2:9" x14ac:dyDescent="0.3">
      <c r="B47" s="234"/>
      <c r="F47" s="667"/>
      <c r="G47" s="626"/>
      <c r="H47" s="668"/>
    </row>
    <row r="48" spans="2:9" x14ac:dyDescent="0.3">
      <c r="E48" s="236"/>
      <c r="F48" s="667"/>
      <c r="G48" s="626"/>
      <c r="H48" s="668"/>
    </row>
    <row r="49" spans="5:9" x14ac:dyDescent="0.3">
      <c r="F49" s="667"/>
      <c r="G49" s="626"/>
      <c r="H49" s="668"/>
    </row>
    <row r="50" spans="5:9" ht="13.5" thickBot="1" x14ac:dyDescent="0.35">
      <c r="E50" s="669" t="s">
        <v>399</v>
      </c>
      <c r="F50" s="674"/>
      <c r="G50" s="675"/>
      <c r="H50" s="675"/>
      <c r="I50" s="136" t="s">
        <v>540</v>
      </c>
    </row>
    <row r="51" spans="5:9" x14ac:dyDescent="0.3">
      <c r="E51" s="136" t="s">
        <v>259</v>
      </c>
      <c r="F51" s="136">
        <f>F50/365</f>
        <v>0</v>
      </c>
      <c r="G51" s="237"/>
      <c r="H51" s="238"/>
      <c r="I51" s="136" t="s">
        <v>126</v>
      </c>
    </row>
    <row r="52" spans="5:9" x14ac:dyDescent="0.3">
      <c r="E52" s="136" t="s">
        <v>538</v>
      </c>
      <c r="H52" s="670">
        <f>H50+G50</f>
        <v>0</v>
      </c>
      <c r="I52" s="136" t="s">
        <v>541</v>
      </c>
    </row>
    <row r="53" spans="5:9" ht="13.5" thickBot="1" x14ac:dyDescent="0.35">
      <c r="E53" s="671" t="s">
        <v>539</v>
      </c>
      <c r="F53" s="671"/>
      <c r="G53" s="672"/>
      <c r="H53" s="673" t="e">
        <f>H52/F51</f>
        <v>#DIV/0!</v>
      </c>
      <c r="I53" s="136" t="s">
        <v>542</v>
      </c>
    </row>
    <row r="54" spans="5:9" ht="13.5" thickTop="1" x14ac:dyDescent="0.3">
      <c r="H54" s="239"/>
      <c r="I54" s="235"/>
    </row>
    <row r="55" spans="5:9" x14ac:dyDescent="0.3">
      <c r="G55" s="152"/>
      <c r="H55" s="239"/>
      <c r="I55" s="235"/>
    </row>
  </sheetData>
  <mergeCells count="10">
    <mergeCell ref="D30:D31"/>
    <mergeCell ref="B28:C28"/>
    <mergeCell ref="B29:C29"/>
    <mergeCell ref="D2:E2"/>
    <mergeCell ref="D3:E3"/>
    <mergeCell ref="J26:L26"/>
    <mergeCell ref="J3:L3"/>
    <mergeCell ref="B27:C27"/>
    <mergeCell ref="C6:C7"/>
    <mergeCell ref="D6:D7"/>
  </mergeCells>
  <phoneticPr fontId="0" type="noConversion"/>
  <pageMargins left="0.78740157499999996" right="0.78740157499999996" top="0.984251969" bottom="0.984251969" header="0.4921259845" footer="0.4921259845"/>
  <pageSetup paperSize="9"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B1:AH89"/>
  <sheetViews>
    <sheetView zoomScale="70" zoomScaleNormal="70" workbookViewId="0">
      <pane ySplit="4" topLeftCell="A14" activePane="bottomLeft" state="frozen"/>
      <selection activeCell="O73" sqref="O73"/>
      <selection pane="bottomLeft" activeCell="W1" sqref="W1"/>
    </sheetView>
  </sheetViews>
  <sheetFormatPr defaultColWidth="11.453125" defaultRowHeight="13" outlineLevelCol="1" x14ac:dyDescent="0.25"/>
  <cols>
    <col min="1" max="1" width="2.36328125" style="226" customWidth="1"/>
    <col min="2" max="2" width="26.81640625" style="226" customWidth="1"/>
    <col min="3" max="3" width="14.36328125" style="226" bestFit="1" customWidth="1"/>
    <col min="4" max="4" width="27.81640625" style="367" customWidth="1"/>
    <col min="5" max="5" width="17.36328125" style="367" customWidth="1"/>
    <col min="6" max="6" width="14.54296875" style="367" customWidth="1"/>
    <col min="7" max="7" width="10" style="367" customWidth="1"/>
    <col min="8" max="8" width="9.36328125" style="367" bestFit="1" customWidth="1"/>
    <col min="9" max="9" width="14.08984375" style="368" bestFit="1" customWidth="1"/>
    <col min="10" max="10" width="12.81640625" style="368" hidden="1" customWidth="1"/>
    <col min="11" max="11" width="13.453125" style="368" hidden="1" customWidth="1"/>
    <col min="12" max="12" width="19" style="368" hidden="1" customWidth="1"/>
    <col min="13" max="13" width="16.36328125" style="368" hidden="1" customWidth="1"/>
    <col min="14" max="14" width="12.6328125" style="369" customWidth="1"/>
    <col min="15" max="20" width="11.453125" style="226"/>
    <col min="21" max="21" width="27.36328125" style="226" hidden="1" customWidth="1" outlineLevel="1"/>
    <col min="22" max="22" width="11.453125" style="226" customWidth="1" collapsed="1"/>
    <col min="23" max="23" width="10.6328125" style="226" customWidth="1"/>
    <col min="24" max="27" width="11.453125" style="226"/>
    <col min="28" max="28" width="15.54296875" style="226" customWidth="1"/>
    <col min="29" max="16384" width="11.453125" style="226"/>
  </cols>
  <sheetData>
    <row r="1" spans="2:26" ht="18" x14ac:dyDescent="0.25">
      <c r="B1" s="366" t="s">
        <v>107</v>
      </c>
      <c r="C1" s="366"/>
    </row>
    <row r="3" spans="2:26" x14ac:dyDescent="0.3">
      <c r="B3" s="370" t="s">
        <v>108</v>
      </c>
      <c r="C3" s="371" t="s">
        <v>143</v>
      </c>
      <c r="D3" s="370" t="s">
        <v>109</v>
      </c>
      <c r="E3" s="370" t="s">
        <v>110</v>
      </c>
      <c r="F3" s="370" t="s">
        <v>111</v>
      </c>
      <c r="G3" s="370" t="s">
        <v>140</v>
      </c>
      <c r="H3" s="372" t="s">
        <v>139</v>
      </c>
      <c r="I3" s="373" t="s">
        <v>141</v>
      </c>
      <c r="J3" s="374" t="s">
        <v>395</v>
      </c>
      <c r="K3" s="375" t="s">
        <v>396</v>
      </c>
      <c r="L3" s="376" t="s">
        <v>397</v>
      </c>
      <c r="M3" s="376" t="s">
        <v>398</v>
      </c>
      <c r="N3" s="136"/>
    </row>
    <row r="4" spans="2:26" ht="14" x14ac:dyDescent="0.3">
      <c r="B4" s="370"/>
      <c r="C4" s="371"/>
      <c r="D4" s="377"/>
      <c r="E4" s="697" t="s">
        <v>112</v>
      </c>
      <c r="F4" s="697"/>
      <c r="G4" s="378" t="s">
        <v>473</v>
      </c>
      <c r="H4" s="379" t="s">
        <v>142</v>
      </c>
      <c r="I4" s="380" t="s">
        <v>473</v>
      </c>
      <c r="J4" s="381" t="s">
        <v>473</v>
      </c>
      <c r="K4" s="382" t="s">
        <v>142</v>
      </c>
      <c r="L4" s="383" t="s">
        <v>473</v>
      </c>
      <c r="M4" s="383"/>
      <c r="N4" s="136"/>
      <c r="O4" s="384"/>
      <c r="P4" s="384"/>
      <c r="Q4" s="384"/>
      <c r="R4" s="384"/>
      <c r="S4" s="384"/>
    </row>
    <row r="5" spans="2:26" s="220" customFormat="1" ht="12.75" customHeight="1" x14ac:dyDescent="0.25">
      <c r="B5" s="385">
        <f>Energie_EBF!K23</f>
        <v>4.3</v>
      </c>
      <c r="C5" s="385"/>
      <c r="D5" s="386"/>
      <c r="E5" s="386"/>
      <c r="F5" s="387"/>
      <c r="G5" s="387"/>
      <c r="H5" s="387"/>
      <c r="I5" s="388"/>
      <c r="J5" s="388"/>
      <c r="K5" s="388"/>
      <c r="L5" s="388"/>
      <c r="M5" s="388"/>
      <c r="N5" s="389"/>
      <c r="O5" s="226"/>
      <c r="P5" s="226"/>
      <c r="Q5" s="226"/>
      <c r="R5" s="226"/>
      <c r="S5" s="226"/>
    </row>
    <row r="6" spans="2:26" s="220" customFormat="1" x14ac:dyDescent="0.3">
      <c r="B6" s="390" t="s">
        <v>117</v>
      </c>
      <c r="C6" s="391" t="s">
        <v>143</v>
      </c>
      <c r="D6" s="391" t="s">
        <v>109</v>
      </c>
      <c r="E6" s="391" t="s">
        <v>389</v>
      </c>
      <c r="F6" s="391" t="s">
        <v>386</v>
      </c>
      <c r="G6" s="391" t="s">
        <v>140</v>
      </c>
      <c r="H6" s="391" t="s">
        <v>139</v>
      </c>
      <c r="I6" s="391" t="s">
        <v>141</v>
      </c>
      <c r="J6" s="391" t="s">
        <v>395</v>
      </c>
      <c r="K6" s="391" t="s">
        <v>396</v>
      </c>
      <c r="L6" s="391" t="s">
        <v>397</v>
      </c>
      <c r="M6" s="391" t="s">
        <v>398</v>
      </c>
      <c r="N6" s="136"/>
      <c r="O6" s="219" t="s">
        <v>114</v>
      </c>
      <c r="P6" s="392"/>
      <c r="Q6" s="219"/>
      <c r="R6" s="219" t="s">
        <v>390</v>
      </c>
      <c r="S6" s="219"/>
      <c r="T6" s="219"/>
      <c r="U6" s="219" t="s">
        <v>117</v>
      </c>
      <c r="V6" s="219" t="s">
        <v>400</v>
      </c>
      <c r="W6" s="219"/>
    </row>
    <row r="7" spans="2:26" s="220" customFormat="1" x14ac:dyDescent="0.3">
      <c r="B7" s="393">
        <v>1</v>
      </c>
      <c r="C7" s="393" t="s">
        <v>408</v>
      </c>
      <c r="D7" s="394"/>
      <c r="E7" s="395"/>
      <c r="F7" s="395"/>
      <c r="G7" s="395">
        <v>0</v>
      </c>
      <c r="H7" s="396">
        <f>1</f>
        <v>1</v>
      </c>
      <c r="I7" s="397">
        <f>G7*H7</f>
        <v>0</v>
      </c>
      <c r="J7" s="398"/>
      <c r="K7" s="399"/>
      <c r="L7" s="398"/>
      <c r="M7" s="398"/>
      <c r="N7" s="136"/>
      <c r="O7" s="226" t="s">
        <v>115</v>
      </c>
      <c r="P7" s="227">
        <f>SUM(I19,I26)</f>
        <v>0</v>
      </c>
      <c r="R7" s="220" t="s">
        <v>391</v>
      </c>
      <c r="S7" s="220">
        <f ca="1">SUMIF(C28:G47,R7,G28:G47)</f>
        <v>0</v>
      </c>
      <c r="U7" s="220" t="s">
        <v>113</v>
      </c>
      <c r="V7" s="220" t="s">
        <v>401</v>
      </c>
      <c r="Y7" s="220" t="s">
        <v>401</v>
      </c>
    </row>
    <row r="8" spans="2:26" s="220" customFormat="1" x14ac:dyDescent="0.3">
      <c r="B8" s="393">
        <v>2</v>
      </c>
      <c r="C8" s="393" t="s">
        <v>409</v>
      </c>
      <c r="D8" s="394" t="s">
        <v>551</v>
      </c>
      <c r="E8" s="395"/>
      <c r="F8" s="395"/>
      <c r="G8" s="395">
        <v>100</v>
      </c>
      <c r="H8" s="396">
        <f>1</f>
        <v>1</v>
      </c>
      <c r="I8" s="397">
        <f t="shared" ref="I8:I11" si="0">G8*H8</f>
        <v>100</v>
      </c>
      <c r="J8" s="398"/>
      <c r="K8" s="399"/>
      <c r="L8" s="398"/>
      <c r="M8" s="398"/>
      <c r="N8" s="136"/>
      <c r="O8" s="226" t="s">
        <v>116</v>
      </c>
      <c r="P8" s="227">
        <f>SUM(I62,I69,I76)</f>
        <v>0</v>
      </c>
      <c r="R8" s="226" t="s">
        <v>392</v>
      </c>
      <c r="S8" s="220">
        <f ca="1">SUMIF(C28:G47,R8,G28:G47)</f>
        <v>0</v>
      </c>
    </row>
    <row r="9" spans="2:26" s="220" customFormat="1" x14ac:dyDescent="0.3">
      <c r="B9" s="393">
        <v>3</v>
      </c>
      <c r="C9" s="393" t="s">
        <v>410</v>
      </c>
      <c r="D9" s="394"/>
      <c r="E9" s="395"/>
      <c r="F9" s="395"/>
      <c r="G9" s="395">
        <f>Tabelle315[[#This Row],[Länge]]*Tabelle315[[#This Row],[Breite]]</f>
        <v>0</v>
      </c>
      <c r="H9" s="396">
        <f>1</f>
        <v>1</v>
      </c>
      <c r="I9" s="397">
        <f t="shared" si="0"/>
        <v>0</v>
      </c>
      <c r="J9" s="398"/>
      <c r="K9" s="399"/>
      <c r="L9" s="398"/>
      <c r="M9" s="398"/>
      <c r="N9" s="136"/>
      <c r="O9" s="226" t="s">
        <v>117</v>
      </c>
      <c r="P9" s="227">
        <f>I12</f>
        <v>100</v>
      </c>
      <c r="R9" s="226"/>
    </row>
    <row r="10" spans="2:26" s="220" customFormat="1" x14ac:dyDescent="0.3">
      <c r="B10" s="393">
        <v>4</v>
      </c>
      <c r="C10" s="393" t="s">
        <v>411</v>
      </c>
      <c r="D10" s="394"/>
      <c r="E10" s="395"/>
      <c r="F10" s="395"/>
      <c r="G10" s="395">
        <f>Tabelle315[[#This Row],[Länge]]*Tabelle315[[#This Row],[Breite]]</f>
        <v>0</v>
      </c>
      <c r="H10" s="396">
        <f>1</f>
        <v>1</v>
      </c>
      <c r="I10" s="397">
        <f t="shared" si="0"/>
        <v>0</v>
      </c>
      <c r="J10" s="398"/>
      <c r="K10" s="399"/>
      <c r="L10" s="398"/>
      <c r="M10" s="398"/>
      <c r="N10" s="136"/>
      <c r="O10" s="226"/>
      <c r="P10" s="227"/>
      <c r="R10" s="226" t="s">
        <v>393</v>
      </c>
      <c r="S10" s="220">
        <f ca="1">SUMIF(C28:G47,R10,G28:G47)</f>
        <v>0</v>
      </c>
    </row>
    <row r="11" spans="2:26" s="220" customFormat="1" x14ac:dyDescent="0.3">
      <c r="B11" s="393">
        <v>5</v>
      </c>
      <c r="C11" s="393" t="s">
        <v>412</v>
      </c>
      <c r="D11" s="394"/>
      <c r="E11" s="395"/>
      <c r="F11" s="395"/>
      <c r="G11" s="395">
        <f>Tabelle315[[#This Row],[Länge]]*Tabelle315[[#This Row],[Breite]]</f>
        <v>0</v>
      </c>
      <c r="H11" s="396">
        <f>1</f>
        <v>1</v>
      </c>
      <c r="I11" s="397">
        <f t="shared" si="0"/>
        <v>0</v>
      </c>
      <c r="J11" s="398"/>
      <c r="K11" s="399"/>
      <c r="L11" s="398"/>
      <c r="M11" s="398"/>
      <c r="N11" s="136"/>
      <c r="O11" s="226"/>
      <c r="P11" s="227"/>
      <c r="R11" s="226" t="s">
        <v>394</v>
      </c>
      <c r="S11" s="220">
        <f ca="1">SUMIF(C28:G47,R11,G28:G47)</f>
        <v>0</v>
      </c>
      <c r="V11" s="220" t="s">
        <v>399</v>
      </c>
      <c r="W11" s="220">
        <f>SUM(W7:W10)</f>
        <v>0</v>
      </c>
      <c r="Y11" s="220" t="s">
        <v>399</v>
      </c>
      <c r="Z11" s="220">
        <f>SUM(Z7:Z10)</f>
        <v>0</v>
      </c>
    </row>
    <row r="12" spans="2:26" s="220" customFormat="1" x14ac:dyDescent="0.3">
      <c r="B12" s="400" t="s">
        <v>324</v>
      </c>
      <c r="C12" s="400"/>
      <c r="D12" s="400"/>
      <c r="E12" s="400"/>
      <c r="F12" s="400"/>
      <c r="G12" s="400"/>
      <c r="H12" s="400">
        <f>SUBTOTAL(109,Tabelle315[Anzahl])</f>
        <v>5</v>
      </c>
      <c r="I12" s="400">
        <f>SUBTOTAL(109,Tabelle315[Fläche Total])</f>
        <v>100</v>
      </c>
      <c r="J12" s="400"/>
      <c r="K12" s="400">
        <f>SUBTOTAL(109,Tabelle315[Anzahl Neu])</f>
        <v>0</v>
      </c>
      <c r="L12" s="401">
        <f>SUBTOTAL(109,Tabelle315[Fläche Total Neu])</f>
        <v>0</v>
      </c>
      <c r="M12" s="400"/>
      <c r="N12" s="136"/>
      <c r="R12" s="226"/>
      <c r="U12" s="220" t="s">
        <v>121</v>
      </c>
    </row>
    <row r="13" spans="2:26" s="220" customFormat="1" x14ac:dyDescent="0.3">
      <c r="B13" s="402" t="s">
        <v>113</v>
      </c>
      <c r="C13" s="403" t="s">
        <v>143</v>
      </c>
      <c r="D13" s="403" t="s">
        <v>109</v>
      </c>
      <c r="E13" s="403" t="s">
        <v>389</v>
      </c>
      <c r="F13" s="403" t="s">
        <v>386</v>
      </c>
      <c r="G13" s="403" t="s">
        <v>140</v>
      </c>
      <c r="H13" s="403" t="s">
        <v>139</v>
      </c>
      <c r="I13" s="403" t="s">
        <v>141</v>
      </c>
      <c r="J13" s="403" t="s">
        <v>395</v>
      </c>
      <c r="K13" s="403" t="s">
        <v>396</v>
      </c>
      <c r="L13" s="403" t="s">
        <v>397</v>
      </c>
      <c r="M13" s="403" t="s">
        <v>398</v>
      </c>
      <c r="N13" s="136"/>
      <c r="R13" s="226"/>
      <c r="U13" s="220" t="s">
        <v>144</v>
      </c>
    </row>
    <row r="14" spans="2:26" s="220" customFormat="1" x14ac:dyDescent="0.3">
      <c r="B14" s="404" t="s">
        <v>402</v>
      </c>
      <c r="C14" s="393"/>
      <c r="D14" s="394"/>
      <c r="E14" s="395"/>
      <c r="F14" s="395"/>
      <c r="G14" s="395">
        <f>E14*F14</f>
        <v>0</v>
      </c>
      <c r="H14" s="396">
        <f>1</f>
        <v>1</v>
      </c>
      <c r="I14" s="397">
        <f>G14*H14</f>
        <v>0</v>
      </c>
      <c r="J14" s="398"/>
      <c r="K14" s="399"/>
      <c r="L14" s="398"/>
      <c r="M14" s="398"/>
      <c r="N14" s="136"/>
      <c r="R14" s="226"/>
      <c r="U14" s="226" t="s">
        <v>122</v>
      </c>
    </row>
    <row r="15" spans="2:26" s="220" customFormat="1" x14ac:dyDescent="0.3">
      <c r="B15" s="404" t="s">
        <v>403</v>
      </c>
      <c r="C15" s="393"/>
      <c r="D15" s="394"/>
      <c r="E15" s="395"/>
      <c r="F15" s="395"/>
      <c r="G15" s="395">
        <f>E15*F15</f>
        <v>0</v>
      </c>
      <c r="H15" s="396">
        <f>1</f>
        <v>1</v>
      </c>
      <c r="I15" s="397">
        <f>G15*H15</f>
        <v>0</v>
      </c>
      <c r="J15" s="398"/>
      <c r="K15" s="399"/>
      <c r="L15" s="398"/>
      <c r="M15" s="398"/>
      <c r="N15" s="136"/>
      <c r="U15" s="226"/>
    </row>
    <row r="16" spans="2:26" s="220" customFormat="1" x14ac:dyDescent="0.3">
      <c r="B16" s="404" t="s">
        <v>404</v>
      </c>
      <c r="C16" s="393"/>
      <c r="D16" s="394"/>
      <c r="E16" s="395"/>
      <c r="F16" s="395"/>
      <c r="G16" s="395">
        <f>E16*F16</f>
        <v>0</v>
      </c>
      <c r="H16" s="396">
        <f>1</f>
        <v>1</v>
      </c>
      <c r="I16" s="397">
        <f>G16*H16</f>
        <v>0</v>
      </c>
      <c r="J16" s="398"/>
      <c r="K16" s="399"/>
      <c r="L16" s="398"/>
      <c r="M16" s="398"/>
      <c r="N16" s="136"/>
      <c r="U16" s="226"/>
    </row>
    <row r="17" spans="2:34" s="220" customFormat="1" x14ac:dyDescent="0.3">
      <c r="B17" s="404" t="s">
        <v>405</v>
      </c>
      <c r="C17" s="393"/>
      <c r="D17" s="394"/>
      <c r="E17" s="395"/>
      <c r="F17" s="395"/>
      <c r="G17" s="395">
        <f>E17*F17</f>
        <v>0</v>
      </c>
      <c r="H17" s="396">
        <f>1</f>
        <v>1</v>
      </c>
      <c r="I17" s="397">
        <f>G17*H17</f>
        <v>0</v>
      </c>
      <c r="J17" s="398"/>
      <c r="K17" s="399"/>
      <c r="L17" s="398"/>
      <c r="M17" s="398"/>
      <c r="N17" s="136"/>
      <c r="U17" s="226"/>
    </row>
    <row r="18" spans="2:34" s="220" customFormat="1" x14ac:dyDescent="0.3">
      <c r="B18" s="404" t="s">
        <v>406</v>
      </c>
      <c r="C18" s="393"/>
      <c r="D18" s="394"/>
      <c r="E18" s="395"/>
      <c r="F18" s="395"/>
      <c r="G18" s="395">
        <f>E18*F18</f>
        <v>0</v>
      </c>
      <c r="H18" s="396">
        <f>1</f>
        <v>1</v>
      </c>
      <c r="I18" s="397">
        <f>G18*H18</f>
        <v>0</v>
      </c>
      <c r="J18" s="398"/>
      <c r="K18" s="399"/>
      <c r="L18" s="398"/>
      <c r="M18" s="398"/>
      <c r="N18" s="136"/>
      <c r="U18" s="226"/>
    </row>
    <row r="19" spans="2:34" s="220" customFormat="1" x14ac:dyDescent="0.3">
      <c r="B19" s="405"/>
      <c r="C19" s="405"/>
      <c r="D19" s="406"/>
      <c r="E19" s="406"/>
      <c r="F19" s="406"/>
      <c r="G19" s="406"/>
      <c r="H19" s="407">
        <f>SUBTOTAL(109,Tabelle3[Anzahl])</f>
        <v>5</v>
      </c>
      <c r="I19" s="408">
        <f>SUBTOTAL(109,Tabelle3[Fläche Total])</f>
        <v>0</v>
      </c>
      <c r="J19" s="406"/>
      <c r="K19" s="409">
        <f>SUBTOTAL(109,Tabelle3[Anzahl Neu])</f>
        <v>0</v>
      </c>
      <c r="L19" s="410">
        <f>SUBTOTAL(109,Tabelle3[Fläche Total Neu])</f>
        <v>0</v>
      </c>
      <c r="M19" s="406"/>
      <c r="N19" s="136"/>
      <c r="P19" s="226"/>
      <c r="Q19" s="226"/>
      <c r="U19" s="220" t="s">
        <v>123</v>
      </c>
    </row>
    <row r="20" spans="2:34" s="220" customFormat="1" x14ac:dyDescent="0.3">
      <c r="B20" s="402" t="s">
        <v>118</v>
      </c>
      <c r="C20" s="411" t="s">
        <v>143</v>
      </c>
      <c r="D20" s="391" t="s">
        <v>109</v>
      </c>
      <c r="E20" s="412" t="s">
        <v>389</v>
      </c>
      <c r="F20" s="412" t="s">
        <v>386</v>
      </c>
      <c r="G20" s="391" t="s">
        <v>140</v>
      </c>
      <c r="H20" s="413" t="s">
        <v>139</v>
      </c>
      <c r="I20" s="414" t="s">
        <v>141</v>
      </c>
      <c r="J20" s="414" t="s">
        <v>395</v>
      </c>
      <c r="K20" s="414" t="s">
        <v>396</v>
      </c>
      <c r="L20" s="414" t="s">
        <v>397</v>
      </c>
      <c r="M20" s="414" t="s">
        <v>398</v>
      </c>
      <c r="N20" s="136"/>
      <c r="P20" s="227"/>
      <c r="Q20" s="227"/>
      <c r="R20" s="227"/>
      <c r="S20" s="227"/>
      <c r="U20" s="220" t="s">
        <v>124</v>
      </c>
    </row>
    <row r="21" spans="2:34" s="220" customFormat="1" x14ac:dyDescent="0.3">
      <c r="B21" s="404" t="s">
        <v>402</v>
      </c>
      <c r="C21" s="393"/>
      <c r="D21" s="394"/>
      <c r="E21" s="395"/>
      <c r="F21" s="395"/>
      <c r="G21" s="395">
        <f>E21*F21</f>
        <v>0</v>
      </c>
      <c r="H21" s="396">
        <f>1</f>
        <v>1</v>
      </c>
      <c r="I21" s="397">
        <f>G21*H21</f>
        <v>0</v>
      </c>
      <c r="J21" s="398"/>
      <c r="K21" s="399"/>
      <c r="L21" s="398"/>
      <c r="M21" s="398"/>
      <c r="N21" s="136"/>
      <c r="P21" s="227"/>
      <c r="Q21" s="227"/>
      <c r="R21" s="227"/>
      <c r="S21" s="227"/>
    </row>
    <row r="22" spans="2:34" s="220" customFormat="1" x14ac:dyDescent="0.3">
      <c r="B22" s="404" t="s">
        <v>403</v>
      </c>
      <c r="C22" s="393"/>
      <c r="D22" s="394"/>
      <c r="E22" s="395"/>
      <c r="F22" s="395"/>
      <c r="G22" s="395">
        <f>E22*F22</f>
        <v>0</v>
      </c>
      <c r="H22" s="396">
        <f>1</f>
        <v>1</v>
      </c>
      <c r="I22" s="397">
        <f>G22*H22</f>
        <v>0</v>
      </c>
      <c r="J22" s="398"/>
      <c r="K22" s="399"/>
      <c r="L22" s="398"/>
      <c r="M22" s="398"/>
      <c r="N22" s="136"/>
      <c r="P22" s="227"/>
      <c r="Q22" s="227"/>
      <c r="R22" s="227"/>
      <c r="S22" s="227"/>
    </row>
    <row r="23" spans="2:34" s="220" customFormat="1" x14ac:dyDescent="0.3">
      <c r="B23" s="404" t="s">
        <v>404</v>
      </c>
      <c r="C23" s="393"/>
      <c r="D23" s="394"/>
      <c r="E23" s="395"/>
      <c r="F23" s="395"/>
      <c r="G23" s="395">
        <f>E23*F23</f>
        <v>0</v>
      </c>
      <c r="H23" s="396">
        <f>1</f>
        <v>1</v>
      </c>
      <c r="I23" s="397">
        <f t="shared" ref="I23:I25" si="1">G23*H23</f>
        <v>0</v>
      </c>
      <c r="J23" s="398"/>
      <c r="K23" s="399"/>
      <c r="L23" s="398"/>
      <c r="M23" s="398"/>
      <c r="N23" s="136"/>
      <c r="O23" s="700" t="s">
        <v>474</v>
      </c>
      <c r="P23" s="701"/>
      <c r="Q23" s="701"/>
      <c r="R23" s="701"/>
      <c r="S23" s="701"/>
      <c r="T23" s="701"/>
      <c r="U23" s="701"/>
      <c r="V23" s="701"/>
      <c r="W23" s="226"/>
      <c r="X23" s="219" t="s">
        <v>381</v>
      </c>
      <c r="Y23" s="219"/>
      <c r="Z23" s="219"/>
      <c r="AA23" s="219"/>
      <c r="AB23" s="219"/>
      <c r="AC23" s="219" t="s">
        <v>382</v>
      </c>
    </row>
    <row r="24" spans="2:34" s="220" customFormat="1" x14ac:dyDescent="0.3">
      <c r="B24" s="404" t="s">
        <v>405</v>
      </c>
      <c r="C24" s="393"/>
      <c r="D24" s="394"/>
      <c r="E24" s="395"/>
      <c r="F24" s="395"/>
      <c r="G24" s="395">
        <f>E24*F24</f>
        <v>0</v>
      </c>
      <c r="H24" s="396">
        <f>1</f>
        <v>1</v>
      </c>
      <c r="I24" s="397">
        <f t="shared" si="1"/>
        <v>0</v>
      </c>
      <c r="J24" s="398"/>
      <c r="K24" s="399"/>
      <c r="L24" s="398"/>
      <c r="M24" s="398"/>
      <c r="N24" s="136"/>
      <c r="O24" s="700"/>
      <c r="P24" s="701"/>
      <c r="Q24" s="701"/>
      <c r="R24" s="701"/>
      <c r="S24" s="701"/>
      <c r="T24" s="701"/>
      <c r="U24" s="701"/>
      <c r="V24" s="701"/>
      <c r="W24" s="226"/>
      <c r="X24" s="219"/>
      <c r="Y24" s="219"/>
      <c r="Z24" s="219"/>
      <c r="AA24" s="219"/>
      <c r="AB24" s="219"/>
      <c r="AC24" s="219"/>
    </row>
    <row r="25" spans="2:34" s="220" customFormat="1" x14ac:dyDescent="0.3">
      <c r="B25" s="404" t="s">
        <v>406</v>
      </c>
      <c r="C25" s="393"/>
      <c r="D25" s="394"/>
      <c r="E25" s="395"/>
      <c r="F25" s="395"/>
      <c r="G25" s="395">
        <f>E25*F25</f>
        <v>0</v>
      </c>
      <c r="H25" s="396">
        <f>1</f>
        <v>1</v>
      </c>
      <c r="I25" s="397">
        <f t="shared" si="1"/>
        <v>0</v>
      </c>
      <c r="J25" s="398"/>
      <c r="K25" s="399"/>
      <c r="L25" s="398"/>
      <c r="M25" s="398"/>
      <c r="N25" s="136"/>
      <c r="O25" s="700"/>
      <c r="P25" s="701"/>
      <c r="Q25" s="701"/>
      <c r="R25" s="701"/>
      <c r="S25" s="701"/>
      <c r="T25" s="701"/>
      <c r="U25" s="701"/>
      <c r="V25" s="701"/>
      <c r="W25" s="226"/>
      <c r="X25" s="219"/>
      <c r="Y25" s="219"/>
      <c r="Z25" s="219"/>
      <c r="AA25" s="219"/>
      <c r="AB25" s="219"/>
      <c r="AC25" s="219"/>
    </row>
    <row r="26" spans="2:34" x14ac:dyDescent="0.3">
      <c r="B26" s="409"/>
      <c r="C26" s="409"/>
      <c r="D26" s="409"/>
      <c r="E26" s="409"/>
      <c r="F26" s="409"/>
      <c r="G26" s="409"/>
      <c r="H26" s="409">
        <f>SUBTOTAL(109,Tabelle438[Anzahl])</f>
        <v>5</v>
      </c>
      <c r="I26" s="409">
        <f>SUBTOTAL(109,Tabelle438[Fläche Total])</f>
        <v>0</v>
      </c>
      <c r="J26" s="409"/>
      <c r="K26" s="409">
        <f>SUBTOTAL(109,Tabelle438[Anzahl Neu])</f>
        <v>0</v>
      </c>
      <c r="L26" s="410">
        <f>SUBTOTAL(109,Tabelle438[Fläche Total Neu])</f>
        <v>0</v>
      </c>
      <c r="M26" s="409"/>
      <c r="N26" s="136"/>
      <c r="O26" s="700"/>
      <c r="P26" s="701"/>
      <c r="Q26" s="701"/>
      <c r="R26" s="701"/>
      <c r="S26" s="701"/>
      <c r="T26" s="701"/>
      <c r="U26" s="701"/>
      <c r="V26" s="701"/>
      <c r="X26" s="219"/>
      <c r="Y26" s="219"/>
      <c r="Z26" s="219"/>
      <c r="AA26" s="219"/>
      <c r="AB26" s="219"/>
      <c r="AC26" s="219"/>
      <c r="AD26" s="220"/>
      <c r="AE26" s="220"/>
      <c r="AF26" s="220"/>
      <c r="AG26" s="220"/>
      <c r="AH26" s="220"/>
    </row>
    <row r="27" spans="2:34" ht="18.75" customHeight="1" x14ac:dyDescent="0.3">
      <c r="B27" s="415" t="s">
        <v>119</v>
      </c>
      <c r="C27" s="416" t="s">
        <v>143</v>
      </c>
      <c r="D27" s="417" t="s">
        <v>109</v>
      </c>
      <c r="E27" s="417" t="s">
        <v>389</v>
      </c>
      <c r="F27" s="417" t="s">
        <v>384</v>
      </c>
      <c r="G27" s="417" t="s">
        <v>140</v>
      </c>
      <c r="H27" s="418" t="s">
        <v>139</v>
      </c>
      <c r="I27" s="419" t="s">
        <v>141</v>
      </c>
      <c r="J27" s="419" t="s">
        <v>395</v>
      </c>
      <c r="K27" s="419" t="s">
        <v>396</v>
      </c>
      <c r="L27" s="419" t="s">
        <v>397</v>
      </c>
      <c r="M27" s="419" t="s">
        <v>398</v>
      </c>
      <c r="N27" s="136"/>
      <c r="O27" s="700"/>
      <c r="P27" s="701"/>
      <c r="Q27" s="701"/>
      <c r="R27" s="701"/>
      <c r="S27" s="701"/>
      <c r="T27" s="701"/>
      <c r="U27" s="701"/>
      <c r="V27" s="701"/>
      <c r="X27" s="219"/>
      <c r="Y27" s="219"/>
      <c r="Z27" s="219"/>
      <c r="AA27" s="219"/>
      <c r="AB27" s="219"/>
      <c r="AC27" s="219"/>
      <c r="AD27" s="220"/>
      <c r="AE27" s="220"/>
      <c r="AF27" s="220"/>
      <c r="AG27" s="220"/>
      <c r="AH27" s="220"/>
    </row>
    <row r="28" spans="2:34" ht="15" x14ac:dyDescent="0.3">
      <c r="B28" s="420" t="s">
        <v>402</v>
      </c>
      <c r="C28" s="393"/>
      <c r="D28" s="394"/>
      <c r="E28" s="395"/>
      <c r="F28" s="395"/>
      <c r="G28" s="395">
        <v>0</v>
      </c>
      <c r="H28" s="396">
        <f>1</f>
        <v>1</v>
      </c>
      <c r="I28" s="397">
        <f>G28*H28</f>
        <v>0</v>
      </c>
      <c r="J28" s="398"/>
      <c r="K28" s="399"/>
      <c r="L28" s="398"/>
      <c r="M28" s="398"/>
      <c r="N28" s="136"/>
      <c r="O28" s="701"/>
      <c r="P28" s="701"/>
      <c r="Q28" s="701"/>
      <c r="R28" s="701"/>
      <c r="S28" s="701"/>
      <c r="T28" s="701"/>
      <c r="U28" s="701"/>
      <c r="V28" s="701"/>
      <c r="X28" s="220" t="s">
        <v>383</v>
      </c>
      <c r="Y28" s="221">
        <v>100</v>
      </c>
      <c r="Z28" s="220"/>
      <c r="AA28" s="220"/>
      <c r="AB28" s="220"/>
      <c r="AC28" s="220" t="s">
        <v>384</v>
      </c>
      <c r="AD28" s="222">
        <v>15</v>
      </c>
      <c r="AE28" s="220"/>
      <c r="AF28" s="220"/>
      <c r="AG28" s="220"/>
      <c r="AH28" s="220"/>
    </row>
    <row r="29" spans="2:34" x14ac:dyDescent="0.3">
      <c r="B29" s="420" t="s">
        <v>403</v>
      </c>
      <c r="C29" s="393"/>
      <c r="D29" s="394"/>
      <c r="E29" s="395"/>
      <c r="F29" s="395"/>
      <c r="G29" s="395">
        <v>0</v>
      </c>
      <c r="H29" s="396">
        <f>1</f>
        <v>1</v>
      </c>
      <c r="I29" s="397">
        <f>G29*H29</f>
        <v>0</v>
      </c>
      <c r="J29" s="398"/>
      <c r="K29" s="399"/>
      <c r="L29" s="398"/>
      <c r="M29" s="398"/>
      <c r="N29" s="136"/>
      <c r="O29" s="701"/>
      <c r="P29" s="701"/>
      <c r="Q29" s="701"/>
      <c r="R29" s="701"/>
      <c r="S29" s="701"/>
      <c r="T29" s="701"/>
      <c r="U29" s="701"/>
      <c r="V29" s="701"/>
      <c r="X29" s="220" t="s">
        <v>385</v>
      </c>
      <c r="Y29" s="223">
        <v>45</v>
      </c>
      <c r="Z29" s="220"/>
      <c r="AA29" s="220"/>
      <c r="AB29" s="220"/>
      <c r="AC29" s="220" t="s">
        <v>386</v>
      </c>
      <c r="AD29" s="224">
        <v>30</v>
      </c>
      <c r="AE29" s="220"/>
      <c r="AF29" s="220"/>
      <c r="AG29" s="220"/>
      <c r="AH29" s="220"/>
    </row>
    <row r="30" spans="2:34" x14ac:dyDescent="0.3">
      <c r="B30" s="420" t="s">
        <v>404</v>
      </c>
      <c r="C30" s="393"/>
      <c r="D30" s="394"/>
      <c r="E30" s="395"/>
      <c r="F30" s="395"/>
      <c r="G30" s="395">
        <v>0</v>
      </c>
      <c r="H30" s="396">
        <f>1</f>
        <v>1</v>
      </c>
      <c r="I30" s="397">
        <f>G30*H30</f>
        <v>0</v>
      </c>
      <c r="J30" s="398"/>
      <c r="K30" s="399"/>
      <c r="L30" s="398"/>
      <c r="M30" s="398"/>
      <c r="N30" s="136"/>
      <c r="O30" s="701"/>
      <c r="P30" s="701"/>
      <c r="Q30" s="701"/>
      <c r="R30" s="701"/>
      <c r="S30" s="701"/>
      <c r="T30" s="701"/>
      <c r="U30" s="701"/>
      <c r="V30" s="701"/>
      <c r="X30" s="225"/>
      <c r="Y30" s="225"/>
      <c r="Z30" s="225"/>
      <c r="AA30" s="225"/>
      <c r="AB30" s="225"/>
      <c r="AC30" s="225"/>
      <c r="AD30" s="225"/>
      <c r="AE30" s="225"/>
      <c r="AF30" s="225"/>
      <c r="AG30" s="225"/>
      <c r="AH30" s="220"/>
    </row>
    <row r="31" spans="2:34" x14ac:dyDescent="0.3">
      <c r="B31" s="420" t="s">
        <v>405</v>
      </c>
      <c r="C31" s="393"/>
      <c r="D31" s="394"/>
      <c r="E31" s="395"/>
      <c r="F31" s="395"/>
      <c r="G31" s="395">
        <v>0</v>
      </c>
      <c r="H31" s="396">
        <f>1</f>
        <v>1</v>
      </c>
      <c r="I31" s="397">
        <f>G31*H31</f>
        <v>0</v>
      </c>
      <c r="J31" s="398"/>
      <c r="K31" s="399"/>
      <c r="L31" s="398"/>
      <c r="M31" s="398"/>
      <c r="N31" s="136"/>
      <c r="O31" s="701"/>
      <c r="P31" s="701"/>
      <c r="Q31" s="701"/>
      <c r="R31" s="701"/>
      <c r="S31" s="701"/>
      <c r="T31" s="701"/>
      <c r="U31" s="701"/>
      <c r="V31" s="701"/>
      <c r="X31" s="220"/>
      <c r="Y31" s="220"/>
      <c r="AA31" s="220"/>
      <c r="AB31" s="220"/>
      <c r="AC31" s="220"/>
      <c r="AD31" s="220"/>
      <c r="AE31" s="220"/>
      <c r="AF31" s="220"/>
      <c r="AG31" s="220"/>
      <c r="AH31" s="220"/>
    </row>
    <row r="32" spans="2:34" x14ac:dyDescent="0.3">
      <c r="B32" s="420" t="s">
        <v>406</v>
      </c>
      <c r="C32" s="393"/>
      <c r="D32" s="394"/>
      <c r="E32" s="395"/>
      <c r="F32" s="395"/>
      <c r="G32" s="395">
        <v>0</v>
      </c>
      <c r="H32" s="396">
        <f>1</f>
        <v>1</v>
      </c>
      <c r="I32" s="397">
        <f>G32*H32</f>
        <v>0</v>
      </c>
      <c r="J32" s="398"/>
      <c r="K32" s="399"/>
      <c r="L32" s="398"/>
      <c r="M32" s="398"/>
      <c r="N32" s="136"/>
      <c r="X32" s="220"/>
      <c r="Y32" s="220"/>
      <c r="AA32" s="220"/>
      <c r="AB32" s="220"/>
      <c r="AC32" s="220"/>
      <c r="AD32" s="220"/>
      <c r="AE32" s="220"/>
      <c r="AF32" s="220"/>
      <c r="AG32" s="220"/>
      <c r="AH32" s="220"/>
    </row>
    <row r="33" spans="2:34" x14ac:dyDescent="0.3">
      <c r="B33" s="421"/>
      <c r="C33" s="421"/>
      <c r="D33" s="422"/>
      <c r="E33" s="422"/>
      <c r="F33" s="422"/>
      <c r="G33" s="422"/>
      <c r="H33" s="423">
        <f>SUBTOTAL(109,Tabelle4[Anzahl])</f>
        <v>5</v>
      </c>
      <c r="I33" s="424">
        <f>SUBTOTAL(109,Tabelle4[Fläche Total])</f>
        <v>0</v>
      </c>
      <c r="J33" s="422"/>
      <c r="K33" s="422">
        <f>SUBTOTAL(109,Tabelle4[Anzahl Neu])</f>
        <v>0</v>
      </c>
      <c r="L33" s="425">
        <f>SUBTOTAL(109,Tabelle4[Fläche Total Neu])</f>
        <v>0</v>
      </c>
      <c r="M33" s="422"/>
      <c r="N33" s="136"/>
      <c r="O33" s="698" t="s">
        <v>475</v>
      </c>
      <c r="P33" s="699"/>
      <c r="Q33" s="699"/>
      <c r="R33" s="699"/>
      <c r="S33" s="699"/>
      <c r="T33" s="699"/>
      <c r="U33" s="699"/>
      <c r="V33" s="699"/>
      <c r="X33" s="220"/>
      <c r="Y33" s="220"/>
      <c r="AA33" s="220"/>
      <c r="AB33" s="220"/>
      <c r="AC33" s="220"/>
      <c r="AD33" s="220"/>
      <c r="AE33" s="220"/>
      <c r="AF33" s="220"/>
      <c r="AG33" s="220"/>
      <c r="AH33" s="220"/>
    </row>
    <row r="34" spans="2:34" x14ac:dyDescent="0.3">
      <c r="B34" s="426" t="s">
        <v>120</v>
      </c>
      <c r="C34" s="391" t="s">
        <v>143</v>
      </c>
      <c r="D34" s="391" t="s">
        <v>109</v>
      </c>
      <c r="E34" s="391" t="s">
        <v>389</v>
      </c>
      <c r="F34" s="391" t="s">
        <v>384</v>
      </c>
      <c r="G34" s="391" t="s">
        <v>140</v>
      </c>
      <c r="H34" s="391" t="s">
        <v>139</v>
      </c>
      <c r="I34" s="391" t="s">
        <v>141</v>
      </c>
      <c r="J34" s="391" t="s">
        <v>395</v>
      </c>
      <c r="K34" s="391" t="s">
        <v>396</v>
      </c>
      <c r="L34" s="391" t="s">
        <v>397</v>
      </c>
      <c r="M34" s="391" t="s">
        <v>398</v>
      </c>
      <c r="N34" s="136"/>
      <c r="O34" s="699"/>
      <c r="P34" s="699"/>
      <c r="Q34" s="699"/>
      <c r="R34" s="699"/>
      <c r="S34" s="699"/>
      <c r="T34" s="699"/>
      <c r="U34" s="699"/>
      <c r="V34" s="699"/>
      <c r="X34" s="220"/>
      <c r="Y34" s="220"/>
      <c r="AA34" s="220"/>
      <c r="AB34" s="220"/>
      <c r="AC34" s="220"/>
      <c r="AD34" s="220"/>
      <c r="AE34" s="220"/>
      <c r="AF34" s="220"/>
      <c r="AG34" s="220"/>
      <c r="AH34" s="220"/>
    </row>
    <row r="35" spans="2:34" x14ac:dyDescent="0.3">
      <c r="B35" s="420" t="s">
        <v>402</v>
      </c>
      <c r="C35" s="393"/>
      <c r="D35" s="394"/>
      <c r="E35" s="395"/>
      <c r="F35" s="395"/>
      <c r="G35" s="395">
        <f>E35*F35</f>
        <v>0</v>
      </c>
      <c r="H35" s="396">
        <v>1</v>
      </c>
      <c r="I35" s="397">
        <f>G35*H35</f>
        <v>0</v>
      </c>
      <c r="J35" s="398"/>
      <c r="K35" s="399"/>
      <c r="L35" s="398"/>
      <c r="M35" s="398"/>
      <c r="N35" s="136"/>
      <c r="O35" s="699"/>
      <c r="P35" s="699"/>
      <c r="Q35" s="699"/>
      <c r="R35" s="699"/>
      <c r="S35" s="699"/>
      <c r="T35" s="699"/>
      <c r="U35" s="699"/>
      <c r="V35" s="699"/>
      <c r="X35" s="220"/>
      <c r="Y35" s="220"/>
      <c r="AA35" s="220"/>
      <c r="AB35" s="220"/>
      <c r="AC35" s="220"/>
      <c r="AD35" s="220"/>
      <c r="AE35" s="220"/>
      <c r="AF35" s="220"/>
      <c r="AG35" s="220"/>
    </row>
    <row r="36" spans="2:34" ht="16" thickBot="1" x14ac:dyDescent="0.35">
      <c r="B36" s="420" t="s">
        <v>403</v>
      </c>
      <c r="C36" s="393"/>
      <c r="D36" s="394"/>
      <c r="E36" s="395"/>
      <c r="F36" s="395"/>
      <c r="G36" s="395">
        <f>E36*F36</f>
        <v>0</v>
      </c>
      <c r="H36" s="396">
        <v>1</v>
      </c>
      <c r="I36" s="397">
        <f>G36*H36</f>
        <v>0</v>
      </c>
      <c r="J36" s="398"/>
      <c r="K36" s="399"/>
      <c r="L36" s="398"/>
      <c r="M36" s="398"/>
      <c r="N36" s="136"/>
      <c r="O36" s="699"/>
      <c r="P36" s="699"/>
      <c r="Q36" s="699"/>
      <c r="R36" s="699"/>
      <c r="S36" s="699"/>
      <c r="T36" s="699"/>
      <c r="U36" s="699"/>
      <c r="V36" s="699"/>
      <c r="X36" s="232" t="s">
        <v>388</v>
      </c>
      <c r="Y36" s="233">
        <f>Y28/(COS((RADIANS(Y29))))</f>
        <v>141.42135623730948</v>
      </c>
      <c r="Z36" s="220"/>
      <c r="AA36" s="220"/>
      <c r="AB36" s="220"/>
      <c r="AC36" s="230" t="s">
        <v>385</v>
      </c>
      <c r="AD36" s="231">
        <f>DEGREES(ATAN(AD28/(AD29/2)))</f>
        <v>45</v>
      </c>
      <c r="AE36" s="220"/>
      <c r="AF36" s="220"/>
      <c r="AG36" s="220"/>
    </row>
    <row r="37" spans="2:34" ht="13.5" thickTop="1" x14ac:dyDescent="0.3">
      <c r="B37" s="420" t="s">
        <v>404</v>
      </c>
      <c r="C37" s="393"/>
      <c r="D37" s="394"/>
      <c r="E37" s="395"/>
      <c r="F37" s="395"/>
      <c r="G37" s="395">
        <f>E37*F37</f>
        <v>0</v>
      </c>
      <c r="H37" s="396">
        <v>1</v>
      </c>
      <c r="I37" s="397">
        <f>G37*H37</f>
        <v>0</v>
      </c>
      <c r="J37" s="398"/>
      <c r="K37" s="399"/>
      <c r="L37" s="398"/>
      <c r="M37" s="398"/>
      <c r="N37" s="136"/>
      <c r="O37" s="699"/>
      <c r="P37" s="699"/>
      <c r="Q37" s="699"/>
      <c r="R37" s="699"/>
      <c r="S37" s="699"/>
      <c r="T37" s="699"/>
      <c r="U37" s="699"/>
      <c r="V37" s="699"/>
      <c r="W37" s="220"/>
      <c r="Y37" s="227"/>
      <c r="Z37" s="220"/>
      <c r="AA37" s="220"/>
      <c r="AB37" s="220"/>
      <c r="AC37" s="220"/>
      <c r="AD37" s="229"/>
      <c r="AE37" s="220"/>
      <c r="AF37" s="220"/>
      <c r="AG37" s="220"/>
    </row>
    <row r="38" spans="2:34" x14ac:dyDescent="0.3">
      <c r="B38" s="420" t="s">
        <v>405</v>
      </c>
      <c r="C38" s="393"/>
      <c r="D38" s="394"/>
      <c r="E38" s="395"/>
      <c r="F38" s="395"/>
      <c r="G38" s="395">
        <f>E38*F38</f>
        <v>0</v>
      </c>
      <c r="H38" s="396">
        <v>1</v>
      </c>
      <c r="I38" s="397">
        <f>G38*H38</f>
        <v>0</v>
      </c>
      <c r="J38" s="398"/>
      <c r="K38" s="399"/>
      <c r="L38" s="398"/>
      <c r="M38" s="398"/>
      <c r="N38" s="136"/>
      <c r="O38" s="427"/>
      <c r="P38" s="427"/>
      <c r="Q38" s="427"/>
      <c r="R38" s="427"/>
      <c r="S38" s="427"/>
      <c r="X38" s="227" t="s">
        <v>387</v>
      </c>
      <c r="Y38" s="228">
        <f>Y36/Y28</f>
        <v>1.4142135623730949</v>
      </c>
      <c r="Z38" s="220"/>
      <c r="AA38" s="220"/>
      <c r="AB38" s="220"/>
      <c r="AC38" s="227"/>
      <c r="AD38" s="220"/>
      <c r="AE38" s="220"/>
      <c r="AF38" s="220"/>
      <c r="AG38" s="220"/>
    </row>
    <row r="39" spans="2:34" x14ac:dyDescent="0.3">
      <c r="B39" s="420" t="s">
        <v>406</v>
      </c>
      <c r="C39" s="393"/>
      <c r="D39" s="394"/>
      <c r="E39" s="395"/>
      <c r="F39" s="395"/>
      <c r="G39" s="395">
        <f>E39*F39</f>
        <v>0</v>
      </c>
      <c r="H39" s="396">
        <v>1</v>
      </c>
      <c r="I39" s="397">
        <f>G39*H39</f>
        <v>0</v>
      </c>
      <c r="J39" s="398"/>
      <c r="K39" s="399"/>
      <c r="L39" s="398"/>
      <c r="M39" s="398"/>
      <c r="N39" s="136"/>
    </row>
    <row r="40" spans="2:34" ht="13.5" customHeight="1" x14ac:dyDescent="0.3">
      <c r="B40" s="428"/>
      <c r="C40" s="428"/>
      <c r="D40" s="429"/>
      <c r="E40" s="429"/>
      <c r="F40" s="429"/>
      <c r="G40" s="429"/>
      <c r="H40" s="430">
        <f>SUBTOTAL(109,Tabelle5[Anzahl])</f>
        <v>5</v>
      </c>
      <c r="I40" s="431">
        <f>SUBTOTAL(109,Tabelle5[Fläche Total])</f>
        <v>0</v>
      </c>
      <c r="J40" s="429"/>
      <c r="K40" s="429">
        <f>SUBTOTAL(109,Tabelle5[Anzahl Neu])</f>
        <v>0</v>
      </c>
      <c r="L40" s="429">
        <f>SUBTOTAL(109,Tabelle5[Fläche Total Neu])</f>
        <v>0</v>
      </c>
      <c r="M40" s="429"/>
      <c r="N40" s="136"/>
    </row>
    <row r="41" spans="2:34" ht="13.5" customHeight="1" x14ac:dyDescent="0.3">
      <c r="B41" s="432" t="s">
        <v>121</v>
      </c>
      <c r="C41" s="416" t="s">
        <v>143</v>
      </c>
      <c r="D41" s="417" t="s">
        <v>109</v>
      </c>
      <c r="E41" s="417" t="s">
        <v>389</v>
      </c>
      <c r="F41" s="417" t="s">
        <v>384</v>
      </c>
      <c r="G41" s="417" t="s">
        <v>140</v>
      </c>
      <c r="H41" s="418" t="s">
        <v>139</v>
      </c>
      <c r="I41" s="433" t="s">
        <v>141</v>
      </c>
      <c r="J41" s="419" t="s">
        <v>395</v>
      </c>
      <c r="K41" s="419" t="s">
        <v>396</v>
      </c>
      <c r="L41" s="419" t="s">
        <v>397</v>
      </c>
      <c r="M41" s="419" t="s">
        <v>398</v>
      </c>
      <c r="N41" s="136"/>
    </row>
    <row r="42" spans="2:34" x14ac:dyDescent="0.3">
      <c r="B42" s="420" t="s">
        <v>402</v>
      </c>
      <c r="C42" s="393"/>
      <c r="D42" s="394"/>
      <c r="E42" s="395"/>
      <c r="F42" s="395"/>
      <c r="G42" s="395">
        <f>E42*F42</f>
        <v>0</v>
      </c>
      <c r="H42" s="396">
        <f>1</f>
        <v>1</v>
      </c>
      <c r="I42" s="397">
        <f>G42*H42</f>
        <v>0</v>
      </c>
      <c r="J42" s="398"/>
      <c r="K42" s="399"/>
      <c r="L42" s="398"/>
      <c r="M42" s="398"/>
      <c r="N42" s="136"/>
    </row>
    <row r="43" spans="2:34" x14ac:dyDescent="0.3">
      <c r="B43" s="420" t="s">
        <v>403</v>
      </c>
      <c r="C43" s="393"/>
      <c r="D43" s="394"/>
      <c r="E43" s="395"/>
      <c r="F43" s="395"/>
      <c r="G43" s="395">
        <f>E43*F43</f>
        <v>0</v>
      </c>
      <c r="H43" s="396">
        <f>1</f>
        <v>1</v>
      </c>
      <c r="I43" s="397">
        <f>G43*H43</f>
        <v>0</v>
      </c>
      <c r="J43" s="398"/>
      <c r="K43" s="399"/>
      <c r="L43" s="398"/>
      <c r="M43" s="398"/>
      <c r="N43" s="136"/>
    </row>
    <row r="44" spans="2:34" x14ac:dyDescent="0.3">
      <c r="B44" s="420" t="s">
        <v>404</v>
      </c>
      <c r="C44" s="393"/>
      <c r="D44" s="394"/>
      <c r="E44" s="395"/>
      <c r="F44" s="395"/>
      <c r="G44" s="395">
        <f>E44*F44</f>
        <v>0</v>
      </c>
      <c r="H44" s="396">
        <f>1</f>
        <v>1</v>
      </c>
      <c r="I44" s="397">
        <f>G44*H44</f>
        <v>0</v>
      </c>
      <c r="J44" s="398"/>
      <c r="K44" s="399"/>
      <c r="L44" s="398"/>
      <c r="M44" s="398"/>
      <c r="N44" s="136"/>
    </row>
    <row r="45" spans="2:34" x14ac:dyDescent="0.3">
      <c r="B45" s="420" t="s">
        <v>405</v>
      </c>
      <c r="C45" s="393"/>
      <c r="D45" s="394"/>
      <c r="E45" s="395"/>
      <c r="F45" s="395"/>
      <c r="G45" s="395">
        <f>E45*F45</f>
        <v>0</v>
      </c>
      <c r="H45" s="396">
        <f>1</f>
        <v>1</v>
      </c>
      <c r="I45" s="397">
        <f>G45*H45</f>
        <v>0</v>
      </c>
      <c r="J45" s="398"/>
      <c r="K45" s="399"/>
      <c r="L45" s="398"/>
      <c r="M45" s="398"/>
      <c r="N45" s="136"/>
    </row>
    <row r="46" spans="2:34" x14ac:dyDescent="0.3">
      <c r="B46" s="420" t="s">
        <v>406</v>
      </c>
      <c r="C46" s="393"/>
      <c r="D46" s="394"/>
      <c r="E46" s="395"/>
      <c r="F46" s="395"/>
      <c r="G46" s="395">
        <f>E46*F46</f>
        <v>0</v>
      </c>
      <c r="H46" s="396">
        <f>1</f>
        <v>1</v>
      </c>
      <c r="I46" s="397">
        <f>G46*H46</f>
        <v>0</v>
      </c>
      <c r="J46" s="398"/>
      <c r="K46" s="399"/>
      <c r="L46" s="398"/>
      <c r="M46" s="398"/>
      <c r="N46" s="136"/>
    </row>
    <row r="47" spans="2:34" x14ac:dyDescent="0.3">
      <c r="B47" s="434"/>
      <c r="C47" s="434"/>
      <c r="D47" s="435"/>
      <c r="E47" s="435"/>
      <c r="F47" s="435"/>
      <c r="G47" s="435"/>
      <c r="H47" s="436">
        <f>SUBTOTAL(109,Tabelle6[Anzahl])</f>
        <v>5</v>
      </c>
      <c r="I47" s="437">
        <f>SUBTOTAL(109,Tabelle6[Fläche Total])</f>
        <v>0</v>
      </c>
      <c r="J47" s="435"/>
      <c r="K47" s="435">
        <f>SUBTOTAL(109,Tabelle6[Anzahl Neu])</f>
        <v>0</v>
      </c>
      <c r="L47" s="438">
        <f>SUBTOTAL(109,Tabelle6[Fläche Total Neu])</f>
        <v>0</v>
      </c>
      <c r="M47" s="435"/>
      <c r="N47" s="136"/>
      <c r="O47" s="702" t="s">
        <v>543</v>
      </c>
      <c r="P47" s="703"/>
      <c r="Q47" s="702" t="s">
        <v>545</v>
      </c>
      <c r="R47" s="704"/>
      <c r="S47" s="703"/>
    </row>
    <row r="48" spans="2:34" x14ac:dyDescent="0.3">
      <c r="B48" s="439" t="s">
        <v>144</v>
      </c>
      <c r="C48" s="391" t="s">
        <v>143</v>
      </c>
      <c r="D48" s="391" t="s">
        <v>109</v>
      </c>
      <c r="E48" s="391" t="s">
        <v>386</v>
      </c>
      <c r="F48" s="391" t="s">
        <v>384</v>
      </c>
      <c r="G48" s="391" t="s">
        <v>140</v>
      </c>
      <c r="H48" s="391" t="s">
        <v>139</v>
      </c>
      <c r="I48" s="391" t="s">
        <v>141</v>
      </c>
      <c r="J48" s="391" t="s">
        <v>395</v>
      </c>
      <c r="K48" s="391" t="s">
        <v>396</v>
      </c>
      <c r="L48" s="391" t="s">
        <v>397</v>
      </c>
      <c r="M48" s="391" t="s">
        <v>398</v>
      </c>
      <c r="N48" s="136"/>
      <c r="O48" s="676" t="s">
        <v>544</v>
      </c>
      <c r="P48" s="677" t="s">
        <v>543</v>
      </c>
      <c r="Q48" s="676" t="s">
        <v>544</v>
      </c>
      <c r="R48" s="678" t="s">
        <v>545</v>
      </c>
      <c r="S48" s="677" t="s">
        <v>546</v>
      </c>
    </row>
    <row r="49" spans="2:14" x14ac:dyDescent="0.3">
      <c r="B49" s="440" t="s">
        <v>402</v>
      </c>
      <c r="C49" s="393"/>
      <c r="D49" s="394"/>
      <c r="E49" s="395"/>
      <c r="F49" s="395"/>
      <c r="G49" s="395">
        <f t="shared" ref="G49:G54" si="2">E49*F49</f>
        <v>0</v>
      </c>
      <c r="H49" s="396">
        <f>1</f>
        <v>1</v>
      </c>
      <c r="I49" s="397">
        <f t="shared" ref="I49:I54" si="3">G49*H49</f>
        <v>0</v>
      </c>
      <c r="J49" s="398"/>
      <c r="K49" s="399"/>
      <c r="L49" s="398"/>
      <c r="M49" s="398"/>
      <c r="N49" s="136"/>
    </row>
    <row r="50" spans="2:14" x14ac:dyDescent="0.3">
      <c r="B50" s="440" t="s">
        <v>403</v>
      </c>
      <c r="C50" s="393"/>
      <c r="D50" s="394"/>
      <c r="E50" s="395"/>
      <c r="F50" s="395"/>
      <c r="G50" s="395">
        <f t="shared" si="2"/>
        <v>0</v>
      </c>
      <c r="H50" s="396">
        <f>1</f>
        <v>1</v>
      </c>
      <c r="I50" s="397">
        <f t="shared" si="3"/>
        <v>0</v>
      </c>
      <c r="J50" s="398"/>
      <c r="K50" s="399"/>
      <c r="L50" s="398"/>
      <c r="M50" s="398"/>
      <c r="N50" s="136"/>
    </row>
    <row r="51" spans="2:14" x14ac:dyDescent="0.3">
      <c r="B51" s="440" t="s">
        <v>404</v>
      </c>
      <c r="C51" s="393"/>
      <c r="D51" s="394"/>
      <c r="E51" s="395"/>
      <c r="F51" s="395"/>
      <c r="G51" s="395">
        <f t="shared" si="2"/>
        <v>0</v>
      </c>
      <c r="H51" s="396">
        <f>1</f>
        <v>1</v>
      </c>
      <c r="I51" s="397">
        <f t="shared" si="3"/>
        <v>0</v>
      </c>
      <c r="J51" s="398"/>
      <c r="K51" s="399"/>
      <c r="L51" s="398"/>
      <c r="M51" s="398"/>
      <c r="N51" s="136"/>
    </row>
    <row r="52" spans="2:14" x14ac:dyDescent="0.3">
      <c r="B52" s="440" t="s">
        <v>405</v>
      </c>
      <c r="C52" s="393"/>
      <c r="D52" s="394"/>
      <c r="E52" s="395"/>
      <c r="F52" s="395"/>
      <c r="G52" s="395">
        <f t="shared" si="2"/>
        <v>0</v>
      </c>
      <c r="H52" s="396">
        <f>1</f>
        <v>1</v>
      </c>
      <c r="I52" s="397">
        <f t="shared" si="3"/>
        <v>0</v>
      </c>
      <c r="J52" s="398"/>
      <c r="K52" s="399"/>
      <c r="L52" s="398"/>
      <c r="M52" s="398"/>
      <c r="N52" s="136"/>
    </row>
    <row r="53" spans="2:14" x14ac:dyDescent="0.3">
      <c r="B53" s="440" t="s">
        <v>406</v>
      </c>
      <c r="C53" s="393"/>
      <c r="D53" s="394"/>
      <c r="E53" s="395"/>
      <c r="F53" s="395"/>
      <c r="G53" s="395">
        <f t="shared" si="2"/>
        <v>0</v>
      </c>
      <c r="H53" s="396">
        <f>1</f>
        <v>1</v>
      </c>
      <c r="I53" s="397">
        <f t="shared" si="3"/>
        <v>0</v>
      </c>
      <c r="J53" s="398"/>
      <c r="K53" s="399"/>
      <c r="L53" s="398"/>
      <c r="M53" s="398"/>
      <c r="N53" s="136"/>
    </row>
    <row r="54" spans="2:14" x14ac:dyDescent="0.3">
      <c r="B54" s="440" t="s">
        <v>407</v>
      </c>
      <c r="C54" s="393"/>
      <c r="D54" s="394"/>
      <c r="E54" s="395"/>
      <c r="F54" s="395"/>
      <c r="G54" s="395">
        <f t="shared" si="2"/>
        <v>0</v>
      </c>
      <c r="H54" s="396">
        <f>1</f>
        <v>1</v>
      </c>
      <c r="I54" s="397">
        <f t="shared" si="3"/>
        <v>0</v>
      </c>
      <c r="J54" s="398"/>
      <c r="K54" s="399"/>
      <c r="L54" s="398"/>
      <c r="M54" s="398"/>
      <c r="N54" s="136"/>
    </row>
    <row r="55" spans="2:14" x14ac:dyDescent="0.3">
      <c r="B55" s="441"/>
      <c r="C55" s="441"/>
      <c r="D55" s="442"/>
      <c r="E55" s="442"/>
      <c r="F55" s="442"/>
      <c r="G55" s="442"/>
      <c r="H55" s="443">
        <f>SUBTOTAL(109,Tabelle712[Anzahl])</f>
        <v>6</v>
      </c>
      <c r="I55" s="444">
        <f>SUBTOTAL(109,Tabelle712[Fläche Total])</f>
        <v>0</v>
      </c>
      <c r="J55" s="442"/>
      <c r="K55" s="442">
        <f>SUBTOTAL(109,Tabelle712[Anzahl Neu])</f>
        <v>0</v>
      </c>
      <c r="L55" s="445">
        <f>SUBTOTAL(109,Tabelle712[Fläche Total Neu])</f>
        <v>0</v>
      </c>
      <c r="M55" s="442"/>
      <c r="N55" s="136"/>
    </row>
    <row r="56" spans="2:14" x14ac:dyDescent="0.3">
      <c r="B56" s="446" t="s">
        <v>122</v>
      </c>
      <c r="C56" s="416" t="s">
        <v>143</v>
      </c>
      <c r="D56" s="417" t="s">
        <v>109</v>
      </c>
      <c r="E56" s="417" t="s">
        <v>389</v>
      </c>
      <c r="F56" s="417" t="s">
        <v>386</v>
      </c>
      <c r="G56" s="417" t="s">
        <v>140</v>
      </c>
      <c r="H56" s="418" t="s">
        <v>139</v>
      </c>
      <c r="I56" s="433" t="s">
        <v>141</v>
      </c>
      <c r="J56" s="419" t="s">
        <v>395</v>
      </c>
      <c r="K56" s="419" t="s">
        <v>396</v>
      </c>
      <c r="L56" s="419" t="s">
        <v>397</v>
      </c>
      <c r="M56" s="419" t="s">
        <v>398</v>
      </c>
      <c r="N56" s="136"/>
    </row>
    <row r="57" spans="2:14" x14ac:dyDescent="0.3">
      <c r="B57" s="447" t="s">
        <v>402</v>
      </c>
      <c r="C57" s="393"/>
      <c r="D57" s="394"/>
      <c r="E57" s="395"/>
      <c r="F57" s="395"/>
      <c r="G57" s="395">
        <f>E57*F57</f>
        <v>0</v>
      </c>
      <c r="H57" s="396">
        <f>1</f>
        <v>1</v>
      </c>
      <c r="I57" s="397">
        <f>G57*H57</f>
        <v>0</v>
      </c>
      <c r="J57" s="398"/>
      <c r="K57" s="399"/>
      <c r="L57" s="398"/>
      <c r="M57" s="398"/>
      <c r="N57" s="136"/>
    </row>
    <row r="58" spans="2:14" x14ac:dyDescent="0.3">
      <c r="B58" s="447" t="s">
        <v>403</v>
      </c>
      <c r="C58" s="393"/>
      <c r="D58" s="394"/>
      <c r="E58" s="395"/>
      <c r="F58" s="395"/>
      <c r="G58" s="395">
        <f>E58*F58</f>
        <v>0</v>
      </c>
      <c r="H58" s="396">
        <f>1</f>
        <v>1</v>
      </c>
      <c r="I58" s="397">
        <f>G58*H58</f>
        <v>0</v>
      </c>
      <c r="J58" s="398"/>
      <c r="K58" s="399"/>
      <c r="L58" s="398"/>
      <c r="M58" s="398"/>
      <c r="N58" s="136"/>
    </row>
    <row r="59" spans="2:14" x14ac:dyDescent="0.3">
      <c r="B59" s="447" t="s">
        <v>404</v>
      </c>
      <c r="C59" s="393"/>
      <c r="D59" s="394"/>
      <c r="E59" s="395"/>
      <c r="F59" s="395"/>
      <c r="G59" s="395">
        <f>E59*F59</f>
        <v>0</v>
      </c>
      <c r="H59" s="396">
        <f>1</f>
        <v>1</v>
      </c>
      <c r="I59" s="397">
        <f>G59*H59</f>
        <v>0</v>
      </c>
      <c r="J59" s="398"/>
      <c r="K59" s="399"/>
      <c r="L59" s="398"/>
      <c r="M59" s="398"/>
      <c r="N59" s="136"/>
    </row>
    <row r="60" spans="2:14" x14ac:dyDescent="0.3">
      <c r="B60" s="447" t="s">
        <v>405</v>
      </c>
      <c r="C60" s="393"/>
      <c r="D60" s="394"/>
      <c r="E60" s="395"/>
      <c r="F60" s="395"/>
      <c r="G60" s="395">
        <f>E60*F60</f>
        <v>0</v>
      </c>
      <c r="H60" s="396">
        <f>1</f>
        <v>1</v>
      </c>
      <c r="I60" s="397">
        <f>G60*H60</f>
        <v>0</v>
      </c>
      <c r="J60" s="398"/>
      <c r="K60" s="399"/>
      <c r="L60" s="398"/>
      <c r="M60" s="398"/>
      <c r="N60" s="136"/>
    </row>
    <row r="61" spans="2:14" x14ac:dyDescent="0.3">
      <c r="B61" s="447" t="s">
        <v>406</v>
      </c>
      <c r="C61" s="393"/>
      <c r="D61" s="394"/>
      <c r="E61" s="395"/>
      <c r="F61" s="395"/>
      <c r="G61" s="395">
        <f>E61*F61</f>
        <v>0</v>
      </c>
      <c r="H61" s="396">
        <f>1</f>
        <v>1</v>
      </c>
      <c r="I61" s="397">
        <f>G61*H61</f>
        <v>0</v>
      </c>
      <c r="J61" s="398"/>
      <c r="K61" s="399"/>
      <c r="L61" s="398"/>
      <c r="M61" s="398"/>
      <c r="N61" s="136"/>
    </row>
    <row r="62" spans="2:14" x14ac:dyDescent="0.3">
      <c r="B62" s="428"/>
      <c r="C62" s="428"/>
      <c r="D62" s="429"/>
      <c r="E62" s="429"/>
      <c r="F62" s="429"/>
      <c r="G62" s="429"/>
      <c r="H62" s="430">
        <f>SUBTOTAL(109,Tabelle7[Anzahl])</f>
        <v>5</v>
      </c>
      <c r="I62" s="431">
        <f>SUBTOTAL(109,Tabelle7[Fläche Total])</f>
        <v>0</v>
      </c>
      <c r="J62" s="429"/>
      <c r="K62" s="448">
        <f>SUBTOTAL(109,Tabelle7[Anzahl Neu])</f>
        <v>0</v>
      </c>
      <c r="L62" s="449">
        <f>SUBTOTAL(109,Tabelle7[Fläche Total Neu])</f>
        <v>0</v>
      </c>
      <c r="M62" s="429"/>
      <c r="N62" s="136"/>
    </row>
    <row r="63" spans="2:14" x14ac:dyDescent="0.3">
      <c r="B63" s="432" t="s">
        <v>123</v>
      </c>
      <c r="C63" s="391" t="s">
        <v>143</v>
      </c>
      <c r="D63" s="391" t="s">
        <v>109</v>
      </c>
      <c r="E63" s="391" t="s">
        <v>389</v>
      </c>
      <c r="F63" s="391" t="s">
        <v>386</v>
      </c>
      <c r="G63" s="391" t="s">
        <v>140</v>
      </c>
      <c r="H63" s="391" t="s">
        <v>139</v>
      </c>
      <c r="I63" s="391" t="s">
        <v>141</v>
      </c>
      <c r="J63" s="391" t="s">
        <v>395</v>
      </c>
      <c r="K63" s="391" t="s">
        <v>396</v>
      </c>
      <c r="L63" s="391" t="s">
        <v>397</v>
      </c>
      <c r="M63" s="391" t="s">
        <v>398</v>
      </c>
      <c r="N63" s="136"/>
    </row>
    <row r="64" spans="2:14" x14ac:dyDescent="0.3">
      <c r="B64" s="447" t="s">
        <v>402</v>
      </c>
      <c r="C64" s="393"/>
      <c r="D64" s="394"/>
      <c r="E64" s="395"/>
      <c r="F64" s="395"/>
      <c r="G64" s="395">
        <f>E64*F64</f>
        <v>0</v>
      </c>
      <c r="H64" s="396">
        <f>1</f>
        <v>1</v>
      </c>
      <c r="I64" s="397">
        <f>G64*H64</f>
        <v>0</v>
      </c>
      <c r="J64" s="398"/>
      <c r="K64" s="399"/>
      <c r="L64" s="398"/>
      <c r="M64" s="398"/>
      <c r="N64" s="136"/>
    </row>
    <row r="65" spans="2:14" x14ac:dyDescent="0.3">
      <c r="B65" s="447" t="s">
        <v>403</v>
      </c>
      <c r="C65" s="393"/>
      <c r="D65" s="394"/>
      <c r="E65" s="395"/>
      <c r="F65" s="395"/>
      <c r="G65" s="395">
        <f>E65*F65</f>
        <v>0</v>
      </c>
      <c r="H65" s="396">
        <f>1</f>
        <v>1</v>
      </c>
      <c r="I65" s="397">
        <f>G65*H65</f>
        <v>0</v>
      </c>
      <c r="J65" s="398"/>
      <c r="K65" s="399"/>
      <c r="L65" s="398"/>
      <c r="M65" s="398"/>
      <c r="N65" s="136"/>
    </row>
    <row r="66" spans="2:14" x14ac:dyDescent="0.3">
      <c r="B66" s="447" t="s">
        <v>404</v>
      </c>
      <c r="C66" s="393"/>
      <c r="D66" s="394"/>
      <c r="E66" s="395"/>
      <c r="F66" s="395"/>
      <c r="G66" s="395">
        <f>E66*F66</f>
        <v>0</v>
      </c>
      <c r="H66" s="396">
        <f>1</f>
        <v>1</v>
      </c>
      <c r="I66" s="397">
        <f>G66*H66</f>
        <v>0</v>
      </c>
      <c r="J66" s="398"/>
      <c r="K66" s="399"/>
      <c r="L66" s="398"/>
      <c r="M66" s="398"/>
      <c r="N66" s="136"/>
    </row>
    <row r="67" spans="2:14" x14ac:dyDescent="0.3">
      <c r="B67" s="447" t="s">
        <v>405</v>
      </c>
      <c r="C67" s="393"/>
      <c r="D67" s="394"/>
      <c r="E67" s="395"/>
      <c r="F67" s="395"/>
      <c r="G67" s="395">
        <f>E67*F67</f>
        <v>0</v>
      </c>
      <c r="H67" s="396">
        <f>1</f>
        <v>1</v>
      </c>
      <c r="I67" s="397">
        <f>G67*H67</f>
        <v>0</v>
      </c>
      <c r="J67" s="398"/>
      <c r="K67" s="399"/>
      <c r="L67" s="398"/>
      <c r="M67" s="398"/>
      <c r="N67" s="136"/>
    </row>
    <row r="68" spans="2:14" s="220" customFormat="1" x14ac:dyDescent="0.3">
      <c r="B68" s="447" t="s">
        <v>406</v>
      </c>
      <c r="C68" s="393"/>
      <c r="D68" s="394"/>
      <c r="E68" s="395"/>
      <c r="F68" s="395"/>
      <c r="G68" s="395">
        <f>E68*F68</f>
        <v>0</v>
      </c>
      <c r="H68" s="396">
        <f>1</f>
        <v>1</v>
      </c>
      <c r="I68" s="397">
        <f>G68*H68</f>
        <v>0</v>
      </c>
      <c r="J68" s="398"/>
      <c r="K68" s="399"/>
      <c r="L68" s="398"/>
      <c r="M68" s="398"/>
      <c r="N68" s="136"/>
    </row>
    <row r="69" spans="2:14" ht="18" customHeight="1" x14ac:dyDescent="0.25">
      <c r="B69" s="434"/>
      <c r="C69" s="434"/>
      <c r="D69" s="435"/>
      <c r="E69" s="435"/>
      <c r="F69" s="435"/>
      <c r="G69" s="435"/>
      <c r="H69" s="436">
        <f>SUBTOTAL(109,Tabelle8[Anzahl])</f>
        <v>5</v>
      </c>
      <c r="I69" s="437">
        <f>SUBTOTAL(109,Tabelle8[Fläche Total])</f>
        <v>0</v>
      </c>
      <c r="J69" s="435"/>
      <c r="K69" s="450">
        <f>SUBTOTAL(109,Tabelle8[Anzahl Neu])</f>
        <v>0</v>
      </c>
      <c r="L69" s="438">
        <f>SUBTOTAL(109,Tabelle8[Fläche Total Neu])</f>
        <v>0</v>
      </c>
      <c r="M69" s="435"/>
      <c r="N69" s="397"/>
    </row>
    <row r="70" spans="2:14" x14ac:dyDescent="0.25">
      <c r="B70" s="415" t="s">
        <v>124</v>
      </c>
      <c r="C70" s="416" t="s">
        <v>143</v>
      </c>
      <c r="D70" s="417" t="s">
        <v>109</v>
      </c>
      <c r="E70" s="417" t="s">
        <v>389</v>
      </c>
      <c r="F70" s="417" t="s">
        <v>386</v>
      </c>
      <c r="G70" s="417" t="s">
        <v>140</v>
      </c>
      <c r="H70" s="418" t="s">
        <v>139</v>
      </c>
      <c r="I70" s="419" t="s">
        <v>141</v>
      </c>
      <c r="J70" s="419" t="s">
        <v>395</v>
      </c>
      <c r="K70" s="419" t="s">
        <v>396</v>
      </c>
      <c r="L70" s="419" t="s">
        <v>397</v>
      </c>
      <c r="M70" s="419" t="s">
        <v>398</v>
      </c>
    </row>
    <row r="71" spans="2:14" x14ac:dyDescent="0.25">
      <c r="B71" s="447" t="s">
        <v>402</v>
      </c>
      <c r="C71" s="393"/>
      <c r="D71" s="394"/>
      <c r="E71" s="395"/>
      <c r="F71" s="395"/>
      <c r="G71" s="395">
        <f>E71*F71</f>
        <v>0</v>
      </c>
      <c r="H71" s="396">
        <f>1</f>
        <v>1</v>
      </c>
      <c r="I71" s="397">
        <f>G71*H71</f>
        <v>0</v>
      </c>
      <c r="J71" s="398"/>
      <c r="K71" s="399"/>
      <c r="L71" s="398"/>
      <c r="M71" s="398"/>
    </row>
    <row r="72" spans="2:14" x14ac:dyDescent="0.25">
      <c r="B72" s="447" t="s">
        <v>403</v>
      </c>
      <c r="C72" s="393"/>
      <c r="D72" s="394"/>
      <c r="E72" s="395"/>
      <c r="F72" s="395"/>
      <c r="G72" s="395">
        <f>E72*F72</f>
        <v>0</v>
      </c>
      <c r="H72" s="396">
        <f>1</f>
        <v>1</v>
      </c>
      <c r="I72" s="397">
        <f>G72*H72</f>
        <v>0</v>
      </c>
      <c r="J72" s="398"/>
      <c r="K72" s="399"/>
      <c r="L72" s="398"/>
      <c r="M72" s="398"/>
    </row>
    <row r="73" spans="2:14" x14ac:dyDescent="0.25">
      <c r="B73" s="447" t="s">
        <v>404</v>
      </c>
      <c r="C73" s="393"/>
      <c r="D73" s="394"/>
      <c r="E73" s="395"/>
      <c r="F73" s="395"/>
      <c r="G73" s="395">
        <f>E73*F73</f>
        <v>0</v>
      </c>
      <c r="H73" s="396">
        <f>1</f>
        <v>1</v>
      </c>
      <c r="I73" s="397">
        <f>G73*H73</f>
        <v>0</v>
      </c>
      <c r="J73" s="398"/>
      <c r="K73" s="399"/>
      <c r="L73" s="398"/>
      <c r="M73" s="398"/>
    </row>
    <row r="74" spans="2:14" x14ac:dyDescent="0.25">
      <c r="B74" s="447" t="s">
        <v>405</v>
      </c>
      <c r="C74" s="393"/>
      <c r="D74" s="394"/>
      <c r="E74" s="395"/>
      <c r="F74" s="395"/>
      <c r="G74" s="395">
        <f>E74*F74</f>
        <v>0</v>
      </c>
      <c r="H74" s="396">
        <f>1</f>
        <v>1</v>
      </c>
      <c r="I74" s="397">
        <f>G74*H74</f>
        <v>0</v>
      </c>
      <c r="J74" s="398"/>
      <c r="K74" s="399"/>
      <c r="L74" s="398"/>
      <c r="M74" s="398"/>
    </row>
    <row r="75" spans="2:14" collapsed="1" x14ac:dyDescent="0.25">
      <c r="B75" s="447" t="s">
        <v>406</v>
      </c>
      <c r="C75" s="393"/>
      <c r="D75" s="394"/>
      <c r="E75" s="395"/>
      <c r="F75" s="395"/>
      <c r="G75" s="395">
        <f>E75*F75</f>
        <v>0</v>
      </c>
      <c r="H75" s="396">
        <f>1</f>
        <v>1</v>
      </c>
      <c r="I75" s="397">
        <f>G75*H75</f>
        <v>0</v>
      </c>
      <c r="J75" s="398"/>
      <c r="K75" s="399"/>
      <c r="L75" s="398"/>
      <c r="M75" s="398"/>
      <c r="N75" s="451"/>
    </row>
    <row r="76" spans="2:14" x14ac:dyDescent="0.25">
      <c r="B76" s="421"/>
      <c r="C76" s="421"/>
      <c r="D76" s="422"/>
      <c r="E76" s="422"/>
      <c r="F76" s="422"/>
      <c r="G76" s="422"/>
      <c r="H76" s="423">
        <f>SUBTOTAL(109,Tabelle9[Anzahl])</f>
        <v>5</v>
      </c>
      <c r="I76" s="424">
        <f>SUBTOTAL(109,Tabelle9[Fläche Total])</f>
        <v>0</v>
      </c>
      <c r="J76" s="422"/>
      <c r="K76" s="452">
        <f>SUBTOTAL(109,Tabelle9[Anzahl Neu])</f>
        <v>0</v>
      </c>
      <c r="L76" s="425">
        <f>SUBTOTAL(109,Tabelle9[Fläche Total Neu])</f>
        <v>0</v>
      </c>
      <c r="M76" s="422"/>
    </row>
    <row r="77" spans="2:14" x14ac:dyDescent="0.25">
      <c r="B77" s="393"/>
      <c r="C77" s="393"/>
      <c r="D77" s="394"/>
      <c r="E77" s="394"/>
      <c r="F77" s="395"/>
      <c r="G77" s="395"/>
      <c r="H77" s="395"/>
      <c r="I77" s="396"/>
      <c r="J77" s="396"/>
      <c r="K77" s="396"/>
      <c r="L77" s="396"/>
      <c r="M77" s="396"/>
    </row>
    <row r="78" spans="2:14" x14ac:dyDescent="0.25">
      <c r="B78" s="392"/>
      <c r="C78" s="392"/>
      <c r="F78" s="453"/>
      <c r="G78" s="453"/>
      <c r="H78" s="453"/>
      <c r="I78" s="454"/>
      <c r="J78" s="454"/>
      <c r="K78" s="454"/>
      <c r="L78" s="454"/>
      <c r="M78" s="454"/>
    </row>
    <row r="79" spans="2:14" x14ac:dyDescent="0.25">
      <c r="B79" s="392"/>
      <c r="C79" s="392"/>
      <c r="F79" s="453"/>
      <c r="G79" s="453"/>
      <c r="H79" s="453"/>
      <c r="I79" s="455"/>
      <c r="J79" s="455"/>
      <c r="K79" s="455"/>
      <c r="L79" s="455"/>
      <c r="M79" s="455"/>
    </row>
    <row r="80" spans="2:14" x14ac:dyDescent="0.25">
      <c r="B80" s="392"/>
      <c r="C80" s="392"/>
      <c r="F80" s="453"/>
      <c r="G80" s="453"/>
      <c r="H80" s="453"/>
      <c r="I80" s="454"/>
      <c r="J80" s="454"/>
      <c r="K80" s="454"/>
      <c r="L80" s="454"/>
      <c r="M80" s="454"/>
      <c r="N80" s="451"/>
    </row>
    <row r="81" spans="2:14" x14ac:dyDescent="0.25">
      <c r="B81" s="392"/>
      <c r="C81" s="392"/>
      <c r="F81" s="453"/>
      <c r="G81" s="453"/>
      <c r="H81" s="453"/>
      <c r="I81" s="454"/>
      <c r="J81" s="454"/>
      <c r="K81" s="454"/>
      <c r="L81" s="454"/>
      <c r="M81" s="454"/>
      <c r="N81" s="397"/>
    </row>
    <row r="82" spans="2:14" x14ac:dyDescent="0.25">
      <c r="B82" s="393"/>
      <c r="C82" s="393"/>
      <c r="D82" s="394"/>
      <c r="E82" s="394"/>
      <c r="F82" s="395"/>
      <c r="G82" s="395"/>
      <c r="H82" s="395"/>
      <c r="I82" s="396"/>
      <c r="J82" s="396"/>
      <c r="K82" s="396"/>
      <c r="L82" s="396"/>
      <c r="M82" s="396"/>
      <c r="N82" s="397"/>
    </row>
    <row r="83" spans="2:14" x14ac:dyDescent="0.25">
      <c r="N83" s="397"/>
    </row>
    <row r="84" spans="2:14" x14ac:dyDescent="0.25">
      <c r="B84" s="392"/>
      <c r="C84" s="392"/>
      <c r="D84" s="412"/>
      <c r="E84" s="412"/>
      <c r="F84" s="412"/>
      <c r="G84" s="412"/>
      <c r="H84" s="412"/>
      <c r="I84" s="456"/>
      <c r="J84" s="456"/>
      <c r="K84" s="456"/>
      <c r="L84" s="456"/>
      <c r="M84" s="456"/>
      <c r="N84" s="397"/>
    </row>
    <row r="85" spans="2:14" x14ac:dyDescent="0.25">
      <c r="B85" s="393"/>
      <c r="C85" s="393"/>
      <c r="D85" s="394"/>
      <c r="E85" s="394"/>
      <c r="F85" s="395"/>
      <c r="G85" s="395"/>
      <c r="H85" s="395"/>
      <c r="I85" s="396"/>
      <c r="J85" s="396"/>
      <c r="K85" s="396"/>
      <c r="L85" s="396"/>
      <c r="M85" s="396"/>
      <c r="N85" s="397"/>
    </row>
    <row r="86" spans="2:14" x14ac:dyDescent="0.25">
      <c r="B86" s="393"/>
      <c r="C86" s="393"/>
      <c r="D86" s="394"/>
      <c r="E86" s="394"/>
      <c r="F86" s="395"/>
      <c r="G86" s="395"/>
      <c r="H86" s="395"/>
      <c r="I86" s="396"/>
      <c r="J86" s="396"/>
      <c r="K86" s="396"/>
      <c r="L86" s="396"/>
      <c r="M86" s="396"/>
    </row>
    <row r="87" spans="2:14" x14ac:dyDescent="0.25">
      <c r="B87" s="393"/>
      <c r="C87" s="393"/>
      <c r="D87" s="394"/>
      <c r="E87" s="394"/>
      <c r="F87" s="395"/>
      <c r="G87" s="395"/>
      <c r="H87" s="395"/>
      <c r="I87" s="396"/>
      <c r="J87" s="396"/>
      <c r="K87" s="396"/>
      <c r="L87" s="396"/>
      <c r="M87" s="396"/>
    </row>
    <row r="88" spans="2:14" x14ac:dyDescent="0.25">
      <c r="B88" s="393"/>
      <c r="C88" s="393"/>
      <c r="D88" s="394"/>
      <c r="E88" s="394"/>
      <c r="F88" s="395"/>
      <c r="G88" s="395"/>
      <c r="H88" s="395"/>
      <c r="I88" s="396"/>
      <c r="J88" s="396"/>
      <c r="K88" s="396"/>
      <c r="L88" s="396"/>
      <c r="M88" s="396"/>
    </row>
    <row r="89" spans="2:14" x14ac:dyDescent="0.25">
      <c r="B89" s="393"/>
      <c r="C89" s="393"/>
      <c r="D89" s="394"/>
      <c r="E89" s="394"/>
      <c r="F89" s="395"/>
      <c r="G89" s="395"/>
      <c r="H89" s="395"/>
      <c r="I89" s="396"/>
      <c r="J89" s="396"/>
      <c r="K89" s="396"/>
      <c r="L89" s="396"/>
      <c r="M89" s="396"/>
    </row>
  </sheetData>
  <mergeCells count="5">
    <mergeCell ref="E4:F4"/>
    <mergeCell ref="O33:V37"/>
    <mergeCell ref="O23:V31"/>
    <mergeCell ref="O47:P47"/>
    <mergeCell ref="Q47:S47"/>
  </mergeCells>
  <pageMargins left="0.7" right="0.7" top="0.78740157499999996" bottom="0.78740157499999996" header="0.3" footer="0.3"/>
  <pageSetup paperSize="9" orientation="portrait" r:id="rId1"/>
  <drawing r:id="rId2"/>
  <tableParts count="10">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B1:AN127"/>
  <sheetViews>
    <sheetView tabSelected="1" zoomScale="70" zoomScaleNormal="70" workbookViewId="0">
      <pane ySplit="25" topLeftCell="A26" activePane="bottomLeft" state="frozen"/>
      <selection activeCell="O73" sqref="O73"/>
      <selection pane="bottomLeft" activeCell="B28" sqref="B28:C28"/>
    </sheetView>
  </sheetViews>
  <sheetFormatPr defaultColWidth="11.453125" defaultRowHeight="13" outlineLevelCol="1" x14ac:dyDescent="0.3"/>
  <cols>
    <col min="1" max="1" width="3" style="136" customWidth="1"/>
    <col min="2" max="2" width="11.453125" style="181"/>
    <col min="3" max="3" width="33.08984375" style="136" customWidth="1"/>
    <col min="4" max="4" width="11.453125" style="136"/>
    <col min="5" max="5" width="12.453125" style="136" customWidth="1"/>
    <col min="6" max="6" width="11.453125" style="136"/>
    <col min="7" max="7" width="2.36328125" style="136" customWidth="1"/>
    <col min="8" max="8" width="11.453125" style="181"/>
    <col min="9" max="9" width="32.08984375" style="136" customWidth="1"/>
    <col min="10" max="12" width="11.453125" style="136"/>
    <col min="13" max="14" width="2.36328125" style="136" customWidth="1"/>
    <col min="15" max="15" width="6" style="181" customWidth="1"/>
    <col min="16" max="16" width="11.453125" style="136"/>
    <col min="17" max="17" width="33.08984375" style="136" customWidth="1"/>
    <col min="18" max="18" width="11.453125" style="136"/>
    <col min="19" max="19" width="12.453125" style="136" customWidth="1"/>
    <col min="20" max="20" width="11.453125" style="136"/>
    <col min="21" max="21" width="18.81640625" style="136" customWidth="1" outlineLevel="1"/>
    <col min="22" max="22" width="11.453125" style="136" outlineLevel="1"/>
    <col min="23" max="23" width="32.08984375" style="136" customWidth="1" outlineLevel="1"/>
    <col min="24" max="24" width="11.453125" style="136" outlineLevel="1"/>
    <col min="25" max="25" width="11.453125" style="136"/>
    <col min="26" max="26" width="15.6328125" style="136" customWidth="1"/>
    <col min="27" max="16384" width="11.453125" style="136"/>
  </cols>
  <sheetData>
    <row r="1" spans="2:25" ht="8.25" customHeight="1" thickBot="1" x14ac:dyDescent="0.35"/>
    <row r="2" spans="2:25" x14ac:dyDescent="0.3">
      <c r="B2" s="713" t="s">
        <v>350</v>
      </c>
      <c r="C2" s="714"/>
      <c r="D2" s="714"/>
      <c r="E2" s="714"/>
      <c r="F2" s="241"/>
      <c r="G2" s="241"/>
      <c r="H2" s="714" t="s">
        <v>351</v>
      </c>
      <c r="I2" s="714"/>
      <c r="J2" s="714"/>
      <c r="K2" s="714"/>
      <c r="L2" s="242"/>
      <c r="M2" s="243"/>
      <c r="N2" s="244"/>
      <c r="O2" s="245"/>
      <c r="P2" s="721" t="s">
        <v>85</v>
      </c>
      <c r="Q2" s="721"/>
      <c r="R2" s="721"/>
      <c r="S2" s="246"/>
      <c r="U2" s="712" t="s">
        <v>323</v>
      </c>
      <c r="V2" s="712"/>
      <c r="W2" s="712"/>
      <c r="X2" s="712"/>
    </row>
    <row r="3" spans="2:25" ht="12.75" customHeight="1" x14ac:dyDescent="0.3">
      <c r="B3" s="717" t="s">
        <v>341</v>
      </c>
      <c r="C3" s="247" t="s">
        <v>336</v>
      </c>
      <c r="D3" s="247"/>
      <c r="E3" s="247">
        <v>1.4999999999999999E-2</v>
      </c>
      <c r="F3" s="720" t="s">
        <v>343</v>
      </c>
      <c r="G3" s="248"/>
      <c r="H3" s="723" t="s">
        <v>340</v>
      </c>
      <c r="I3" s="247" t="s">
        <v>13</v>
      </c>
      <c r="J3" s="247"/>
      <c r="K3" s="247">
        <v>5.6000000000000001E-2</v>
      </c>
      <c r="L3" s="249"/>
      <c r="M3" s="250"/>
      <c r="N3" s="251"/>
      <c r="O3" s="252"/>
      <c r="P3" s="253" t="s">
        <v>86</v>
      </c>
      <c r="Q3" s="254"/>
      <c r="R3" s="254">
        <v>0.9</v>
      </c>
      <c r="S3" s="255"/>
      <c r="U3" s="256" t="s">
        <v>231</v>
      </c>
      <c r="V3" s="257" t="s">
        <v>21</v>
      </c>
      <c r="W3" s="257"/>
      <c r="X3" s="257"/>
    </row>
    <row r="4" spans="2:25" x14ac:dyDescent="0.3">
      <c r="B4" s="718"/>
      <c r="C4" s="247" t="s">
        <v>565</v>
      </c>
      <c r="D4" s="247"/>
      <c r="E4" s="247">
        <v>0.8</v>
      </c>
      <c r="F4" s="720"/>
      <c r="G4" s="248"/>
      <c r="H4" s="724"/>
      <c r="I4" s="247" t="s">
        <v>428</v>
      </c>
      <c r="J4" s="247"/>
      <c r="K4" s="247">
        <v>3.7999999999999999E-2</v>
      </c>
      <c r="L4" s="249"/>
      <c r="M4" s="250"/>
      <c r="N4" s="251"/>
      <c r="O4" s="252"/>
      <c r="P4" s="258" t="s">
        <v>87</v>
      </c>
      <c r="Q4" s="259"/>
      <c r="R4" s="254">
        <v>0.7</v>
      </c>
      <c r="S4" s="255"/>
      <c r="U4" s="257" t="s">
        <v>314</v>
      </c>
      <c r="V4" s="257" t="s">
        <v>312</v>
      </c>
      <c r="W4" s="257">
        <v>1</v>
      </c>
      <c r="X4" s="257">
        <v>25</v>
      </c>
      <c r="Y4" s="679">
        <f>W4/X4</f>
        <v>0.04</v>
      </c>
    </row>
    <row r="5" spans="2:25" x14ac:dyDescent="0.3">
      <c r="B5" s="718"/>
      <c r="C5" s="247" t="s">
        <v>339</v>
      </c>
      <c r="D5" s="247"/>
      <c r="E5" s="247">
        <v>0.9</v>
      </c>
      <c r="F5" s="720"/>
      <c r="G5" s="248"/>
      <c r="H5" s="725"/>
      <c r="I5" s="247" t="s">
        <v>17</v>
      </c>
      <c r="J5" s="247"/>
      <c r="K5" s="247">
        <v>0.35</v>
      </c>
      <c r="L5" s="249"/>
      <c r="M5" s="250"/>
      <c r="N5" s="251"/>
      <c r="O5" s="252"/>
      <c r="P5" s="253" t="s">
        <v>88</v>
      </c>
      <c r="Q5" s="254"/>
      <c r="R5" s="254">
        <v>0.7</v>
      </c>
      <c r="S5" s="255"/>
      <c r="U5" s="257" t="s">
        <v>321</v>
      </c>
      <c r="V5" s="257" t="s">
        <v>21</v>
      </c>
      <c r="W5" s="257"/>
      <c r="X5" s="257"/>
      <c r="Y5" s="679"/>
    </row>
    <row r="6" spans="2:25" ht="13.5" customHeight="1" x14ac:dyDescent="0.3">
      <c r="B6" s="718"/>
      <c r="C6" s="247" t="s">
        <v>430</v>
      </c>
      <c r="D6" s="247"/>
      <c r="E6" s="247">
        <v>2.2999999999999998</v>
      </c>
      <c r="F6" s="720"/>
      <c r="G6" s="248"/>
      <c r="H6" s="723" t="s">
        <v>344</v>
      </c>
      <c r="I6" s="247" t="s">
        <v>326</v>
      </c>
      <c r="J6" s="260"/>
      <c r="K6" s="247">
        <v>3.3000000000000002E-2</v>
      </c>
      <c r="L6" s="249"/>
      <c r="M6" s="250"/>
      <c r="N6" s="251"/>
      <c r="O6" s="252"/>
      <c r="P6" s="253" t="s">
        <v>89</v>
      </c>
      <c r="Q6" s="254"/>
      <c r="R6" s="254">
        <v>0.8</v>
      </c>
      <c r="S6" s="255"/>
      <c r="U6" s="257" t="s">
        <v>315</v>
      </c>
      <c r="V6" s="257" t="s">
        <v>313</v>
      </c>
      <c r="W6" s="257">
        <v>1</v>
      </c>
      <c r="X6" s="257">
        <v>8</v>
      </c>
      <c r="Y6" s="679">
        <f t="shared" ref="Y6:Y14" si="0">W6/X6</f>
        <v>0.125</v>
      </c>
    </row>
    <row r="7" spans="2:25" ht="13.5" customHeight="1" x14ac:dyDescent="0.3">
      <c r="B7" s="718"/>
      <c r="C7" s="247" t="s">
        <v>14</v>
      </c>
      <c r="D7" s="247"/>
      <c r="E7" s="247">
        <v>0.44</v>
      </c>
      <c r="F7" s="248"/>
      <c r="G7" s="248"/>
      <c r="H7" s="724"/>
      <c r="I7" s="247" t="s">
        <v>380</v>
      </c>
      <c r="J7" s="260"/>
      <c r="K7" s="247">
        <v>3.1E-2</v>
      </c>
      <c r="L7" s="249"/>
      <c r="M7" s="250"/>
      <c r="N7" s="251"/>
      <c r="O7" s="252"/>
      <c r="P7" s="253" t="s">
        <v>90</v>
      </c>
      <c r="Q7" s="254"/>
      <c r="R7" s="254">
        <v>0.8</v>
      </c>
      <c r="S7" s="255"/>
      <c r="U7" s="257" t="s">
        <v>316</v>
      </c>
      <c r="V7" s="257" t="s">
        <v>313</v>
      </c>
      <c r="W7" s="257">
        <v>1</v>
      </c>
      <c r="X7" s="257">
        <v>8</v>
      </c>
      <c r="Y7" s="679">
        <f t="shared" si="0"/>
        <v>0.125</v>
      </c>
    </row>
    <row r="8" spans="2:25" ht="13.5" customHeight="1" x14ac:dyDescent="0.3">
      <c r="B8" s="718"/>
      <c r="C8" s="247" t="s">
        <v>15</v>
      </c>
      <c r="D8" s="247"/>
      <c r="E8" s="247">
        <v>0.37</v>
      </c>
      <c r="F8" s="248"/>
      <c r="G8" s="248"/>
      <c r="H8" s="724"/>
      <c r="I8" s="247" t="s">
        <v>328</v>
      </c>
      <c r="J8" s="247"/>
      <c r="K8" s="247">
        <v>4.2000000000000003E-2</v>
      </c>
      <c r="L8" s="249"/>
      <c r="M8" s="250"/>
      <c r="N8" s="251"/>
      <c r="O8" s="252"/>
      <c r="P8" s="253" t="s">
        <v>91</v>
      </c>
      <c r="Q8" s="254"/>
      <c r="R8" s="254">
        <v>0.9</v>
      </c>
      <c r="S8" s="255"/>
      <c r="U8" s="257" t="s">
        <v>317</v>
      </c>
      <c r="V8" s="257" t="s">
        <v>312</v>
      </c>
      <c r="W8" s="257">
        <v>1</v>
      </c>
      <c r="X8" s="257">
        <v>25</v>
      </c>
      <c r="Y8" s="679">
        <f t="shared" si="0"/>
        <v>0.04</v>
      </c>
    </row>
    <row r="9" spans="2:25" ht="13.5" customHeight="1" x14ac:dyDescent="0.3">
      <c r="B9" s="718"/>
      <c r="C9" s="247" t="s">
        <v>8</v>
      </c>
      <c r="D9" s="247"/>
      <c r="E9" s="247">
        <v>0.8</v>
      </c>
      <c r="F9" s="248"/>
      <c r="G9" s="248"/>
      <c r="H9" s="724"/>
      <c r="I9" s="247" t="s">
        <v>426</v>
      </c>
      <c r="J9" s="247"/>
      <c r="K9" s="247">
        <v>2.7E-2</v>
      </c>
      <c r="L9" s="249"/>
      <c r="M9" s="250"/>
      <c r="N9" s="251"/>
      <c r="O9" s="252"/>
      <c r="P9" s="253"/>
      <c r="Q9" s="254"/>
      <c r="R9" s="254"/>
      <c r="S9" s="255"/>
      <c r="U9" s="257" t="s">
        <v>435</v>
      </c>
      <c r="V9" s="257" t="s">
        <v>312</v>
      </c>
      <c r="W9" s="257">
        <v>1</v>
      </c>
      <c r="X9" s="257">
        <v>25</v>
      </c>
      <c r="Y9" s="679">
        <f t="shared" si="0"/>
        <v>0.04</v>
      </c>
    </row>
    <row r="10" spans="2:25" ht="13.5" customHeight="1" x14ac:dyDescent="0.3">
      <c r="B10" s="718"/>
      <c r="C10" s="247" t="s">
        <v>425</v>
      </c>
      <c r="D10" s="247"/>
      <c r="E10" s="247">
        <v>6.5000000000000002E-2</v>
      </c>
      <c r="F10" s="248"/>
      <c r="G10" s="248"/>
      <c r="H10" s="724"/>
      <c r="I10" s="247"/>
      <c r="J10" s="247"/>
      <c r="K10" s="247"/>
      <c r="L10" s="249"/>
      <c r="M10" s="250"/>
      <c r="N10" s="251"/>
      <c r="O10" s="252"/>
      <c r="P10" s="253"/>
      <c r="Q10" s="254"/>
      <c r="R10" s="254"/>
      <c r="S10" s="255"/>
      <c r="U10" s="257"/>
      <c r="V10" s="257"/>
      <c r="W10" s="257"/>
      <c r="X10" s="257"/>
      <c r="Y10" s="679"/>
    </row>
    <row r="11" spans="2:25" x14ac:dyDescent="0.3">
      <c r="B11" s="718"/>
      <c r="C11" s="247" t="s">
        <v>431</v>
      </c>
      <c r="D11" s="247" t="s">
        <v>434</v>
      </c>
      <c r="E11" s="247"/>
      <c r="F11" s="248" t="s">
        <v>92</v>
      </c>
      <c r="G11" s="248"/>
      <c r="H11" s="725"/>
      <c r="I11" s="247" t="s">
        <v>337</v>
      </c>
      <c r="J11" s="247"/>
      <c r="K11" s="247">
        <v>4.1000000000000002E-2</v>
      </c>
      <c r="L11" s="249"/>
      <c r="M11" s="250"/>
      <c r="N11" s="251"/>
      <c r="O11" s="252"/>
      <c r="P11" s="722" t="s">
        <v>138</v>
      </c>
      <c r="Q11" s="722"/>
      <c r="R11" s="261">
        <v>0.3</v>
      </c>
      <c r="S11" s="255"/>
      <c r="U11" s="257" t="s">
        <v>318</v>
      </c>
      <c r="V11" s="257" t="s">
        <v>312</v>
      </c>
      <c r="W11" s="257">
        <v>1</v>
      </c>
      <c r="X11" s="257">
        <v>25</v>
      </c>
      <c r="Y11" s="679">
        <f t="shared" si="0"/>
        <v>0.04</v>
      </c>
    </row>
    <row r="12" spans="2:25" x14ac:dyDescent="0.3">
      <c r="B12" s="718"/>
      <c r="C12" s="247" t="s">
        <v>10</v>
      </c>
      <c r="D12" s="247"/>
      <c r="E12" s="247">
        <v>0.87</v>
      </c>
      <c r="F12" s="248" t="s">
        <v>93</v>
      </c>
      <c r="G12" s="248"/>
      <c r="H12" s="723" t="s">
        <v>115</v>
      </c>
      <c r="I12" s="247" t="s">
        <v>569</v>
      </c>
      <c r="J12" s="247"/>
      <c r="K12" s="665">
        <f>0.035*0.88+0.14*0.12</f>
        <v>4.7600000000000003E-2</v>
      </c>
      <c r="L12" s="249"/>
      <c r="M12" s="250"/>
      <c r="N12" s="251"/>
      <c r="O12" s="252"/>
      <c r="P12" s="262"/>
      <c r="Q12" s="262"/>
      <c r="R12" s="262"/>
      <c r="S12" s="255"/>
      <c r="U12" s="257" t="s">
        <v>239</v>
      </c>
      <c r="V12" s="257" t="s">
        <v>313</v>
      </c>
      <c r="W12" s="257">
        <v>1</v>
      </c>
      <c r="X12" s="257">
        <v>8</v>
      </c>
      <c r="Y12" s="679">
        <f t="shared" si="0"/>
        <v>0.125</v>
      </c>
    </row>
    <row r="13" spans="2:25" x14ac:dyDescent="0.3">
      <c r="B13" s="718"/>
      <c r="C13" s="247" t="s">
        <v>9</v>
      </c>
      <c r="D13" s="247"/>
      <c r="E13" s="247">
        <v>0.7</v>
      </c>
      <c r="F13" s="248"/>
      <c r="G13" s="248"/>
      <c r="H13" s="724"/>
      <c r="I13" s="247" t="s">
        <v>570</v>
      </c>
      <c r="J13" s="260"/>
      <c r="K13" s="247">
        <v>4.2000000000000003E-2</v>
      </c>
      <c r="L13" s="249"/>
      <c r="M13" s="250"/>
      <c r="N13" s="251"/>
      <c r="O13" s="252"/>
      <c r="P13" s="262"/>
      <c r="Q13" s="262"/>
      <c r="R13" s="262"/>
      <c r="S13" s="255"/>
      <c r="U13" s="257" t="s">
        <v>348</v>
      </c>
      <c r="V13" s="257" t="s">
        <v>349</v>
      </c>
      <c r="W13" s="257">
        <v>1</v>
      </c>
      <c r="X13" s="257">
        <v>8</v>
      </c>
      <c r="Y13" s="679">
        <f t="shared" si="0"/>
        <v>0.125</v>
      </c>
    </row>
    <row r="14" spans="2:25" x14ac:dyDescent="0.3">
      <c r="B14" s="718"/>
      <c r="C14" s="247" t="s">
        <v>11</v>
      </c>
      <c r="D14" s="247"/>
      <c r="E14" s="247">
        <v>0.14000000000000001</v>
      </c>
      <c r="F14" s="248"/>
      <c r="G14" s="248"/>
      <c r="H14" s="724"/>
      <c r="I14" s="247" t="s">
        <v>523</v>
      </c>
      <c r="J14" s="247"/>
      <c r="K14" s="665">
        <f>0.038*0.88+0.14*0.12</f>
        <v>5.024E-2</v>
      </c>
      <c r="L14" s="249"/>
      <c r="M14" s="250"/>
      <c r="N14" s="251"/>
      <c r="O14" s="252"/>
      <c r="P14" s="262"/>
      <c r="Q14" s="262"/>
      <c r="R14" s="262"/>
      <c r="S14" s="255"/>
      <c r="U14" s="257" t="s">
        <v>347</v>
      </c>
      <c r="V14" s="257" t="s">
        <v>312</v>
      </c>
      <c r="W14" s="257">
        <v>1</v>
      </c>
      <c r="X14" s="257">
        <v>25</v>
      </c>
      <c r="Y14" s="679">
        <f t="shared" si="0"/>
        <v>0.04</v>
      </c>
    </row>
    <row r="15" spans="2:25" x14ac:dyDescent="0.3">
      <c r="B15" s="718"/>
      <c r="C15" s="247" t="s">
        <v>342</v>
      </c>
      <c r="D15" s="247"/>
      <c r="E15" s="247">
        <v>0.44</v>
      </c>
      <c r="F15" s="248"/>
      <c r="G15" s="248"/>
      <c r="H15" s="724"/>
      <c r="I15" s="247" t="s">
        <v>427</v>
      </c>
      <c r="J15" s="247"/>
      <c r="K15" s="247">
        <v>2.9000000000000001E-2</v>
      </c>
      <c r="L15" s="249"/>
      <c r="M15" s="250"/>
      <c r="N15" s="251"/>
      <c r="O15" s="252"/>
      <c r="P15" s="262"/>
      <c r="Q15" s="262"/>
      <c r="R15" s="262"/>
      <c r="S15" s="255"/>
      <c r="U15" s="257"/>
      <c r="V15" s="257"/>
      <c r="W15" s="257"/>
      <c r="X15" s="257"/>
    </row>
    <row r="16" spans="2:25" x14ac:dyDescent="0.3">
      <c r="B16" s="718"/>
      <c r="C16" s="247" t="s">
        <v>432</v>
      </c>
      <c r="D16" s="247" t="s">
        <v>433</v>
      </c>
      <c r="E16" s="247"/>
      <c r="F16" s="248"/>
      <c r="G16" s="248"/>
      <c r="H16" s="725"/>
      <c r="I16" s="247" t="s">
        <v>335</v>
      </c>
      <c r="J16" s="247"/>
      <c r="K16" s="247">
        <v>2.5999999999999999E-2</v>
      </c>
      <c r="L16" s="249"/>
      <c r="M16" s="250"/>
      <c r="N16" s="251"/>
      <c r="O16" s="252"/>
      <c r="P16" s="262"/>
      <c r="Q16" s="262"/>
      <c r="R16" s="262"/>
      <c r="S16" s="255"/>
    </row>
    <row r="17" spans="2:40" x14ac:dyDescent="0.3">
      <c r="B17" s="719"/>
      <c r="C17" s="247" t="s">
        <v>12</v>
      </c>
      <c r="D17" s="247"/>
      <c r="E17" s="247">
        <v>1.4</v>
      </c>
      <c r="F17" s="248"/>
      <c r="G17" s="248"/>
      <c r="H17" s="705" t="s">
        <v>345</v>
      </c>
      <c r="I17" s="247" t="s">
        <v>327</v>
      </c>
      <c r="J17" s="247"/>
      <c r="K17" s="247">
        <v>3.1E-2</v>
      </c>
      <c r="L17" s="249"/>
      <c r="M17" s="250"/>
      <c r="N17" s="251"/>
      <c r="O17" s="252"/>
      <c r="P17" s="262"/>
      <c r="Q17" s="262"/>
      <c r="R17" s="262"/>
      <c r="S17" s="255"/>
      <c r="U17" s="263" t="s">
        <v>329</v>
      </c>
      <c r="V17" s="146" t="s">
        <v>332</v>
      </c>
      <c r="W17" s="264"/>
      <c r="X17" s="146">
        <v>3.4000000000000002E-2</v>
      </c>
    </row>
    <row r="18" spans="2:40" x14ac:dyDescent="0.3">
      <c r="B18" s="265"/>
      <c r="C18" s="247" t="s">
        <v>43</v>
      </c>
      <c r="D18" s="247"/>
      <c r="E18" s="247">
        <v>0.21</v>
      </c>
      <c r="F18" s="248"/>
      <c r="G18" s="248"/>
      <c r="H18" s="706"/>
      <c r="I18" s="247" t="s">
        <v>522</v>
      </c>
      <c r="J18" s="247"/>
      <c r="K18" s="665">
        <f>0.033/0.85</f>
        <v>3.8823529411764708E-2</v>
      </c>
      <c r="L18" s="249"/>
      <c r="M18" s="250"/>
      <c r="N18" s="251"/>
      <c r="O18" s="252"/>
      <c r="P18" s="262"/>
      <c r="Q18" s="262"/>
      <c r="R18" s="262"/>
      <c r="S18" s="255"/>
      <c r="U18" s="263" t="s">
        <v>234</v>
      </c>
      <c r="V18" s="146" t="s">
        <v>333</v>
      </c>
      <c r="W18" s="146"/>
      <c r="X18" s="146">
        <v>3.1E-2</v>
      </c>
    </row>
    <row r="19" spans="2:40" x14ac:dyDescent="0.3">
      <c r="B19" s="265"/>
      <c r="C19" s="247" t="s">
        <v>563</v>
      </c>
      <c r="D19" s="247"/>
      <c r="E19" s="247">
        <v>9.5000000000000001E-2</v>
      </c>
      <c r="F19" s="248"/>
      <c r="G19" s="248"/>
      <c r="H19" s="705" t="s">
        <v>379</v>
      </c>
      <c r="I19" s="682" t="s">
        <v>378</v>
      </c>
      <c r="J19" s="247"/>
      <c r="K19" s="247">
        <v>3.1E-2</v>
      </c>
      <c r="L19" s="249"/>
      <c r="M19" s="250"/>
      <c r="N19" s="251"/>
      <c r="O19" s="252"/>
      <c r="P19" s="262"/>
      <c r="Q19" s="262"/>
      <c r="R19" s="262"/>
      <c r="S19" s="255"/>
      <c r="U19" s="263" t="s">
        <v>331</v>
      </c>
      <c r="V19" s="146" t="s">
        <v>334</v>
      </c>
      <c r="W19" s="146"/>
      <c r="X19" s="146">
        <v>2.5999999999999999E-2</v>
      </c>
    </row>
    <row r="20" spans="2:40" x14ac:dyDescent="0.3">
      <c r="B20" s="265"/>
      <c r="C20" s="248"/>
      <c r="D20" s="248"/>
      <c r="E20" s="248"/>
      <c r="F20" s="248"/>
      <c r="G20" s="248"/>
      <c r="H20" s="706"/>
      <c r="I20" s="682" t="s">
        <v>380</v>
      </c>
      <c r="J20" s="260"/>
      <c r="K20" s="247">
        <v>3.1E-2</v>
      </c>
      <c r="L20" s="249"/>
      <c r="M20" s="250"/>
      <c r="N20" s="251"/>
      <c r="O20" s="252"/>
      <c r="P20" s="262"/>
      <c r="Q20" s="262"/>
      <c r="R20" s="262"/>
      <c r="S20" s="255"/>
      <c r="U20" s="263" t="s">
        <v>330</v>
      </c>
      <c r="V20" s="146" t="s">
        <v>328</v>
      </c>
      <c r="W20" s="146"/>
      <c r="X20" s="146">
        <v>4.2000000000000003E-2</v>
      </c>
    </row>
    <row r="21" spans="2:40" x14ac:dyDescent="0.3">
      <c r="B21" s="265"/>
      <c r="C21" s="248"/>
      <c r="D21" s="248"/>
      <c r="E21" s="248"/>
      <c r="F21" s="248"/>
      <c r="G21" s="248"/>
      <c r="H21" s="681"/>
      <c r="I21" s="247" t="s">
        <v>564</v>
      </c>
      <c r="J21" s="247"/>
      <c r="K21" s="247">
        <v>3.5999999999999997E-2</v>
      </c>
      <c r="L21" s="249"/>
      <c r="M21" s="250"/>
      <c r="N21" s="251"/>
      <c r="O21" s="252"/>
      <c r="P21" s="262"/>
      <c r="Q21" s="262"/>
      <c r="R21" s="262"/>
      <c r="S21" s="255"/>
      <c r="U21" s="263"/>
    </row>
    <row r="22" spans="2:40" x14ac:dyDescent="0.3">
      <c r="B22" s="265"/>
      <c r="C22" s="248"/>
      <c r="D22" s="248"/>
      <c r="E22" s="248"/>
      <c r="F22" s="248"/>
      <c r="G22" s="248"/>
      <c r="H22" s="706" t="s">
        <v>346</v>
      </c>
      <c r="I22" s="247" t="s">
        <v>521</v>
      </c>
      <c r="J22" s="247"/>
      <c r="K22" s="665">
        <f>0.033/0.85</f>
        <v>3.8823529411764708E-2</v>
      </c>
      <c r="L22" s="249"/>
      <c r="M22" s="250"/>
      <c r="N22" s="251"/>
      <c r="O22" s="252"/>
      <c r="P22" s="262"/>
      <c r="Q22" s="262"/>
      <c r="R22" s="262"/>
      <c r="S22" s="255"/>
    </row>
    <row r="23" spans="2:40" ht="13.5" customHeight="1" x14ac:dyDescent="0.3">
      <c r="B23" s="266"/>
      <c r="C23" s="248"/>
      <c r="D23" s="248"/>
      <c r="E23" s="248"/>
      <c r="F23" s="248"/>
      <c r="G23" s="248"/>
      <c r="H23" s="726"/>
      <c r="I23" s="247" t="s">
        <v>338</v>
      </c>
      <c r="J23" s="247"/>
      <c r="K23" s="247">
        <v>3.4000000000000002E-2</v>
      </c>
      <c r="L23" s="249"/>
      <c r="M23" s="250"/>
      <c r="N23" s="251"/>
      <c r="O23" s="252"/>
      <c r="P23" s="262" t="s">
        <v>415</v>
      </c>
      <c r="Q23" s="262"/>
      <c r="R23" s="262"/>
      <c r="S23" s="255"/>
    </row>
    <row r="24" spans="2:40" x14ac:dyDescent="0.3">
      <c r="B24" s="266"/>
      <c r="C24" s="248"/>
      <c r="D24" s="248"/>
      <c r="E24" s="248"/>
      <c r="F24" s="248"/>
      <c r="G24" s="248"/>
      <c r="H24" s="248"/>
      <c r="I24" s="248"/>
      <c r="J24" s="248"/>
      <c r="K24" s="248"/>
      <c r="L24" s="249"/>
      <c r="M24" s="250"/>
      <c r="N24" s="251"/>
      <c r="O24" s="252"/>
      <c r="P24" s="262"/>
      <c r="Q24" s="262"/>
      <c r="R24" s="262"/>
      <c r="S24" s="255"/>
    </row>
    <row r="25" spans="2:40" ht="10" customHeight="1" thickBot="1" x14ac:dyDescent="0.35">
      <c r="B25" s="267"/>
      <c r="C25" s="268"/>
      <c r="D25" s="268"/>
      <c r="E25" s="268"/>
      <c r="F25" s="268"/>
      <c r="G25" s="268"/>
      <c r="H25" s="269"/>
      <c r="I25" s="268"/>
      <c r="J25" s="268"/>
      <c r="K25" s="268"/>
      <c r="L25" s="270"/>
      <c r="M25" s="243"/>
      <c r="N25" s="271"/>
      <c r="O25" s="272"/>
      <c r="P25" s="273"/>
      <c r="Q25" s="273"/>
      <c r="R25" s="273"/>
      <c r="S25" s="274"/>
    </row>
    <row r="26" spans="2:40" ht="13.5" thickBot="1" x14ac:dyDescent="0.35">
      <c r="B26" s="136"/>
      <c r="H26" s="136"/>
      <c r="O26" s="136"/>
    </row>
    <row r="27" spans="2:40" ht="18" customHeight="1" x14ac:dyDescent="0.4">
      <c r="B27" s="275" t="s">
        <v>322</v>
      </c>
      <c r="C27" s="276"/>
      <c r="D27" s="277" t="s">
        <v>325</v>
      </c>
      <c r="E27" s="278"/>
      <c r="F27" s="279"/>
      <c r="H27" s="280" t="s">
        <v>319</v>
      </c>
      <c r="I27" s="281"/>
      <c r="J27" s="715"/>
      <c r="K27" s="715"/>
      <c r="L27" s="716"/>
      <c r="N27" s="711" t="s">
        <v>416</v>
      </c>
      <c r="O27" s="711"/>
      <c r="P27" s="711"/>
      <c r="Q27" s="711"/>
      <c r="R27" s="711"/>
      <c r="S27" s="711"/>
      <c r="V27" s="135" t="s">
        <v>208</v>
      </c>
      <c r="AE27" s="135" t="s">
        <v>414</v>
      </c>
      <c r="AN27" s="135" t="s">
        <v>429</v>
      </c>
    </row>
    <row r="28" spans="2:40" ht="35.25" customHeight="1" x14ac:dyDescent="0.4">
      <c r="B28" s="707"/>
      <c r="C28" s="708"/>
      <c r="D28" s="282"/>
      <c r="E28" s="283"/>
      <c r="F28" s="284" t="s">
        <v>417</v>
      </c>
      <c r="H28" s="709">
        <f>B28</f>
        <v>0</v>
      </c>
      <c r="I28" s="710"/>
      <c r="J28" s="285">
        <f>D28</f>
        <v>0</v>
      </c>
      <c r="K28" s="286"/>
      <c r="L28" s="287" t="s">
        <v>417</v>
      </c>
      <c r="N28" s="711"/>
      <c r="O28" s="711"/>
      <c r="P28" s="711"/>
      <c r="Q28" s="711"/>
      <c r="R28" s="711"/>
      <c r="S28" s="711"/>
      <c r="V28" s="322" t="s">
        <v>420</v>
      </c>
      <c r="W28" s="322" t="s">
        <v>109</v>
      </c>
      <c r="X28" s="323" t="s">
        <v>423</v>
      </c>
      <c r="Y28" s="322" t="s">
        <v>418</v>
      </c>
      <c r="Z28" s="322" t="s">
        <v>424</v>
      </c>
      <c r="AA28" s="322" t="s">
        <v>419</v>
      </c>
    </row>
    <row r="29" spans="2:40" ht="13.5" customHeight="1" x14ac:dyDescent="0.3">
      <c r="B29" s="288" t="s">
        <v>0</v>
      </c>
      <c r="C29" s="289" t="s">
        <v>1</v>
      </c>
      <c r="D29" s="289" t="s">
        <v>2</v>
      </c>
      <c r="E29" s="289" t="s">
        <v>6</v>
      </c>
      <c r="F29" s="290" t="s">
        <v>5</v>
      </c>
      <c r="H29" s="288" t="s">
        <v>0</v>
      </c>
      <c r="I29" s="289" t="s">
        <v>1</v>
      </c>
      <c r="J29" s="289" t="s">
        <v>2</v>
      </c>
      <c r="K29" s="289" t="s">
        <v>6</v>
      </c>
      <c r="L29" s="290" t="s">
        <v>5</v>
      </c>
      <c r="N29" s="711"/>
      <c r="O29" s="711"/>
      <c r="P29" s="711"/>
      <c r="Q29" s="711"/>
      <c r="R29" s="711"/>
      <c r="S29" s="711"/>
      <c r="T29" s="324" t="s">
        <v>421</v>
      </c>
      <c r="V29" s="321">
        <v>1980</v>
      </c>
      <c r="W29" s="321" t="s">
        <v>422</v>
      </c>
      <c r="X29" s="321">
        <v>2</v>
      </c>
      <c r="Y29" s="321" t="s">
        <v>11</v>
      </c>
      <c r="Z29" s="321" t="s">
        <v>320</v>
      </c>
      <c r="AA29" s="321">
        <v>2.7</v>
      </c>
    </row>
    <row r="30" spans="2:40" x14ac:dyDescent="0.3">
      <c r="B30" s="292">
        <v>1</v>
      </c>
      <c r="C30" s="146" t="s">
        <v>3</v>
      </c>
      <c r="D30" s="293">
        <v>1</v>
      </c>
      <c r="E30" s="146">
        <v>8</v>
      </c>
      <c r="F30" s="294">
        <f>IFERROR(D30/E30,"-")</f>
        <v>0.125</v>
      </c>
      <c r="H30" s="292">
        <v>1</v>
      </c>
      <c r="I30" s="146" t="s">
        <v>3</v>
      </c>
      <c r="J30" s="293">
        <v>1</v>
      </c>
      <c r="K30" s="146">
        <v>8</v>
      </c>
      <c r="L30" s="294">
        <f t="shared" ref="L30:L38" si="1">IFERROR(J30/K30,"-")</f>
        <v>0.125</v>
      </c>
      <c r="N30" s="711"/>
      <c r="O30" s="711"/>
      <c r="P30" s="711"/>
      <c r="Q30" s="711"/>
      <c r="R30" s="711"/>
      <c r="S30" s="711"/>
      <c r="T30" s="291"/>
      <c r="V30" s="146"/>
      <c r="W30" s="146"/>
      <c r="X30" s="146"/>
      <c r="Y30" s="146"/>
      <c r="Z30" s="146"/>
      <c r="AA30" s="146"/>
    </row>
    <row r="31" spans="2:40" x14ac:dyDescent="0.3">
      <c r="B31" s="292">
        <v>2</v>
      </c>
      <c r="C31" s="146"/>
      <c r="D31" s="293"/>
      <c r="E31" s="146"/>
      <c r="F31" s="294" t="str">
        <f t="shared" ref="F31:F37" si="2">IFERROR(D31/E31,"-")</f>
        <v>-</v>
      </c>
      <c r="H31" s="292">
        <v>2</v>
      </c>
      <c r="I31" s="146">
        <f t="shared" ref="I31:K36" si="3">C31</f>
        <v>0</v>
      </c>
      <c r="J31" s="293">
        <f t="shared" si="3"/>
        <v>0</v>
      </c>
      <c r="K31" s="146">
        <f t="shared" si="3"/>
        <v>0</v>
      </c>
      <c r="L31" s="294" t="str">
        <f t="shared" si="1"/>
        <v>-</v>
      </c>
      <c r="N31" s="711"/>
      <c r="O31" s="711"/>
      <c r="P31" s="711"/>
      <c r="Q31" s="711"/>
      <c r="R31" s="711"/>
      <c r="S31" s="711"/>
      <c r="T31" s="291"/>
      <c r="V31" s="146"/>
      <c r="W31" s="146"/>
      <c r="X31" s="146"/>
      <c r="Y31" s="146"/>
      <c r="Z31" s="146"/>
      <c r="AA31" s="146"/>
    </row>
    <row r="32" spans="2:40" x14ac:dyDescent="0.3">
      <c r="B32" s="292">
        <v>3</v>
      </c>
      <c r="C32" s="146"/>
      <c r="D32" s="293"/>
      <c r="E32" s="146"/>
      <c r="F32" s="294" t="str">
        <f t="shared" si="2"/>
        <v>-</v>
      </c>
      <c r="H32" s="292">
        <v>3</v>
      </c>
      <c r="I32" s="146">
        <f t="shared" si="3"/>
        <v>0</v>
      </c>
      <c r="J32" s="293">
        <f t="shared" si="3"/>
        <v>0</v>
      </c>
      <c r="K32" s="146">
        <f t="shared" si="3"/>
        <v>0</v>
      </c>
      <c r="L32" s="294" t="str">
        <f t="shared" si="1"/>
        <v>-</v>
      </c>
      <c r="N32" s="711"/>
      <c r="O32" s="711"/>
      <c r="P32" s="711"/>
      <c r="Q32" s="711"/>
      <c r="R32" s="711"/>
      <c r="S32" s="711"/>
      <c r="T32" s="291"/>
      <c r="V32" s="146"/>
      <c r="W32" s="146"/>
      <c r="X32" s="146"/>
      <c r="Y32" s="146"/>
      <c r="Z32" s="146"/>
      <c r="AA32" s="146"/>
    </row>
    <row r="33" spans="2:27" x14ac:dyDescent="0.3">
      <c r="B33" s="292">
        <v>4</v>
      </c>
      <c r="C33" s="146"/>
      <c r="D33" s="293"/>
      <c r="E33" s="146"/>
      <c r="F33" s="294" t="str">
        <f t="shared" si="2"/>
        <v>-</v>
      </c>
      <c r="H33" s="292">
        <v>4</v>
      </c>
      <c r="I33" s="146">
        <f t="shared" si="3"/>
        <v>0</v>
      </c>
      <c r="J33" s="293">
        <f t="shared" si="3"/>
        <v>0</v>
      </c>
      <c r="K33" s="146">
        <f t="shared" si="3"/>
        <v>0</v>
      </c>
      <c r="L33" s="294" t="str">
        <f t="shared" si="1"/>
        <v>-</v>
      </c>
      <c r="N33" s="711"/>
      <c r="O33" s="711"/>
      <c r="P33" s="711"/>
      <c r="Q33" s="711"/>
      <c r="R33" s="711"/>
      <c r="S33" s="711"/>
      <c r="T33" s="291"/>
      <c r="V33" s="146"/>
      <c r="W33" s="146"/>
      <c r="X33" s="146"/>
      <c r="Y33" s="146"/>
      <c r="Z33" s="146"/>
      <c r="AA33" s="146"/>
    </row>
    <row r="34" spans="2:27" x14ac:dyDescent="0.3">
      <c r="B34" s="292">
        <v>5</v>
      </c>
      <c r="C34" s="146"/>
      <c r="D34" s="293"/>
      <c r="E34" s="146"/>
      <c r="F34" s="294" t="str">
        <f t="shared" si="2"/>
        <v>-</v>
      </c>
      <c r="H34" s="292">
        <v>5</v>
      </c>
      <c r="I34" s="146">
        <f t="shared" si="3"/>
        <v>0</v>
      </c>
      <c r="J34" s="293">
        <f t="shared" si="3"/>
        <v>0</v>
      </c>
      <c r="K34" s="146">
        <f t="shared" si="3"/>
        <v>0</v>
      </c>
      <c r="L34" s="294" t="str">
        <f t="shared" si="1"/>
        <v>-</v>
      </c>
      <c r="N34" s="711"/>
      <c r="O34" s="711"/>
      <c r="P34" s="711"/>
      <c r="Q34" s="711"/>
      <c r="R34" s="711"/>
      <c r="S34" s="711"/>
      <c r="T34" s="291"/>
      <c r="V34" s="146"/>
      <c r="W34" s="146"/>
      <c r="X34" s="146"/>
      <c r="Y34" s="146"/>
      <c r="Z34" s="146"/>
      <c r="AA34" s="146"/>
    </row>
    <row r="35" spans="2:27" x14ac:dyDescent="0.3">
      <c r="B35" s="292">
        <v>6</v>
      </c>
      <c r="C35" s="146"/>
      <c r="D35" s="293"/>
      <c r="E35" s="146"/>
      <c r="F35" s="294" t="str">
        <f t="shared" si="2"/>
        <v>-</v>
      </c>
      <c r="H35" s="292">
        <v>6</v>
      </c>
      <c r="I35" s="146">
        <f t="shared" si="3"/>
        <v>0</v>
      </c>
      <c r="J35" s="293">
        <f t="shared" si="3"/>
        <v>0</v>
      </c>
      <c r="K35" s="146">
        <f t="shared" si="3"/>
        <v>0</v>
      </c>
      <c r="L35" s="294" t="str">
        <f t="shared" si="1"/>
        <v>-</v>
      </c>
      <c r="N35" s="711"/>
      <c r="O35" s="711"/>
      <c r="P35" s="711"/>
      <c r="Q35" s="711"/>
      <c r="R35" s="711"/>
      <c r="S35" s="711"/>
      <c r="T35" s="291"/>
      <c r="V35" s="146"/>
      <c r="W35" s="146"/>
      <c r="X35" s="146"/>
      <c r="Y35" s="146"/>
      <c r="Z35" s="146"/>
      <c r="AA35" s="146"/>
    </row>
    <row r="36" spans="2:27" x14ac:dyDescent="0.3">
      <c r="B36" s="292">
        <v>7</v>
      </c>
      <c r="C36" s="146"/>
      <c r="D36" s="293"/>
      <c r="E36" s="146"/>
      <c r="F36" s="294" t="str">
        <f t="shared" si="2"/>
        <v>-</v>
      </c>
      <c r="H36" s="292">
        <v>7</v>
      </c>
      <c r="I36" s="146">
        <f t="shared" si="3"/>
        <v>0</v>
      </c>
      <c r="J36" s="293">
        <f t="shared" si="3"/>
        <v>0</v>
      </c>
      <c r="K36" s="146">
        <f t="shared" si="3"/>
        <v>0</v>
      </c>
      <c r="L36" s="294" t="str">
        <f t="shared" si="1"/>
        <v>-</v>
      </c>
      <c r="N36" s="711"/>
      <c r="O36" s="711"/>
      <c r="P36" s="711"/>
      <c r="Q36" s="711"/>
      <c r="R36" s="711"/>
      <c r="S36" s="711"/>
      <c r="T36" s="291"/>
      <c r="V36" s="146"/>
      <c r="W36" s="146"/>
      <c r="X36" s="146"/>
      <c r="Y36" s="146"/>
      <c r="Z36" s="146"/>
      <c r="AA36" s="146"/>
    </row>
    <row r="37" spans="2:27" x14ac:dyDescent="0.3">
      <c r="B37" s="292">
        <v>8</v>
      </c>
      <c r="C37" s="146"/>
      <c r="D37" s="295"/>
      <c r="E37" s="146"/>
      <c r="F37" s="294" t="str">
        <f t="shared" si="2"/>
        <v>-</v>
      </c>
      <c r="H37" s="292">
        <v>8</v>
      </c>
      <c r="I37" s="296"/>
      <c r="J37" s="297">
        <v>0.1</v>
      </c>
      <c r="K37" s="297" t="e">
        <f>VLOOKUP(I37,$I$3:$K$23,3,FALSE)</f>
        <v>#N/A</v>
      </c>
      <c r="L37" s="298" t="str">
        <f t="shared" si="1"/>
        <v>-</v>
      </c>
      <c r="N37" s="711"/>
      <c r="O37" s="711"/>
      <c r="P37" s="711"/>
      <c r="Q37" s="711"/>
      <c r="R37" s="711"/>
      <c r="S37" s="711"/>
      <c r="T37" s="291"/>
      <c r="V37" s="146"/>
      <c r="W37" s="146"/>
      <c r="X37" s="146"/>
      <c r="Y37" s="146"/>
      <c r="Z37" s="146"/>
      <c r="AA37" s="146"/>
    </row>
    <row r="38" spans="2:27" x14ac:dyDescent="0.3">
      <c r="B38" s="292">
        <v>9</v>
      </c>
      <c r="C38" s="146" t="e">
        <f>VLOOKUP(B28,$U$3:$X$14,2,FALSE)</f>
        <v>#N/A</v>
      </c>
      <c r="D38" s="146" t="e">
        <f>VLOOKUP(B28,$U$3:$X$14,3,FALSE)</f>
        <v>#N/A</v>
      </c>
      <c r="E38" s="146" t="e">
        <f>VLOOKUP(B28,$U$3:$X$14,4,FALSE)</f>
        <v>#N/A</v>
      </c>
      <c r="F38" s="294" t="str">
        <f>IFERROR(D38/E38,"-")</f>
        <v>-</v>
      </c>
      <c r="H38" s="292">
        <v>9</v>
      </c>
      <c r="I38" s="146" t="e">
        <f>C38</f>
        <v>#N/A</v>
      </c>
      <c r="J38" s="146" t="e">
        <f>D38</f>
        <v>#N/A</v>
      </c>
      <c r="K38" s="146" t="e">
        <f>E38</f>
        <v>#N/A</v>
      </c>
      <c r="L38" s="294" t="str">
        <f t="shared" si="1"/>
        <v>-</v>
      </c>
      <c r="N38" s="711"/>
      <c r="O38" s="711"/>
      <c r="P38" s="711"/>
      <c r="Q38" s="711"/>
      <c r="R38" s="711"/>
      <c r="S38" s="711"/>
      <c r="T38" s="291"/>
    </row>
    <row r="39" spans="2:27" x14ac:dyDescent="0.3">
      <c r="B39" s="299"/>
      <c r="E39" s="236" t="s">
        <v>4</v>
      </c>
      <c r="F39" s="300">
        <f>SUM(F30:F38)</f>
        <v>0.125</v>
      </c>
      <c r="H39" s="301"/>
      <c r="I39" s="286"/>
      <c r="J39" s="286"/>
      <c r="K39" s="302" t="s">
        <v>4</v>
      </c>
      <c r="L39" s="303">
        <f>SUM(L30:L38)</f>
        <v>0.125</v>
      </c>
      <c r="N39" s="711"/>
      <c r="O39" s="711"/>
      <c r="P39" s="711"/>
      <c r="Q39" s="711"/>
      <c r="R39" s="711"/>
      <c r="S39" s="711"/>
      <c r="T39" s="291"/>
    </row>
    <row r="40" spans="2:27" ht="17.5" x14ac:dyDescent="0.35">
      <c r="B40" s="299" t="s">
        <v>18</v>
      </c>
      <c r="D40" s="304"/>
      <c r="E40" s="305" t="s">
        <v>19</v>
      </c>
      <c r="F40" s="306">
        <f>1/F39</f>
        <v>8</v>
      </c>
      <c r="H40" s="301" t="s">
        <v>18</v>
      </c>
      <c r="I40" s="286"/>
      <c r="J40" s="307"/>
      <c r="K40" s="308" t="s">
        <v>19</v>
      </c>
      <c r="L40" s="309">
        <f>1/L39</f>
        <v>8</v>
      </c>
      <c r="N40" s="711"/>
      <c r="O40" s="711"/>
      <c r="P40" s="711"/>
      <c r="Q40" s="711"/>
      <c r="R40" s="711"/>
      <c r="S40" s="711"/>
      <c r="T40" s="291"/>
    </row>
    <row r="41" spans="2:27" ht="18" x14ac:dyDescent="0.4">
      <c r="B41" s="310"/>
      <c r="D41" s="304"/>
      <c r="E41" s="311" t="s">
        <v>20</v>
      </c>
      <c r="F41" s="312">
        <f>B41*F40</f>
        <v>0</v>
      </c>
      <c r="H41" s="313">
        <f>B41</f>
        <v>0</v>
      </c>
      <c r="I41" s="286"/>
      <c r="J41" s="307"/>
      <c r="K41" s="314" t="s">
        <v>20</v>
      </c>
      <c r="L41" s="315">
        <f>H41*L40</f>
        <v>0</v>
      </c>
      <c r="N41" s="711"/>
      <c r="O41" s="711"/>
      <c r="P41" s="711"/>
      <c r="Q41" s="711"/>
      <c r="R41" s="711"/>
      <c r="S41" s="711"/>
      <c r="T41" s="291"/>
    </row>
    <row r="42" spans="2:27" ht="13.5" thickBot="1" x14ac:dyDescent="0.35">
      <c r="B42" s="316"/>
      <c r="C42" s="155"/>
      <c r="D42" s="155"/>
      <c r="E42" s="155"/>
      <c r="F42" s="317" t="s">
        <v>7</v>
      </c>
      <c r="H42" s="318"/>
      <c r="I42" s="319"/>
      <c r="J42" s="319"/>
      <c r="K42" s="319"/>
      <c r="L42" s="320" t="s">
        <v>7</v>
      </c>
      <c r="N42" s="711"/>
      <c r="O42" s="711"/>
      <c r="P42" s="711"/>
      <c r="Q42" s="711"/>
      <c r="R42" s="711"/>
      <c r="S42" s="711"/>
      <c r="T42" s="291"/>
    </row>
    <row r="43" spans="2:27" ht="13.5" thickBot="1" x14ac:dyDescent="0.35">
      <c r="F43" s="236"/>
    </row>
    <row r="44" spans="2:27" ht="18" x14ac:dyDescent="0.4">
      <c r="B44" s="275" t="s">
        <v>322</v>
      </c>
      <c r="C44" s="276"/>
      <c r="D44" s="277" t="s">
        <v>325</v>
      </c>
      <c r="E44" s="278"/>
      <c r="F44" s="279"/>
      <c r="H44" s="280" t="s">
        <v>319</v>
      </c>
      <c r="I44" s="281"/>
      <c r="J44" s="715"/>
      <c r="K44" s="715"/>
      <c r="L44" s="716"/>
      <c r="P44" s="275" t="s">
        <v>322</v>
      </c>
      <c r="Q44" s="276"/>
      <c r="R44" s="277" t="s">
        <v>325</v>
      </c>
      <c r="S44" s="278"/>
      <c r="T44" s="279"/>
      <c r="V44" s="280" t="s">
        <v>319</v>
      </c>
      <c r="W44" s="281"/>
      <c r="X44" s="715"/>
      <c r="Y44" s="715"/>
      <c r="Z44" s="716"/>
    </row>
    <row r="45" spans="2:27" ht="18" x14ac:dyDescent="0.4">
      <c r="B45" s="707"/>
      <c r="C45" s="708"/>
      <c r="D45" s="282"/>
      <c r="E45" s="283"/>
      <c r="F45" s="284" t="s">
        <v>417</v>
      </c>
      <c r="H45" s="709">
        <f>B45</f>
        <v>0</v>
      </c>
      <c r="I45" s="710"/>
      <c r="J45" s="285">
        <f>D45</f>
        <v>0</v>
      </c>
      <c r="K45" s="286"/>
      <c r="L45" s="287" t="s">
        <v>417</v>
      </c>
      <c r="P45" s="707"/>
      <c r="Q45" s="708"/>
      <c r="R45" s="282"/>
      <c r="S45" s="283"/>
      <c r="T45" s="284" t="s">
        <v>417</v>
      </c>
      <c r="V45" s="709">
        <f>P45</f>
        <v>0</v>
      </c>
      <c r="W45" s="710"/>
      <c r="X45" s="285">
        <f>R45</f>
        <v>0</v>
      </c>
      <c r="Y45" s="286"/>
      <c r="Z45" s="287" t="s">
        <v>417</v>
      </c>
    </row>
    <row r="46" spans="2:27" x14ac:dyDescent="0.3">
      <c r="B46" s="288" t="s">
        <v>0</v>
      </c>
      <c r="C46" s="289" t="s">
        <v>1</v>
      </c>
      <c r="D46" s="289" t="s">
        <v>2</v>
      </c>
      <c r="E46" s="289" t="s">
        <v>6</v>
      </c>
      <c r="F46" s="290" t="s">
        <v>5</v>
      </c>
      <c r="H46" s="288" t="s">
        <v>0</v>
      </c>
      <c r="I46" s="289" t="s">
        <v>1</v>
      </c>
      <c r="J46" s="289" t="s">
        <v>2</v>
      </c>
      <c r="K46" s="289" t="s">
        <v>6</v>
      </c>
      <c r="L46" s="290" t="s">
        <v>5</v>
      </c>
      <c r="P46" s="288" t="s">
        <v>0</v>
      </c>
      <c r="Q46" s="289" t="s">
        <v>1</v>
      </c>
      <c r="R46" s="289" t="s">
        <v>2</v>
      </c>
      <c r="S46" s="289" t="s">
        <v>6</v>
      </c>
      <c r="T46" s="290" t="s">
        <v>5</v>
      </c>
      <c r="V46" s="288" t="s">
        <v>0</v>
      </c>
      <c r="W46" s="289" t="s">
        <v>1</v>
      </c>
      <c r="X46" s="289" t="s">
        <v>2</v>
      </c>
      <c r="Y46" s="289" t="s">
        <v>6</v>
      </c>
      <c r="Z46" s="290" t="s">
        <v>5</v>
      </c>
    </row>
    <row r="47" spans="2:27" x14ac:dyDescent="0.3">
      <c r="B47" s="292">
        <v>1</v>
      </c>
      <c r="C47" s="146" t="s">
        <v>3</v>
      </c>
      <c r="D47" s="293">
        <v>1</v>
      </c>
      <c r="E47" s="146">
        <v>8</v>
      </c>
      <c r="F47" s="294">
        <f>IFERROR(D47/E47,"-")</f>
        <v>0.125</v>
      </c>
      <c r="H47" s="292">
        <v>1</v>
      </c>
      <c r="I47" s="146" t="s">
        <v>3</v>
      </c>
      <c r="J47" s="293">
        <v>1</v>
      </c>
      <c r="K47" s="146">
        <v>8</v>
      </c>
      <c r="L47" s="294">
        <f t="shared" ref="L47:L55" si="4">IFERROR(J47/K47,"-")</f>
        <v>0.125</v>
      </c>
      <c r="P47" s="292">
        <v>1</v>
      </c>
      <c r="Q47" s="146" t="s">
        <v>3</v>
      </c>
      <c r="R47" s="293">
        <v>1</v>
      </c>
      <c r="S47" s="146">
        <v>8</v>
      </c>
      <c r="T47" s="294">
        <f>IFERROR(R47/S47,"-")</f>
        <v>0.125</v>
      </c>
      <c r="V47" s="292">
        <v>1</v>
      </c>
      <c r="W47" s="146" t="s">
        <v>3</v>
      </c>
      <c r="X47" s="293">
        <v>1</v>
      </c>
      <c r="Y47" s="146">
        <v>8</v>
      </c>
      <c r="Z47" s="294">
        <f>IFERROR(X47/Y47,"-")</f>
        <v>0.125</v>
      </c>
    </row>
    <row r="48" spans="2:27" x14ac:dyDescent="0.3">
      <c r="B48" s="292">
        <v>2</v>
      </c>
      <c r="C48" s="146"/>
      <c r="D48" s="293"/>
      <c r="E48" s="146"/>
      <c r="F48" s="294" t="str">
        <f t="shared" ref="F48:F54" si="5">IFERROR(D48/E48,"-")</f>
        <v>-</v>
      </c>
      <c r="H48" s="292">
        <v>2</v>
      </c>
      <c r="I48" s="146">
        <f t="shared" ref="I48:K53" si="6">C48</f>
        <v>0</v>
      </c>
      <c r="J48" s="293">
        <f t="shared" si="6"/>
        <v>0</v>
      </c>
      <c r="K48" s="146">
        <f t="shared" si="6"/>
        <v>0</v>
      </c>
      <c r="L48" s="294" t="str">
        <f t="shared" si="4"/>
        <v>-</v>
      </c>
      <c r="P48" s="292">
        <v>2</v>
      </c>
      <c r="Q48" s="146"/>
      <c r="R48" s="293"/>
      <c r="S48" s="146"/>
      <c r="T48" s="294" t="str">
        <f t="shared" ref="T48:T54" si="7">IFERROR(R48/S48,"-")</f>
        <v>-</v>
      </c>
      <c r="V48" s="292">
        <v>2</v>
      </c>
      <c r="W48" s="146">
        <f t="shared" ref="W48:W53" si="8">Q48</f>
        <v>0</v>
      </c>
      <c r="X48" s="293">
        <f t="shared" ref="X48:X53" si="9">R48</f>
        <v>0</v>
      </c>
      <c r="Y48" s="146">
        <f t="shared" ref="Y48:Y53" si="10">S48</f>
        <v>0</v>
      </c>
      <c r="Z48" s="294" t="str">
        <f t="shared" ref="Z48:Z54" si="11">IFERROR(X48/Y48,"-")</f>
        <v>-</v>
      </c>
    </row>
    <row r="49" spans="2:26" x14ac:dyDescent="0.3">
      <c r="B49" s="292">
        <v>3</v>
      </c>
      <c r="C49" s="146"/>
      <c r="D49" s="293"/>
      <c r="E49" s="146"/>
      <c r="F49" s="294" t="str">
        <f t="shared" si="5"/>
        <v>-</v>
      </c>
      <c r="H49" s="292">
        <v>3</v>
      </c>
      <c r="I49" s="146">
        <f t="shared" si="6"/>
        <v>0</v>
      </c>
      <c r="J49" s="293">
        <f t="shared" si="6"/>
        <v>0</v>
      </c>
      <c r="K49" s="146">
        <f t="shared" si="6"/>
        <v>0</v>
      </c>
      <c r="L49" s="294" t="str">
        <f t="shared" si="4"/>
        <v>-</v>
      </c>
      <c r="P49" s="292">
        <v>3</v>
      </c>
      <c r="Q49" s="146"/>
      <c r="R49" s="293"/>
      <c r="S49" s="146"/>
      <c r="T49" s="294" t="str">
        <f t="shared" si="7"/>
        <v>-</v>
      </c>
      <c r="V49" s="292">
        <v>3</v>
      </c>
      <c r="W49" s="146">
        <f t="shared" si="8"/>
        <v>0</v>
      </c>
      <c r="X49" s="293">
        <f t="shared" si="9"/>
        <v>0</v>
      </c>
      <c r="Y49" s="146">
        <f t="shared" si="10"/>
        <v>0</v>
      </c>
      <c r="Z49" s="294" t="str">
        <f t="shared" si="11"/>
        <v>-</v>
      </c>
    </row>
    <row r="50" spans="2:26" x14ac:dyDescent="0.3">
      <c r="B50" s="292">
        <v>4</v>
      </c>
      <c r="C50" s="146"/>
      <c r="D50" s="293"/>
      <c r="E50" s="146"/>
      <c r="F50" s="294" t="str">
        <f t="shared" si="5"/>
        <v>-</v>
      </c>
      <c r="H50" s="292">
        <v>4</v>
      </c>
      <c r="I50" s="146">
        <f t="shared" si="6"/>
        <v>0</v>
      </c>
      <c r="J50" s="293">
        <f t="shared" si="6"/>
        <v>0</v>
      </c>
      <c r="K50" s="146">
        <f t="shared" si="6"/>
        <v>0</v>
      </c>
      <c r="L50" s="294" t="str">
        <f t="shared" si="4"/>
        <v>-</v>
      </c>
      <c r="P50" s="292">
        <v>4</v>
      </c>
      <c r="Q50" s="146"/>
      <c r="R50" s="293"/>
      <c r="S50" s="146"/>
      <c r="T50" s="294" t="str">
        <f t="shared" si="7"/>
        <v>-</v>
      </c>
      <c r="V50" s="292">
        <v>4</v>
      </c>
      <c r="W50" s="146">
        <f t="shared" si="8"/>
        <v>0</v>
      </c>
      <c r="X50" s="293">
        <f t="shared" si="9"/>
        <v>0</v>
      </c>
      <c r="Y50" s="146">
        <f t="shared" si="10"/>
        <v>0</v>
      </c>
      <c r="Z50" s="294" t="str">
        <f t="shared" si="11"/>
        <v>-</v>
      </c>
    </row>
    <row r="51" spans="2:26" x14ac:dyDescent="0.3">
      <c r="B51" s="292">
        <v>5</v>
      </c>
      <c r="C51" s="146"/>
      <c r="D51" s="293"/>
      <c r="E51" s="146"/>
      <c r="F51" s="294" t="str">
        <f t="shared" si="5"/>
        <v>-</v>
      </c>
      <c r="H51" s="292">
        <v>5</v>
      </c>
      <c r="I51" s="146">
        <f t="shared" si="6"/>
        <v>0</v>
      </c>
      <c r="J51" s="293">
        <f t="shared" si="6"/>
        <v>0</v>
      </c>
      <c r="K51" s="146">
        <f t="shared" si="6"/>
        <v>0</v>
      </c>
      <c r="L51" s="294" t="str">
        <f t="shared" si="4"/>
        <v>-</v>
      </c>
      <c r="P51" s="292">
        <v>5</v>
      </c>
      <c r="Q51" s="146"/>
      <c r="R51" s="293"/>
      <c r="S51" s="146"/>
      <c r="T51" s="294" t="str">
        <f t="shared" si="7"/>
        <v>-</v>
      </c>
      <c r="V51" s="292">
        <v>5</v>
      </c>
      <c r="W51" s="146">
        <f t="shared" si="8"/>
        <v>0</v>
      </c>
      <c r="X51" s="293">
        <f t="shared" si="9"/>
        <v>0</v>
      </c>
      <c r="Y51" s="146">
        <f t="shared" si="10"/>
        <v>0</v>
      </c>
      <c r="Z51" s="294" t="str">
        <f t="shared" si="11"/>
        <v>-</v>
      </c>
    </row>
    <row r="52" spans="2:26" x14ac:dyDescent="0.3">
      <c r="B52" s="292">
        <v>6</v>
      </c>
      <c r="C52" s="146"/>
      <c r="D52" s="293"/>
      <c r="E52" s="146"/>
      <c r="F52" s="294" t="str">
        <f t="shared" si="5"/>
        <v>-</v>
      </c>
      <c r="H52" s="292">
        <v>6</v>
      </c>
      <c r="I52" s="146">
        <f t="shared" si="6"/>
        <v>0</v>
      </c>
      <c r="J52" s="293">
        <f t="shared" si="6"/>
        <v>0</v>
      </c>
      <c r="K52" s="146">
        <f t="shared" si="6"/>
        <v>0</v>
      </c>
      <c r="L52" s="294" t="str">
        <f t="shared" si="4"/>
        <v>-</v>
      </c>
      <c r="P52" s="292">
        <v>6</v>
      </c>
      <c r="Q52" s="146"/>
      <c r="R52" s="293"/>
      <c r="S52" s="146"/>
      <c r="T52" s="294" t="str">
        <f t="shared" si="7"/>
        <v>-</v>
      </c>
      <c r="V52" s="292">
        <v>6</v>
      </c>
      <c r="W52" s="146">
        <f t="shared" si="8"/>
        <v>0</v>
      </c>
      <c r="X52" s="293">
        <f t="shared" si="9"/>
        <v>0</v>
      </c>
      <c r="Y52" s="146">
        <f t="shared" si="10"/>
        <v>0</v>
      </c>
      <c r="Z52" s="294" t="str">
        <f t="shared" si="11"/>
        <v>-</v>
      </c>
    </row>
    <row r="53" spans="2:26" x14ac:dyDescent="0.3">
      <c r="B53" s="292">
        <v>7</v>
      </c>
      <c r="C53" s="146"/>
      <c r="D53" s="293"/>
      <c r="E53" s="146"/>
      <c r="F53" s="294" t="str">
        <f t="shared" si="5"/>
        <v>-</v>
      </c>
      <c r="H53" s="292">
        <v>7</v>
      </c>
      <c r="I53" s="146">
        <f t="shared" si="6"/>
        <v>0</v>
      </c>
      <c r="J53" s="293">
        <f t="shared" si="6"/>
        <v>0</v>
      </c>
      <c r="K53" s="146">
        <f t="shared" si="6"/>
        <v>0</v>
      </c>
      <c r="L53" s="294" t="str">
        <f t="shared" si="4"/>
        <v>-</v>
      </c>
      <c r="P53" s="292">
        <v>7</v>
      </c>
      <c r="Q53" s="146"/>
      <c r="R53" s="293"/>
      <c r="S53" s="146"/>
      <c r="T53" s="294" t="str">
        <f t="shared" si="7"/>
        <v>-</v>
      </c>
      <c r="V53" s="292">
        <v>7</v>
      </c>
      <c r="W53" s="146">
        <f t="shared" si="8"/>
        <v>0</v>
      </c>
      <c r="X53" s="293">
        <f t="shared" si="9"/>
        <v>0</v>
      </c>
      <c r="Y53" s="146">
        <f t="shared" si="10"/>
        <v>0</v>
      </c>
      <c r="Z53" s="294" t="str">
        <f t="shared" si="11"/>
        <v>-</v>
      </c>
    </row>
    <row r="54" spans="2:26" x14ac:dyDescent="0.3">
      <c r="B54" s="292">
        <v>8</v>
      </c>
      <c r="C54" s="146"/>
      <c r="D54" s="295"/>
      <c r="E54" s="146"/>
      <c r="F54" s="294" t="str">
        <f t="shared" si="5"/>
        <v>-</v>
      </c>
      <c r="H54" s="292">
        <v>8</v>
      </c>
      <c r="I54" s="296"/>
      <c r="J54" s="297">
        <v>0.1</v>
      </c>
      <c r="K54" s="297" t="e">
        <f>VLOOKUP(I54,$I$3:$K$23,3,FALSE)</f>
        <v>#N/A</v>
      </c>
      <c r="L54" s="298" t="str">
        <f t="shared" si="4"/>
        <v>-</v>
      </c>
      <c r="P54" s="292">
        <v>8</v>
      </c>
      <c r="Q54" s="146"/>
      <c r="R54" s="295"/>
      <c r="S54" s="146"/>
      <c r="T54" s="294" t="str">
        <f t="shared" si="7"/>
        <v>-</v>
      </c>
      <c r="V54" s="292">
        <v>8</v>
      </c>
      <c r="W54" s="296"/>
      <c r="X54" s="297">
        <v>0.1</v>
      </c>
      <c r="Y54" s="297" t="e">
        <f>VLOOKUP(W54,$I$3:$K$23,3,FALSE)</f>
        <v>#N/A</v>
      </c>
      <c r="Z54" s="298" t="str">
        <f t="shared" si="11"/>
        <v>-</v>
      </c>
    </row>
    <row r="55" spans="2:26" x14ac:dyDescent="0.3">
      <c r="B55" s="292">
        <v>9</v>
      </c>
      <c r="C55" s="146" t="e">
        <f>VLOOKUP(B45,$U$3:$X$14,2,FALSE)</f>
        <v>#N/A</v>
      </c>
      <c r="D55" s="146" t="e">
        <f>VLOOKUP(B45,$U$3:$X$14,3,FALSE)</f>
        <v>#N/A</v>
      </c>
      <c r="E55" s="146" t="e">
        <f>VLOOKUP(B45,$U$3:$X$14,4,FALSE)</f>
        <v>#N/A</v>
      </c>
      <c r="F55" s="294" t="str">
        <f>IFERROR(D55/E55,"-")</f>
        <v>-</v>
      </c>
      <c r="H55" s="292">
        <v>9</v>
      </c>
      <c r="I55" s="146" t="e">
        <f>C55</f>
        <v>#N/A</v>
      </c>
      <c r="J55" s="146" t="e">
        <f>D55</f>
        <v>#N/A</v>
      </c>
      <c r="K55" s="146" t="e">
        <f>E55</f>
        <v>#N/A</v>
      </c>
      <c r="L55" s="294" t="str">
        <f t="shared" si="4"/>
        <v>-</v>
      </c>
      <c r="P55" s="292">
        <v>9</v>
      </c>
      <c r="Q55" s="146" t="e">
        <f>VLOOKUP(P45,$U$3:$X$14,2,FALSE)</f>
        <v>#N/A</v>
      </c>
      <c r="R55" s="146" t="e">
        <f>VLOOKUP(P45,$U$3:$X$14,3,FALSE)</f>
        <v>#N/A</v>
      </c>
      <c r="S55" s="146" t="e">
        <f>VLOOKUP(P45,$U$3:$X$14,4,FALSE)</f>
        <v>#N/A</v>
      </c>
      <c r="T55" s="294" t="str">
        <f>IFERROR(R55/S55,"-")</f>
        <v>-</v>
      </c>
      <c r="V55" s="292">
        <v>9</v>
      </c>
      <c r="W55" s="146" t="e">
        <f>Q55</f>
        <v>#N/A</v>
      </c>
      <c r="X55" s="146" t="e">
        <f>R55</f>
        <v>#N/A</v>
      </c>
      <c r="Y55" s="146" t="e">
        <f>S55</f>
        <v>#N/A</v>
      </c>
      <c r="Z55" s="294" t="str">
        <f>IFERROR(X55/Y55,"-")</f>
        <v>-</v>
      </c>
    </row>
    <row r="56" spans="2:26" x14ac:dyDescent="0.3">
      <c r="B56" s="299"/>
      <c r="E56" s="236" t="s">
        <v>4</v>
      </c>
      <c r="F56" s="300">
        <f>SUM(F47:F55)</f>
        <v>0.125</v>
      </c>
      <c r="H56" s="301"/>
      <c r="I56" s="286"/>
      <c r="J56" s="286"/>
      <c r="K56" s="302" t="s">
        <v>4</v>
      </c>
      <c r="L56" s="303">
        <f>SUM(L47:L55)</f>
        <v>0.125</v>
      </c>
      <c r="P56" s="299"/>
      <c r="S56" s="236" t="s">
        <v>4</v>
      </c>
      <c r="T56" s="300">
        <f>SUM(T47:T55)</f>
        <v>0.125</v>
      </c>
      <c r="V56" s="301"/>
      <c r="W56" s="286"/>
      <c r="X56" s="286"/>
      <c r="Y56" s="302" t="s">
        <v>4</v>
      </c>
      <c r="Z56" s="303">
        <f>SUM(Z47:Z55)</f>
        <v>0.125</v>
      </c>
    </row>
    <row r="57" spans="2:26" ht="17.5" x14ac:dyDescent="0.35">
      <c r="B57" s="299" t="s">
        <v>18</v>
      </c>
      <c r="D57" s="304"/>
      <c r="E57" s="305" t="s">
        <v>19</v>
      </c>
      <c r="F57" s="306">
        <f>1/F56</f>
        <v>8</v>
      </c>
      <c r="H57" s="301" t="s">
        <v>18</v>
      </c>
      <c r="I57" s="286"/>
      <c r="J57" s="307"/>
      <c r="K57" s="308" t="s">
        <v>19</v>
      </c>
      <c r="L57" s="309">
        <f>1/L56</f>
        <v>8</v>
      </c>
      <c r="P57" s="299" t="s">
        <v>18</v>
      </c>
      <c r="R57" s="304"/>
      <c r="S57" s="305" t="s">
        <v>19</v>
      </c>
      <c r="T57" s="306">
        <f>1/T56</f>
        <v>8</v>
      </c>
      <c r="V57" s="301" t="s">
        <v>18</v>
      </c>
      <c r="W57" s="286"/>
      <c r="X57" s="307"/>
      <c r="Y57" s="308" t="s">
        <v>19</v>
      </c>
      <c r="Z57" s="309">
        <f>1/Z56</f>
        <v>8</v>
      </c>
    </row>
    <row r="58" spans="2:26" ht="18" x14ac:dyDescent="0.4">
      <c r="B58" s="310"/>
      <c r="D58" s="304"/>
      <c r="E58" s="311" t="s">
        <v>20</v>
      </c>
      <c r="F58" s="312">
        <f>B58*F57</f>
        <v>0</v>
      </c>
      <c r="H58" s="313">
        <f>B58</f>
        <v>0</v>
      </c>
      <c r="I58" s="286"/>
      <c r="J58" s="307"/>
      <c r="K58" s="314" t="s">
        <v>20</v>
      </c>
      <c r="L58" s="315">
        <f>H58*L57</f>
        <v>0</v>
      </c>
      <c r="P58" s="310"/>
      <c r="R58" s="304"/>
      <c r="S58" s="311" t="s">
        <v>20</v>
      </c>
      <c r="T58" s="312">
        <f>P58*T57</f>
        <v>0</v>
      </c>
      <c r="V58" s="313">
        <f>P58</f>
        <v>0</v>
      </c>
      <c r="W58" s="286"/>
      <c r="X58" s="307"/>
      <c r="Y58" s="314" t="s">
        <v>20</v>
      </c>
      <c r="Z58" s="315">
        <f>V58*Z57</f>
        <v>0</v>
      </c>
    </row>
    <row r="59" spans="2:26" ht="13.5" thickBot="1" x14ac:dyDescent="0.35">
      <c r="B59" s="316"/>
      <c r="C59" s="155"/>
      <c r="D59" s="155"/>
      <c r="E59" s="155"/>
      <c r="F59" s="317" t="s">
        <v>7</v>
      </c>
      <c r="H59" s="318"/>
      <c r="I59" s="319"/>
      <c r="J59" s="319"/>
      <c r="K59" s="319"/>
      <c r="L59" s="320" t="s">
        <v>7</v>
      </c>
      <c r="P59" s="316"/>
      <c r="Q59" s="155"/>
      <c r="R59" s="155"/>
      <c r="S59" s="155"/>
      <c r="T59" s="317" t="s">
        <v>7</v>
      </c>
      <c r="V59" s="318"/>
      <c r="W59" s="319"/>
      <c r="X59" s="319"/>
      <c r="Y59" s="319"/>
      <c r="Z59" s="320" t="s">
        <v>7</v>
      </c>
    </row>
    <row r="60" spans="2:26" ht="13.5" thickBot="1" x14ac:dyDescent="0.35"/>
    <row r="61" spans="2:26" ht="18" x14ac:dyDescent="0.4">
      <c r="B61" s="275" t="s">
        <v>322</v>
      </c>
      <c r="C61" s="276"/>
      <c r="D61" s="277" t="s">
        <v>325</v>
      </c>
      <c r="E61" s="278"/>
      <c r="F61" s="279"/>
      <c r="H61" s="280" t="s">
        <v>319</v>
      </c>
      <c r="I61" s="281"/>
      <c r="J61" s="715"/>
      <c r="K61" s="715"/>
      <c r="L61" s="716"/>
      <c r="P61" s="275" t="s">
        <v>322</v>
      </c>
      <c r="Q61" s="276"/>
      <c r="R61" s="277" t="s">
        <v>325</v>
      </c>
      <c r="S61" s="278"/>
      <c r="T61" s="279"/>
      <c r="V61" s="280" t="s">
        <v>319</v>
      </c>
      <c r="W61" s="281"/>
      <c r="X61" s="715"/>
      <c r="Y61" s="715"/>
      <c r="Z61" s="716"/>
    </row>
    <row r="62" spans="2:26" ht="18" x14ac:dyDescent="0.4">
      <c r="B62" s="707"/>
      <c r="C62" s="708"/>
      <c r="D62" s="282"/>
      <c r="E62" s="283"/>
      <c r="F62" s="284" t="s">
        <v>417</v>
      </c>
      <c r="H62" s="709">
        <f>B62</f>
        <v>0</v>
      </c>
      <c r="I62" s="710"/>
      <c r="J62" s="285">
        <f>D62</f>
        <v>0</v>
      </c>
      <c r="K62" s="286"/>
      <c r="L62" s="287" t="s">
        <v>417</v>
      </c>
      <c r="P62" s="707"/>
      <c r="Q62" s="708"/>
      <c r="R62" s="282"/>
      <c r="S62" s="283"/>
      <c r="T62" s="284" t="s">
        <v>417</v>
      </c>
      <c r="V62" s="709">
        <f>P62</f>
        <v>0</v>
      </c>
      <c r="W62" s="710"/>
      <c r="X62" s="285">
        <f>R62</f>
        <v>0</v>
      </c>
      <c r="Y62" s="286"/>
      <c r="Z62" s="287" t="s">
        <v>417</v>
      </c>
    </row>
    <row r="63" spans="2:26" x14ac:dyDescent="0.3">
      <c r="B63" s="288" t="s">
        <v>0</v>
      </c>
      <c r="C63" s="289" t="s">
        <v>1</v>
      </c>
      <c r="D63" s="289" t="s">
        <v>2</v>
      </c>
      <c r="E63" s="289" t="s">
        <v>6</v>
      </c>
      <c r="F63" s="290" t="s">
        <v>5</v>
      </c>
      <c r="H63" s="288" t="s">
        <v>0</v>
      </c>
      <c r="I63" s="289" t="s">
        <v>1</v>
      </c>
      <c r="J63" s="289" t="s">
        <v>2</v>
      </c>
      <c r="K63" s="289" t="s">
        <v>6</v>
      </c>
      <c r="L63" s="290" t="s">
        <v>5</v>
      </c>
      <c r="P63" s="288" t="s">
        <v>0</v>
      </c>
      <c r="Q63" s="289" t="s">
        <v>1</v>
      </c>
      <c r="R63" s="289" t="s">
        <v>2</v>
      </c>
      <c r="S63" s="289" t="s">
        <v>6</v>
      </c>
      <c r="T63" s="290" t="s">
        <v>5</v>
      </c>
      <c r="V63" s="288" t="s">
        <v>0</v>
      </c>
      <c r="W63" s="289" t="s">
        <v>1</v>
      </c>
      <c r="X63" s="289" t="s">
        <v>2</v>
      </c>
      <c r="Y63" s="289" t="s">
        <v>6</v>
      </c>
      <c r="Z63" s="290" t="s">
        <v>5</v>
      </c>
    </row>
    <row r="64" spans="2:26" x14ac:dyDescent="0.3">
      <c r="B64" s="292">
        <v>1</v>
      </c>
      <c r="C64" s="146" t="s">
        <v>3</v>
      </c>
      <c r="D64" s="293">
        <v>1</v>
      </c>
      <c r="E64" s="146">
        <v>8</v>
      </c>
      <c r="F64" s="294">
        <f>IFERROR(D64/E64,"-")</f>
        <v>0.125</v>
      </c>
      <c r="H64" s="292">
        <v>1</v>
      </c>
      <c r="I64" s="146" t="s">
        <v>3</v>
      </c>
      <c r="J64" s="293">
        <v>1</v>
      </c>
      <c r="K64" s="146">
        <v>8</v>
      </c>
      <c r="L64" s="294">
        <f t="shared" ref="L64:L72" si="12">IFERROR(J64/K64,"-")</f>
        <v>0.125</v>
      </c>
      <c r="P64" s="292">
        <v>1</v>
      </c>
      <c r="Q64" s="146" t="s">
        <v>3</v>
      </c>
      <c r="R64" s="293">
        <v>1</v>
      </c>
      <c r="S64" s="146">
        <v>8</v>
      </c>
      <c r="T64" s="294">
        <f>IFERROR(R64/S64,"-")</f>
        <v>0.125</v>
      </c>
      <c r="V64" s="292">
        <v>1</v>
      </c>
      <c r="W64" s="146" t="s">
        <v>3</v>
      </c>
      <c r="X64" s="293">
        <v>1</v>
      </c>
      <c r="Y64" s="146">
        <v>8</v>
      </c>
      <c r="Z64" s="294">
        <f>IFERROR(X64/Y64,"-")</f>
        <v>0.125</v>
      </c>
    </row>
    <row r="65" spans="2:26" x14ac:dyDescent="0.3">
      <c r="B65" s="292">
        <v>2</v>
      </c>
      <c r="C65" s="146"/>
      <c r="D65" s="293"/>
      <c r="E65" s="146"/>
      <c r="F65" s="294" t="str">
        <f t="shared" ref="F65:F71" si="13">IFERROR(D65/E65,"-")</f>
        <v>-</v>
      </c>
      <c r="H65" s="292">
        <v>2</v>
      </c>
      <c r="I65" s="146">
        <f t="shared" ref="I65:K70" si="14">C65</f>
        <v>0</v>
      </c>
      <c r="J65" s="293">
        <f t="shared" si="14"/>
        <v>0</v>
      </c>
      <c r="K65" s="146">
        <f t="shared" si="14"/>
        <v>0</v>
      </c>
      <c r="L65" s="294" t="str">
        <f t="shared" si="12"/>
        <v>-</v>
      </c>
      <c r="P65" s="292">
        <v>2</v>
      </c>
      <c r="Q65" s="146"/>
      <c r="R65" s="293"/>
      <c r="S65" s="146"/>
      <c r="T65" s="294" t="str">
        <f t="shared" ref="T65:T71" si="15">IFERROR(R65/S65,"-")</f>
        <v>-</v>
      </c>
      <c r="V65" s="292">
        <v>2</v>
      </c>
      <c r="W65" s="146">
        <f t="shared" ref="W65:W70" si="16">Q65</f>
        <v>0</v>
      </c>
      <c r="X65" s="293">
        <f t="shared" ref="X65:X70" si="17">R65</f>
        <v>0</v>
      </c>
      <c r="Y65" s="146">
        <f t="shared" ref="Y65:Y70" si="18">S65</f>
        <v>0</v>
      </c>
      <c r="Z65" s="294" t="str">
        <f t="shared" ref="Z65:Z71" si="19">IFERROR(X65/Y65,"-")</f>
        <v>-</v>
      </c>
    </row>
    <row r="66" spans="2:26" x14ac:dyDescent="0.3">
      <c r="B66" s="292">
        <v>3</v>
      </c>
      <c r="C66" s="146"/>
      <c r="D66" s="293"/>
      <c r="E66" s="146"/>
      <c r="F66" s="294" t="str">
        <f t="shared" si="13"/>
        <v>-</v>
      </c>
      <c r="H66" s="292">
        <v>3</v>
      </c>
      <c r="I66" s="146">
        <f t="shared" si="14"/>
        <v>0</v>
      </c>
      <c r="J66" s="293">
        <f t="shared" si="14"/>
        <v>0</v>
      </c>
      <c r="K66" s="146">
        <f t="shared" si="14"/>
        <v>0</v>
      </c>
      <c r="L66" s="294" t="str">
        <f t="shared" si="12"/>
        <v>-</v>
      </c>
      <c r="P66" s="292">
        <v>3</v>
      </c>
      <c r="Q66" s="146"/>
      <c r="R66" s="293"/>
      <c r="S66" s="146"/>
      <c r="T66" s="294" t="str">
        <f t="shared" si="15"/>
        <v>-</v>
      </c>
      <c r="V66" s="292">
        <v>3</v>
      </c>
      <c r="W66" s="146">
        <f t="shared" si="16"/>
        <v>0</v>
      </c>
      <c r="X66" s="293">
        <f t="shared" si="17"/>
        <v>0</v>
      </c>
      <c r="Y66" s="146">
        <f t="shared" si="18"/>
        <v>0</v>
      </c>
      <c r="Z66" s="294" t="str">
        <f t="shared" si="19"/>
        <v>-</v>
      </c>
    </row>
    <row r="67" spans="2:26" x14ac:dyDescent="0.3">
      <c r="B67" s="292">
        <v>4</v>
      </c>
      <c r="C67" s="146"/>
      <c r="D67" s="293"/>
      <c r="E67" s="146"/>
      <c r="F67" s="294" t="str">
        <f t="shared" si="13"/>
        <v>-</v>
      </c>
      <c r="H67" s="292">
        <v>4</v>
      </c>
      <c r="I67" s="146">
        <f t="shared" si="14"/>
        <v>0</v>
      </c>
      <c r="J67" s="293">
        <f t="shared" si="14"/>
        <v>0</v>
      </c>
      <c r="K67" s="146">
        <f t="shared" si="14"/>
        <v>0</v>
      </c>
      <c r="L67" s="294" t="str">
        <f t="shared" si="12"/>
        <v>-</v>
      </c>
      <c r="P67" s="292">
        <v>4</v>
      </c>
      <c r="Q67" s="146"/>
      <c r="R67" s="293"/>
      <c r="S67" s="146"/>
      <c r="T67" s="294" t="str">
        <f t="shared" si="15"/>
        <v>-</v>
      </c>
      <c r="V67" s="292">
        <v>4</v>
      </c>
      <c r="W67" s="146">
        <f t="shared" si="16"/>
        <v>0</v>
      </c>
      <c r="X67" s="293">
        <f t="shared" si="17"/>
        <v>0</v>
      </c>
      <c r="Y67" s="146">
        <f t="shared" si="18"/>
        <v>0</v>
      </c>
      <c r="Z67" s="294" t="str">
        <f t="shared" si="19"/>
        <v>-</v>
      </c>
    </row>
    <row r="68" spans="2:26" x14ac:dyDescent="0.3">
      <c r="B68" s="292">
        <v>5</v>
      </c>
      <c r="C68" s="146"/>
      <c r="D68" s="293"/>
      <c r="E68" s="146"/>
      <c r="F68" s="294" t="str">
        <f t="shared" si="13"/>
        <v>-</v>
      </c>
      <c r="H68" s="292">
        <v>5</v>
      </c>
      <c r="I68" s="146">
        <f t="shared" si="14"/>
        <v>0</v>
      </c>
      <c r="J68" s="293">
        <f t="shared" si="14"/>
        <v>0</v>
      </c>
      <c r="K68" s="146">
        <f t="shared" si="14"/>
        <v>0</v>
      </c>
      <c r="L68" s="294" t="str">
        <f t="shared" si="12"/>
        <v>-</v>
      </c>
      <c r="P68" s="292">
        <v>5</v>
      </c>
      <c r="Q68" s="146"/>
      <c r="R68" s="293"/>
      <c r="S68" s="146"/>
      <c r="T68" s="294" t="str">
        <f t="shared" si="15"/>
        <v>-</v>
      </c>
      <c r="V68" s="292">
        <v>5</v>
      </c>
      <c r="W68" s="146">
        <f t="shared" si="16"/>
        <v>0</v>
      </c>
      <c r="X68" s="293">
        <f t="shared" si="17"/>
        <v>0</v>
      </c>
      <c r="Y68" s="146">
        <f t="shared" si="18"/>
        <v>0</v>
      </c>
      <c r="Z68" s="294" t="str">
        <f t="shared" si="19"/>
        <v>-</v>
      </c>
    </row>
    <row r="69" spans="2:26" x14ac:dyDescent="0.3">
      <c r="B69" s="292">
        <v>6</v>
      </c>
      <c r="C69" s="146"/>
      <c r="D69" s="293"/>
      <c r="E69" s="146"/>
      <c r="F69" s="294" t="str">
        <f t="shared" si="13"/>
        <v>-</v>
      </c>
      <c r="H69" s="292">
        <v>6</v>
      </c>
      <c r="I69" s="146">
        <f t="shared" si="14"/>
        <v>0</v>
      </c>
      <c r="J69" s="293">
        <f t="shared" si="14"/>
        <v>0</v>
      </c>
      <c r="K69" s="146">
        <f t="shared" si="14"/>
        <v>0</v>
      </c>
      <c r="L69" s="294" t="str">
        <f t="shared" si="12"/>
        <v>-</v>
      </c>
      <c r="P69" s="292">
        <v>6</v>
      </c>
      <c r="Q69" s="146"/>
      <c r="R69" s="293"/>
      <c r="S69" s="146"/>
      <c r="T69" s="294" t="str">
        <f t="shared" si="15"/>
        <v>-</v>
      </c>
      <c r="V69" s="292">
        <v>6</v>
      </c>
      <c r="W69" s="146">
        <f t="shared" si="16"/>
        <v>0</v>
      </c>
      <c r="X69" s="293">
        <f t="shared" si="17"/>
        <v>0</v>
      </c>
      <c r="Y69" s="146">
        <f t="shared" si="18"/>
        <v>0</v>
      </c>
      <c r="Z69" s="294" t="str">
        <f t="shared" si="19"/>
        <v>-</v>
      </c>
    </row>
    <row r="70" spans="2:26" x14ac:dyDescent="0.3">
      <c r="B70" s="292">
        <v>7</v>
      </c>
      <c r="C70" s="146"/>
      <c r="D70" s="293"/>
      <c r="E70" s="146"/>
      <c r="F70" s="294" t="str">
        <f t="shared" si="13"/>
        <v>-</v>
      </c>
      <c r="H70" s="292">
        <v>7</v>
      </c>
      <c r="I70" s="146">
        <f t="shared" si="14"/>
        <v>0</v>
      </c>
      <c r="J70" s="293">
        <f t="shared" si="14"/>
        <v>0</v>
      </c>
      <c r="K70" s="146">
        <f t="shared" si="14"/>
        <v>0</v>
      </c>
      <c r="L70" s="294" t="str">
        <f t="shared" si="12"/>
        <v>-</v>
      </c>
      <c r="P70" s="292">
        <v>7</v>
      </c>
      <c r="Q70" s="146"/>
      <c r="R70" s="293"/>
      <c r="S70" s="146"/>
      <c r="T70" s="294" t="str">
        <f t="shared" si="15"/>
        <v>-</v>
      </c>
      <c r="V70" s="292">
        <v>7</v>
      </c>
      <c r="W70" s="146">
        <f t="shared" si="16"/>
        <v>0</v>
      </c>
      <c r="X70" s="293">
        <f t="shared" si="17"/>
        <v>0</v>
      </c>
      <c r="Y70" s="146">
        <f t="shared" si="18"/>
        <v>0</v>
      </c>
      <c r="Z70" s="294" t="str">
        <f t="shared" si="19"/>
        <v>-</v>
      </c>
    </row>
    <row r="71" spans="2:26" x14ac:dyDescent="0.3">
      <c r="B71" s="292">
        <v>8</v>
      </c>
      <c r="C71" s="146"/>
      <c r="D71" s="295"/>
      <c r="E71" s="146"/>
      <c r="F71" s="294" t="str">
        <f t="shared" si="13"/>
        <v>-</v>
      </c>
      <c r="H71" s="292">
        <v>8</v>
      </c>
      <c r="I71" s="296"/>
      <c r="J71" s="297">
        <v>0.1</v>
      </c>
      <c r="K71" s="297" t="e">
        <f>VLOOKUP(I71,$I$3:$K$23,3,FALSE)</f>
        <v>#N/A</v>
      </c>
      <c r="L71" s="298" t="str">
        <f t="shared" si="12"/>
        <v>-</v>
      </c>
      <c r="P71" s="292">
        <v>8</v>
      </c>
      <c r="Q71" s="146"/>
      <c r="R71" s="295"/>
      <c r="S71" s="146"/>
      <c r="T71" s="294" t="str">
        <f t="shared" si="15"/>
        <v>-</v>
      </c>
      <c r="V71" s="292">
        <v>8</v>
      </c>
      <c r="W71" s="296"/>
      <c r="X71" s="297">
        <v>0.1</v>
      </c>
      <c r="Y71" s="297" t="e">
        <f>VLOOKUP(W71,$I$3:$K$23,3,FALSE)</f>
        <v>#N/A</v>
      </c>
      <c r="Z71" s="298" t="str">
        <f t="shared" si="19"/>
        <v>-</v>
      </c>
    </row>
    <row r="72" spans="2:26" x14ac:dyDescent="0.3">
      <c r="B72" s="292">
        <v>9</v>
      </c>
      <c r="C72" s="146" t="e">
        <f>VLOOKUP(B62,$U$3:$X$14,2,FALSE)</f>
        <v>#N/A</v>
      </c>
      <c r="D72" s="146" t="e">
        <f>VLOOKUP(B62,$U$3:$X$14,3,FALSE)</f>
        <v>#N/A</v>
      </c>
      <c r="E72" s="146" t="e">
        <f>VLOOKUP(B62,$U$3:$X$14,4,FALSE)</f>
        <v>#N/A</v>
      </c>
      <c r="F72" s="294" t="str">
        <f>IFERROR(D72/E72,"-")</f>
        <v>-</v>
      </c>
      <c r="H72" s="292">
        <v>9</v>
      </c>
      <c r="I72" s="146" t="e">
        <f>C72</f>
        <v>#N/A</v>
      </c>
      <c r="J72" s="146" t="e">
        <f>D72</f>
        <v>#N/A</v>
      </c>
      <c r="K72" s="146" t="e">
        <f>E72</f>
        <v>#N/A</v>
      </c>
      <c r="L72" s="294" t="str">
        <f t="shared" si="12"/>
        <v>-</v>
      </c>
      <c r="P72" s="292">
        <v>9</v>
      </c>
      <c r="Q72" s="146" t="e">
        <f>VLOOKUP(P62,$U$3:$X$14,2,FALSE)</f>
        <v>#N/A</v>
      </c>
      <c r="R72" s="146" t="e">
        <f>VLOOKUP(P62,$U$3:$X$14,3,FALSE)</f>
        <v>#N/A</v>
      </c>
      <c r="S72" s="146" t="e">
        <f>VLOOKUP(P62,$U$3:$X$14,4,FALSE)</f>
        <v>#N/A</v>
      </c>
      <c r="T72" s="294" t="str">
        <f>IFERROR(R72/S72,"-")</f>
        <v>-</v>
      </c>
      <c r="V72" s="292">
        <v>9</v>
      </c>
      <c r="W72" s="146" t="e">
        <f>Q72</f>
        <v>#N/A</v>
      </c>
      <c r="X72" s="146" t="e">
        <f>R72</f>
        <v>#N/A</v>
      </c>
      <c r="Y72" s="146" t="e">
        <f>S72</f>
        <v>#N/A</v>
      </c>
      <c r="Z72" s="294" t="str">
        <f>IFERROR(X72/Y72,"-")</f>
        <v>-</v>
      </c>
    </row>
    <row r="73" spans="2:26" x14ac:dyDescent="0.3">
      <c r="B73" s="299"/>
      <c r="E73" s="236" t="s">
        <v>4</v>
      </c>
      <c r="F73" s="300">
        <f>SUM(F64:F72)</f>
        <v>0.125</v>
      </c>
      <c r="H73" s="301"/>
      <c r="I73" s="286"/>
      <c r="J73" s="286"/>
      <c r="K73" s="302" t="s">
        <v>4</v>
      </c>
      <c r="L73" s="303">
        <f>SUM(L64:L72)</f>
        <v>0.125</v>
      </c>
      <c r="P73" s="299"/>
      <c r="S73" s="236" t="s">
        <v>4</v>
      </c>
      <c r="T73" s="300">
        <f>SUM(T64:T72)</f>
        <v>0.125</v>
      </c>
      <c r="V73" s="301"/>
      <c r="W73" s="286"/>
      <c r="X73" s="286"/>
      <c r="Y73" s="302" t="s">
        <v>4</v>
      </c>
      <c r="Z73" s="303">
        <f>SUM(Z64:Z72)</f>
        <v>0.125</v>
      </c>
    </row>
    <row r="74" spans="2:26" ht="17.5" x14ac:dyDescent="0.35">
      <c r="B74" s="299" t="s">
        <v>18</v>
      </c>
      <c r="D74" s="304"/>
      <c r="E74" s="305" t="s">
        <v>19</v>
      </c>
      <c r="F74" s="306">
        <f>1/F73</f>
        <v>8</v>
      </c>
      <c r="H74" s="301" t="s">
        <v>18</v>
      </c>
      <c r="I74" s="286"/>
      <c r="J74" s="307"/>
      <c r="K74" s="308" t="s">
        <v>19</v>
      </c>
      <c r="L74" s="309">
        <f>1/L73</f>
        <v>8</v>
      </c>
      <c r="P74" s="299" t="s">
        <v>18</v>
      </c>
      <c r="R74" s="304"/>
      <c r="S74" s="305" t="s">
        <v>19</v>
      </c>
      <c r="T74" s="306">
        <f>1/T73</f>
        <v>8</v>
      </c>
      <c r="V74" s="301" t="s">
        <v>18</v>
      </c>
      <c r="W74" s="286"/>
      <c r="X74" s="307"/>
      <c r="Y74" s="308" t="s">
        <v>19</v>
      </c>
      <c r="Z74" s="309">
        <f>1/Z73</f>
        <v>8</v>
      </c>
    </row>
    <row r="75" spans="2:26" ht="18" x14ac:dyDescent="0.4">
      <c r="B75" s="310"/>
      <c r="D75" s="304"/>
      <c r="E75" s="311" t="s">
        <v>20</v>
      </c>
      <c r="F75" s="312">
        <f>B75*F74</f>
        <v>0</v>
      </c>
      <c r="H75" s="313">
        <f>B75</f>
        <v>0</v>
      </c>
      <c r="I75" s="286"/>
      <c r="J75" s="307"/>
      <c r="K75" s="314" t="s">
        <v>20</v>
      </c>
      <c r="L75" s="315">
        <f>H75*L74</f>
        <v>0</v>
      </c>
      <c r="P75" s="310"/>
      <c r="R75" s="304"/>
      <c r="S75" s="311" t="s">
        <v>20</v>
      </c>
      <c r="T75" s="312">
        <f>P75*T74</f>
        <v>0</v>
      </c>
      <c r="V75" s="313">
        <f>P75</f>
        <v>0</v>
      </c>
      <c r="W75" s="286"/>
      <c r="X75" s="307"/>
      <c r="Y75" s="314" t="s">
        <v>20</v>
      </c>
      <c r="Z75" s="315">
        <f>V75*Z74</f>
        <v>0</v>
      </c>
    </row>
    <row r="76" spans="2:26" ht="13.5" thickBot="1" x14ac:dyDescent="0.35">
      <c r="B76" s="316"/>
      <c r="C76" s="155"/>
      <c r="D76" s="155"/>
      <c r="E76" s="155"/>
      <c r="F76" s="317" t="s">
        <v>7</v>
      </c>
      <c r="H76" s="318"/>
      <c r="I76" s="319"/>
      <c r="J76" s="319"/>
      <c r="K76" s="319"/>
      <c r="L76" s="320" t="s">
        <v>7</v>
      </c>
      <c r="P76" s="316"/>
      <c r="Q76" s="155"/>
      <c r="R76" s="155"/>
      <c r="S76" s="155"/>
      <c r="T76" s="317" t="s">
        <v>7</v>
      </c>
      <c r="V76" s="318"/>
      <c r="W76" s="319"/>
      <c r="X76" s="319"/>
      <c r="Y76" s="319"/>
      <c r="Z76" s="320" t="s">
        <v>7</v>
      </c>
    </row>
    <row r="77" spans="2:26" ht="13.5" thickBot="1" x14ac:dyDescent="0.35"/>
    <row r="78" spans="2:26" ht="18" x14ac:dyDescent="0.4">
      <c r="B78" s="275" t="s">
        <v>322</v>
      </c>
      <c r="C78" s="276"/>
      <c r="D78" s="277" t="s">
        <v>325</v>
      </c>
      <c r="E78" s="278"/>
      <c r="F78" s="279"/>
      <c r="H78" s="280" t="s">
        <v>319</v>
      </c>
      <c r="I78" s="281"/>
      <c r="J78" s="715"/>
      <c r="K78" s="715"/>
      <c r="L78" s="716"/>
      <c r="P78" s="275" t="s">
        <v>322</v>
      </c>
      <c r="Q78" s="276"/>
      <c r="R78" s="277" t="s">
        <v>325</v>
      </c>
      <c r="S78" s="278"/>
      <c r="T78" s="279"/>
      <c r="V78" s="280" t="s">
        <v>319</v>
      </c>
      <c r="W78" s="281"/>
      <c r="X78" s="715"/>
      <c r="Y78" s="715"/>
      <c r="Z78" s="716"/>
    </row>
    <row r="79" spans="2:26" ht="18" x14ac:dyDescent="0.4">
      <c r="B79" s="707"/>
      <c r="C79" s="708"/>
      <c r="D79" s="282"/>
      <c r="E79" s="283"/>
      <c r="F79" s="284" t="s">
        <v>417</v>
      </c>
      <c r="H79" s="709">
        <f>B79</f>
        <v>0</v>
      </c>
      <c r="I79" s="710"/>
      <c r="J79" s="285">
        <f>D79</f>
        <v>0</v>
      </c>
      <c r="K79" s="286"/>
      <c r="L79" s="287" t="s">
        <v>417</v>
      </c>
      <c r="P79" s="707"/>
      <c r="Q79" s="708"/>
      <c r="R79" s="282"/>
      <c r="S79" s="283"/>
      <c r="T79" s="284" t="s">
        <v>417</v>
      </c>
      <c r="V79" s="709">
        <f>P79</f>
        <v>0</v>
      </c>
      <c r="W79" s="710"/>
      <c r="X79" s="285">
        <f>R79</f>
        <v>0</v>
      </c>
      <c r="Y79" s="286"/>
      <c r="Z79" s="287" t="s">
        <v>417</v>
      </c>
    </row>
    <row r="80" spans="2:26" x14ac:dyDescent="0.3">
      <c r="B80" s="288" t="s">
        <v>0</v>
      </c>
      <c r="C80" s="289" t="s">
        <v>1</v>
      </c>
      <c r="D80" s="289" t="s">
        <v>2</v>
      </c>
      <c r="E80" s="289" t="s">
        <v>6</v>
      </c>
      <c r="F80" s="290" t="s">
        <v>5</v>
      </c>
      <c r="H80" s="288" t="s">
        <v>0</v>
      </c>
      <c r="I80" s="289" t="s">
        <v>1</v>
      </c>
      <c r="J80" s="289" t="s">
        <v>2</v>
      </c>
      <c r="K80" s="289" t="s">
        <v>6</v>
      </c>
      <c r="L80" s="290" t="s">
        <v>5</v>
      </c>
      <c r="P80" s="288" t="s">
        <v>0</v>
      </c>
      <c r="Q80" s="289" t="s">
        <v>1</v>
      </c>
      <c r="R80" s="289" t="s">
        <v>2</v>
      </c>
      <c r="S80" s="289" t="s">
        <v>6</v>
      </c>
      <c r="T80" s="290" t="s">
        <v>5</v>
      </c>
      <c r="V80" s="288" t="s">
        <v>0</v>
      </c>
      <c r="W80" s="289" t="s">
        <v>1</v>
      </c>
      <c r="X80" s="289" t="s">
        <v>2</v>
      </c>
      <c r="Y80" s="289" t="s">
        <v>6</v>
      </c>
      <c r="Z80" s="290" t="s">
        <v>5</v>
      </c>
    </row>
    <row r="81" spans="2:26" x14ac:dyDescent="0.3">
      <c r="B81" s="292">
        <v>1</v>
      </c>
      <c r="C81" s="146" t="s">
        <v>3</v>
      </c>
      <c r="D81" s="293">
        <v>1</v>
      </c>
      <c r="E81" s="146">
        <v>8</v>
      </c>
      <c r="F81" s="294">
        <f>IFERROR(D81/E81,"-")</f>
        <v>0.125</v>
      </c>
      <c r="H81" s="292">
        <v>1</v>
      </c>
      <c r="I81" s="146" t="s">
        <v>3</v>
      </c>
      <c r="J81" s="293">
        <v>1</v>
      </c>
      <c r="K81" s="146">
        <v>8</v>
      </c>
      <c r="L81" s="294">
        <f t="shared" ref="L81:L89" si="20">IFERROR(J81/K81,"-")</f>
        <v>0.125</v>
      </c>
      <c r="P81" s="292">
        <v>1</v>
      </c>
      <c r="Q81" s="146" t="s">
        <v>3</v>
      </c>
      <c r="R81" s="293">
        <v>1</v>
      </c>
      <c r="S81" s="146">
        <v>8</v>
      </c>
      <c r="T81" s="294">
        <f>IFERROR(R81/S81,"-")</f>
        <v>0.125</v>
      </c>
      <c r="V81" s="292">
        <v>1</v>
      </c>
      <c r="W81" s="146" t="s">
        <v>3</v>
      </c>
      <c r="X81" s="293">
        <v>1</v>
      </c>
      <c r="Y81" s="146">
        <v>8</v>
      </c>
      <c r="Z81" s="294">
        <f>IFERROR(X81/Y81,"-")</f>
        <v>0.125</v>
      </c>
    </row>
    <row r="82" spans="2:26" x14ac:dyDescent="0.3">
      <c r="B82" s="292">
        <v>2</v>
      </c>
      <c r="C82" s="146"/>
      <c r="D82" s="293"/>
      <c r="E82" s="146"/>
      <c r="F82" s="294" t="str">
        <f t="shared" ref="F82:F88" si="21">IFERROR(D82/E82,"-")</f>
        <v>-</v>
      </c>
      <c r="H82" s="292">
        <v>2</v>
      </c>
      <c r="I82" s="146">
        <f t="shared" ref="I82:K87" si="22">C82</f>
        <v>0</v>
      </c>
      <c r="J82" s="293">
        <f t="shared" si="22"/>
        <v>0</v>
      </c>
      <c r="K82" s="146">
        <f t="shared" si="22"/>
        <v>0</v>
      </c>
      <c r="L82" s="294" t="str">
        <f t="shared" si="20"/>
        <v>-</v>
      </c>
      <c r="P82" s="292">
        <v>2</v>
      </c>
      <c r="Q82" s="146"/>
      <c r="R82" s="293"/>
      <c r="S82" s="146"/>
      <c r="T82" s="294" t="str">
        <f t="shared" ref="T82:T88" si="23">IFERROR(R82/S82,"-")</f>
        <v>-</v>
      </c>
      <c r="V82" s="292">
        <v>2</v>
      </c>
      <c r="W82" s="146">
        <f t="shared" ref="W82:W87" si="24">Q82</f>
        <v>0</v>
      </c>
      <c r="X82" s="293">
        <f t="shared" ref="X82:X87" si="25">R82</f>
        <v>0</v>
      </c>
      <c r="Y82" s="146">
        <f t="shared" ref="Y82:Y87" si="26">S82</f>
        <v>0</v>
      </c>
      <c r="Z82" s="294" t="str">
        <f t="shared" ref="Z82:Z88" si="27">IFERROR(X82/Y82,"-")</f>
        <v>-</v>
      </c>
    </row>
    <row r="83" spans="2:26" x14ac:dyDescent="0.3">
      <c r="B83" s="292">
        <v>3</v>
      </c>
      <c r="C83" s="146"/>
      <c r="D83" s="293"/>
      <c r="E83" s="146"/>
      <c r="F83" s="294" t="str">
        <f t="shared" si="21"/>
        <v>-</v>
      </c>
      <c r="H83" s="292">
        <v>3</v>
      </c>
      <c r="I83" s="146">
        <f t="shared" si="22"/>
        <v>0</v>
      </c>
      <c r="J83" s="293">
        <f t="shared" si="22"/>
        <v>0</v>
      </c>
      <c r="K83" s="146">
        <f t="shared" si="22"/>
        <v>0</v>
      </c>
      <c r="L83" s="294" t="str">
        <f t="shared" si="20"/>
        <v>-</v>
      </c>
      <c r="P83" s="292">
        <v>3</v>
      </c>
      <c r="Q83" s="146"/>
      <c r="R83" s="293"/>
      <c r="S83" s="146"/>
      <c r="T83" s="294" t="str">
        <f t="shared" si="23"/>
        <v>-</v>
      </c>
      <c r="V83" s="292">
        <v>3</v>
      </c>
      <c r="W83" s="146">
        <f t="shared" si="24"/>
        <v>0</v>
      </c>
      <c r="X83" s="293">
        <f t="shared" si="25"/>
        <v>0</v>
      </c>
      <c r="Y83" s="146">
        <f t="shared" si="26"/>
        <v>0</v>
      </c>
      <c r="Z83" s="294" t="str">
        <f t="shared" si="27"/>
        <v>-</v>
      </c>
    </row>
    <row r="84" spans="2:26" x14ac:dyDescent="0.3">
      <c r="B84" s="292">
        <v>4</v>
      </c>
      <c r="C84" s="146"/>
      <c r="D84" s="293"/>
      <c r="E84" s="146"/>
      <c r="F84" s="294" t="str">
        <f t="shared" si="21"/>
        <v>-</v>
      </c>
      <c r="H84" s="292">
        <v>4</v>
      </c>
      <c r="I84" s="146">
        <f t="shared" si="22"/>
        <v>0</v>
      </c>
      <c r="J84" s="293">
        <f t="shared" si="22"/>
        <v>0</v>
      </c>
      <c r="K84" s="146">
        <f t="shared" si="22"/>
        <v>0</v>
      </c>
      <c r="L84" s="294" t="str">
        <f t="shared" si="20"/>
        <v>-</v>
      </c>
      <c r="P84" s="292">
        <v>4</v>
      </c>
      <c r="Q84" s="146"/>
      <c r="R84" s="293"/>
      <c r="S84" s="146"/>
      <c r="T84" s="294" t="str">
        <f t="shared" si="23"/>
        <v>-</v>
      </c>
      <c r="V84" s="292">
        <v>4</v>
      </c>
      <c r="W84" s="146">
        <f t="shared" si="24"/>
        <v>0</v>
      </c>
      <c r="X84" s="293">
        <f t="shared" si="25"/>
        <v>0</v>
      </c>
      <c r="Y84" s="146">
        <f t="shared" si="26"/>
        <v>0</v>
      </c>
      <c r="Z84" s="294" t="str">
        <f t="shared" si="27"/>
        <v>-</v>
      </c>
    </row>
    <row r="85" spans="2:26" x14ac:dyDescent="0.3">
      <c r="B85" s="292">
        <v>5</v>
      </c>
      <c r="C85" s="146"/>
      <c r="D85" s="293"/>
      <c r="E85" s="146"/>
      <c r="F85" s="294" t="str">
        <f t="shared" si="21"/>
        <v>-</v>
      </c>
      <c r="H85" s="292">
        <v>5</v>
      </c>
      <c r="I85" s="146">
        <f t="shared" si="22"/>
        <v>0</v>
      </c>
      <c r="J85" s="293">
        <f t="shared" si="22"/>
        <v>0</v>
      </c>
      <c r="K85" s="146">
        <f t="shared" si="22"/>
        <v>0</v>
      </c>
      <c r="L85" s="294" t="str">
        <f t="shared" si="20"/>
        <v>-</v>
      </c>
      <c r="P85" s="292">
        <v>5</v>
      </c>
      <c r="Q85" s="146"/>
      <c r="R85" s="293"/>
      <c r="S85" s="146"/>
      <c r="T85" s="294" t="str">
        <f t="shared" si="23"/>
        <v>-</v>
      </c>
      <c r="V85" s="292">
        <v>5</v>
      </c>
      <c r="W85" s="146">
        <f t="shared" si="24"/>
        <v>0</v>
      </c>
      <c r="X85" s="293">
        <f t="shared" si="25"/>
        <v>0</v>
      </c>
      <c r="Y85" s="146">
        <f t="shared" si="26"/>
        <v>0</v>
      </c>
      <c r="Z85" s="294" t="str">
        <f t="shared" si="27"/>
        <v>-</v>
      </c>
    </row>
    <row r="86" spans="2:26" x14ac:dyDescent="0.3">
      <c r="B86" s="292">
        <v>6</v>
      </c>
      <c r="C86" s="146"/>
      <c r="D86" s="293"/>
      <c r="E86" s="146"/>
      <c r="F86" s="294" t="str">
        <f t="shared" si="21"/>
        <v>-</v>
      </c>
      <c r="H86" s="292">
        <v>6</v>
      </c>
      <c r="I86" s="146">
        <f t="shared" si="22"/>
        <v>0</v>
      </c>
      <c r="J86" s="293">
        <f t="shared" si="22"/>
        <v>0</v>
      </c>
      <c r="K86" s="146">
        <f t="shared" si="22"/>
        <v>0</v>
      </c>
      <c r="L86" s="294" t="str">
        <f t="shared" si="20"/>
        <v>-</v>
      </c>
      <c r="P86" s="292">
        <v>6</v>
      </c>
      <c r="Q86" s="146"/>
      <c r="R86" s="293"/>
      <c r="S86" s="146"/>
      <c r="T86" s="294" t="str">
        <f t="shared" si="23"/>
        <v>-</v>
      </c>
      <c r="V86" s="292">
        <v>6</v>
      </c>
      <c r="W86" s="146">
        <f t="shared" si="24"/>
        <v>0</v>
      </c>
      <c r="X86" s="293">
        <f t="shared" si="25"/>
        <v>0</v>
      </c>
      <c r="Y86" s="146">
        <f t="shared" si="26"/>
        <v>0</v>
      </c>
      <c r="Z86" s="294" t="str">
        <f t="shared" si="27"/>
        <v>-</v>
      </c>
    </row>
    <row r="87" spans="2:26" x14ac:dyDescent="0.3">
      <c r="B87" s="292">
        <v>7</v>
      </c>
      <c r="C87" s="146"/>
      <c r="D87" s="293"/>
      <c r="E87" s="146"/>
      <c r="F87" s="294" t="str">
        <f t="shared" si="21"/>
        <v>-</v>
      </c>
      <c r="H87" s="292">
        <v>7</v>
      </c>
      <c r="I87" s="146">
        <f t="shared" si="22"/>
        <v>0</v>
      </c>
      <c r="J87" s="293">
        <f t="shared" si="22"/>
        <v>0</v>
      </c>
      <c r="K87" s="146">
        <f t="shared" si="22"/>
        <v>0</v>
      </c>
      <c r="L87" s="294" t="str">
        <f t="shared" si="20"/>
        <v>-</v>
      </c>
      <c r="P87" s="292">
        <v>7</v>
      </c>
      <c r="Q87" s="146"/>
      <c r="R87" s="293"/>
      <c r="S87" s="146"/>
      <c r="T87" s="294" t="str">
        <f t="shared" si="23"/>
        <v>-</v>
      </c>
      <c r="V87" s="292">
        <v>7</v>
      </c>
      <c r="W87" s="146">
        <f t="shared" si="24"/>
        <v>0</v>
      </c>
      <c r="X87" s="293">
        <f t="shared" si="25"/>
        <v>0</v>
      </c>
      <c r="Y87" s="146">
        <f t="shared" si="26"/>
        <v>0</v>
      </c>
      <c r="Z87" s="294" t="str">
        <f t="shared" si="27"/>
        <v>-</v>
      </c>
    </row>
    <row r="88" spans="2:26" x14ac:dyDescent="0.3">
      <c r="B88" s="292">
        <v>8</v>
      </c>
      <c r="C88" s="146"/>
      <c r="D88" s="295"/>
      <c r="E88" s="146"/>
      <c r="F88" s="294" t="str">
        <f t="shared" si="21"/>
        <v>-</v>
      </c>
      <c r="H88" s="292">
        <v>8</v>
      </c>
      <c r="I88" s="296"/>
      <c r="J88" s="297">
        <v>0.1</v>
      </c>
      <c r="K88" s="297" t="e">
        <f>VLOOKUP(I88,$I$3:$K$23,3,FALSE)</f>
        <v>#N/A</v>
      </c>
      <c r="L88" s="298" t="str">
        <f t="shared" si="20"/>
        <v>-</v>
      </c>
      <c r="P88" s="292">
        <v>8</v>
      </c>
      <c r="Q88" s="146"/>
      <c r="R88" s="295"/>
      <c r="S88" s="146"/>
      <c r="T88" s="294" t="str">
        <f t="shared" si="23"/>
        <v>-</v>
      </c>
      <c r="V88" s="292">
        <v>8</v>
      </c>
      <c r="W88" s="296"/>
      <c r="X88" s="297">
        <v>0.1</v>
      </c>
      <c r="Y88" s="297" t="e">
        <f>VLOOKUP(W88,$I$3:$K$23,3,FALSE)</f>
        <v>#N/A</v>
      </c>
      <c r="Z88" s="298" t="str">
        <f t="shared" si="27"/>
        <v>-</v>
      </c>
    </row>
    <row r="89" spans="2:26" x14ac:dyDescent="0.3">
      <c r="B89" s="292">
        <v>9</v>
      </c>
      <c r="C89" s="146" t="e">
        <f>VLOOKUP(B79,$U$3:$X$14,2,FALSE)</f>
        <v>#N/A</v>
      </c>
      <c r="D89" s="146" t="e">
        <f>VLOOKUP(B79,$U$3:$X$14,3,FALSE)</f>
        <v>#N/A</v>
      </c>
      <c r="E89" s="146" t="e">
        <f>VLOOKUP(B79,$U$3:$X$14,4,FALSE)</f>
        <v>#N/A</v>
      </c>
      <c r="F89" s="294" t="str">
        <f>IFERROR(D89/E89,"-")</f>
        <v>-</v>
      </c>
      <c r="H89" s="292">
        <v>9</v>
      </c>
      <c r="I89" s="146" t="e">
        <f>C89</f>
        <v>#N/A</v>
      </c>
      <c r="J89" s="146" t="e">
        <f>D89</f>
        <v>#N/A</v>
      </c>
      <c r="K89" s="146" t="e">
        <f>E89</f>
        <v>#N/A</v>
      </c>
      <c r="L89" s="294" t="str">
        <f t="shared" si="20"/>
        <v>-</v>
      </c>
      <c r="P89" s="292">
        <v>9</v>
      </c>
      <c r="Q89" s="146" t="e">
        <f>VLOOKUP(P79,$U$3:$X$14,2,FALSE)</f>
        <v>#N/A</v>
      </c>
      <c r="R89" s="146" t="e">
        <f>VLOOKUP(P79,$U$3:$X$14,3,FALSE)</f>
        <v>#N/A</v>
      </c>
      <c r="S89" s="146" t="e">
        <f>VLOOKUP(P79,$U$3:$X$14,4,FALSE)</f>
        <v>#N/A</v>
      </c>
      <c r="T89" s="294" t="str">
        <f>IFERROR(R89/S89,"-")</f>
        <v>-</v>
      </c>
      <c r="V89" s="292">
        <v>9</v>
      </c>
      <c r="W89" s="146" t="e">
        <f>Q89</f>
        <v>#N/A</v>
      </c>
      <c r="X89" s="146" t="e">
        <f>R89</f>
        <v>#N/A</v>
      </c>
      <c r="Y89" s="146" t="e">
        <f>S89</f>
        <v>#N/A</v>
      </c>
      <c r="Z89" s="294" t="str">
        <f>IFERROR(X89/Y89,"-")</f>
        <v>-</v>
      </c>
    </row>
    <row r="90" spans="2:26" x14ac:dyDescent="0.3">
      <c r="B90" s="299"/>
      <c r="E90" s="236" t="s">
        <v>4</v>
      </c>
      <c r="F90" s="300">
        <f>SUM(F81:F89)</f>
        <v>0.125</v>
      </c>
      <c r="H90" s="301"/>
      <c r="I90" s="286"/>
      <c r="J90" s="286"/>
      <c r="K90" s="302" t="s">
        <v>4</v>
      </c>
      <c r="L90" s="303">
        <f>SUM(L81:L89)</f>
        <v>0.125</v>
      </c>
      <c r="P90" s="299"/>
      <c r="S90" s="236" t="s">
        <v>4</v>
      </c>
      <c r="T90" s="300">
        <f>SUM(T81:T89)</f>
        <v>0.125</v>
      </c>
      <c r="V90" s="301"/>
      <c r="W90" s="286"/>
      <c r="X90" s="286"/>
      <c r="Y90" s="302" t="s">
        <v>4</v>
      </c>
      <c r="Z90" s="303">
        <f>SUM(Z81:Z89)</f>
        <v>0.125</v>
      </c>
    </row>
    <row r="91" spans="2:26" ht="17.5" x14ac:dyDescent="0.35">
      <c r="B91" s="299" t="s">
        <v>18</v>
      </c>
      <c r="D91" s="304"/>
      <c r="E91" s="305" t="s">
        <v>19</v>
      </c>
      <c r="F91" s="306">
        <f>1/F90</f>
        <v>8</v>
      </c>
      <c r="H91" s="301" t="s">
        <v>18</v>
      </c>
      <c r="I91" s="286"/>
      <c r="J91" s="307"/>
      <c r="K91" s="308" t="s">
        <v>19</v>
      </c>
      <c r="L91" s="309">
        <f>1/L90</f>
        <v>8</v>
      </c>
      <c r="P91" s="299" t="s">
        <v>18</v>
      </c>
      <c r="R91" s="304"/>
      <c r="S91" s="305" t="s">
        <v>19</v>
      </c>
      <c r="T91" s="306">
        <f>1/T90</f>
        <v>8</v>
      </c>
      <c r="V91" s="301" t="s">
        <v>18</v>
      </c>
      <c r="W91" s="286"/>
      <c r="X91" s="307"/>
      <c r="Y91" s="308" t="s">
        <v>19</v>
      </c>
      <c r="Z91" s="309">
        <f>1/Z90</f>
        <v>8</v>
      </c>
    </row>
    <row r="92" spans="2:26" ht="18" x14ac:dyDescent="0.4">
      <c r="B92" s="310"/>
      <c r="D92" s="304"/>
      <c r="E92" s="311" t="s">
        <v>20</v>
      </c>
      <c r="F92" s="312">
        <f>B92*F91</f>
        <v>0</v>
      </c>
      <c r="H92" s="313">
        <f>B92</f>
        <v>0</v>
      </c>
      <c r="I92" s="286"/>
      <c r="J92" s="307"/>
      <c r="K92" s="314" t="s">
        <v>20</v>
      </c>
      <c r="L92" s="315">
        <f>H92*L91</f>
        <v>0</v>
      </c>
      <c r="P92" s="310"/>
      <c r="R92" s="304"/>
      <c r="S92" s="311" t="s">
        <v>20</v>
      </c>
      <c r="T92" s="312">
        <f>P92*T91</f>
        <v>0</v>
      </c>
      <c r="V92" s="313">
        <f>P92</f>
        <v>0</v>
      </c>
      <c r="W92" s="286"/>
      <c r="X92" s="307"/>
      <c r="Y92" s="314" t="s">
        <v>20</v>
      </c>
      <c r="Z92" s="315">
        <f>V92*Z91</f>
        <v>0</v>
      </c>
    </row>
    <row r="93" spans="2:26" ht="13.5" thickBot="1" x14ac:dyDescent="0.35">
      <c r="B93" s="316"/>
      <c r="C93" s="155"/>
      <c r="D93" s="155"/>
      <c r="E93" s="155"/>
      <c r="F93" s="317" t="s">
        <v>7</v>
      </c>
      <c r="H93" s="318"/>
      <c r="I93" s="319"/>
      <c r="J93" s="319"/>
      <c r="K93" s="319"/>
      <c r="L93" s="320" t="s">
        <v>7</v>
      </c>
      <c r="P93" s="316"/>
      <c r="Q93" s="155"/>
      <c r="R93" s="155"/>
      <c r="S93" s="155"/>
      <c r="T93" s="317" t="s">
        <v>7</v>
      </c>
      <c r="V93" s="318"/>
      <c r="W93" s="319"/>
      <c r="X93" s="319"/>
      <c r="Y93" s="319"/>
      <c r="Z93" s="320" t="s">
        <v>7</v>
      </c>
    </row>
    <row r="94" spans="2:26" ht="13.5" thickBot="1" x14ac:dyDescent="0.35"/>
    <row r="95" spans="2:26" ht="18" x14ac:dyDescent="0.4">
      <c r="B95" s="275" t="s">
        <v>322</v>
      </c>
      <c r="C95" s="276"/>
      <c r="D95" s="277" t="s">
        <v>325</v>
      </c>
      <c r="E95" s="278"/>
      <c r="F95" s="279"/>
      <c r="H95" s="280" t="s">
        <v>319</v>
      </c>
      <c r="I95" s="281"/>
      <c r="J95" s="715"/>
      <c r="K95" s="715"/>
      <c r="L95" s="716"/>
      <c r="P95" s="275" t="s">
        <v>322</v>
      </c>
      <c r="Q95" s="276"/>
      <c r="R95" s="277" t="s">
        <v>325</v>
      </c>
      <c r="S95" s="278"/>
      <c r="T95" s="279"/>
      <c r="V95" s="280" t="s">
        <v>319</v>
      </c>
      <c r="W95" s="281"/>
      <c r="X95" s="715"/>
      <c r="Y95" s="715"/>
      <c r="Z95" s="716"/>
    </row>
    <row r="96" spans="2:26" ht="18" x14ac:dyDescent="0.4">
      <c r="B96" s="707"/>
      <c r="C96" s="708"/>
      <c r="D96" s="282"/>
      <c r="E96" s="283"/>
      <c r="F96" s="284" t="s">
        <v>417</v>
      </c>
      <c r="H96" s="709">
        <f>B96</f>
        <v>0</v>
      </c>
      <c r="I96" s="710"/>
      <c r="J96" s="285">
        <f>D96</f>
        <v>0</v>
      </c>
      <c r="K96" s="286"/>
      <c r="L96" s="287" t="s">
        <v>417</v>
      </c>
      <c r="P96" s="707"/>
      <c r="Q96" s="708"/>
      <c r="R96" s="282"/>
      <c r="S96" s="283"/>
      <c r="T96" s="284" t="s">
        <v>417</v>
      </c>
      <c r="V96" s="709">
        <f>P96</f>
        <v>0</v>
      </c>
      <c r="W96" s="710"/>
      <c r="X96" s="285">
        <f>R96</f>
        <v>0</v>
      </c>
      <c r="Y96" s="286"/>
      <c r="Z96" s="287" t="s">
        <v>417</v>
      </c>
    </row>
    <row r="97" spans="2:26" x14ac:dyDescent="0.3">
      <c r="B97" s="288" t="s">
        <v>0</v>
      </c>
      <c r="C97" s="289" t="s">
        <v>1</v>
      </c>
      <c r="D97" s="289" t="s">
        <v>2</v>
      </c>
      <c r="E97" s="289" t="s">
        <v>6</v>
      </c>
      <c r="F97" s="290" t="s">
        <v>5</v>
      </c>
      <c r="H97" s="288" t="s">
        <v>0</v>
      </c>
      <c r="I97" s="289" t="s">
        <v>1</v>
      </c>
      <c r="J97" s="289" t="s">
        <v>2</v>
      </c>
      <c r="K97" s="289" t="s">
        <v>6</v>
      </c>
      <c r="L97" s="290" t="s">
        <v>5</v>
      </c>
      <c r="P97" s="288" t="s">
        <v>0</v>
      </c>
      <c r="Q97" s="289" t="s">
        <v>1</v>
      </c>
      <c r="R97" s="289" t="s">
        <v>2</v>
      </c>
      <c r="S97" s="289" t="s">
        <v>6</v>
      </c>
      <c r="T97" s="290" t="s">
        <v>5</v>
      </c>
      <c r="V97" s="288" t="s">
        <v>0</v>
      </c>
      <c r="W97" s="289" t="s">
        <v>1</v>
      </c>
      <c r="X97" s="289" t="s">
        <v>2</v>
      </c>
      <c r="Y97" s="289" t="s">
        <v>6</v>
      </c>
      <c r="Z97" s="290" t="s">
        <v>5</v>
      </c>
    </row>
    <row r="98" spans="2:26" x14ac:dyDescent="0.3">
      <c r="B98" s="292">
        <v>1</v>
      </c>
      <c r="C98" s="146" t="s">
        <v>3</v>
      </c>
      <c r="D98" s="293">
        <v>1</v>
      </c>
      <c r="E98" s="146">
        <v>8</v>
      </c>
      <c r="F98" s="294">
        <f>IFERROR(D98/E98,"-")</f>
        <v>0.125</v>
      </c>
      <c r="H98" s="292">
        <v>1</v>
      </c>
      <c r="I98" s="146" t="s">
        <v>3</v>
      </c>
      <c r="J98" s="293">
        <v>1</v>
      </c>
      <c r="K98" s="146">
        <v>8</v>
      </c>
      <c r="L98" s="294">
        <f t="shared" ref="L98:L106" si="28">IFERROR(J98/K98,"-")</f>
        <v>0.125</v>
      </c>
      <c r="P98" s="292">
        <v>1</v>
      </c>
      <c r="Q98" s="146" t="s">
        <v>3</v>
      </c>
      <c r="R98" s="293">
        <v>1</v>
      </c>
      <c r="S98" s="146">
        <v>8</v>
      </c>
      <c r="T98" s="294">
        <f>IFERROR(R98/S98,"-")</f>
        <v>0.125</v>
      </c>
      <c r="V98" s="292">
        <v>1</v>
      </c>
      <c r="W98" s="146" t="s">
        <v>3</v>
      </c>
      <c r="X98" s="293">
        <v>1</v>
      </c>
      <c r="Y98" s="146">
        <v>8</v>
      </c>
      <c r="Z98" s="294">
        <f>IFERROR(X98/Y98,"-")</f>
        <v>0.125</v>
      </c>
    </row>
    <row r="99" spans="2:26" x14ac:dyDescent="0.3">
      <c r="B99" s="292">
        <v>2</v>
      </c>
      <c r="C99" s="146"/>
      <c r="D99" s="293"/>
      <c r="E99" s="146"/>
      <c r="F99" s="294" t="str">
        <f t="shared" ref="F99:F105" si="29">IFERROR(D99/E99,"-")</f>
        <v>-</v>
      </c>
      <c r="H99" s="292">
        <v>2</v>
      </c>
      <c r="I99" s="146">
        <f t="shared" ref="I99:K104" si="30">C99</f>
        <v>0</v>
      </c>
      <c r="J99" s="293">
        <f t="shared" si="30"/>
        <v>0</v>
      </c>
      <c r="K99" s="146">
        <f t="shared" si="30"/>
        <v>0</v>
      </c>
      <c r="L99" s="294" t="str">
        <f t="shared" si="28"/>
        <v>-</v>
      </c>
      <c r="P99" s="292">
        <v>2</v>
      </c>
      <c r="Q99" s="146"/>
      <c r="R99" s="293"/>
      <c r="S99" s="146"/>
      <c r="T99" s="294" t="str">
        <f t="shared" ref="T99:T105" si="31">IFERROR(R99/S99,"-")</f>
        <v>-</v>
      </c>
      <c r="V99" s="292">
        <v>2</v>
      </c>
      <c r="W99" s="146">
        <f t="shared" ref="W99:W104" si="32">Q99</f>
        <v>0</v>
      </c>
      <c r="X99" s="293">
        <f t="shared" ref="X99:X104" si="33">R99</f>
        <v>0</v>
      </c>
      <c r="Y99" s="146">
        <f t="shared" ref="Y99:Y104" si="34">S99</f>
        <v>0</v>
      </c>
      <c r="Z99" s="294" t="str">
        <f t="shared" ref="Z99:Z105" si="35">IFERROR(X99/Y99,"-")</f>
        <v>-</v>
      </c>
    </row>
    <row r="100" spans="2:26" x14ac:dyDescent="0.3">
      <c r="B100" s="292">
        <v>3</v>
      </c>
      <c r="C100" s="146"/>
      <c r="D100" s="293"/>
      <c r="E100" s="146"/>
      <c r="F100" s="294" t="str">
        <f t="shared" si="29"/>
        <v>-</v>
      </c>
      <c r="H100" s="292">
        <v>3</v>
      </c>
      <c r="I100" s="146">
        <f t="shared" si="30"/>
        <v>0</v>
      </c>
      <c r="J100" s="293">
        <f t="shared" si="30"/>
        <v>0</v>
      </c>
      <c r="K100" s="146">
        <f t="shared" si="30"/>
        <v>0</v>
      </c>
      <c r="L100" s="294" t="str">
        <f t="shared" si="28"/>
        <v>-</v>
      </c>
      <c r="P100" s="292">
        <v>3</v>
      </c>
      <c r="Q100" s="146"/>
      <c r="R100" s="293"/>
      <c r="S100" s="146"/>
      <c r="T100" s="294" t="str">
        <f t="shared" si="31"/>
        <v>-</v>
      </c>
      <c r="V100" s="292">
        <v>3</v>
      </c>
      <c r="W100" s="146">
        <f t="shared" si="32"/>
        <v>0</v>
      </c>
      <c r="X100" s="293">
        <f t="shared" si="33"/>
        <v>0</v>
      </c>
      <c r="Y100" s="146">
        <f t="shared" si="34"/>
        <v>0</v>
      </c>
      <c r="Z100" s="294" t="str">
        <f t="shared" si="35"/>
        <v>-</v>
      </c>
    </row>
    <row r="101" spans="2:26" x14ac:dyDescent="0.3">
      <c r="B101" s="292">
        <v>4</v>
      </c>
      <c r="C101" s="146"/>
      <c r="D101" s="293"/>
      <c r="E101" s="146"/>
      <c r="F101" s="294" t="str">
        <f t="shared" si="29"/>
        <v>-</v>
      </c>
      <c r="H101" s="292">
        <v>4</v>
      </c>
      <c r="I101" s="146">
        <f t="shared" si="30"/>
        <v>0</v>
      </c>
      <c r="J101" s="293">
        <f t="shared" si="30"/>
        <v>0</v>
      </c>
      <c r="K101" s="146">
        <f t="shared" si="30"/>
        <v>0</v>
      </c>
      <c r="L101" s="294" t="str">
        <f t="shared" si="28"/>
        <v>-</v>
      </c>
      <c r="P101" s="292">
        <v>4</v>
      </c>
      <c r="Q101" s="146"/>
      <c r="R101" s="293"/>
      <c r="S101" s="146"/>
      <c r="T101" s="294" t="str">
        <f t="shared" si="31"/>
        <v>-</v>
      </c>
      <c r="V101" s="292">
        <v>4</v>
      </c>
      <c r="W101" s="146">
        <f t="shared" si="32"/>
        <v>0</v>
      </c>
      <c r="X101" s="293">
        <f t="shared" si="33"/>
        <v>0</v>
      </c>
      <c r="Y101" s="146">
        <f t="shared" si="34"/>
        <v>0</v>
      </c>
      <c r="Z101" s="294" t="str">
        <f t="shared" si="35"/>
        <v>-</v>
      </c>
    </row>
    <row r="102" spans="2:26" x14ac:dyDescent="0.3">
      <c r="B102" s="292">
        <v>5</v>
      </c>
      <c r="C102" s="146"/>
      <c r="D102" s="293"/>
      <c r="E102" s="146"/>
      <c r="F102" s="294" t="str">
        <f t="shared" si="29"/>
        <v>-</v>
      </c>
      <c r="H102" s="292">
        <v>5</v>
      </c>
      <c r="I102" s="146">
        <f t="shared" si="30"/>
        <v>0</v>
      </c>
      <c r="J102" s="293">
        <f t="shared" si="30"/>
        <v>0</v>
      </c>
      <c r="K102" s="146">
        <f t="shared" si="30"/>
        <v>0</v>
      </c>
      <c r="L102" s="294" t="str">
        <f t="shared" si="28"/>
        <v>-</v>
      </c>
      <c r="P102" s="292">
        <v>5</v>
      </c>
      <c r="Q102" s="146"/>
      <c r="R102" s="293"/>
      <c r="S102" s="146"/>
      <c r="T102" s="294" t="str">
        <f t="shared" si="31"/>
        <v>-</v>
      </c>
      <c r="V102" s="292">
        <v>5</v>
      </c>
      <c r="W102" s="146">
        <f t="shared" si="32"/>
        <v>0</v>
      </c>
      <c r="X102" s="293">
        <f t="shared" si="33"/>
        <v>0</v>
      </c>
      <c r="Y102" s="146">
        <f t="shared" si="34"/>
        <v>0</v>
      </c>
      <c r="Z102" s="294" t="str">
        <f t="shared" si="35"/>
        <v>-</v>
      </c>
    </row>
    <row r="103" spans="2:26" x14ac:dyDescent="0.3">
      <c r="B103" s="292">
        <v>6</v>
      </c>
      <c r="C103" s="146"/>
      <c r="D103" s="293"/>
      <c r="E103" s="146"/>
      <c r="F103" s="294" t="str">
        <f t="shared" si="29"/>
        <v>-</v>
      </c>
      <c r="H103" s="292">
        <v>6</v>
      </c>
      <c r="I103" s="146">
        <f t="shared" si="30"/>
        <v>0</v>
      </c>
      <c r="J103" s="293">
        <f t="shared" si="30"/>
        <v>0</v>
      </c>
      <c r="K103" s="146">
        <f t="shared" si="30"/>
        <v>0</v>
      </c>
      <c r="L103" s="294" t="str">
        <f t="shared" si="28"/>
        <v>-</v>
      </c>
      <c r="P103" s="292">
        <v>6</v>
      </c>
      <c r="Q103" s="146"/>
      <c r="R103" s="293"/>
      <c r="S103" s="146"/>
      <c r="T103" s="294" t="str">
        <f t="shared" si="31"/>
        <v>-</v>
      </c>
      <c r="V103" s="292">
        <v>6</v>
      </c>
      <c r="W103" s="146">
        <f t="shared" si="32"/>
        <v>0</v>
      </c>
      <c r="X103" s="293">
        <f t="shared" si="33"/>
        <v>0</v>
      </c>
      <c r="Y103" s="146">
        <f t="shared" si="34"/>
        <v>0</v>
      </c>
      <c r="Z103" s="294" t="str">
        <f t="shared" si="35"/>
        <v>-</v>
      </c>
    </row>
    <row r="104" spans="2:26" x14ac:dyDescent="0.3">
      <c r="B104" s="292">
        <v>7</v>
      </c>
      <c r="C104" s="146"/>
      <c r="D104" s="293"/>
      <c r="E104" s="146"/>
      <c r="F104" s="294" t="str">
        <f t="shared" si="29"/>
        <v>-</v>
      </c>
      <c r="H104" s="292">
        <v>7</v>
      </c>
      <c r="I104" s="146">
        <f t="shared" si="30"/>
        <v>0</v>
      </c>
      <c r="J104" s="293">
        <f t="shared" si="30"/>
        <v>0</v>
      </c>
      <c r="K104" s="146">
        <f t="shared" si="30"/>
        <v>0</v>
      </c>
      <c r="L104" s="294" t="str">
        <f t="shared" si="28"/>
        <v>-</v>
      </c>
      <c r="P104" s="292">
        <v>7</v>
      </c>
      <c r="Q104" s="146"/>
      <c r="R104" s="293"/>
      <c r="S104" s="146"/>
      <c r="T104" s="294" t="str">
        <f t="shared" si="31"/>
        <v>-</v>
      </c>
      <c r="V104" s="292">
        <v>7</v>
      </c>
      <c r="W104" s="146">
        <f t="shared" si="32"/>
        <v>0</v>
      </c>
      <c r="X104" s="293">
        <f t="shared" si="33"/>
        <v>0</v>
      </c>
      <c r="Y104" s="146">
        <f t="shared" si="34"/>
        <v>0</v>
      </c>
      <c r="Z104" s="294" t="str">
        <f t="shared" si="35"/>
        <v>-</v>
      </c>
    </row>
    <row r="105" spans="2:26" x14ac:dyDescent="0.3">
      <c r="B105" s="292">
        <v>8</v>
      </c>
      <c r="C105" s="146"/>
      <c r="D105" s="295"/>
      <c r="E105" s="146"/>
      <c r="F105" s="294" t="str">
        <f t="shared" si="29"/>
        <v>-</v>
      </c>
      <c r="H105" s="292">
        <v>8</v>
      </c>
      <c r="I105" s="296"/>
      <c r="J105" s="297">
        <v>0.1</v>
      </c>
      <c r="K105" s="297" t="e">
        <f>VLOOKUP(I105,$I$3:$K$23,3,FALSE)</f>
        <v>#N/A</v>
      </c>
      <c r="L105" s="298" t="str">
        <f t="shared" si="28"/>
        <v>-</v>
      </c>
      <c r="P105" s="292">
        <v>8</v>
      </c>
      <c r="Q105" s="146"/>
      <c r="R105" s="295"/>
      <c r="S105" s="146"/>
      <c r="T105" s="294" t="str">
        <f t="shared" si="31"/>
        <v>-</v>
      </c>
      <c r="V105" s="292">
        <v>8</v>
      </c>
      <c r="W105" s="296"/>
      <c r="X105" s="297">
        <v>0.1</v>
      </c>
      <c r="Y105" s="297" t="e">
        <f>VLOOKUP(W105,$I$3:$K$23,3,FALSE)</f>
        <v>#N/A</v>
      </c>
      <c r="Z105" s="298" t="str">
        <f t="shared" si="35"/>
        <v>-</v>
      </c>
    </row>
    <row r="106" spans="2:26" x14ac:dyDescent="0.3">
      <c r="B106" s="292">
        <v>9</v>
      </c>
      <c r="C106" s="146" t="e">
        <f>VLOOKUP(B96,$U$3:$X$14,2,FALSE)</f>
        <v>#N/A</v>
      </c>
      <c r="D106" s="146" t="e">
        <f>VLOOKUP(B96,$U$3:$X$14,3,FALSE)</f>
        <v>#N/A</v>
      </c>
      <c r="E106" s="146" t="e">
        <f>VLOOKUP(B96,$U$3:$X$14,4,FALSE)</f>
        <v>#N/A</v>
      </c>
      <c r="F106" s="294" t="str">
        <f>IFERROR(D106/E106,"-")</f>
        <v>-</v>
      </c>
      <c r="H106" s="292">
        <v>9</v>
      </c>
      <c r="I106" s="146" t="e">
        <f>C106</f>
        <v>#N/A</v>
      </c>
      <c r="J106" s="146" t="e">
        <f>D106</f>
        <v>#N/A</v>
      </c>
      <c r="K106" s="146" t="e">
        <f>E106</f>
        <v>#N/A</v>
      </c>
      <c r="L106" s="294" t="str">
        <f t="shared" si="28"/>
        <v>-</v>
      </c>
      <c r="P106" s="292">
        <v>9</v>
      </c>
      <c r="Q106" s="146" t="e">
        <f>VLOOKUP(P96,$U$3:$X$14,2,FALSE)</f>
        <v>#N/A</v>
      </c>
      <c r="R106" s="146" t="e">
        <f>VLOOKUP(P96,$U$3:$X$14,3,FALSE)</f>
        <v>#N/A</v>
      </c>
      <c r="S106" s="146" t="e">
        <f>VLOOKUP(P96,$U$3:$X$14,4,FALSE)</f>
        <v>#N/A</v>
      </c>
      <c r="T106" s="294" t="str">
        <f>IFERROR(R106/S106,"-")</f>
        <v>-</v>
      </c>
      <c r="V106" s="292">
        <v>9</v>
      </c>
      <c r="W106" s="146" t="e">
        <f>Q106</f>
        <v>#N/A</v>
      </c>
      <c r="X106" s="146" t="e">
        <f>R106</f>
        <v>#N/A</v>
      </c>
      <c r="Y106" s="146" t="e">
        <f>S106</f>
        <v>#N/A</v>
      </c>
      <c r="Z106" s="294" t="str">
        <f>IFERROR(X106/Y106,"-")</f>
        <v>-</v>
      </c>
    </row>
    <row r="107" spans="2:26" x14ac:dyDescent="0.3">
      <c r="B107" s="299"/>
      <c r="E107" s="236" t="s">
        <v>4</v>
      </c>
      <c r="F107" s="300">
        <f>SUM(F98:F106)</f>
        <v>0.125</v>
      </c>
      <c r="H107" s="301"/>
      <c r="I107" s="286"/>
      <c r="J107" s="286"/>
      <c r="K107" s="302" t="s">
        <v>4</v>
      </c>
      <c r="L107" s="303">
        <f>SUM(L98:L106)</f>
        <v>0.125</v>
      </c>
      <c r="P107" s="299"/>
      <c r="S107" s="236" t="s">
        <v>4</v>
      </c>
      <c r="T107" s="300">
        <f>SUM(T98:T106)</f>
        <v>0.125</v>
      </c>
      <c r="V107" s="301"/>
      <c r="W107" s="286"/>
      <c r="X107" s="286"/>
      <c r="Y107" s="302" t="s">
        <v>4</v>
      </c>
      <c r="Z107" s="303">
        <f>SUM(Z98:Z106)</f>
        <v>0.125</v>
      </c>
    </row>
    <row r="108" spans="2:26" ht="17.5" x14ac:dyDescent="0.35">
      <c r="B108" s="299" t="s">
        <v>18</v>
      </c>
      <c r="D108" s="304"/>
      <c r="E108" s="305" t="s">
        <v>19</v>
      </c>
      <c r="F108" s="306">
        <f>1/F107</f>
        <v>8</v>
      </c>
      <c r="H108" s="301" t="s">
        <v>18</v>
      </c>
      <c r="I108" s="286"/>
      <c r="J108" s="307"/>
      <c r="K108" s="308" t="s">
        <v>19</v>
      </c>
      <c r="L108" s="309">
        <f>1/L107</f>
        <v>8</v>
      </c>
      <c r="P108" s="299" t="s">
        <v>18</v>
      </c>
      <c r="R108" s="304"/>
      <c r="S108" s="305" t="s">
        <v>19</v>
      </c>
      <c r="T108" s="306">
        <f>1/T107</f>
        <v>8</v>
      </c>
      <c r="V108" s="301" t="s">
        <v>18</v>
      </c>
      <c r="W108" s="286"/>
      <c r="X108" s="307"/>
      <c r="Y108" s="308" t="s">
        <v>19</v>
      </c>
      <c r="Z108" s="309">
        <f>1/Z107</f>
        <v>8</v>
      </c>
    </row>
    <row r="109" spans="2:26" ht="18" x14ac:dyDescent="0.4">
      <c r="B109" s="310"/>
      <c r="D109" s="304"/>
      <c r="E109" s="311" t="s">
        <v>20</v>
      </c>
      <c r="F109" s="312">
        <f>B109*F108</f>
        <v>0</v>
      </c>
      <c r="H109" s="313">
        <f>B109</f>
        <v>0</v>
      </c>
      <c r="I109" s="286"/>
      <c r="J109" s="307"/>
      <c r="K109" s="314" t="s">
        <v>20</v>
      </c>
      <c r="L109" s="315">
        <f>H109*L108</f>
        <v>0</v>
      </c>
      <c r="P109" s="310"/>
      <c r="R109" s="304"/>
      <c r="S109" s="311" t="s">
        <v>20</v>
      </c>
      <c r="T109" s="312">
        <f>P109*T108</f>
        <v>0</v>
      </c>
      <c r="V109" s="313">
        <f>P109</f>
        <v>0</v>
      </c>
      <c r="W109" s="286"/>
      <c r="X109" s="307"/>
      <c r="Y109" s="314" t="s">
        <v>20</v>
      </c>
      <c r="Z109" s="315">
        <f>V109*Z108</f>
        <v>0</v>
      </c>
    </row>
    <row r="110" spans="2:26" ht="13.5" thickBot="1" x14ac:dyDescent="0.35">
      <c r="B110" s="316"/>
      <c r="C110" s="155"/>
      <c r="D110" s="155"/>
      <c r="E110" s="155"/>
      <c r="F110" s="317" t="s">
        <v>7</v>
      </c>
      <c r="H110" s="318"/>
      <c r="I110" s="319"/>
      <c r="J110" s="319"/>
      <c r="K110" s="319"/>
      <c r="L110" s="320" t="s">
        <v>7</v>
      </c>
      <c r="P110" s="316"/>
      <c r="Q110" s="155"/>
      <c r="R110" s="155"/>
      <c r="S110" s="155"/>
      <c r="T110" s="317" t="s">
        <v>7</v>
      </c>
      <c r="V110" s="318"/>
      <c r="W110" s="319"/>
      <c r="X110" s="319"/>
      <c r="Y110" s="319"/>
      <c r="Z110" s="320" t="s">
        <v>7</v>
      </c>
    </row>
    <row r="111" spans="2:26" ht="13.5" thickBot="1" x14ac:dyDescent="0.35"/>
    <row r="112" spans="2:26" ht="18" x14ac:dyDescent="0.4">
      <c r="B112" s="275" t="s">
        <v>322</v>
      </c>
      <c r="C112" s="276"/>
      <c r="D112" s="277" t="s">
        <v>325</v>
      </c>
      <c r="E112" s="278"/>
      <c r="F112" s="279"/>
      <c r="H112" s="280" t="s">
        <v>319</v>
      </c>
      <c r="I112" s="281"/>
      <c r="J112" s="715"/>
      <c r="K112" s="715"/>
      <c r="L112" s="716"/>
      <c r="P112" s="275" t="s">
        <v>322</v>
      </c>
      <c r="Q112" s="276"/>
      <c r="R112" s="277" t="s">
        <v>325</v>
      </c>
      <c r="S112" s="278"/>
      <c r="T112" s="279"/>
      <c r="V112" s="280" t="s">
        <v>319</v>
      </c>
      <c r="W112" s="281"/>
      <c r="X112" s="715"/>
      <c r="Y112" s="715"/>
      <c r="Z112" s="716"/>
    </row>
    <row r="113" spans="2:26" ht="18" x14ac:dyDescent="0.4">
      <c r="B113" s="707"/>
      <c r="C113" s="708"/>
      <c r="D113" s="282"/>
      <c r="E113" s="283"/>
      <c r="F113" s="284" t="s">
        <v>417</v>
      </c>
      <c r="H113" s="709">
        <f>B113</f>
        <v>0</v>
      </c>
      <c r="I113" s="710"/>
      <c r="J113" s="285">
        <f>D113</f>
        <v>0</v>
      </c>
      <c r="K113" s="286"/>
      <c r="L113" s="287" t="s">
        <v>417</v>
      </c>
      <c r="P113" s="707"/>
      <c r="Q113" s="708"/>
      <c r="R113" s="282"/>
      <c r="S113" s="283"/>
      <c r="T113" s="284" t="s">
        <v>417</v>
      </c>
      <c r="V113" s="709">
        <f>P113</f>
        <v>0</v>
      </c>
      <c r="W113" s="710"/>
      <c r="X113" s="285">
        <f>R113</f>
        <v>0</v>
      </c>
      <c r="Y113" s="286"/>
      <c r="Z113" s="287" t="s">
        <v>417</v>
      </c>
    </row>
    <row r="114" spans="2:26" x14ac:dyDescent="0.3">
      <c r="B114" s="288" t="s">
        <v>0</v>
      </c>
      <c r="C114" s="289" t="s">
        <v>1</v>
      </c>
      <c r="D114" s="289" t="s">
        <v>2</v>
      </c>
      <c r="E114" s="289" t="s">
        <v>6</v>
      </c>
      <c r="F114" s="290" t="s">
        <v>5</v>
      </c>
      <c r="H114" s="288" t="s">
        <v>0</v>
      </c>
      <c r="I114" s="289" t="s">
        <v>1</v>
      </c>
      <c r="J114" s="289" t="s">
        <v>2</v>
      </c>
      <c r="K114" s="289" t="s">
        <v>6</v>
      </c>
      <c r="L114" s="290" t="s">
        <v>5</v>
      </c>
      <c r="P114" s="288" t="s">
        <v>0</v>
      </c>
      <c r="Q114" s="289" t="s">
        <v>1</v>
      </c>
      <c r="R114" s="289" t="s">
        <v>2</v>
      </c>
      <c r="S114" s="289" t="s">
        <v>6</v>
      </c>
      <c r="T114" s="290" t="s">
        <v>5</v>
      </c>
      <c r="V114" s="288" t="s">
        <v>0</v>
      </c>
      <c r="W114" s="289" t="s">
        <v>1</v>
      </c>
      <c r="X114" s="289" t="s">
        <v>2</v>
      </c>
      <c r="Y114" s="289" t="s">
        <v>6</v>
      </c>
      <c r="Z114" s="290" t="s">
        <v>5</v>
      </c>
    </row>
    <row r="115" spans="2:26" x14ac:dyDescent="0.3">
      <c r="B115" s="292">
        <v>1</v>
      </c>
      <c r="C115" s="146" t="s">
        <v>3</v>
      </c>
      <c r="D115" s="293">
        <v>1</v>
      </c>
      <c r="E115" s="146">
        <v>8</v>
      </c>
      <c r="F115" s="294">
        <f>IFERROR(D115/E115,"-")</f>
        <v>0.125</v>
      </c>
      <c r="H115" s="292">
        <v>1</v>
      </c>
      <c r="I115" s="146" t="s">
        <v>3</v>
      </c>
      <c r="J115" s="293">
        <v>1</v>
      </c>
      <c r="K115" s="146">
        <v>8</v>
      </c>
      <c r="L115" s="294">
        <f t="shared" ref="L115:L123" si="36">IFERROR(J115/K115,"-")</f>
        <v>0.125</v>
      </c>
      <c r="P115" s="292">
        <v>1</v>
      </c>
      <c r="Q115" s="146" t="s">
        <v>3</v>
      </c>
      <c r="R115" s="293">
        <v>1</v>
      </c>
      <c r="S115" s="146">
        <v>8</v>
      </c>
      <c r="T115" s="294">
        <f>IFERROR(R115/S115,"-")</f>
        <v>0.125</v>
      </c>
      <c r="V115" s="292">
        <v>1</v>
      </c>
      <c r="W115" s="146" t="s">
        <v>3</v>
      </c>
      <c r="X115" s="293">
        <v>1</v>
      </c>
      <c r="Y115" s="146">
        <v>8</v>
      </c>
      <c r="Z115" s="294">
        <f>IFERROR(X115/Y115,"-")</f>
        <v>0.125</v>
      </c>
    </row>
    <row r="116" spans="2:26" x14ac:dyDescent="0.3">
      <c r="B116" s="292">
        <v>2</v>
      </c>
      <c r="C116" s="146"/>
      <c r="D116" s="293"/>
      <c r="E116" s="146"/>
      <c r="F116" s="294" t="str">
        <f t="shared" ref="F116:F122" si="37">IFERROR(D116/E116,"-")</f>
        <v>-</v>
      </c>
      <c r="H116" s="292">
        <v>2</v>
      </c>
      <c r="I116" s="146">
        <f t="shared" ref="I116:K121" si="38">C116</f>
        <v>0</v>
      </c>
      <c r="J116" s="293">
        <f t="shared" si="38"/>
        <v>0</v>
      </c>
      <c r="K116" s="146">
        <f t="shared" si="38"/>
        <v>0</v>
      </c>
      <c r="L116" s="294" t="str">
        <f t="shared" si="36"/>
        <v>-</v>
      </c>
      <c r="P116" s="292">
        <v>2</v>
      </c>
      <c r="Q116" s="146"/>
      <c r="R116" s="293"/>
      <c r="S116" s="146"/>
      <c r="T116" s="294" t="str">
        <f t="shared" ref="T116:T122" si="39">IFERROR(R116/S116,"-")</f>
        <v>-</v>
      </c>
      <c r="V116" s="292">
        <v>2</v>
      </c>
      <c r="W116" s="146">
        <f t="shared" ref="W116:W121" si="40">Q116</f>
        <v>0</v>
      </c>
      <c r="X116" s="293">
        <f t="shared" ref="X116:X121" si="41">R116</f>
        <v>0</v>
      </c>
      <c r="Y116" s="146">
        <f t="shared" ref="Y116:Y121" si="42">S116</f>
        <v>0</v>
      </c>
      <c r="Z116" s="294" t="str">
        <f t="shared" ref="Z116:Z122" si="43">IFERROR(X116/Y116,"-")</f>
        <v>-</v>
      </c>
    </row>
    <row r="117" spans="2:26" x14ac:dyDescent="0.3">
      <c r="B117" s="292">
        <v>3</v>
      </c>
      <c r="C117" s="146"/>
      <c r="D117" s="293"/>
      <c r="E117" s="146"/>
      <c r="F117" s="294" t="str">
        <f t="shared" si="37"/>
        <v>-</v>
      </c>
      <c r="H117" s="292">
        <v>3</v>
      </c>
      <c r="I117" s="146">
        <f t="shared" si="38"/>
        <v>0</v>
      </c>
      <c r="J117" s="293">
        <f t="shared" si="38"/>
        <v>0</v>
      </c>
      <c r="K117" s="146">
        <f t="shared" si="38"/>
        <v>0</v>
      </c>
      <c r="L117" s="294" t="str">
        <f t="shared" si="36"/>
        <v>-</v>
      </c>
      <c r="P117" s="292">
        <v>3</v>
      </c>
      <c r="Q117" s="146"/>
      <c r="R117" s="293"/>
      <c r="S117" s="146"/>
      <c r="T117" s="294" t="str">
        <f t="shared" si="39"/>
        <v>-</v>
      </c>
      <c r="V117" s="292">
        <v>3</v>
      </c>
      <c r="W117" s="146">
        <f t="shared" si="40"/>
        <v>0</v>
      </c>
      <c r="X117" s="293">
        <f t="shared" si="41"/>
        <v>0</v>
      </c>
      <c r="Y117" s="146">
        <f t="shared" si="42"/>
        <v>0</v>
      </c>
      <c r="Z117" s="294" t="str">
        <f t="shared" si="43"/>
        <v>-</v>
      </c>
    </row>
    <row r="118" spans="2:26" x14ac:dyDescent="0.3">
      <c r="B118" s="292">
        <v>4</v>
      </c>
      <c r="C118" s="146"/>
      <c r="D118" s="293"/>
      <c r="E118" s="146"/>
      <c r="F118" s="294" t="str">
        <f t="shared" si="37"/>
        <v>-</v>
      </c>
      <c r="H118" s="292">
        <v>4</v>
      </c>
      <c r="I118" s="146">
        <f t="shared" si="38"/>
        <v>0</v>
      </c>
      <c r="J118" s="293">
        <f t="shared" si="38"/>
        <v>0</v>
      </c>
      <c r="K118" s="146">
        <f t="shared" si="38"/>
        <v>0</v>
      </c>
      <c r="L118" s="294" t="str">
        <f t="shared" si="36"/>
        <v>-</v>
      </c>
      <c r="P118" s="292">
        <v>4</v>
      </c>
      <c r="Q118" s="146"/>
      <c r="R118" s="293"/>
      <c r="S118" s="146"/>
      <c r="T118" s="294" t="str">
        <f t="shared" si="39"/>
        <v>-</v>
      </c>
      <c r="V118" s="292">
        <v>4</v>
      </c>
      <c r="W118" s="146">
        <f t="shared" si="40"/>
        <v>0</v>
      </c>
      <c r="X118" s="293">
        <f t="shared" si="41"/>
        <v>0</v>
      </c>
      <c r="Y118" s="146">
        <f t="shared" si="42"/>
        <v>0</v>
      </c>
      <c r="Z118" s="294" t="str">
        <f t="shared" si="43"/>
        <v>-</v>
      </c>
    </row>
    <row r="119" spans="2:26" x14ac:dyDescent="0.3">
      <c r="B119" s="292">
        <v>5</v>
      </c>
      <c r="C119" s="146"/>
      <c r="D119" s="293"/>
      <c r="E119" s="146"/>
      <c r="F119" s="294" t="str">
        <f t="shared" si="37"/>
        <v>-</v>
      </c>
      <c r="H119" s="292">
        <v>5</v>
      </c>
      <c r="I119" s="146">
        <f t="shared" si="38"/>
        <v>0</v>
      </c>
      <c r="J119" s="293">
        <f t="shared" si="38"/>
        <v>0</v>
      </c>
      <c r="K119" s="146">
        <f t="shared" si="38"/>
        <v>0</v>
      </c>
      <c r="L119" s="294" t="str">
        <f t="shared" si="36"/>
        <v>-</v>
      </c>
      <c r="P119" s="292">
        <v>5</v>
      </c>
      <c r="Q119" s="146"/>
      <c r="R119" s="293"/>
      <c r="S119" s="146"/>
      <c r="T119" s="294" t="str">
        <f t="shared" si="39"/>
        <v>-</v>
      </c>
      <c r="V119" s="292">
        <v>5</v>
      </c>
      <c r="W119" s="146">
        <f t="shared" si="40"/>
        <v>0</v>
      </c>
      <c r="X119" s="293">
        <f t="shared" si="41"/>
        <v>0</v>
      </c>
      <c r="Y119" s="146">
        <f t="shared" si="42"/>
        <v>0</v>
      </c>
      <c r="Z119" s="294" t="str">
        <f t="shared" si="43"/>
        <v>-</v>
      </c>
    </row>
    <row r="120" spans="2:26" x14ac:dyDescent="0.3">
      <c r="B120" s="292">
        <v>6</v>
      </c>
      <c r="C120" s="146"/>
      <c r="D120" s="293"/>
      <c r="E120" s="146"/>
      <c r="F120" s="294" t="str">
        <f t="shared" si="37"/>
        <v>-</v>
      </c>
      <c r="H120" s="292">
        <v>6</v>
      </c>
      <c r="I120" s="146">
        <f t="shared" si="38"/>
        <v>0</v>
      </c>
      <c r="J120" s="293">
        <f t="shared" si="38"/>
        <v>0</v>
      </c>
      <c r="K120" s="146">
        <f t="shared" si="38"/>
        <v>0</v>
      </c>
      <c r="L120" s="294" t="str">
        <f t="shared" si="36"/>
        <v>-</v>
      </c>
      <c r="P120" s="292">
        <v>6</v>
      </c>
      <c r="Q120" s="146"/>
      <c r="R120" s="293"/>
      <c r="S120" s="146"/>
      <c r="T120" s="294" t="str">
        <f t="shared" si="39"/>
        <v>-</v>
      </c>
      <c r="V120" s="292">
        <v>6</v>
      </c>
      <c r="W120" s="146">
        <f t="shared" si="40"/>
        <v>0</v>
      </c>
      <c r="X120" s="293">
        <f t="shared" si="41"/>
        <v>0</v>
      </c>
      <c r="Y120" s="146">
        <f t="shared" si="42"/>
        <v>0</v>
      </c>
      <c r="Z120" s="294" t="str">
        <f t="shared" si="43"/>
        <v>-</v>
      </c>
    </row>
    <row r="121" spans="2:26" x14ac:dyDescent="0.3">
      <c r="B121" s="292">
        <v>7</v>
      </c>
      <c r="C121" s="146"/>
      <c r="D121" s="293"/>
      <c r="E121" s="146"/>
      <c r="F121" s="294" t="str">
        <f t="shared" si="37"/>
        <v>-</v>
      </c>
      <c r="H121" s="292">
        <v>7</v>
      </c>
      <c r="I121" s="146">
        <f t="shared" si="38"/>
        <v>0</v>
      </c>
      <c r="J121" s="293">
        <f t="shared" si="38"/>
        <v>0</v>
      </c>
      <c r="K121" s="146">
        <f t="shared" si="38"/>
        <v>0</v>
      </c>
      <c r="L121" s="294" t="str">
        <f t="shared" si="36"/>
        <v>-</v>
      </c>
      <c r="P121" s="292">
        <v>7</v>
      </c>
      <c r="Q121" s="146"/>
      <c r="R121" s="293"/>
      <c r="S121" s="146"/>
      <c r="T121" s="294" t="str">
        <f t="shared" si="39"/>
        <v>-</v>
      </c>
      <c r="V121" s="292">
        <v>7</v>
      </c>
      <c r="W121" s="146">
        <f t="shared" si="40"/>
        <v>0</v>
      </c>
      <c r="X121" s="293">
        <f t="shared" si="41"/>
        <v>0</v>
      </c>
      <c r="Y121" s="146">
        <f t="shared" si="42"/>
        <v>0</v>
      </c>
      <c r="Z121" s="294" t="str">
        <f t="shared" si="43"/>
        <v>-</v>
      </c>
    </row>
    <row r="122" spans="2:26" x14ac:dyDescent="0.3">
      <c r="B122" s="292">
        <v>8</v>
      </c>
      <c r="C122" s="146"/>
      <c r="D122" s="295"/>
      <c r="E122" s="146"/>
      <c r="F122" s="294" t="str">
        <f t="shared" si="37"/>
        <v>-</v>
      </c>
      <c r="H122" s="292">
        <v>8</v>
      </c>
      <c r="I122" s="296"/>
      <c r="J122" s="297">
        <v>0.1</v>
      </c>
      <c r="K122" s="297" t="e">
        <f>VLOOKUP(I122,$I$3:$K$23,3,FALSE)</f>
        <v>#N/A</v>
      </c>
      <c r="L122" s="298" t="str">
        <f t="shared" si="36"/>
        <v>-</v>
      </c>
      <c r="P122" s="292">
        <v>8</v>
      </c>
      <c r="Q122" s="146"/>
      <c r="R122" s="295"/>
      <c r="S122" s="146"/>
      <c r="T122" s="294" t="str">
        <f t="shared" si="39"/>
        <v>-</v>
      </c>
      <c r="V122" s="292">
        <v>8</v>
      </c>
      <c r="W122" s="296"/>
      <c r="X122" s="297">
        <v>0.1</v>
      </c>
      <c r="Y122" s="297" t="e">
        <f>VLOOKUP(W122,$I$3:$K$23,3,FALSE)</f>
        <v>#N/A</v>
      </c>
      <c r="Z122" s="298" t="str">
        <f t="shared" si="43"/>
        <v>-</v>
      </c>
    </row>
    <row r="123" spans="2:26" x14ac:dyDescent="0.3">
      <c r="B123" s="292">
        <v>9</v>
      </c>
      <c r="C123" s="146" t="e">
        <f>VLOOKUP(B113,$U$3:$X$14,2,FALSE)</f>
        <v>#N/A</v>
      </c>
      <c r="D123" s="146" t="e">
        <f>VLOOKUP(B113,$U$3:$X$14,3,FALSE)</f>
        <v>#N/A</v>
      </c>
      <c r="E123" s="146" t="e">
        <f>VLOOKUP(B113,$U$3:$X$14,4,FALSE)</f>
        <v>#N/A</v>
      </c>
      <c r="F123" s="294" t="str">
        <f>IFERROR(D123/E123,"-")</f>
        <v>-</v>
      </c>
      <c r="H123" s="292">
        <v>9</v>
      </c>
      <c r="I123" s="146" t="e">
        <f>C123</f>
        <v>#N/A</v>
      </c>
      <c r="J123" s="146" t="e">
        <f>D123</f>
        <v>#N/A</v>
      </c>
      <c r="K123" s="146" t="e">
        <f>E123</f>
        <v>#N/A</v>
      </c>
      <c r="L123" s="294" t="str">
        <f t="shared" si="36"/>
        <v>-</v>
      </c>
      <c r="P123" s="292">
        <v>9</v>
      </c>
      <c r="Q123" s="146" t="e">
        <f>VLOOKUP(P113,$U$3:$X$14,2,FALSE)</f>
        <v>#N/A</v>
      </c>
      <c r="R123" s="146" t="e">
        <f>VLOOKUP(P113,$U$3:$X$14,3,FALSE)</f>
        <v>#N/A</v>
      </c>
      <c r="S123" s="146" t="e">
        <f>VLOOKUP(P113,$U$3:$X$14,4,FALSE)</f>
        <v>#N/A</v>
      </c>
      <c r="T123" s="294" t="str">
        <f>IFERROR(R123/S123,"-")</f>
        <v>-</v>
      </c>
      <c r="V123" s="292">
        <v>9</v>
      </c>
      <c r="W123" s="146" t="e">
        <f>Q123</f>
        <v>#N/A</v>
      </c>
      <c r="X123" s="146" t="e">
        <f>R123</f>
        <v>#N/A</v>
      </c>
      <c r="Y123" s="146" t="e">
        <f>S123</f>
        <v>#N/A</v>
      </c>
      <c r="Z123" s="294" t="str">
        <f>IFERROR(X123/Y123,"-")</f>
        <v>-</v>
      </c>
    </row>
    <row r="124" spans="2:26" x14ac:dyDescent="0.3">
      <c r="B124" s="299"/>
      <c r="E124" s="236" t="s">
        <v>4</v>
      </c>
      <c r="F124" s="300">
        <f>SUM(F115:F123)</f>
        <v>0.125</v>
      </c>
      <c r="H124" s="301"/>
      <c r="I124" s="286"/>
      <c r="J124" s="286"/>
      <c r="K124" s="302" t="s">
        <v>4</v>
      </c>
      <c r="L124" s="303">
        <f>SUM(L115:L123)</f>
        <v>0.125</v>
      </c>
      <c r="P124" s="299"/>
      <c r="S124" s="236" t="s">
        <v>4</v>
      </c>
      <c r="T124" s="300">
        <f>SUM(T115:T123)</f>
        <v>0.125</v>
      </c>
      <c r="V124" s="301"/>
      <c r="W124" s="286"/>
      <c r="X124" s="286"/>
      <c r="Y124" s="302" t="s">
        <v>4</v>
      </c>
      <c r="Z124" s="303">
        <f>SUM(Z115:Z123)</f>
        <v>0.125</v>
      </c>
    </row>
    <row r="125" spans="2:26" ht="17.5" x14ac:dyDescent="0.35">
      <c r="B125" s="299" t="s">
        <v>18</v>
      </c>
      <c r="D125" s="304"/>
      <c r="E125" s="305" t="s">
        <v>19</v>
      </c>
      <c r="F125" s="306">
        <f>1/F124</f>
        <v>8</v>
      </c>
      <c r="H125" s="301" t="s">
        <v>18</v>
      </c>
      <c r="I125" s="286"/>
      <c r="J125" s="307"/>
      <c r="K125" s="308" t="s">
        <v>19</v>
      </c>
      <c r="L125" s="309">
        <f>1/L124</f>
        <v>8</v>
      </c>
      <c r="P125" s="299" t="s">
        <v>18</v>
      </c>
      <c r="R125" s="304"/>
      <c r="S125" s="305" t="s">
        <v>19</v>
      </c>
      <c r="T125" s="306">
        <f>1/T124</f>
        <v>8</v>
      </c>
      <c r="V125" s="301" t="s">
        <v>18</v>
      </c>
      <c r="W125" s="286"/>
      <c r="X125" s="307"/>
      <c r="Y125" s="308" t="s">
        <v>19</v>
      </c>
      <c r="Z125" s="309">
        <f>1/Z124</f>
        <v>8</v>
      </c>
    </row>
    <row r="126" spans="2:26" ht="18" x14ac:dyDescent="0.4">
      <c r="B126" s="310"/>
      <c r="D126" s="304"/>
      <c r="E126" s="311" t="s">
        <v>20</v>
      </c>
      <c r="F126" s="312">
        <f>B126*F125</f>
        <v>0</v>
      </c>
      <c r="H126" s="313">
        <f>B126</f>
        <v>0</v>
      </c>
      <c r="I126" s="286"/>
      <c r="J126" s="307"/>
      <c r="K126" s="314" t="s">
        <v>20</v>
      </c>
      <c r="L126" s="315">
        <f>H126*L125</f>
        <v>0</v>
      </c>
      <c r="P126" s="310"/>
      <c r="R126" s="304"/>
      <c r="S126" s="311" t="s">
        <v>20</v>
      </c>
      <c r="T126" s="312">
        <f>P126*T125</f>
        <v>0</v>
      </c>
      <c r="V126" s="313">
        <f>P126</f>
        <v>0</v>
      </c>
      <c r="W126" s="286"/>
      <c r="X126" s="307"/>
      <c r="Y126" s="314" t="s">
        <v>20</v>
      </c>
      <c r="Z126" s="315">
        <f>V126*Z125</f>
        <v>0</v>
      </c>
    </row>
    <row r="127" spans="2:26" ht="13.5" thickBot="1" x14ac:dyDescent="0.35">
      <c r="B127" s="316"/>
      <c r="C127" s="155"/>
      <c r="D127" s="155"/>
      <c r="E127" s="155"/>
      <c r="F127" s="317" t="s">
        <v>7</v>
      </c>
      <c r="H127" s="318"/>
      <c r="I127" s="319"/>
      <c r="J127" s="319"/>
      <c r="K127" s="319"/>
      <c r="L127" s="320" t="s">
        <v>7</v>
      </c>
      <c r="P127" s="316"/>
      <c r="Q127" s="155"/>
      <c r="R127" s="155"/>
      <c r="S127" s="155"/>
      <c r="T127" s="317" t="s">
        <v>7</v>
      </c>
      <c r="V127" s="318"/>
      <c r="W127" s="319"/>
      <c r="X127" s="319"/>
      <c r="Y127" s="319"/>
      <c r="Z127" s="320" t="s">
        <v>7</v>
      </c>
    </row>
  </sheetData>
  <mergeCells count="47">
    <mergeCell ref="J78:L78"/>
    <mergeCell ref="J61:L61"/>
    <mergeCell ref="J44:L44"/>
    <mergeCell ref="X95:Z95"/>
    <mergeCell ref="P79:Q79"/>
    <mergeCell ref="V79:W79"/>
    <mergeCell ref="J95:L95"/>
    <mergeCell ref="X44:Z44"/>
    <mergeCell ref="P45:Q45"/>
    <mergeCell ref="V45:W45"/>
    <mergeCell ref="X61:Z61"/>
    <mergeCell ref="P62:Q62"/>
    <mergeCell ref="V62:W62"/>
    <mergeCell ref="X78:Z78"/>
    <mergeCell ref="B96:C96"/>
    <mergeCell ref="H96:I96"/>
    <mergeCell ref="P96:Q96"/>
    <mergeCell ref="V96:W96"/>
    <mergeCell ref="J112:L112"/>
    <mergeCell ref="B113:C113"/>
    <mergeCell ref="H113:I113"/>
    <mergeCell ref="X112:Z112"/>
    <mergeCell ref="P113:Q113"/>
    <mergeCell ref="V113:W113"/>
    <mergeCell ref="N27:S42"/>
    <mergeCell ref="U2:X2"/>
    <mergeCell ref="B2:E2"/>
    <mergeCell ref="H2:K2"/>
    <mergeCell ref="B28:C28"/>
    <mergeCell ref="H28:I28"/>
    <mergeCell ref="J27:L27"/>
    <mergeCell ref="B3:B17"/>
    <mergeCell ref="F3:F6"/>
    <mergeCell ref="P2:R2"/>
    <mergeCell ref="P11:Q11"/>
    <mergeCell ref="H3:H5"/>
    <mergeCell ref="H6:H11"/>
    <mergeCell ref="H12:H16"/>
    <mergeCell ref="H22:H23"/>
    <mergeCell ref="H17:H18"/>
    <mergeCell ref="H19:H20"/>
    <mergeCell ref="B79:C79"/>
    <mergeCell ref="H79:I79"/>
    <mergeCell ref="B45:C45"/>
    <mergeCell ref="H45:I45"/>
    <mergeCell ref="B62:C62"/>
    <mergeCell ref="H62:I62"/>
  </mergeCells>
  <dataValidations count="5">
    <dataValidation type="list" allowBlank="1" showInputMessage="1" sqref="B41 B58 B75 B92 P92 B109 P109 B126 P126 P75 P58" xr:uid="{00000000-0002-0000-0200-000000000000}">
      <formula1>$R$3:$R$11</formula1>
    </dataValidation>
    <dataValidation allowBlank="1" showErrorMessage="1" sqref="J27:L27 J44:L44 J61:L61 J78:L78 X78:Z78 J95:L95 X95:Z95 J112:L112 X112:Z112 X61:Z61 X44:Z44" xr:uid="{00000000-0002-0000-0200-000002000000}"/>
    <dataValidation type="list" allowBlank="1" showInputMessage="1" sqref="I37 I54 I71 I88 W88 I105 W105 I122 W122 W71 W54" xr:uid="{00000000-0002-0000-0200-000004000000}">
      <formula1>$I$3:$I$23</formula1>
    </dataValidation>
    <dataValidation type="list" allowBlank="1" showInputMessage="1" showErrorMessage="1" sqref="H28:I28 V45:W45 V62:W62 V113:W113 H113:I113 V96:W96 H96:I96 V79:W79 H79:I79 H62:I62 H45:I45" xr:uid="{00000000-0002-0000-0200-000001000000}">
      <formula1>$U$3:$U$14</formula1>
    </dataValidation>
    <dataValidation type="list" allowBlank="1" showInputMessage="1" sqref="B28:C28 P45:Q45 P62:Q62 P113:Q113 B113:C113 P96:Q96 B96:C96 P79:Q79 B79:C79 B62:C62 B45:C45" xr:uid="{00000000-0002-0000-0200-000003000000}">
      <formula1>$U$3:$U$14</formula1>
    </dataValidation>
  </dataValidations>
  <pageMargins left="0.78740157499999996" right="0.78740157499999996" top="0.984251969" bottom="0.984251969" header="0.4921259845" footer="0.4921259845"/>
  <pageSetup paperSize="9" orientation="portrait" r:id="rId1"/>
  <headerFooter alignWithMargins="0">
    <oddHeader xml:space="preserve">&amp;Rhässig sustech gmbh
</oddHeader>
    <oddFooter>&amp;L&amp;F/&amp;D&amp;C&amp;P von &amp;N&amp;Rwww.sustech.ch</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IS94"/>
  <sheetViews>
    <sheetView zoomScale="70" zoomScaleNormal="70" workbookViewId="0">
      <selection activeCell="S34" sqref="S34"/>
    </sheetView>
  </sheetViews>
  <sheetFormatPr defaultColWidth="11.453125" defaultRowHeight="13" outlineLevelCol="1" x14ac:dyDescent="0.3"/>
  <cols>
    <col min="1" max="1" width="2.453125" style="136" customWidth="1"/>
    <col min="2" max="2" width="18.54296875" style="136" bestFit="1" customWidth="1"/>
    <col min="3" max="3" width="24.6328125" style="136" customWidth="1"/>
    <col min="4" max="6" width="11.453125" style="136"/>
    <col min="7" max="7" width="19.6328125" style="136" customWidth="1"/>
    <col min="8" max="8" width="22.81640625" style="136" bestFit="1" customWidth="1"/>
    <col min="9" max="9" width="17.08984375" style="136" hidden="1" customWidth="1" outlineLevel="1"/>
    <col min="10" max="17" width="11.453125" style="136" hidden="1" customWidth="1" outlineLevel="1"/>
    <col min="18" max="18" width="8.984375E-2" style="553" customWidth="1" outlineLevel="1"/>
    <col min="19" max="19" width="27.54296875" style="136" customWidth="1"/>
    <col min="20" max="32" width="11.453125" style="136"/>
    <col min="33" max="33" width="6.08984375" style="136" bestFit="1" customWidth="1"/>
    <col min="34" max="16384" width="11.453125" style="136"/>
  </cols>
  <sheetData>
    <row r="1" spans="1:253" ht="13.5" thickBot="1" x14ac:dyDescent="0.35"/>
    <row r="2" spans="1:253" ht="20.25" customHeight="1" thickBot="1" x14ac:dyDescent="0.45">
      <c r="A2" s="554"/>
      <c r="B2" s="555" t="s">
        <v>293</v>
      </c>
      <c r="C2" s="554"/>
      <c r="D2" s="554"/>
      <c r="E2" s="464" t="s">
        <v>145</v>
      </c>
      <c r="F2" s="465"/>
      <c r="G2" s="556"/>
      <c r="H2" s="554"/>
      <c r="I2" s="554"/>
      <c r="J2" s="554"/>
      <c r="K2" s="554"/>
      <c r="L2" s="554"/>
      <c r="M2" s="554"/>
      <c r="N2" s="554"/>
      <c r="O2" s="554"/>
      <c r="P2" s="554"/>
      <c r="Q2" s="554"/>
      <c r="R2" s="557"/>
      <c r="S2" s="555"/>
      <c r="T2" s="554"/>
      <c r="U2" s="554"/>
      <c r="V2" s="554"/>
      <c r="W2" s="554"/>
      <c r="X2" s="554"/>
      <c r="Y2" s="554"/>
      <c r="Z2" s="554"/>
      <c r="AA2" s="554"/>
      <c r="AB2" s="554"/>
      <c r="AC2" s="554"/>
      <c r="AD2" s="554"/>
      <c r="AE2" s="554"/>
      <c r="AF2" s="554"/>
      <c r="AG2" s="554"/>
      <c r="AH2" s="554"/>
      <c r="AI2" s="554"/>
      <c r="AJ2" s="554"/>
      <c r="AK2" s="554"/>
      <c r="AL2" s="554"/>
      <c r="AM2" s="554"/>
      <c r="AN2" s="554"/>
      <c r="AO2" s="554"/>
      <c r="AP2" s="554"/>
      <c r="AQ2" s="554"/>
      <c r="AR2" s="554"/>
      <c r="AS2" s="554"/>
      <c r="AT2" s="554"/>
      <c r="AU2" s="554"/>
      <c r="AV2" s="554"/>
      <c r="AW2" s="554"/>
      <c r="AX2" s="554"/>
      <c r="AY2" s="554"/>
      <c r="AZ2" s="554"/>
      <c r="BA2" s="554"/>
      <c r="BB2" s="554"/>
      <c r="BC2" s="554"/>
      <c r="BD2" s="554"/>
      <c r="BE2" s="554"/>
      <c r="BF2" s="554"/>
      <c r="BG2" s="554"/>
      <c r="BH2" s="554"/>
      <c r="BI2" s="554"/>
      <c r="BJ2" s="554"/>
      <c r="BK2" s="554"/>
      <c r="BL2" s="554"/>
      <c r="BM2" s="554"/>
      <c r="BN2" s="554"/>
      <c r="BO2" s="554"/>
      <c r="BP2" s="554"/>
      <c r="BQ2" s="554"/>
      <c r="BR2" s="554"/>
      <c r="BS2" s="554"/>
      <c r="BT2" s="554"/>
      <c r="BU2" s="554"/>
      <c r="BV2" s="554"/>
      <c r="BW2" s="554"/>
      <c r="BX2" s="554"/>
      <c r="BY2" s="554"/>
      <c r="BZ2" s="554"/>
      <c r="CA2" s="554"/>
      <c r="CB2" s="554"/>
      <c r="CC2" s="554"/>
      <c r="CD2" s="554"/>
      <c r="CE2" s="554"/>
      <c r="CF2" s="554"/>
      <c r="CG2" s="554"/>
      <c r="CH2" s="554"/>
      <c r="CI2" s="554"/>
      <c r="CJ2" s="554"/>
      <c r="CK2" s="554"/>
      <c r="CL2" s="554"/>
      <c r="CM2" s="554"/>
      <c r="CN2" s="554"/>
      <c r="CO2" s="554"/>
      <c r="CP2" s="554"/>
      <c r="CQ2" s="554"/>
      <c r="CR2" s="554"/>
      <c r="CS2" s="554"/>
      <c r="CT2" s="554"/>
      <c r="CU2" s="554"/>
      <c r="CV2" s="554"/>
      <c r="CW2" s="554"/>
      <c r="CX2" s="554"/>
      <c r="CY2" s="554"/>
      <c r="CZ2" s="554"/>
      <c r="DA2" s="554"/>
      <c r="DB2" s="554"/>
      <c r="DC2" s="554"/>
      <c r="DD2" s="554"/>
      <c r="DE2" s="554"/>
      <c r="DF2" s="554"/>
      <c r="DG2" s="554"/>
      <c r="DH2" s="554"/>
      <c r="DI2" s="554"/>
      <c r="DJ2" s="554"/>
      <c r="DK2" s="554"/>
      <c r="DL2" s="554"/>
      <c r="DM2" s="554"/>
      <c r="DN2" s="554"/>
      <c r="DO2" s="554"/>
      <c r="DP2" s="554"/>
      <c r="DQ2" s="554"/>
      <c r="DR2" s="554"/>
      <c r="DS2" s="554"/>
      <c r="DT2" s="554"/>
      <c r="DU2" s="554"/>
      <c r="DV2" s="554"/>
      <c r="DW2" s="554"/>
      <c r="DX2" s="554"/>
      <c r="DY2" s="554"/>
      <c r="DZ2" s="554"/>
      <c r="EA2" s="554"/>
      <c r="EB2" s="554"/>
      <c r="EC2" s="554"/>
      <c r="ED2" s="554"/>
      <c r="EE2" s="554"/>
      <c r="EF2" s="554"/>
      <c r="EG2" s="554"/>
      <c r="EH2" s="554"/>
      <c r="EI2" s="554"/>
      <c r="EJ2" s="554"/>
      <c r="EK2" s="554"/>
      <c r="EL2" s="554"/>
      <c r="EM2" s="554"/>
      <c r="EN2" s="554"/>
      <c r="EO2" s="554"/>
      <c r="EP2" s="554"/>
      <c r="EQ2" s="554"/>
      <c r="ER2" s="554"/>
      <c r="ES2" s="554"/>
      <c r="ET2" s="554"/>
      <c r="EU2" s="554"/>
      <c r="EV2" s="554"/>
      <c r="EW2" s="554"/>
      <c r="EX2" s="554"/>
      <c r="EY2" s="554"/>
      <c r="EZ2" s="554"/>
      <c r="FA2" s="554"/>
      <c r="FB2" s="554"/>
      <c r="FC2" s="554"/>
      <c r="FD2" s="554"/>
      <c r="FE2" s="554"/>
      <c r="FF2" s="554"/>
      <c r="FG2" s="554"/>
      <c r="FH2" s="554"/>
      <c r="FI2" s="554"/>
      <c r="FJ2" s="554"/>
      <c r="FK2" s="554"/>
      <c r="FL2" s="554"/>
      <c r="FM2" s="554"/>
      <c r="FN2" s="554"/>
      <c r="FO2" s="554"/>
      <c r="FP2" s="554"/>
      <c r="FQ2" s="554"/>
      <c r="FR2" s="554"/>
      <c r="FS2" s="554"/>
      <c r="FT2" s="554"/>
      <c r="FU2" s="554"/>
      <c r="FV2" s="554"/>
      <c r="FW2" s="554"/>
      <c r="FX2" s="554"/>
      <c r="FY2" s="554"/>
      <c r="FZ2" s="554"/>
      <c r="GA2" s="554"/>
      <c r="GB2" s="554"/>
      <c r="GC2" s="554"/>
      <c r="GD2" s="554"/>
      <c r="GE2" s="554"/>
      <c r="GF2" s="554"/>
      <c r="GG2" s="554"/>
      <c r="GH2" s="554"/>
      <c r="GI2" s="554"/>
      <c r="GJ2" s="554"/>
      <c r="GK2" s="554"/>
      <c r="GL2" s="554"/>
      <c r="GM2" s="554"/>
      <c r="GN2" s="554"/>
      <c r="GO2" s="554"/>
      <c r="GP2" s="554"/>
      <c r="GQ2" s="554"/>
      <c r="GR2" s="554"/>
      <c r="GS2" s="554"/>
      <c r="GT2" s="554"/>
      <c r="GU2" s="554"/>
      <c r="GV2" s="554"/>
      <c r="GW2" s="554"/>
      <c r="GX2" s="554"/>
      <c r="GY2" s="554"/>
      <c r="GZ2" s="554"/>
      <c r="HA2" s="554"/>
      <c r="HB2" s="554"/>
      <c r="HC2" s="554"/>
      <c r="HD2" s="554"/>
      <c r="HE2" s="554"/>
      <c r="HF2" s="554"/>
      <c r="HG2" s="554"/>
      <c r="HH2" s="554"/>
      <c r="HI2" s="554"/>
      <c r="HJ2" s="554"/>
      <c r="HK2" s="554"/>
      <c r="HL2" s="554"/>
      <c r="HM2" s="554"/>
      <c r="HN2" s="554"/>
      <c r="HO2" s="554"/>
      <c r="HP2" s="554"/>
      <c r="HQ2" s="554"/>
      <c r="HR2" s="554"/>
      <c r="HS2" s="554"/>
      <c r="HT2" s="554"/>
      <c r="HU2" s="554"/>
      <c r="HV2" s="554"/>
      <c r="HW2" s="554"/>
      <c r="HX2" s="554"/>
      <c r="HY2" s="554"/>
      <c r="HZ2" s="554"/>
      <c r="IA2" s="554"/>
      <c r="IB2" s="554"/>
      <c r="IC2" s="554"/>
      <c r="ID2" s="554"/>
      <c r="IE2" s="554"/>
      <c r="IF2" s="554"/>
      <c r="IG2" s="554"/>
      <c r="IH2" s="554"/>
      <c r="II2" s="554"/>
      <c r="IJ2" s="554"/>
      <c r="IK2" s="554"/>
      <c r="IL2" s="554"/>
      <c r="IM2" s="554"/>
      <c r="IN2" s="554"/>
      <c r="IO2" s="554"/>
      <c r="IP2" s="554"/>
      <c r="IQ2" s="554"/>
      <c r="IR2" s="554"/>
      <c r="IS2" s="554"/>
    </row>
    <row r="3" spans="1:253" ht="20.25" customHeight="1" thickBot="1" x14ac:dyDescent="0.35">
      <c r="A3" s="554"/>
      <c r="B3" s="555"/>
      <c r="C3" s="554"/>
      <c r="D3" s="554"/>
      <c r="E3" s="554"/>
      <c r="F3" s="554"/>
      <c r="G3" s="463"/>
      <c r="H3" s="463"/>
      <c r="I3" s="463"/>
      <c r="J3" s="463"/>
      <c r="K3" s="463"/>
      <c r="L3" s="463"/>
      <c r="M3" s="463"/>
      <c r="N3" s="463"/>
      <c r="O3" s="463"/>
      <c r="P3" s="463"/>
      <c r="Q3" s="463"/>
      <c r="R3" s="558"/>
      <c r="S3" s="463"/>
      <c r="T3" s="463"/>
      <c r="U3" s="463"/>
      <c r="V3" s="463"/>
      <c r="W3" s="463"/>
      <c r="X3" s="463"/>
      <c r="Y3" s="463"/>
      <c r="Z3" s="463"/>
      <c r="AA3" s="463"/>
      <c r="AB3" s="463"/>
      <c r="AC3" s="463"/>
      <c r="AD3" s="463"/>
      <c r="AE3" s="463"/>
      <c r="AF3" s="463"/>
      <c r="AG3" s="463"/>
      <c r="AH3" s="463"/>
      <c r="AI3" s="463"/>
      <c r="AJ3" s="463"/>
      <c r="AK3" s="463"/>
      <c r="AL3" s="463"/>
      <c r="AM3" s="463"/>
      <c r="AN3" s="463"/>
      <c r="AO3" s="463"/>
      <c r="AP3" s="463"/>
      <c r="AQ3" s="463"/>
      <c r="AR3" s="463"/>
      <c r="AS3" s="463"/>
      <c r="AT3" s="463"/>
      <c r="AU3" s="463"/>
      <c r="AV3" s="463"/>
      <c r="AW3" s="463"/>
      <c r="AX3" s="463"/>
      <c r="AY3" s="463"/>
      <c r="AZ3" s="463"/>
      <c r="BA3" s="463"/>
      <c r="BB3" s="463"/>
      <c r="BC3" s="463"/>
      <c r="BD3" s="463"/>
      <c r="BE3" s="463"/>
      <c r="BF3" s="463"/>
      <c r="BG3" s="463"/>
      <c r="BH3" s="463"/>
      <c r="BI3" s="463"/>
      <c r="BJ3" s="463"/>
      <c r="BK3" s="463"/>
      <c r="BL3" s="463"/>
      <c r="BM3" s="463"/>
      <c r="BN3" s="463"/>
      <c r="BO3" s="463"/>
      <c r="BP3" s="463"/>
      <c r="BQ3" s="463"/>
      <c r="BR3" s="463"/>
      <c r="BS3" s="463"/>
      <c r="BT3" s="463"/>
      <c r="BU3" s="463"/>
      <c r="BV3" s="463"/>
      <c r="BW3" s="463"/>
      <c r="BX3" s="463"/>
      <c r="BY3" s="463"/>
      <c r="BZ3" s="463"/>
      <c r="CA3" s="463"/>
      <c r="CB3" s="463"/>
      <c r="CC3" s="463"/>
      <c r="CD3" s="463"/>
      <c r="CE3" s="463"/>
      <c r="CF3" s="463"/>
      <c r="CG3" s="463"/>
      <c r="CH3" s="463"/>
      <c r="CI3" s="463"/>
      <c r="CJ3" s="463"/>
      <c r="CK3" s="463"/>
      <c r="CL3" s="463"/>
      <c r="CM3" s="463"/>
      <c r="CN3" s="463"/>
      <c r="CO3" s="463"/>
      <c r="CP3" s="463"/>
      <c r="CQ3" s="463"/>
      <c r="CR3" s="463"/>
      <c r="CS3" s="463"/>
      <c r="CT3" s="463"/>
      <c r="CU3" s="463"/>
      <c r="CV3" s="463"/>
      <c r="CW3" s="463"/>
      <c r="CX3" s="463"/>
      <c r="CY3" s="463"/>
      <c r="CZ3" s="463"/>
      <c r="DA3" s="463"/>
      <c r="DB3" s="463"/>
      <c r="DC3" s="463"/>
      <c r="DD3" s="463"/>
      <c r="DE3" s="463"/>
      <c r="DF3" s="463"/>
      <c r="DG3" s="463"/>
      <c r="DH3" s="463"/>
      <c r="DI3" s="463"/>
      <c r="DJ3" s="463"/>
      <c r="DK3" s="463"/>
      <c r="DL3" s="463"/>
      <c r="DM3" s="463"/>
      <c r="DN3" s="463"/>
      <c r="DO3" s="463"/>
      <c r="DP3" s="463"/>
      <c r="DQ3" s="463"/>
      <c r="DR3" s="463"/>
      <c r="DS3" s="463"/>
      <c r="DT3" s="463"/>
      <c r="DU3" s="463"/>
      <c r="DV3" s="463"/>
      <c r="DW3" s="463"/>
      <c r="DX3" s="463"/>
      <c r="DY3" s="463"/>
      <c r="DZ3" s="463"/>
      <c r="EA3" s="463"/>
      <c r="EB3" s="463"/>
      <c r="EC3" s="463"/>
      <c r="ED3" s="463"/>
      <c r="EE3" s="463"/>
      <c r="EF3" s="463"/>
      <c r="EG3" s="463"/>
      <c r="EH3" s="463"/>
      <c r="EI3" s="463"/>
      <c r="EJ3" s="463"/>
      <c r="EK3" s="463"/>
      <c r="EL3" s="463"/>
      <c r="EM3" s="463"/>
      <c r="EN3" s="463"/>
      <c r="EO3" s="463"/>
      <c r="EP3" s="463"/>
      <c r="EQ3" s="463"/>
      <c r="ER3" s="463"/>
      <c r="ES3" s="463"/>
      <c r="ET3" s="463"/>
      <c r="EU3" s="463"/>
      <c r="EV3" s="463"/>
      <c r="EW3" s="463"/>
      <c r="EX3" s="463"/>
      <c r="EY3" s="463"/>
      <c r="EZ3" s="463"/>
      <c r="FA3" s="463"/>
      <c r="FB3" s="463"/>
      <c r="FC3" s="463"/>
      <c r="FD3" s="463"/>
      <c r="FE3" s="463"/>
      <c r="FF3" s="463"/>
      <c r="FG3" s="463"/>
      <c r="FH3" s="463"/>
      <c r="FI3" s="463"/>
      <c r="FJ3" s="463"/>
      <c r="FK3" s="463"/>
      <c r="FL3" s="463"/>
      <c r="FM3" s="463"/>
      <c r="FN3" s="463"/>
      <c r="FO3" s="463"/>
      <c r="FP3" s="463"/>
      <c r="FQ3" s="463"/>
      <c r="FR3" s="463"/>
      <c r="FS3" s="463"/>
      <c r="FT3" s="463"/>
      <c r="FU3" s="463"/>
      <c r="FV3" s="463"/>
      <c r="FW3" s="463"/>
      <c r="FX3" s="463"/>
      <c r="FY3" s="463"/>
      <c r="FZ3" s="463"/>
      <c r="GA3" s="463"/>
      <c r="GB3" s="463"/>
      <c r="GC3" s="463"/>
      <c r="GD3" s="463"/>
      <c r="GE3" s="463"/>
      <c r="GF3" s="463"/>
      <c r="GG3" s="463"/>
      <c r="GH3" s="463"/>
      <c r="GI3" s="463"/>
      <c r="GJ3" s="463"/>
      <c r="GK3" s="463"/>
      <c r="GL3" s="463"/>
      <c r="GM3" s="463"/>
      <c r="GN3" s="463"/>
      <c r="GO3" s="463"/>
      <c r="GP3" s="463"/>
      <c r="GQ3" s="463"/>
      <c r="GR3" s="463"/>
      <c r="GS3" s="463"/>
      <c r="GT3" s="463"/>
      <c r="GU3" s="463"/>
      <c r="GV3" s="463"/>
      <c r="GW3" s="463"/>
      <c r="GX3" s="463"/>
      <c r="GY3" s="463"/>
      <c r="GZ3" s="463"/>
      <c r="HA3" s="463"/>
      <c r="HB3" s="463"/>
      <c r="HC3" s="463"/>
      <c r="HD3" s="463"/>
      <c r="HE3" s="463"/>
      <c r="HF3" s="463"/>
      <c r="HG3" s="463"/>
      <c r="HH3" s="463"/>
      <c r="HI3" s="463"/>
      <c r="HJ3" s="463"/>
      <c r="HK3" s="463"/>
      <c r="HL3" s="463"/>
      <c r="HM3" s="463"/>
      <c r="HN3" s="463"/>
      <c r="HO3" s="463"/>
      <c r="HP3" s="463"/>
      <c r="HQ3" s="463"/>
      <c r="HR3" s="463"/>
      <c r="HS3" s="463"/>
      <c r="HT3" s="463"/>
      <c r="HU3" s="463"/>
      <c r="HV3" s="463"/>
      <c r="HW3" s="463"/>
      <c r="HX3" s="463"/>
      <c r="HY3" s="463"/>
      <c r="HZ3" s="463"/>
      <c r="IA3" s="463"/>
      <c r="IB3" s="463"/>
      <c r="IC3" s="463"/>
      <c r="ID3" s="463"/>
      <c r="IE3" s="463"/>
      <c r="IF3" s="463"/>
      <c r="IG3" s="463"/>
      <c r="IH3" s="463"/>
      <c r="II3" s="463"/>
      <c r="IJ3" s="463"/>
      <c r="IK3" s="463"/>
      <c r="IL3" s="463"/>
      <c r="IM3" s="463"/>
      <c r="IN3" s="463"/>
      <c r="IO3" s="463"/>
      <c r="IP3" s="463"/>
      <c r="IQ3" s="463"/>
      <c r="IR3" s="463"/>
      <c r="IS3" s="463"/>
    </row>
    <row r="4" spans="1:253" ht="18" x14ac:dyDescent="0.4">
      <c r="B4" s="730" t="s">
        <v>501</v>
      </c>
      <c r="C4" s="731"/>
      <c r="D4" s="731"/>
      <c r="E4" s="731"/>
      <c r="F4" s="731"/>
      <c r="G4" s="727" t="s">
        <v>500</v>
      </c>
      <c r="H4" s="728"/>
      <c r="I4" s="728"/>
      <c r="J4" s="728"/>
      <c r="K4" s="728"/>
      <c r="L4" s="728"/>
      <c r="M4" s="728"/>
      <c r="N4" s="728"/>
      <c r="O4" s="728"/>
      <c r="P4" s="728"/>
      <c r="Q4" s="728"/>
      <c r="R4" s="728"/>
      <c r="S4" s="729"/>
    </row>
    <row r="5" spans="1:253" s="562" customFormat="1" ht="15.5" x14ac:dyDescent="0.35">
      <c r="B5" s="563">
        <f>Energie_EBF!K23</f>
        <v>4.3</v>
      </c>
      <c r="C5" s="564" t="s">
        <v>515</v>
      </c>
      <c r="G5" s="614" t="s">
        <v>499</v>
      </c>
      <c r="H5" s="562" t="s">
        <v>552</v>
      </c>
      <c r="R5" s="613"/>
      <c r="S5" s="646" t="s">
        <v>519</v>
      </c>
      <c r="U5" s="562" t="s">
        <v>557</v>
      </c>
    </row>
    <row r="6" spans="1:253" ht="20.25" customHeight="1" x14ac:dyDescent="0.35">
      <c r="B6" s="567">
        <f>ROUND(45000+IF(B5&gt;5,2100*(B5-5),0),-3)</f>
        <v>45000</v>
      </c>
      <c r="C6" s="568" t="s">
        <v>195</v>
      </c>
      <c r="D6" s="569"/>
      <c r="E6" s="569"/>
      <c r="F6" s="569"/>
      <c r="G6" s="615">
        <f>2900+IF(B5&gt;15,(B5-15)*160,0)</f>
        <v>2900</v>
      </c>
      <c r="H6" s="643">
        <f>ROUND(8000+B5*120,-2)-G6</f>
        <v>5600</v>
      </c>
      <c r="I6" s="643"/>
      <c r="J6" s="643"/>
      <c r="K6" s="643"/>
      <c r="L6" s="643"/>
      <c r="M6" s="643"/>
      <c r="N6" s="643"/>
      <c r="O6" s="643"/>
      <c r="P6" s="643"/>
      <c r="Q6" s="643"/>
      <c r="R6" s="616"/>
      <c r="S6" s="617">
        <f>ROUND(S9*S10,-2)</f>
        <v>1800</v>
      </c>
      <c r="U6" s="645" t="s">
        <v>518</v>
      </c>
      <c r="V6" s="262"/>
      <c r="W6" s="262"/>
      <c r="X6" s="262"/>
      <c r="Y6" s="262"/>
      <c r="Z6" s="262"/>
      <c r="AA6" s="262"/>
      <c r="AB6" s="262"/>
      <c r="AC6" s="262"/>
      <c r="AD6" s="262"/>
      <c r="AE6" s="262"/>
    </row>
    <row r="7" spans="1:253" ht="20.25" customHeight="1" x14ac:dyDescent="0.3">
      <c r="B7" s="567">
        <f>ROUND(55000+IF(B5&gt;5,3200*(B5-5),0),-3)</f>
        <v>55000</v>
      </c>
      <c r="C7" s="568" t="s">
        <v>196</v>
      </c>
      <c r="D7" s="569"/>
      <c r="E7" s="569"/>
      <c r="F7" s="569"/>
      <c r="G7" s="615">
        <f>6800+IF(B5&gt;15,(B5-15)*420,0)</f>
        <v>6800</v>
      </c>
      <c r="H7" s="643">
        <f>ROUND(16000+360*B5,-2)-G7</f>
        <v>10700</v>
      </c>
      <c r="I7" s="643"/>
      <c r="J7" s="643"/>
      <c r="K7" s="643"/>
      <c r="L7" s="643"/>
      <c r="M7" s="643"/>
      <c r="N7" s="643"/>
      <c r="O7" s="643"/>
      <c r="P7" s="643"/>
      <c r="Q7" s="643"/>
      <c r="R7" s="616"/>
      <c r="S7" s="617">
        <f>ROUND(S9*S10,-2)</f>
        <v>1800</v>
      </c>
      <c r="U7" s="136" t="s">
        <v>483</v>
      </c>
    </row>
    <row r="8" spans="1:253" ht="20.25" customHeight="1" thickBot="1" x14ac:dyDescent="0.4">
      <c r="B8" s="563">
        <f>Energie_EBF!K20</f>
        <v>3.6</v>
      </c>
      <c r="C8" s="564" t="s">
        <v>498</v>
      </c>
      <c r="D8" s="562"/>
      <c r="E8" s="562"/>
      <c r="F8" s="562"/>
      <c r="G8" s="618" t="s">
        <v>553</v>
      </c>
      <c r="H8" s="644"/>
      <c r="I8" s="644"/>
      <c r="J8" s="644"/>
      <c r="K8" s="644"/>
      <c r="L8" s="644"/>
      <c r="M8" s="644"/>
      <c r="N8" s="644"/>
      <c r="O8" s="644"/>
      <c r="P8" s="644"/>
      <c r="Q8" s="644"/>
      <c r="R8" s="619"/>
      <c r="S8" s="620"/>
      <c r="U8" s="595" t="s">
        <v>480</v>
      </c>
    </row>
    <row r="9" spans="1:253" ht="20.25" customHeight="1" x14ac:dyDescent="0.3">
      <c r="B9" s="567">
        <f>ROUND(15000+IF(B8&gt;10,500*(B8-10),0),-3)</f>
        <v>15000</v>
      </c>
      <c r="C9" s="568" t="s">
        <v>197</v>
      </c>
      <c r="D9" s="569"/>
      <c r="E9" s="569"/>
      <c r="F9" s="569"/>
      <c r="G9" s="628" t="s">
        <v>502</v>
      </c>
      <c r="H9" s="277"/>
      <c r="I9" s="629"/>
      <c r="J9" s="629"/>
      <c r="K9" s="629"/>
      <c r="L9" s="629"/>
      <c r="M9" s="629"/>
      <c r="N9" s="629"/>
      <c r="O9" s="629"/>
      <c r="P9" s="629"/>
      <c r="Q9" s="629"/>
      <c r="R9" s="630"/>
      <c r="S9" s="627">
        <f>Energie_EBF!K12</f>
        <v>10000</v>
      </c>
      <c r="U9" s="136" t="s">
        <v>482</v>
      </c>
    </row>
    <row r="10" spans="1:253" ht="20.25" customHeight="1" thickBot="1" x14ac:dyDescent="0.35">
      <c r="B10" s="567">
        <f>ROUND(12000+IF(B8&gt;10,500*(B8-10),0),-3)</f>
        <v>12000</v>
      </c>
      <c r="C10" s="568" t="s">
        <v>198</v>
      </c>
      <c r="D10" s="569"/>
      <c r="E10" s="569"/>
      <c r="F10" s="569"/>
      <c r="G10" s="631" t="s">
        <v>503</v>
      </c>
      <c r="H10" s="632"/>
      <c r="I10" s="632"/>
      <c r="J10" s="632"/>
      <c r="K10" s="632"/>
      <c r="L10" s="632"/>
      <c r="M10" s="632"/>
      <c r="N10" s="632"/>
      <c r="O10" s="632"/>
      <c r="P10" s="632"/>
      <c r="Q10" s="632"/>
      <c r="R10" s="633"/>
      <c r="S10" s="634">
        <v>0.18</v>
      </c>
      <c r="U10" s="595" t="s">
        <v>481</v>
      </c>
      <c r="V10" s="626"/>
    </row>
    <row r="11" spans="1:253" ht="20.25" customHeight="1" x14ac:dyDescent="0.3">
      <c r="B11" s="567">
        <f>ROUND(45000+IF(B8&gt;10,1200*(B8-10),0),-3)</f>
        <v>45000</v>
      </c>
      <c r="C11" s="568" t="s">
        <v>199</v>
      </c>
      <c r="D11" s="569"/>
      <c r="E11" s="569"/>
      <c r="F11" s="569"/>
      <c r="G11" s="615"/>
      <c r="H11" s="643"/>
      <c r="I11" s="643"/>
      <c r="J11" s="643"/>
      <c r="K11" s="643"/>
      <c r="L11" s="643"/>
      <c r="M11" s="643"/>
      <c r="N11" s="643"/>
      <c r="O11" s="643"/>
      <c r="P11" s="643"/>
      <c r="Q11" s="643"/>
      <c r="R11" s="616"/>
      <c r="S11" s="617"/>
    </row>
    <row r="12" spans="1:253" ht="20.25" customHeight="1" thickBot="1" x14ac:dyDescent="0.35">
      <c r="B12" s="571">
        <f>ROUND((25900+20000)+IF(B8&gt;50,(B8-50)*(230+20),0),-3)</f>
        <v>46000</v>
      </c>
      <c r="C12" s="641" t="s">
        <v>534</v>
      </c>
      <c r="D12" s="642"/>
      <c r="E12" s="642"/>
      <c r="F12" s="642"/>
      <c r="G12" s="621">
        <f>5200+IF(B8&gt;15,(B8-15)*100,0)</f>
        <v>5200</v>
      </c>
      <c r="H12" s="622">
        <f>ROUND(12000+B8*120,-2)-G12</f>
        <v>7200</v>
      </c>
      <c r="I12" s="622"/>
      <c r="J12" s="622"/>
      <c r="K12" s="622"/>
      <c r="L12" s="622"/>
      <c r="M12" s="622"/>
      <c r="N12" s="622"/>
      <c r="O12" s="622"/>
      <c r="P12" s="622"/>
      <c r="Q12" s="622"/>
      <c r="R12" s="623"/>
      <c r="S12" s="624">
        <f>ROUND(S10*S9,-2)</f>
        <v>1800</v>
      </c>
    </row>
    <row r="13" spans="1:253" ht="21" customHeight="1" x14ac:dyDescent="0.3">
      <c r="B13" s="572"/>
      <c r="C13" s="573"/>
    </row>
    <row r="14" spans="1:253" ht="21" customHeight="1" x14ac:dyDescent="0.4">
      <c r="B14" s="625" t="s">
        <v>436</v>
      </c>
      <c r="C14" s="573"/>
    </row>
    <row r="15" spans="1:253" ht="21" customHeight="1" x14ac:dyDescent="0.3">
      <c r="B15" s="572" t="s">
        <v>516</v>
      </c>
      <c r="C15" s="573"/>
    </row>
    <row r="16" spans="1:253" ht="21" customHeight="1" x14ac:dyDescent="0.3">
      <c r="B16" s="572"/>
      <c r="C16" s="573"/>
    </row>
    <row r="18" spans="1:253" ht="20.25" customHeight="1" x14ac:dyDescent="0.3">
      <c r="A18" s="554"/>
      <c r="B18" s="555" t="s">
        <v>294</v>
      </c>
      <c r="C18" s="554"/>
      <c r="D18" s="554"/>
      <c r="E18" s="554"/>
      <c r="F18" s="554"/>
      <c r="G18" s="733"/>
      <c r="H18" s="733"/>
      <c r="I18" s="733"/>
      <c r="J18" s="733"/>
      <c r="K18" s="733"/>
      <c r="L18" s="733"/>
      <c r="M18" s="733"/>
      <c r="N18" s="733"/>
      <c r="O18" s="733"/>
      <c r="P18" s="733"/>
      <c r="Q18" s="733"/>
      <c r="R18" s="733"/>
      <c r="S18" s="555" t="s">
        <v>489</v>
      </c>
      <c r="Y18" s="463"/>
      <c r="Z18" s="463"/>
      <c r="AA18" s="732"/>
      <c r="AB18" s="732"/>
      <c r="AC18" s="732"/>
      <c r="AD18" s="732"/>
      <c r="AE18" s="732"/>
      <c r="AF18" s="732"/>
      <c r="AG18" s="554"/>
      <c r="AH18" s="733"/>
      <c r="AI18" s="733"/>
      <c r="AJ18" s="733"/>
      <c r="AK18" s="733"/>
      <c r="AL18" s="733"/>
      <c r="AM18" s="733"/>
      <c r="AN18" s="733"/>
      <c r="AO18" s="733"/>
      <c r="AP18" s="733"/>
      <c r="AQ18" s="733"/>
      <c r="AR18" s="733"/>
      <c r="AS18" s="733"/>
      <c r="AT18" s="733"/>
      <c r="AU18" s="733"/>
      <c r="AV18" s="733"/>
      <c r="AW18" s="733"/>
      <c r="AX18" s="733"/>
      <c r="AY18" s="733"/>
      <c r="AZ18" s="733"/>
      <c r="BA18" s="733"/>
      <c r="BB18" s="733"/>
      <c r="BC18" s="733"/>
      <c r="BD18" s="733"/>
      <c r="BE18" s="733"/>
      <c r="BF18" s="733"/>
      <c r="BG18" s="733"/>
      <c r="BH18" s="733"/>
      <c r="BI18" s="733"/>
      <c r="BJ18" s="733"/>
      <c r="BK18" s="733"/>
      <c r="BL18" s="733"/>
      <c r="BM18" s="733"/>
      <c r="BN18" s="733"/>
      <c r="BO18" s="733"/>
      <c r="BP18" s="733"/>
      <c r="BQ18" s="733"/>
      <c r="BR18" s="733"/>
      <c r="BS18" s="733"/>
      <c r="BT18" s="733"/>
      <c r="BU18" s="733"/>
      <c r="BV18" s="733"/>
      <c r="BW18" s="733"/>
      <c r="BX18" s="733"/>
      <c r="BY18" s="733"/>
      <c r="BZ18" s="733"/>
      <c r="CA18" s="733"/>
      <c r="CB18" s="733"/>
      <c r="CC18" s="733"/>
      <c r="CD18" s="733"/>
      <c r="CE18" s="733"/>
      <c r="CF18" s="733"/>
      <c r="CG18" s="733"/>
      <c r="CH18" s="733"/>
      <c r="CI18" s="733"/>
      <c r="CJ18" s="733"/>
      <c r="CK18" s="733"/>
      <c r="CL18" s="733"/>
      <c r="CM18" s="733"/>
      <c r="CN18" s="733"/>
      <c r="CO18" s="733"/>
      <c r="CP18" s="733"/>
      <c r="CQ18" s="733"/>
      <c r="CR18" s="733"/>
      <c r="CS18" s="733"/>
      <c r="CT18" s="733"/>
      <c r="CU18" s="733"/>
      <c r="CV18" s="733"/>
      <c r="CW18" s="733"/>
      <c r="CX18" s="733"/>
      <c r="CY18" s="733"/>
      <c r="CZ18" s="733"/>
      <c r="DA18" s="733"/>
      <c r="DB18" s="733"/>
      <c r="DC18" s="733"/>
      <c r="DD18" s="733"/>
      <c r="DE18" s="733"/>
      <c r="DF18" s="733"/>
      <c r="DG18" s="733"/>
      <c r="DH18" s="733"/>
      <c r="DI18" s="733"/>
      <c r="DJ18" s="733"/>
      <c r="DK18" s="733"/>
      <c r="DL18" s="733"/>
      <c r="DM18" s="733"/>
      <c r="DN18" s="733"/>
      <c r="DO18" s="733"/>
      <c r="DP18" s="733"/>
      <c r="DQ18" s="733"/>
      <c r="DR18" s="733"/>
      <c r="DS18" s="733"/>
      <c r="DT18" s="733"/>
      <c r="DU18" s="733"/>
      <c r="DV18" s="733"/>
      <c r="DW18" s="733"/>
      <c r="DX18" s="733"/>
      <c r="DY18" s="733"/>
      <c r="DZ18" s="733"/>
      <c r="EA18" s="733"/>
      <c r="EB18" s="733"/>
      <c r="EC18" s="733"/>
      <c r="ED18" s="733"/>
      <c r="EE18" s="733"/>
      <c r="EF18" s="733"/>
      <c r="EG18" s="733"/>
      <c r="EH18" s="733"/>
      <c r="EI18" s="733"/>
      <c r="EJ18" s="733"/>
      <c r="EK18" s="733"/>
      <c r="EL18" s="733"/>
      <c r="EM18" s="733"/>
      <c r="EN18" s="733"/>
      <c r="EO18" s="733"/>
      <c r="EP18" s="733"/>
      <c r="EQ18" s="733"/>
      <c r="ER18" s="733"/>
      <c r="ES18" s="733"/>
      <c r="ET18" s="733"/>
      <c r="EU18" s="733"/>
      <c r="EV18" s="733"/>
      <c r="EW18" s="733"/>
      <c r="EX18" s="733"/>
      <c r="EY18" s="733"/>
      <c r="EZ18" s="733"/>
      <c r="FA18" s="733"/>
      <c r="FB18" s="733"/>
      <c r="FC18" s="733"/>
      <c r="FD18" s="733"/>
      <c r="FE18" s="733"/>
      <c r="FF18" s="733"/>
      <c r="FG18" s="733"/>
      <c r="FH18" s="733"/>
      <c r="FI18" s="733"/>
      <c r="FJ18" s="733"/>
      <c r="FK18" s="733"/>
      <c r="FL18" s="733"/>
      <c r="FM18" s="733"/>
      <c r="FN18" s="733"/>
      <c r="FO18" s="733"/>
      <c r="FP18" s="733"/>
      <c r="FQ18" s="733"/>
      <c r="FR18" s="733"/>
      <c r="FS18" s="733"/>
      <c r="FT18" s="733"/>
      <c r="FU18" s="733"/>
      <c r="FV18" s="733"/>
      <c r="FW18" s="733"/>
      <c r="FX18" s="733"/>
      <c r="FY18" s="733"/>
      <c r="FZ18" s="733"/>
      <c r="GA18" s="733"/>
      <c r="GB18" s="733"/>
      <c r="GC18" s="733"/>
      <c r="GD18" s="733"/>
      <c r="GE18" s="733"/>
      <c r="GF18" s="733"/>
      <c r="GG18" s="733"/>
      <c r="GH18" s="733"/>
      <c r="GI18" s="733"/>
      <c r="GJ18" s="733"/>
      <c r="GK18" s="733"/>
      <c r="GL18" s="733"/>
      <c r="GM18" s="733"/>
      <c r="GN18" s="733"/>
      <c r="GO18" s="733"/>
      <c r="GP18" s="733"/>
      <c r="GQ18" s="733"/>
      <c r="GR18" s="733"/>
      <c r="GS18" s="733"/>
      <c r="GT18" s="733"/>
      <c r="GU18" s="733"/>
      <c r="GV18" s="733"/>
      <c r="GW18" s="733"/>
      <c r="GX18" s="733"/>
      <c r="GY18" s="733"/>
      <c r="GZ18" s="733"/>
      <c r="HA18" s="733"/>
      <c r="HB18" s="733"/>
      <c r="HC18" s="733"/>
      <c r="HD18" s="733"/>
      <c r="HE18" s="733"/>
      <c r="HF18" s="733"/>
      <c r="HG18" s="733"/>
      <c r="HH18" s="733"/>
      <c r="HI18" s="733"/>
      <c r="HJ18" s="733"/>
      <c r="HK18" s="733"/>
      <c r="HL18" s="733"/>
      <c r="HM18" s="733"/>
      <c r="HN18" s="733"/>
      <c r="HO18" s="733"/>
      <c r="HP18" s="733"/>
      <c r="HQ18" s="733"/>
      <c r="HR18" s="733"/>
      <c r="HS18" s="733"/>
      <c r="HT18" s="733"/>
      <c r="HU18" s="733"/>
      <c r="HV18" s="733"/>
      <c r="HW18" s="733"/>
      <c r="HX18" s="733"/>
      <c r="HY18" s="733"/>
      <c r="HZ18" s="733"/>
      <c r="IA18" s="733"/>
      <c r="IB18" s="733"/>
      <c r="IC18" s="733"/>
      <c r="ID18" s="733"/>
      <c r="IE18" s="733"/>
      <c r="IF18" s="733"/>
      <c r="IG18" s="733"/>
      <c r="IH18" s="733"/>
      <c r="II18" s="733"/>
      <c r="IJ18" s="733"/>
      <c r="IK18" s="733"/>
      <c r="IL18" s="733"/>
      <c r="IM18" s="733"/>
      <c r="IN18" s="733"/>
      <c r="IO18" s="733"/>
      <c r="IP18" s="733"/>
      <c r="IQ18" s="733"/>
      <c r="IR18" s="733"/>
      <c r="IS18" s="733"/>
    </row>
    <row r="19" spans="1:253" ht="13.5" thickBot="1" x14ac:dyDescent="0.35">
      <c r="I19" s="136" t="s">
        <v>201</v>
      </c>
    </row>
    <row r="20" spans="1:253" ht="18" x14ac:dyDescent="0.4">
      <c r="B20" s="559" t="s">
        <v>206</v>
      </c>
      <c r="C20" s="560"/>
      <c r="D20" s="560"/>
      <c r="E20" s="560"/>
      <c r="F20" s="560"/>
      <c r="G20" s="561"/>
      <c r="J20" s="136">
        <v>0</v>
      </c>
      <c r="K20" s="136">
        <v>0</v>
      </c>
      <c r="L20" s="136">
        <v>0</v>
      </c>
      <c r="M20" s="136">
        <v>1</v>
      </c>
      <c r="N20" s="136">
        <v>2</v>
      </c>
      <c r="O20" s="136">
        <v>3</v>
      </c>
      <c r="Q20" s="136" t="s">
        <v>202</v>
      </c>
      <c r="S20" s="559" t="s">
        <v>490</v>
      </c>
      <c r="T20" s="560"/>
      <c r="U20" s="560"/>
      <c r="V20" s="560"/>
      <c r="W20" s="560"/>
      <c r="X20" s="561"/>
    </row>
    <row r="21" spans="1:253" ht="15.5" x14ac:dyDescent="0.35">
      <c r="B21" s="574">
        <v>1</v>
      </c>
      <c r="C21" s="575" t="s">
        <v>297</v>
      </c>
      <c r="D21" s="576">
        <v>4</v>
      </c>
      <c r="E21" s="575" t="s">
        <v>203</v>
      </c>
      <c r="F21" s="575"/>
      <c r="G21" s="577">
        <f>_xlfn.IFNA(INDEX($I$21:$O$51,B21+2,D21+1),"-")</f>
        <v>27000</v>
      </c>
      <c r="I21" s="578" t="s">
        <v>204</v>
      </c>
      <c r="J21" s="136">
        <v>1.5</v>
      </c>
      <c r="K21" s="136">
        <v>2.5</v>
      </c>
      <c r="L21" s="578">
        <v>3.5</v>
      </c>
      <c r="M21" s="136">
        <v>4.5</v>
      </c>
      <c r="N21" s="136">
        <v>5.5</v>
      </c>
      <c r="O21" s="236">
        <v>6.5</v>
      </c>
      <c r="Q21" s="172"/>
      <c r="S21" s="563">
        <v>4</v>
      </c>
      <c r="T21" s="564" t="s">
        <v>493</v>
      </c>
      <c r="U21" s="562"/>
      <c r="V21" s="562"/>
      <c r="W21" s="562"/>
      <c r="X21" s="565"/>
    </row>
    <row r="22" spans="1:253" ht="14" x14ac:dyDescent="0.3">
      <c r="B22" s="574"/>
      <c r="C22" s="575" t="s">
        <v>298</v>
      </c>
      <c r="D22" s="576"/>
      <c r="E22" s="575" t="s">
        <v>203</v>
      </c>
      <c r="F22" s="575"/>
      <c r="G22" s="577">
        <f>_xlfn.IFNA(INDEX($I$21:$O$51,B22+2,D22+1),"-")</f>
        <v>0</v>
      </c>
      <c r="Q22" s="172">
        <v>1.5</v>
      </c>
      <c r="S22" s="566"/>
      <c r="X22" s="250"/>
    </row>
    <row r="23" spans="1:253" ht="14" x14ac:dyDescent="0.3">
      <c r="B23" s="574"/>
      <c r="C23" s="575" t="s">
        <v>299</v>
      </c>
      <c r="D23" s="576"/>
      <c r="E23" s="575" t="s">
        <v>203</v>
      </c>
      <c r="F23" s="575"/>
      <c r="G23" s="577">
        <f>_xlfn.IFNA(INDEX($I$21:$O$51,B23+2,D23+1),"-")</f>
        <v>0</v>
      </c>
      <c r="I23" s="136">
        <v>1</v>
      </c>
      <c r="J23" s="579">
        <v>10000</v>
      </c>
      <c r="K23" s="579">
        <v>15000</v>
      </c>
      <c r="L23" s="579">
        <v>25000</v>
      </c>
      <c r="M23" s="579">
        <f>$L23+($I23*M$20*2000)</f>
        <v>27000</v>
      </c>
      <c r="N23" s="579">
        <f>$L23+($I23*N$20*2000)</f>
        <v>29000</v>
      </c>
      <c r="O23" s="579">
        <f>$L23+($I23*O$20*2000)</f>
        <v>31000</v>
      </c>
      <c r="Q23" s="172">
        <v>2</v>
      </c>
      <c r="S23" s="603">
        <v>15000</v>
      </c>
      <c r="T23" s="568" t="s">
        <v>494</v>
      </c>
      <c r="U23" s="569"/>
      <c r="V23" s="569"/>
      <c r="W23" s="569"/>
      <c r="X23" s="570"/>
    </row>
    <row r="24" spans="1:253" ht="14" x14ac:dyDescent="0.3">
      <c r="B24" s="574"/>
      <c r="C24" s="575" t="s">
        <v>300</v>
      </c>
      <c r="D24" s="576"/>
      <c r="E24" s="575" t="s">
        <v>203</v>
      </c>
      <c r="F24" s="575"/>
      <c r="G24" s="577">
        <f>_xlfn.IFNA(INDEX($I$21:$O$51,B24+2,D24+1),"-")</f>
        <v>0</v>
      </c>
      <c r="I24" s="136">
        <v>2</v>
      </c>
      <c r="J24" s="579">
        <f t="shared" ref="J24:J51" si="0">ROUND(J23+$J$23,-3)</f>
        <v>20000</v>
      </c>
      <c r="K24" s="579">
        <f>ROUND(K23+$K$23,-3)</f>
        <v>30000</v>
      </c>
      <c r="L24" s="579">
        <f>ROUND(L23+$L$23,-3)</f>
        <v>50000</v>
      </c>
      <c r="M24" s="579">
        <f>ROUND(M23+$M$23,-3)</f>
        <v>54000</v>
      </c>
      <c r="N24" s="579">
        <f>ROUND(N23+$N$23,-3)</f>
        <v>58000</v>
      </c>
      <c r="O24" s="579">
        <f>ROUND(O23+$O$23,-3)</f>
        <v>62000</v>
      </c>
      <c r="Q24" s="172">
        <v>2.5</v>
      </c>
      <c r="S24" s="603">
        <f>(S21-4)*1250</f>
        <v>0</v>
      </c>
      <c r="T24" s="568" t="s">
        <v>495</v>
      </c>
      <c r="U24" s="569"/>
      <c r="V24" s="569"/>
      <c r="W24" s="569"/>
      <c r="X24" s="570"/>
    </row>
    <row r="25" spans="1:253" ht="16" thickBot="1" x14ac:dyDescent="0.4">
      <c r="B25" s="574"/>
      <c r="C25" s="575" t="s">
        <v>301</v>
      </c>
      <c r="D25" s="576"/>
      <c r="E25" s="575" t="s">
        <v>203</v>
      </c>
      <c r="F25" s="575"/>
      <c r="G25" s="577">
        <f>_xlfn.IFNA(INDEX($I$21:$O$51,B25+2,D25+1),"-")</f>
        <v>0</v>
      </c>
      <c r="I25" s="136">
        <v>3</v>
      </c>
      <c r="J25" s="579">
        <f t="shared" si="0"/>
        <v>30000</v>
      </c>
      <c r="K25" s="579">
        <f t="shared" ref="K25:K51" si="1">ROUND(K24+$K$23,-3)</f>
        <v>45000</v>
      </c>
      <c r="L25" s="579">
        <f t="shared" ref="L25:L51" si="2">ROUND(L24+$L$23,-3)</f>
        <v>75000</v>
      </c>
      <c r="M25" s="579">
        <f t="shared" ref="M25:M51" si="3">ROUND(M24+$M$23,-3)</f>
        <v>81000</v>
      </c>
      <c r="N25" s="579">
        <f t="shared" ref="N25:N51" si="4">ROUND(N24+$N$23,-3)</f>
        <v>87000</v>
      </c>
      <c r="O25" s="579">
        <f t="shared" ref="O25:O51" si="5">ROUND(O24+$O$23,-3)</f>
        <v>93000</v>
      </c>
      <c r="Q25" s="172">
        <v>3</v>
      </c>
      <c r="S25" s="611">
        <f>SUM(S23:S24)</f>
        <v>15000</v>
      </c>
      <c r="T25" s="607" t="s">
        <v>492</v>
      </c>
      <c r="U25" s="604"/>
      <c r="V25" s="605"/>
      <c r="W25" s="606"/>
      <c r="X25" s="610"/>
    </row>
    <row r="26" spans="1:253" ht="16.5" thickTop="1" thickBot="1" x14ac:dyDescent="0.4">
      <c r="B26" s="580" t="s">
        <v>304</v>
      </c>
      <c r="C26" s="581"/>
      <c r="D26" s="582"/>
      <c r="E26" s="581"/>
      <c r="F26" s="583"/>
      <c r="G26" s="584">
        <f>SUM(G21:G25)</f>
        <v>27000</v>
      </c>
      <c r="I26" s="136">
        <v>4</v>
      </c>
      <c r="J26" s="579">
        <f t="shared" si="0"/>
        <v>40000</v>
      </c>
      <c r="K26" s="579">
        <f t="shared" si="1"/>
        <v>60000</v>
      </c>
      <c r="L26" s="579">
        <f t="shared" si="2"/>
        <v>100000</v>
      </c>
      <c r="M26" s="579">
        <f t="shared" si="3"/>
        <v>108000</v>
      </c>
      <c r="N26" s="579">
        <f t="shared" si="4"/>
        <v>116000</v>
      </c>
      <c r="O26" s="579">
        <f t="shared" si="5"/>
        <v>124000</v>
      </c>
      <c r="Q26" s="172">
        <v>3.5</v>
      </c>
      <c r="S26" s="608"/>
      <c r="T26" s="609"/>
      <c r="U26" s="155"/>
      <c r="V26" s="155"/>
      <c r="W26" s="155"/>
      <c r="X26" s="186"/>
    </row>
    <row r="27" spans="1:253" ht="16" thickBot="1" x14ac:dyDescent="0.4">
      <c r="B27" s="585" t="s">
        <v>302</v>
      </c>
      <c r="C27" s="586">
        <f>VLOOKUP(B28,Q35:R94,2,2)</f>
        <v>0</v>
      </c>
      <c r="D27" s="587"/>
      <c r="E27" s="588"/>
      <c r="F27" s="589"/>
      <c r="G27" s="590">
        <f>G26*C27*-1</f>
        <v>0</v>
      </c>
      <c r="I27" s="136">
        <v>5</v>
      </c>
      <c r="J27" s="579">
        <f t="shared" si="0"/>
        <v>50000</v>
      </c>
      <c r="K27" s="579">
        <f t="shared" si="1"/>
        <v>75000</v>
      </c>
      <c r="L27" s="579">
        <f t="shared" si="2"/>
        <v>125000</v>
      </c>
      <c r="M27" s="579">
        <f t="shared" si="3"/>
        <v>135000</v>
      </c>
      <c r="N27" s="579">
        <f t="shared" si="4"/>
        <v>145000</v>
      </c>
      <c r="O27" s="579">
        <f t="shared" si="5"/>
        <v>155000</v>
      </c>
      <c r="Q27" s="172">
        <v>4</v>
      </c>
    </row>
    <row r="28" spans="1:253" ht="15" thickTop="1" thickBot="1" x14ac:dyDescent="0.35">
      <c r="B28" s="591">
        <f>SUM(B21:B27)</f>
        <v>1</v>
      </c>
      <c r="C28" s="592" t="s">
        <v>205</v>
      </c>
      <c r="D28" s="593"/>
      <c r="E28" s="593"/>
      <c r="F28" s="593"/>
      <c r="G28" s="594">
        <f>ROUND(SUM(G26:G27),-3)</f>
        <v>27000</v>
      </c>
      <c r="I28" s="136">
        <v>6</v>
      </c>
      <c r="J28" s="579">
        <f t="shared" si="0"/>
        <v>60000</v>
      </c>
      <c r="K28" s="579">
        <f t="shared" si="1"/>
        <v>90000</v>
      </c>
      <c r="L28" s="579">
        <f t="shared" si="2"/>
        <v>150000</v>
      </c>
      <c r="M28" s="579">
        <f t="shared" si="3"/>
        <v>162000</v>
      </c>
      <c r="N28" s="579">
        <f t="shared" si="4"/>
        <v>174000</v>
      </c>
      <c r="O28" s="579">
        <f t="shared" si="5"/>
        <v>186000</v>
      </c>
      <c r="Q28" s="172">
        <v>4.5</v>
      </c>
    </row>
    <row r="29" spans="1:253" ht="13.5" thickTop="1" x14ac:dyDescent="0.3">
      <c r="I29" s="136">
        <v>7</v>
      </c>
      <c r="J29" s="579">
        <f t="shared" si="0"/>
        <v>70000</v>
      </c>
      <c r="K29" s="579">
        <f t="shared" si="1"/>
        <v>105000</v>
      </c>
      <c r="L29" s="579">
        <f t="shared" si="2"/>
        <v>175000</v>
      </c>
      <c r="M29" s="579">
        <f t="shared" si="3"/>
        <v>189000</v>
      </c>
      <c r="N29" s="579">
        <f t="shared" si="4"/>
        <v>203000</v>
      </c>
      <c r="O29" s="579">
        <f t="shared" si="5"/>
        <v>217000</v>
      </c>
      <c r="Q29" s="172">
        <v>5</v>
      </c>
    </row>
    <row r="30" spans="1:253" x14ac:dyDescent="0.3">
      <c r="I30" s="136">
        <v>8</v>
      </c>
      <c r="J30" s="579">
        <f t="shared" si="0"/>
        <v>80000</v>
      </c>
      <c r="K30" s="579">
        <f t="shared" si="1"/>
        <v>120000</v>
      </c>
      <c r="L30" s="579">
        <f t="shared" si="2"/>
        <v>200000</v>
      </c>
      <c r="M30" s="579">
        <f t="shared" si="3"/>
        <v>216000</v>
      </c>
      <c r="N30" s="579">
        <f t="shared" si="4"/>
        <v>232000</v>
      </c>
      <c r="O30" s="579">
        <f t="shared" si="5"/>
        <v>248000</v>
      </c>
      <c r="Q30" s="172">
        <v>5.5</v>
      </c>
    </row>
    <row r="31" spans="1:253" x14ac:dyDescent="0.3">
      <c r="I31" s="136">
        <v>9</v>
      </c>
      <c r="J31" s="579">
        <f t="shared" si="0"/>
        <v>90000</v>
      </c>
      <c r="K31" s="579">
        <f t="shared" si="1"/>
        <v>135000</v>
      </c>
      <c r="L31" s="579">
        <f t="shared" si="2"/>
        <v>225000</v>
      </c>
      <c r="M31" s="579">
        <f t="shared" si="3"/>
        <v>243000</v>
      </c>
      <c r="N31" s="579">
        <f t="shared" si="4"/>
        <v>261000</v>
      </c>
      <c r="O31" s="579">
        <f t="shared" si="5"/>
        <v>279000</v>
      </c>
      <c r="Q31" s="136">
        <v>6</v>
      </c>
    </row>
    <row r="32" spans="1:253" x14ac:dyDescent="0.3">
      <c r="I32" s="136">
        <v>10</v>
      </c>
      <c r="J32" s="579">
        <f t="shared" si="0"/>
        <v>100000</v>
      </c>
      <c r="K32" s="579">
        <f t="shared" si="1"/>
        <v>150000</v>
      </c>
      <c r="L32" s="579">
        <f t="shared" si="2"/>
        <v>250000</v>
      </c>
      <c r="M32" s="579">
        <f t="shared" si="3"/>
        <v>270000</v>
      </c>
      <c r="N32" s="579">
        <f t="shared" si="4"/>
        <v>290000</v>
      </c>
      <c r="O32" s="579">
        <f t="shared" si="5"/>
        <v>310000</v>
      </c>
      <c r="Q32" s="236">
        <v>6.5</v>
      </c>
    </row>
    <row r="33" spans="9:18" x14ac:dyDescent="0.3">
      <c r="I33" s="136">
        <v>11</v>
      </c>
      <c r="J33" s="579">
        <f t="shared" si="0"/>
        <v>110000</v>
      </c>
      <c r="K33" s="579">
        <f t="shared" si="1"/>
        <v>165000</v>
      </c>
      <c r="L33" s="579">
        <f t="shared" si="2"/>
        <v>275000</v>
      </c>
      <c r="M33" s="579">
        <f t="shared" si="3"/>
        <v>297000</v>
      </c>
      <c r="N33" s="579">
        <f t="shared" si="4"/>
        <v>319000</v>
      </c>
      <c r="O33" s="579">
        <f t="shared" si="5"/>
        <v>341000</v>
      </c>
    </row>
    <row r="34" spans="9:18" x14ac:dyDescent="0.3">
      <c r="I34" s="136">
        <v>12</v>
      </c>
      <c r="J34" s="579">
        <f t="shared" si="0"/>
        <v>120000</v>
      </c>
      <c r="K34" s="579">
        <f t="shared" si="1"/>
        <v>180000</v>
      </c>
      <c r="L34" s="579">
        <f t="shared" si="2"/>
        <v>300000</v>
      </c>
      <c r="M34" s="579">
        <f t="shared" si="3"/>
        <v>324000</v>
      </c>
      <c r="N34" s="579">
        <f t="shared" si="4"/>
        <v>348000</v>
      </c>
      <c r="O34" s="579">
        <f t="shared" si="5"/>
        <v>372000</v>
      </c>
    </row>
    <row r="35" spans="9:18" x14ac:dyDescent="0.3">
      <c r="I35" s="136">
        <v>13</v>
      </c>
      <c r="J35" s="579">
        <f t="shared" si="0"/>
        <v>130000</v>
      </c>
      <c r="K35" s="579">
        <f t="shared" si="1"/>
        <v>195000</v>
      </c>
      <c r="L35" s="579">
        <f t="shared" si="2"/>
        <v>325000</v>
      </c>
      <c r="M35" s="579">
        <f t="shared" si="3"/>
        <v>351000</v>
      </c>
      <c r="N35" s="579">
        <f t="shared" si="4"/>
        <v>377000</v>
      </c>
      <c r="O35" s="579">
        <f t="shared" si="5"/>
        <v>403000</v>
      </c>
      <c r="Q35" s="136" t="s">
        <v>303</v>
      </c>
      <c r="R35" s="553" t="s">
        <v>302</v>
      </c>
    </row>
    <row r="36" spans="9:18" x14ac:dyDescent="0.3">
      <c r="I36" s="136">
        <v>14</v>
      </c>
      <c r="J36" s="579">
        <f t="shared" si="0"/>
        <v>140000</v>
      </c>
      <c r="K36" s="579">
        <f t="shared" si="1"/>
        <v>210000</v>
      </c>
      <c r="L36" s="579">
        <f t="shared" si="2"/>
        <v>350000</v>
      </c>
      <c r="M36" s="579">
        <f t="shared" si="3"/>
        <v>378000</v>
      </c>
      <c r="N36" s="579">
        <f t="shared" si="4"/>
        <v>406000</v>
      </c>
      <c r="O36" s="579">
        <f t="shared" si="5"/>
        <v>434000</v>
      </c>
      <c r="Q36" s="136">
        <v>1</v>
      </c>
    </row>
    <row r="37" spans="9:18" x14ac:dyDescent="0.3">
      <c r="I37" s="136">
        <v>15</v>
      </c>
      <c r="J37" s="579">
        <f t="shared" si="0"/>
        <v>150000</v>
      </c>
      <c r="K37" s="579">
        <f t="shared" si="1"/>
        <v>225000</v>
      </c>
      <c r="L37" s="579">
        <f t="shared" si="2"/>
        <v>375000</v>
      </c>
      <c r="M37" s="579">
        <f t="shared" si="3"/>
        <v>405000</v>
      </c>
      <c r="N37" s="579">
        <f t="shared" si="4"/>
        <v>435000</v>
      </c>
      <c r="O37" s="579">
        <f t="shared" si="5"/>
        <v>465000</v>
      </c>
      <c r="Q37" s="136">
        <v>2</v>
      </c>
      <c r="R37" s="553">
        <v>0.04</v>
      </c>
    </row>
    <row r="38" spans="9:18" x14ac:dyDescent="0.3">
      <c r="I38" s="136">
        <v>16</v>
      </c>
      <c r="J38" s="579">
        <f t="shared" si="0"/>
        <v>160000</v>
      </c>
      <c r="K38" s="579">
        <f t="shared" si="1"/>
        <v>240000</v>
      </c>
      <c r="L38" s="579">
        <f t="shared" si="2"/>
        <v>400000</v>
      </c>
      <c r="M38" s="579">
        <f t="shared" si="3"/>
        <v>432000</v>
      </c>
      <c r="N38" s="579">
        <f t="shared" si="4"/>
        <v>464000</v>
      </c>
      <c r="O38" s="579">
        <f t="shared" si="5"/>
        <v>496000</v>
      </c>
      <c r="Q38" s="136">
        <v>3</v>
      </c>
      <c r="R38" s="553">
        <v>0.06</v>
      </c>
    </row>
    <row r="39" spans="9:18" x14ac:dyDescent="0.3">
      <c r="I39" s="136">
        <v>17</v>
      </c>
      <c r="J39" s="579">
        <f t="shared" si="0"/>
        <v>170000</v>
      </c>
      <c r="K39" s="579">
        <f t="shared" si="1"/>
        <v>255000</v>
      </c>
      <c r="L39" s="579">
        <f t="shared" si="2"/>
        <v>425000</v>
      </c>
      <c r="M39" s="579">
        <f t="shared" si="3"/>
        <v>459000</v>
      </c>
      <c r="N39" s="579">
        <f t="shared" si="4"/>
        <v>493000</v>
      </c>
      <c r="O39" s="579">
        <f t="shared" si="5"/>
        <v>527000</v>
      </c>
      <c r="Q39" s="136">
        <v>4</v>
      </c>
      <c r="R39" s="553">
        <v>0.08</v>
      </c>
    </row>
    <row r="40" spans="9:18" x14ac:dyDescent="0.3">
      <c r="I40" s="136">
        <v>18</v>
      </c>
      <c r="J40" s="579">
        <f t="shared" si="0"/>
        <v>180000</v>
      </c>
      <c r="K40" s="579">
        <f t="shared" si="1"/>
        <v>270000</v>
      </c>
      <c r="L40" s="579">
        <f t="shared" si="2"/>
        <v>450000</v>
      </c>
      <c r="M40" s="579">
        <f t="shared" si="3"/>
        <v>486000</v>
      </c>
      <c r="N40" s="579">
        <f t="shared" si="4"/>
        <v>522000</v>
      </c>
      <c r="O40" s="579">
        <f t="shared" si="5"/>
        <v>558000</v>
      </c>
      <c r="Q40" s="136">
        <v>5</v>
      </c>
      <c r="R40" s="553">
        <v>0.1</v>
      </c>
    </row>
    <row r="41" spans="9:18" x14ac:dyDescent="0.3">
      <c r="I41" s="136">
        <v>20</v>
      </c>
      <c r="J41" s="579" t="e">
        <f>ROUND(#REF!+$J$23,-3)</f>
        <v>#REF!</v>
      </c>
      <c r="K41" s="579" t="e">
        <f>ROUND(#REF!+$K$23,-3)</f>
        <v>#REF!</v>
      </c>
      <c r="L41" s="579" t="e">
        <f>ROUND(#REF!+$L$23,-3)</f>
        <v>#REF!</v>
      </c>
      <c r="M41" s="579" t="e">
        <f>ROUND(#REF!+$M$23,-3)</f>
        <v>#REF!</v>
      </c>
      <c r="N41" s="579" t="e">
        <f>ROUND(#REF!+$N$23,-3)</f>
        <v>#REF!</v>
      </c>
      <c r="O41" s="579" t="e">
        <f>ROUND(#REF!+$O$23,-3)</f>
        <v>#REF!</v>
      </c>
      <c r="Q41" s="136">
        <v>7</v>
      </c>
      <c r="R41" s="553">
        <v>0.14000000000000001</v>
      </c>
    </row>
    <row r="42" spans="9:18" x14ac:dyDescent="0.3">
      <c r="I42" s="136">
        <v>21</v>
      </c>
      <c r="J42" s="579" t="e">
        <f t="shared" si="0"/>
        <v>#REF!</v>
      </c>
      <c r="K42" s="579" t="e">
        <f t="shared" si="1"/>
        <v>#REF!</v>
      </c>
      <c r="L42" s="579" t="e">
        <f t="shared" si="2"/>
        <v>#REF!</v>
      </c>
      <c r="M42" s="579" t="e">
        <f t="shared" si="3"/>
        <v>#REF!</v>
      </c>
      <c r="N42" s="579" t="e">
        <f t="shared" si="4"/>
        <v>#REF!</v>
      </c>
      <c r="O42" s="579" t="e">
        <f t="shared" si="5"/>
        <v>#REF!</v>
      </c>
      <c r="Q42" s="136">
        <v>8</v>
      </c>
      <c r="R42" s="553">
        <v>0.16</v>
      </c>
    </row>
    <row r="43" spans="9:18" x14ac:dyDescent="0.3">
      <c r="I43" s="136">
        <v>22</v>
      </c>
      <c r="J43" s="579" t="e">
        <f t="shared" si="0"/>
        <v>#REF!</v>
      </c>
      <c r="K43" s="579" t="e">
        <f t="shared" si="1"/>
        <v>#REF!</v>
      </c>
      <c r="L43" s="579" t="e">
        <f t="shared" si="2"/>
        <v>#REF!</v>
      </c>
      <c r="M43" s="579" t="e">
        <f t="shared" si="3"/>
        <v>#REF!</v>
      </c>
      <c r="N43" s="579" t="e">
        <f t="shared" si="4"/>
        <v>#REF!</v>
      </c>
      <c r="O43" s="579" t="e">
        <f t="shared" si="5"/>
        <v>#REF!</v>
      </c>
      <c r="Q43" s="136">
        <v>9</v>
      </c>
      <c r="R43" s="553">
        <v>0.18</v>
      </c>
    </row>
    <row r="44" spans="9:18" x14ac:dyDescent="0.3">
      <c r="I44" s="136">
        <v>23</v>
      </c>
      <c r="J44" s="579" t="e">
        <f t="shared" si="0"/>
        <v>#REF!</v>
      </c>
      <c r="K44" s="579" t="e">
        <f t="shared" si="1"/>
        <v>#REF!</v>
      </c>
      <c r="L44" s="579" t="e">
        <f t="shared" si="2"/>
        <v>#REF!</v>
      </c>
      <c r="M44" s="579" t="e">
        <f t="shared" si="3"/>
        <v>#REF!</v>
      </c>
      <c r="N44" s="579" t="e">
        <f t="shared" si="4"/>
        <v>#REF!</v>
      </c>
      <c r="O44" s="579" t="e">
        <f t="shared" si="5"/>
        <v>#REF!</v>
      </c>
      <c r="Q44" s="136">
        <v>10</v>
      </c>
      <c r="R44" s="553">
        <v>0.2</v>
      </c>
    </row>
    <row r="45" spans="9:18" x14ac:dyDescent="0.3">
      <c r="I45" s="136">
        <v>24</v>
      </c>
      <c r="J45" s="579" t="e">
        <f t="shared" si="0"/>
        <v>#REF!</v>
      </c>
      <c r="K45" s="579" t="e">
        <f t="shared" si="1"/>
        <v>#REF!</v>
      </c>
      <c r="L45" s="579" t="e">
        <f t="shared" si="2"/>
        <v>#REF!</v>
      </c>
      <c r="M45" s="579" t="e">
        <f t="shared" si="3"/>
        <v>#REF!</v>
      </c>
      <c r="N45" s="579" t="e">
        <f t="shared" si="4"/>
        <v>#REF!</v>
      </c>
      <c r="O45" s="579" t="e">
        <f t="shared" si="5"/>
        <v>#REF!</v>
      </c>
      <c r="Q45" s="136">
        <v>11</v>
      </c>
      <c r="R45" s="553">
        <v>0.22</v>
      </c>
    </row>
    <row r="46" spans="9:18" x14ac:dyDescent="0.3">
      <c r="I46" s="136">
        <v>25</v>
      </c>
      <c r="J46" s="579" t="e">
        <f t="shared" si="0"/>
        <v>#REF!</v>
      </c>
      <c r="K46" s="579" t="e">
        <f t="shared" si="1"/>
        <v>#REF!</v>
      </c>
      <c r="L46" s="579" t="e">
        <f t="shared" si="2"/>
        <v>#REF!</v>
      </c>
      <c r="M46" s="579" t="e">
        <f t="shared" si="3"/>
        <v>#REF!</v>
      </c>
      <c r="N46" s="579" t="e">
        <f t="shared" si="4"/>
        <v>#REF!</v>
      </c>
      <c r="O46" s="579" t="e">
        <f t="shared" si="5"/>
        <v>#REF!</v>
      </c>
      <c r="Q46" s="136">
        <v>12</v>
      </c>
      <c r="R46" s="553">
        <v>0.22</v>
      </c>
    </row>
    <row r="47" spans="9:18" x14ac:dyDescent="0.3">
      <c r="I47" s="136">
        <v>26</v>
      </c>
      <c r="J47" s="579" t="e">
        <f t="shared" si="0"/>
        <v>#REF!</v>
      </c>
      <c r="K47" s="579" t="e">
        <f t="shared" si="1"/>
        <v>#REF!</v>
      </c>
      <c r="L47" s="579" t="e">
        <f t="shared" si="2"/>
        <v>#REF!</v>
      </c>
      <c r="M47" s="579" t="e">
        <f t="shared" si="3"/>
        <v>#REF!</v>
      </c>
      <c r="N47" s="579" t="e">
        <f t="shared" si="4"/>
        <v>#REF!</v>
      </c>
      <c r="O47" s="579" t="e">
        <f t="shared" si="5"/>
        <v>#REF!</v>
      </c>
      <c r="Q47" s="136">
        <v>13</v>
      </c>
      <c r="R47" s="553">
        <v>0.22</v>
      </c>
    </row>
    <row r="48" spans="9:18" x14ac:dyDescent="0.3">
      <c r="I48" s="136">
        <v>27</v>
      </c>
      <c r="J48" s="579" t="e">
        <f t="shared" si="0"/>
        <v>#REF!</v>
      </c>
      <c r="K48" s="579" t="e">
        <f t="shared" si="1"/>
        <v>#REF!</v>
      </c>
      <c r="L48" s="579" t="e">
        <f t="shared" si="2"/>
        <v>#REF!</v>
      </c>
      <c r="M48" s="579" t="e">
        <f t="shared" si="3"/>
        <v>#REF!</v>
      </c>
      <c r="N48" s="579" t="e">
        <f t="shared" si="4"/>
        <v>#REF!</v>
      </c>
      <c r="O48" s="579" t="e">
        <f t="shared" si="5"/>
        <v>#REF!</v>
      </c>
      <c r="Q48" s="136">
        <v>14</v>
      </c>
      <c r="R48" s="553">
        <v>0.22</v>
      </c>
    </row>
    <row r="49" spans="9:18" x14ac:dyDescent="0.3">
      <c r="I49" s="136">
        <v>28</v>
      </c>
      <c r="J49" s="579" t="e">
        <f t="shared" si="0"/>
        <v>#REF!</v>
      </c>
      <c r="K49" s="579" t="e">
        <f t="shared" si="1"/>
        <v>#REF!</v>
      </c>
      <c r="L49" s="579" t="e">
        <f t="shared" si="2"/>
        <v>#REF!</v>
      </c>
      <c r="M49" s="579" t="e">
        <f t="shared" si="3"/>
        <v>#REF!</v>
      </c>
      <c r="N49" s="579" t="e">
        <f t="shared" si="4"/>
        <v>#REF!</v>
      </c>
      <c r="O49" s="579" t="e">
        <f t="shared" si="5"/>
        <v>#REF!</v>
      </c>
      <c r="Q49" s="136">
        <v>15</v>
      </c>
      <c r="R49" s="553">
        <v>0.22</v>
      </c>
    </row>
    <row r="50" spans="9:18" x14ac:dyDescent="0.3">
      <c r="I50" s="136">
        <v>29</v>
      </c>
      <c r="J50" s="579" t="e">
        <f t="shared" si="0"/>
        <v>#REF!</v>
      </c>
      <c r="K50" s="579" t="e">
        <f t="shared" si="1"/>
        <v>#REF!</v>
      </c>
      <c r="L50" s="579" t="e">
        <f t="shared" si="2"/>
        <v>#REF!</v>
      </c>
      <c r="M50" s="579" t="e">
        <f t="shared" si="3"/>
        <v>#REF!</v>
      </c>
      <c r="N50" s="579" t="e">
        <f t="shared" si="4"/>
        <v>#REF!</v>
      </c>
      <c r="O50" s="579" t="e">
        <f t="shared" si="5"/>
        <v>#REF!</v>
      </c>
      <c r="Q50" s="136">
        <v>16</v>
      </c>
      <c r="R50" s="553">
        <v>0.22</v>
      </c>
    </row>
    <row r="51" spans="9:18" x14ac:dyDescent="0.3">
      <c r="I51" s="136">
        <v>30</v>
      </c>
      <c r="J51" s="579" t="e">
        <f t="shared" si="0"/>
        <v>#REF!</v>
      </c>
      <c r="K51" s="579" t="e">
        <f t="shared" si="1"/>
        <v>#REF!</v>
      </c>
      <c r="L51" s="579" t="e">
        <f t="shared" si="2"/>
        <v>#REF!</v>
      </c>
      <c r="M51" s="579" t="e">
        <f t="shared" si="3"/>
        <v>#REF!</v>
      </c>
      <c r="N51" s="579" t="e">
        <f t="shared" si="4"/>
        <v>#REF!</v>
      </c>
      <c r="O51" s="579" t="e">
        <f t="shared" si="5"/>
        <v>#REF!</v>
      </c>
      <c r="Q51" s="136">
        <v>17</v>
      </c>
      <c r="R51" s="553">
        <v>0.22</v>
      </c>
    </row>
    <row r="52" spans="9:18" x14ac:dyDescent="0.3">
      <c r="Q52" s="136">
        <v>18</v>
      </c>
      <c r="R52" s="553">
        <v>0.22</v>
      </c>
    </row>
    <row r="53" spans="9:18" x14ac:dyDescent="0.3">
      <c r="Q53" s="136">
        <v>19</v>
      </c>
      <c r="R53" s="553">
        <v>0.22</v>
      </c>
    </row>
    <row r="54" spans="9:18" x14ac:dyDescent="0.3">
      <c r="Q54" s="136">
        <v>20</v>
      </c>
      <c r="R54" s="553">
        <v>0.22</v>
      </c>
    </row>
    <row r="55" spans="9:18" x14ac:dyDescent="0.3">
      <c r="Q55" s="136">
        <v>21</v>
      </c>
      <c r="R55" s="553">
        <v>0.22</v>
      </c>
    </row>
    <row r="56" spans="9:18" x14ac:dyDescent="0.3">
      <c r="Q56" s="136">
        <v>22</v>
      </c>
      <c r="R56" s="553">
        <v>0.22</v>
      </c>
    </row>
    <row r="57" spans="9:18" x14ac:dyDescent="0.3">
      <c r="Q57" s="136">
        <v>23</v>
      </c>
      <c r="R57" s="553">
        <v>0.22</v>
      </c>
    </row>
    <row r="58" spans="9:18" x14ac:dyDescent="0.3">
      <c r="Q58" s="136">
        <v>24</v>
      </c>
      <c r="R58" s="553">
        <v>0.22</v>
      </c>
    </row>
    <row r="59" spans="9:18" x14ac:dyDescent="0.3">
      <c r="Q59" s="136">
        <v>25</v>
      </c>
      <c r="R59" s="553">
        <v>0.22</v>
      </c>
    </row>
    <row r="60" spans="9:18" x14ac:dyDescent="0.3">
      <c r="Q60" s="136">
        <v>26</v>
      </c>
      <c r="R60" s="553">
        <v>0.22</v>
      </c>
    </row>
    <row r="61" spans="9:18" x14ac:dyDescent="0.3">
      <c r="Q61" s="136">
        <v>27</v>
      </c>
      <c r="R61" s="553">
        <v>0.22</v>
      </c>
    </row>
    <row r="62" spans="9:18" x14ac:dyDescent="0.3">
      <c r="Q62" s="136">
        <v>28</v>
      </c>
      <c r="R62" s="553">
        <v>0.22</v>
      </c>
    </row>
    <row r="63" spans="9:18" x14ac:dyDescent="0.3">
      <c r="Q63" s="136">
        <v>29</v>
      </c>
      <c r="R63" s="553">
        <v>0.22</v>
      </c>
    </row>
    <row r="64" spans="9:18" x14ac:dyDescent="0.3">
      <c r="Q64" s="136">
        <v>30</v>
      </c>
      <c r="R64" s="553">
        <v>0.22</v>
      </c>
    </row>
    <row r="65" spans="17:18" x14ac:dyDescent="0.3">
      <c r="Q65" s="136">
        <v>31</v>
      </c>
      <c r="R65" s="553">
        <v>0.22</v>
      </c>
    </row>
    <row r="66" spans="17:18" x14ac:dyDescent="0.3">
      <c r="Q66" s="136">
        <v>32</v>
      </c>
      <c r="R66" s="553">
        <v>0.22</v>
      </c>
    </row>
    <row r="67" spans="17:18" x14ac:dyDescent="0.3">
      <c r="Q67" s="136">
        <v>33</v>
      </c>
      <c r="R67" s="553">
        <v>0.22</v>
      </c>
    </row>
    <row r="68" spans="17:18" x14ac:dyDescent="0.3">
      <c r="Q68" s="136">
        <v>34</v>
      </c>
      <c r="R68" s="553">
        <v>0.22</v>
      </c>
    </row>
    <row r="69" spans="17:18" x14ac:dyDescent="0.3">
      <c r="Q69" s="136">
        <v>35</v>
      </c>
      <c r="R69" s="553">
        <v>0.22</v>
      </c>
    </row>
    <row r="70" spans="17:18" x14ac:dyDescent="0.3">
      <c r="Q70" s="136">
        <v>36</v>
      </c>
      <c r="R70" s="553">
        <v>0.22</v>
      </c>
    </row>
    <row r="71" spans="17:18" x14ac:dyDescent="0.3">
      <c r="Q71" s="136">
        <v>37</v>
      </c>
      <c r="R71" s="553">
        <v>0.22</v>
      </c>
    </row>
    <row r="72" spans="17:18" x14ac:dyDescent="0.3">
      <c r="Q72" s="136">
        <v>38</v>
      </c>
      <c r="R72" s="553">
        <v>0.22</v>
      </c>
    </row>
    <row r="73" spans="17:18" x14ac:dyDescent="0.3">
      <c r="Q73" s="136">
        <v>39</v>
      </c>
      <c r="R73" s="553">
        <v>0.22</v>
      </c>
    </row>
    <row r="74" spans="17:18" x14ac:dyDescent="0.3">
      <c r="Q74" s="136">
        <v>40</v>
      </c>
      <c r="R74" s="553">
        <v>0.22</v>
      </c>
    </row>
    <row r="75" spans="17:18" x14ac:dyDescent="0.3">
      <c r="Q75" s="136">
        <v>41</v>
      </c>
      <c r="R75" s="553">
        <v>0.22</v>
      </c>
    </row>
    <row r="76" spans="17:18" x14ac:dyDescent="0.3">
      <c r="Q76" s="136">
        <v>42</v>
      </c>
      <c r="R76" s="553">
        <v>0.22</v>
      </c>
    </row>
    <row r="77" spans="17:18" x14ac:dyDescent="0.3">
      <c r="Q77" s="136">
        <v>43</v>
      </c>
      <c r="R77" s="553">
        <v>0.22</v>
      </c>
    </row>
    <row r="78" spans="17:18" x14ac:dyDescent="0.3">
      <c r="Q78" s="136">
        <v>44</v>
      </c>
      <c r="R78" s="553">
        <v>0.22</v>
      </c>
    </row>
    <row r="79" spans="17:18" x14ac:dyDescent="0.3">
      <c r="Q79" s="136">
        <v>45</v>
      </c>
      <c r="R79" s="553">
        <v>0.22</v>
      </c>
    </row>
    <row r="80" spans="17:18" x14ac:dyDescent="0.3">
      <c r="Q80" s="136">
        <v>46</v>
      </c>
      <c r="R80" s="553">
        <v>0.22</v>
      </c>
    </row>
    <row r="81" spans="17:18" x14ac:dyDescent="0.3">
      <c r="Q81" s="136">
        <v>47</v>
      </c>
      <c r="R81" s="553">
        <v>0.22</v>
      </c>
    </row>
    <row r="82" spans="17:18" x14ac:dyDescent="0.3">
      <c r="Q82" s="136">
        <v>48</v>
      </c>
      <c r="R82" s="553">
        <v>0.22</v>
      </c>
    </row>
    <row r="83" spans="17:18" x14ac:dyDescent="0.3">
      <c r="Q83" s="136">
        <v>49</v>
      </c>
      <c r="R83" s="553">
        <v>0.22</v>
      </c>
    </row>
    <row r="84" spans="17:18" x14ac:dyDescent="0.3">
      <c r="Q84" s="136">
        <v>50</v>
      </c>
      <c r="R84" s="553">
        <v>0.22</v>
      </c>
    </row>
    <row r="85" spans="17:18" x14ac:dyDescent="0.3">
      <c r="Q85" s="136">
        <v>51</v>
      </c>
      <c r="R85" s="553">
        <v>0.22</v>
      </c>
    </row>
    <row r="86" spans="17:18" x14ac:dyDescent="0.3">
      <c r="Q86" s="136">
        <v>52</v>
      </c>
      <c r="R86" s="553">
        <v>0.22</v>
      </c>
    </row>
    <row r="87" spans="17:18" x14ac:dyDescent="0.3">
      <c r="Q87" s="136">
        <v>53</v>
      </c>
      <c r="R87" s="553">
        <v>0.22</v>
      </c>
    </row>
    <row r="88" spans="17:18" x14ac:dyDescent="0.3">
      <c r="Q88" s="136">
        <v>54</v>
      </c>
      <c r="R88" s="553">
        <v>0.22</v>
      </c>
    </row>
    <row r="89" spans="17:18" x14ac:dyDescent="0.3">
      <c r="Q89" s="136">
        <v>55</v>
      </c>
      <c r="R89" s="553">
        <v>0.22</v>
      </c>
    </row>
    <row r="90" spans="17:18" x14ac:dyDescent="0.3">
      <c r="Q90" s="136">
        <v>56</v>
      </c>
      <c r="R90" s="553">
        <v>0.22</v>
      </c>
    </row>
    <row r="91" spans="17:18" x14ac:dyDescent="0.3">
      <c r="Q91" s="136">
        <v>57</v>
      </c>
      <c r="R91" s="553">
        <v>0.22</v>
      </c>
    </row>
    <row r="92" spans="17:18" x14ac:dyDescent="0.3">
      <c r="Q92" s="136">
        <v>58</v>
      </c>
      <c r="R92" s="553">
        <v>0.22</v>
      </c>
    </row>
    <row r="93" spans="17:18" x14ac:dyDescent="0.3">
      <c r="Q93" s="136">
        <v>59</v>
      </c>
      <c r="R93" s="553">
        <v>0.22</v>
      </c>
    </row>
    <row r="94" spans="17:18" x14ac:dyDescent="0.3">
      <c r="Q94" s="136">
        <v>60</v>
      </c>
      <c r="R94" s="553">
        <v>0.22</v>
      </c>
    </row>
  </sheetData>
  <mergeCells count="52">
    <mergeCell ref="AH18:AL18"/>
    <mergeCell ref="G18:H18"/>
    <mergeCell ref="I18:M18"/>
    <mergeCell ref="N18:R18"/>
    <mergeCell ref="AM18:AQ18"/>
    <mergeCell ref="AR18:AV18"/>
    <mergeCell ref="AW18:BA18"/>
    <mergeCell ref="BB18:BF18"/>
    <mergeCell ref="BG18:BK18"/>
    <mergeCell ref="BL18:BP18"/>
    <mergeCell ref="BQ18:BU18"/>
    <mergeCell ref="BV18:BZ18"/>
    <mergeCell ref="CA18:CE18"/>
    <mergeCell ref="CF18:CJ18"/>
    <mergeCell ref="CK18:CO18"/>
    <mergeCell ref="CP18:CT18"/>
    <mergeCell ref="CU18:CY18"/>
    <mergeCell ref="CZ18:DD18"/>
    <mergeCell ref="DE18:DI18"/>
    <mergeCell ref="DJ18:DN18"/>
    <mergeCell ref="DO18:DS18"/>
    <mergeCell ref="DT18:DX18"/>
    <mergeCell ref="DY18:EC18"/>
    <mergeCell ref="ED18:EH18"/>
    <mergeCell ref="EI18:EM18"/>
    <mergeCell ref="EN18:ER18"/>
    <mergeCell ref="ES18:EW18"/>
    <mergeCell ref="EX18:FB18"/>
    <mergeCell ref="FC18:FG18"/>
    <mergeCell ref="FH18:FL18"/>
    <mergeCell ref="FM18:FQ18"/>
    <mergeCell ref="FR18:FV18"/>
    <mergeCell ref="FW18:GA18"/>
    <mergeCell ref="GB18:GF18"/>
    <mergeCell ref="GG18:GK18"/>
    <mergeCell ref="GL18:GP18"/>
    <mergeCell ref="GQ18:GU18"/>
    <mergeCell ref="GV18:GZ18"/>
    <mergeCell ref="HA18:HE18"/>
    <mergeCell ref="HF18:HJ18"/>
    <mergeCell ref="IO18:IS18"/>
    <mergeCell ref="HK18:HO18"/>
    <mergeCell ref="HP18:HT18"/>
    <mergeCell ref="HU18:HY18"/>
    <mergeCell ref="HZ18:ID18"/>
    <mergeCell ref="IE18:II18"/>
    <mergeCell ref="IJ18:IN18"/>
    <mergeCell ref="G4:S4"/>
    <mergeCell ref="B4:F4"/>
    <mergeCell ref="AA18:AB18"/>
    <mergeCell ref="AC18:AD18"/>
    <mergeCell ref="AE18:AF18"/>
  </mergeCells>
  <dataValidations count="1">
    <dataValidation type="list" allowBlank="1" showInputMessage="1" showErrorMessage="1" sqref="D21:D27" xr:uid="{00000000-0002-0000-0500-000000000000}">
      <formula1>$Q$22:$Q$32</formula1>
    </dataValidation>
  </dataValidations>
  <hyperlinks>
    <hyperlink ref="U10" r:id="rId1" xr:uid="{BAD52A01-0CAA-4D81-9641-E7F6D189DE3A}"/>
    <hyperlink ref="U8" r:id="rId2" xr:uid="{D516108E-7FD2-4E9B-AC10-04391ED422F6}"/>
  </hyperlinks>
  <pageMargins left="0.7" right="0.7" top="0.78740157499999996" bottom="0.78740157499999996" header="0.3" footer="0.3"/>
  <pageSetup paperSize="9" orientation="portrait" horizontalDpi="4294967294" verticalDpi="0" r:id="rId3"/>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1C5C-084B-441B-A9F8-5E6FEE7DCAF7}">
  <dimension ref="A1:U31"/>
  <sheetViews>
    <sheetView zoomScale="70" zoomScaleNormal="70" workbookViewId="0">
      <selection activeCell="O73" sqref="O73"/>
    </sheetView>
  </sheetViews>
  <sheetFormatPr defaultColWidth="11.453125" defaultRowHeight="13" x14ac:dyDescent="0.3"/>
  <cols>
    <col min="1" max="3" width="11.453125" style="136"/>
    <col min="4" max="6" width="26.453125" style="136" customWidth="1"/>
    <col min="7" max="10" width="23.453125" style="136" customWidth="1"/>
    <col min="11" max="13" width="17.54296875" style="136" customWidth="1"/>
    <col min="14" max="14" width="11.453125" style="136" customWidth="1"/>
    <col min="15" max="15" width="16.81640625" style="136" customWidth="1"/>
    <col min="16" max="16" width="11.453125" style="136"/>
    <col min="17" max="17" width="15.453125" style="136" bestFit="1" customWidth="1"/>
    <col min="18" max="18" width="23.81640625" style="136" bestFit="1" customWidth="1"/>
    <col min="19" max="19" width="12.6328125" style="136" customWidth="1"/>
    <col min="20" max="20" width="13.36328125" style="136" customWidth="1"/>
    <col min="21" max="16384" width="11.453125" style="136"/>
  </cols>
  <sheetData>
    <row r="1" spans="1:21" ht="18" x14ac:dyDescent="0.4">
      <c r="A1" s="135" t="s">
        <v>437</v>
      </c>
    </row>
    <row r="3" spans="1:21" ht="13.5" thickBot="1" x14ac:dyDescent="0.35">
      <c r="A3" s="330" t="s">
        <v>464</v>
      </c>
      <c r="B3" s="330"/>
      <c r="C3" s="283"/>
    </row>
    <row r="4" spans="1:21" ht="16" thickBot="1" x14ac:dyDescent="0.35">
      <c r="A4" s="331" t="s">
        <v>472</v>
      </c>
      <c r="B4" s="331"/>
      <c r="E4" s="332" t="s">
        <v>445</v>
      </c>
      <c r="F4" s="332" t="s">
        <v>446</v>
      </c>
      <c r="G4" s="332" t="s">
        <v>447</v>
      </c>
      <c r="H4" s="332" t="s">
        <v>463</v>
      </c>
      <c r="I4" s="332" t="s">
        <v>471</v>
      </c>
      <c r="J4" s="332" t="s">
        <v>510</v>
      </c>
      <c r="K4" s="332" t="s">
        <v>511</v>
      </c>
      <c r="L4" s="332" t="s">
        <v>547</v>
      </c>
      <c r="M4" s="332" t="s">
        <v>549</v>
      </c>
      <c r="Q4" s="680" t="s">
        <v>558</v>
      </c>
      <c r="S4" s="601" t="s">
        <v>469</v>
      </c>
      <c r="T4" s="649"/>
    </row>
    <row r="5" spans="1:21" ht="31.5" thickBot="1" x14ac:dyDescent="0.35">
      <c r="A5" s="327" t="s">
        <v>486</v>
      </c>
      <c r="B5" s="598">
        <f>Energie_EBF!K23</f>
        <v>4.3</v>
      </c>
      <c r="C5" s="328">
        <f>Energie_EBF!K12</f>
        <v>10000</v>
      </c>
      <c r="D5" s="329" t="s">
        <v>129</v>
      </c>
      <c r="E5" s="333" t="s">
        <v>508</v>
      </c>
      <c r="F5" s="333" t="s">
        <v>509</v>
      </c>
      <c r="G5" s="333" t="s">
        <v>487</v>
      </c>
      <c r="H5" s="333" t="s">
        <v>488</v>
      </c>
      <c r="I5" s="334" t="s">
        <v>460</v>
      </c>
      <c r="J5" s="334" t="s">
        <v>461</v>
      </c>
      <c r="K5" s="333" t="s">
        <v>550</v>
      </c>
      <c r="L5" s="333" t="s">
        <v>548</v>
      </c>
      <c r="M5" s="333"/>
      <c r="O5" s="650" t="s">
        <v>438</v>
      </c>
      <c r="P5" s="651" t="s">
        <v>555</v>
      </c>
      <c r="Q5" s="652" t="s">
        <v>439</v>
      </c>
      <c r="R5" s="651" t="s">
        <v>440</v>
      </c>
      <c r="S5" s="653" t="s">
        <v>466</v>
      </c>
      <c r="T5" s="654" t="s">
        <v>491</v>
      </c>
    </row>
    <row r="6" spans="1:21" ht="13.5" thickBot="1" x14ac:dyDescent="0.35">
      <c r="A6" s="327" t="s">
        <v>462</v>
      </c>
      <c r="B6" s="598"/>
      <c r="C6" s="328">
        <f>Energie_EBF!K15</f>
        <v>9000</v>
      </c>
      <c r="D6" s="329" t="s">
        <v>129</v>
      </c>
      <c r="O6" s="655" t="s">
        <v>207</v>
      </c>
      <c r="P6" s="656">
        <v>0.95</v>
      </c>
      <c r="Q6" s="656">
        <v>0.1</v>
      </c>
      <c r="R6" s="657">
        <f t="shared" ref="R6:R12" si="0">Q6/P6</f>
        <v>0.10526315789473685</v>
      </c>
      <c r="S6" s="325">
        <v>0.26500000000000001</v>
      </c>
      <c r="T6" s="658">
        <v>0.32400000000000001</v>
      </c>
    </row>
    <row r="7" spans="1:21" ht="13.5" thickBot="1" x14ac:dyDescent="0.35">
      <c r="A7" s="601" t="s">
        <v>496</v>
      </c>
      <c r="B7" s="277"/>
      <c r="C7" s="602">
        <f>C6-'Kosten HLK'!S21*1000*0.6</f>
        <v>6600</v>
      </c>
      <c r="D7" s="329" t="s">
        <v>129</v>
      </c>
      <c r="O7" s="655" t="s">
        <v>441</v>
      </c>
      <c r="P7" s="656">
        <v>0.95</v>
      </c>
      <c r="Q7" s="656">
        <v>0.14000000000000001</v>
      </c>
      <c r="R7" s="657">
        <f t="shared" si="0"/>
        <v>0.14736842105263159</v>
      </c>
      <c r="S7" s="325">
        <v>0.20300000000000001</v>
      </c>
      <c r="T7" s="658">
        <v>0.23</v>
      </c>
    </row>
    <row r="8" spans="1:21" x14ac:dyDescent="0.3">
      <c r="A8" s="335" t="s">
        <v>448</v>
      </c>
      <c r="B8" s="163"/>
      <c r="C8" s="596">
        <v>0.02</v>
      </c>
      <c r="D8" s="163"/>
      <c r="E8" s="163"/>
      <c r="F8" s="163"/>
      <c r="G8" s="163"/>
      <c r="H8" s="163"/>
      <c r="I8" s="163"/>
      <c r="J8" s="163"/>
      <c r="K8" s="163"/>
      <c r="L8" s="163"/>
      <c r="M8" s="163"/>
      <c r="O8" s="655" t="s">
        <v>442</v>
      </c>
      <c r="P8" s="648">
        <v>3</v>
      </c>
      <c r="Q8" s="648">
        <v>0.25</v>
      </c>
      <c r="R8" s="657">
        <f>Q8/P8</f>
        <v>8.3333333333333329E-2</v>
      </c>
      <c r="S8" s="325">
        <v>0</v>
      </c>
      <c r="T8" s="658">
        <v>0.125</v>
      </c>
    </row>
    <row r="9" spans="1:21" x14ac:dyDescent="0.3">
      <c r="A9" s="336" t="s">
        <v>449</v>
      </c>
      <c r="B9" s="172"/>
      <c r="C9" s="172"/>
      <c r="D9" s="172"/>
      <c r="E9" s="337">
        <v>20</v>
      </c>
      <c r="F9" s="337">
        <v>20</v>
      </c>
      <c r="G9" s="337">
        <v>20</v>
      </c>
      <c r="H9" s="337">
        <v>20</v>
      </c>
      <c r="I9" s="337">
        <v>25</v>
      </c>
      <c r="J9" s="337">
        <v>35</v>
      </c>
      <c r="K9" s="337">
        <v>0</v>
      </c>
      <c r="L9" s="337">
        <v>35</v>
      </c>
      <c r="M9" s="337">
        <v>0</v>
      </c>
      <c r="O9" s="655" t="s">
        <v>443</v>
      </c>
      <c r="P9" s="648">
        <v>4</v>
      </c>
      <c r="Q9" s="648">
        <v>0.25</v>
      </c>
      <c r="R9" s="657">
        <f t="shared" si="0"/>
        <v>6.25E-2</v>
      </c>
      <c r="S9" s="325">
        <v>0</v>
      </c>
      <c r="T9" s="658">
        <v>0.125</v>
      </c>
    </row>
    <row r="10" spans="1:21" ht="13.5" thickBot="1" x14ac:dyDescent="0.35">
      <c r="A10" s="338" t="s">
        <v>450</v>
      </c>
      <c r="B10" s="339"/>
      <c r="C10" s="339"/>
      <c r="D10" s="339"/>
      <c r="E10" s="340">
        <f>IFERROR(((1+$C$8)^E9*($C$8))/((1+$C$8)^E9-1),"-")</f>
        <v>6.1156718125290395E-2</v>
      </c>
      <c r="F10" s="340">
        <f>IFERROR(((1+$C$8)^F9*($C$8))/((1+$C$8)^F9-1),"-")</f>
        <v>6.1156718125290395E-2</v>
      </c>
      <c r="G10" s="340">
        <f>IFERROR(((1+$C$8)^G9*($C$8))/((1+$C$8)^G9-1),"-")</f>
        <v>6.1156718125290395E-2</v>
      </c>
      <c r="H10" s="340">
        <f>IFERROR(((1+$C$8)^H9*($C$8))/((1+$C$8)^H9-1),"-")</f>
        <v>6.1156718125290395E-2</v>
      </c>
      <c r="I10" s="340">
        <f t="shared" ref="I10:J10" si="1">IFERROR(((1+$C$8)^I9*($C$8))/((1+$C$8)^I9-1),"-")</f>
        <v>5.122043841739473E-2</v>
      </c>
      <c r="J10" s="340">
        <f t="shared" si="1"/>
        <v>4.0002209190750142E-2</v>
      </c>
      <c r="K10" s="340">
        <v>0</v>
      </c>
      <c r="L10" s="340">
        <f t="shared" ref="L10:M10" si="2">IFERROR(((1+$C$8)^L9*($C$8))/((1+$C$8)^L9-1),"-")</f>
        <v>4.0002209190750142E-2</v>
      </c>
      <c r="M10" s="340" t="str">
        <f t="shared" si="2"/>
        <v>-</v>
      </c>
      <c r="O10" s="655" t="s">
        <v>444</v>
      </c>
      <c r="P10" s="656">
        <v>3</v>
      </c>
      <c r="Q10" s="648">
        <v>0.2</v>
      </c>
      <c r="R10" s="657">
        <f t="shared" si="0"/>
        <v>6.6666666666666666E-2</v>
      </c>
      <c r="S10" s="325">
        <v>0</v>
      </c>
      <c r="T10" s="658">
        <v>0.10199999999999999</v>
      </c>
    </row>
    <row r="11" spans="1:21" ht="13.5" thickBot="1" x14ac:dyDescent="0.35">
      <c r="A11" s="172"/>
      <c r="B11" s="172"/>
      <c r="C11" s="172"/>
      <c r="D11" s="172"/>
      <c r="E11" s="172"/>
      <c r="F11" s="172"/>
      <c r="G11" s="172"/>
      <c r="H11" s="172"/>
      <c r="I11" s="172"/>
      <c r="J11" s="172"/>
      <c r="K11" s="172"/>
      <c r="L11" s="172"/>
      <c r="M11" s="172"/>
      <c r="O11" s="655" t="s">
        <v>468</v>
      </c>
      <c r="P11" s="656">
        <v>80</v>
      </c>
      <c r="Q11" s="656">
        <v>0.25</v>
      </c>
      <c r="R11" s="657">
        <f t="shared" si="0"/>
        <v>3.1250000000000002E-3</v>
      </c>
      <c r="S11" s="325">
        <v>0</v>
      </c>
      <c r="T11" s="658">
        <v>1.4999999999999999E-2</v>
      </c>
    </row>
    <row r="12" spans="1:21" x14ac:dyDescent="0.3">
      <c r="A12" s="341" t="s">
        <v>512</v>
      </c>
      <c r="B12" s="342"/>
      <c r="C12" s="342"/>
      <c r="D12" s="342"/>
      <c r="E12" s="343">
        <f>'Kosten HLK'!B9</f>
        <v>15000</v>
      </c>
      <c r="F12" s="343">
        <f>'Kosten HLK'!B10</f>
        <v>12000</v>
      </c>
      <c r="G12" s="343">
        <f>'Kosten HLK'!B9+'Kosten HLK'!S25</f>
        <v>30000</v>
      </c>
      <c r="H12" s="343">
        <f>'Kosten HLK'!B10+'Kosten HLK'!S25</f>
        <v>27000</v>
      </c>
      <c r="I12" s="344">
        <f>'Kosten HLK'!B6</f>
        <v>45000</v>
      </c>
      <c r="J12" s="344">
        <f>'Kosten HLK'!B7</f>
        <v>55000</v>
      </c>
      <c r="K12" s="647">
        <v>0</v>
      </c>
      <c r="L12" s="344">
        <f>'Kosten HLK'!B12</f>
        <v>46000</v>
      </c>
      <c r="M12" s="344"/>
      <c r="O12" s="655" t="s">
        <v>251</v>
      </c>
      <c r="P12" s="656">
        <v>0.9</v>
      </c>
      <c r="Q12" s="656">
        <v>0.09</v>
      </c>
      <c r="R12" s="657">
        <f t="shared" si="0"/>
        <v>9.9999999999999992E-2</v>
      </c>
      <c r="S12" s="325">
        <v>0</v>
      </c>
      <c r="T12" s="658">
        <v>2.8000000000000001E-2</v>
      </c>
    </row>
    <row r="13" spans="1:21" x14ac:dyDescent="0.3">
      <c r="A13" s="345" t="s">
        <v>554</v>
      </c>
      <c r="B13" s="346"/>
      <c r="C13" s="346"/>
      <c r="D13" s="346"/>
      <c r="E13" s="347"/>
      <c r="F13" s="347"/>
      <c r="G13" s="347"/>
      <c r="H13" s="347"/>
      <c r="I13" s="348">
        <f>'Kosten HLK'!G6</f>
        <v>2900</v>
      </c>
      <c r="J13" s="348">
        <f>'Kosten HLK'!G7</f>
        <v>6800</v>
      </c>
      <c r="K13" s="347">
        <v>0</v>
      </c>
      <c r="L13" s="348">
        <f>'Kosten HLK'!G12</f>
        <v>5200</v>
      </c>
      <c r="M13" s="348"/>
      <c r="O13" s="659" t="s">
        <v>467</v>
      </c>
      <c r="P13" s="648">
        <v>0.85</v>
      </c>
      <c r="Q13" s="648"/>
      <c r="R13" s="648"/>
      <c r="S13" s="326">
        <v>0</v>
      </c>
      <c r="T13" s="660">
        <v>1.0999999999999999E-2</v>
      </c>
    </row>
    <row r="14" spans="1:21" ht="13.5" thickBot="1" x14ac:dyDescent="0.35">
      <c r="A14" s="349" t="s">
        <v>465</v>
      </c>
      <c r="B14" s="350"/>
      <c r="C14" s="350"/>
      <c r="D14" s="350"/>
      <c r="E14" s="351">
        <f>E12-E13</f>
        <v>15000</v>
      </c>
      <c r="F14" s="351">
        <f>F12-F13</f>
        <v>12000</v>
      </c>
      <c r="G14" s="351">
        <f>G12-G13</f>
        <v>30000</v>
      </c>
      <c r="H14" s="351">
        <f>H12-H13</f>
        <v>27000</v>
      </c>
      <c r="I14" s="351">
        <f t="shared" ref="I14:J14" si="3">I12-I13</f>
        <v>42100</v>
      </c>
      <c r="J14" s="351">
        <f t="shared" si="3"/>
        <v>48200</v>
      </c>
      <c r="K14" s="351">
        <v>0</v>
      </c>
      <c r="L14" s="351">
        <f t="shared" ref="L14:M14" si="4">L12-L13</f>
        <v>40800</v>
      </c>
      <c r="M14" s="351">
        <f t="shared" si="4"/>
        <v>0</v>
      </c>
      <c r="O14" s="659" t="s">
        <v>562</v>
      </c>
      <c r="P14" s="648">
        <v>0.95</v>
      </c>
      <c r="Q14" s="648">
        <v>0.19</v>
      </c>
      <c r="R14" s="648">
        <f>Q14*P14</f>
        <v>0.18049999999999999</v>
      </c>
      <c r="S14" s="326">
        <v>0</v>
      </c>
      <c r="T14" s="660">
        <v>0.124</v>
      </c>
    </row>
    <row r="15" spans="1:21" x14ac:dyDescent="0.3">
      <c r="A15" s="336" t="s">
        <v>451</v>
      </c>
      <c r="B15" s="172"/>
      <c r="C15" s="172"/>
      <c r="D15" s="172"/>
      <c r="E15" s="352">
        <f>IFERROR(ROUND(E12*E10,-2),"-")</f>
        <v>900</v>
      </c>
      <c r="F15" s="352">
        <f>IFERROR(ROUND(F12*F10,-2),"-")</f>
        <v>700</v>
      </c>
      <c r="G15" s="352">
        <f>IFERROR(ROUND(G12*G10,-2),"-")</f>
        <v>1800</v>
      </c>
      <c r="H15" s="352">
        <f>IFERROR(ROUND(H12*H10,-2),"-")</f>
        <v>1700</v>
      </c>
      <c r="I15" s="352">
        <f>IFERROR(ROUND(I14*I10,-2),"-")</f>
        <v>2200</v>
      </c>
      <c r="J15" s="352">
        <f>IFERROR(ROUND(J14*J10,-2),"-")</f>
        <v>1900</v>
      </c>
      <c r="K15" s="352">
        <f>IFERROR(ROUND(K12*K10,-2),"-")</f>
        <v>0</v>
      </c>
      <c r="L15" s="352">
        <f>IFERROR(ROUND(L14*L10,-2),"-")</f>
        <v>1600</v>
      </c>
      <c r="M15" s="352" t="str">
        <f>IFERROR(ROUND(M14*M10,-2),"-")</f>
        <v>-</v>
      </c>
      <c r="O15" s="659" t="s">
        <v>524</v>
      </c>
      <c r="P15" s="648">
        <v>1</v>
      </c>
      <c r="Q15" s="648">
        <v>0.2</v>
      </c>
      <c r="R15" s="648">
        <f>Q15*P15</f>
        <v>0.2</v>
      </c>
      <c r="S15" s="648">
        <v>0</v>
      </c>
      <c r="T15" s="660" t="s">
        <v>559</v>
      </c>
    </row>
    <row r="16" spans="1:21" x14ac:dyDescent="0.3">
      <c r="A16" s="336" t="s">
        <v>452</v>
      </c>
      <c r="B16" s="172"/>
      <c r="C16" s="172"/>
      <c r="D16" s="172"/>
      <c r="E16" s="352">
        <f>C5*Q6</f>
        <v>1000</v>
      </c>
      <c r="F16" s="352">
        <f>C5*Q7</f>
        <v>1400.0000000000002</v>
      </c>
      <c r="G16" s="352">
        <f>C7*R6</f>
        <v>694.73684210526324</v>
      </c>
      <c r="H16" s="352">
        <f>C7*R7</f>
        <v>972.63157894736855</v>
      </c>
      <c r="I16" s="352">
        <f>C6*R8</f>
        <v>750</v>
      </c>
      <c r="J16" s="352">
        <f>R9*C6</f>
        <v>562.5</v>
      </c>
      <c r="K16" s="352">
        <f>C5*R17</f>
        <v>2631.5789473684208</v>
      </c>
      <c r="L16" s="352">
        <f>C6*R15</f>
        <v>1800</v>
      </c>
      <c r="M16" s="352">
        <f>U9*F6</f>
        <v>0</v>
      </c>
      <c r="O16" s="661" t="s">
        <v>560</v>
      </c>
      <c r="P16" s="662">
        <v>1</v>
      </c>
      <c r="Q16" s="662">
        <v>0.12</v>
      </c>
      <c r="R16" s="648">
        <f>Q16*P16</f>
        <v>0.12</v>
      </c>
      <c r="S16" s="325"/>
      <c r="T16" s="658"/>
      <c r="U16" s="136" t="s">
        <v>561</v>
      </c>
    </row>
    <row r="17" spans="1:20" x14ac:dyDescent="0.3">
      <c r="A17" s="353" t="s">
        <v>453</v>
      </c>
      <c r="B17" s="354"/>
      <c r="C17" s="354"/>
      <c r="D17" s="354"/>
      <c r="E17" s="355">
        <f>ROUND(600+20*'Kosten HLK'!R21,-2)</f>
        <v>600</v>
      </c>
      <c r="F17" s="355">
        <f>ROUND(600+20*'Kosten HLK'!R21,-2)</f>
        <v>600</v>
      </c>
      <c r="G17" s="355">
        <f>ROUND(600+100+20*'Kosten HLK'!S21,-2)</f>
        <v>800</v>
      </c>
      <c r="H17" s="355">
        <f>ROUND(600+100+20*'Kosten HLK'!S21,-2)</f>
        <v>800</v>
      </c>
      <c r="I17" s="355">
        <v>300</v>
      </c>
      <c r="J17" s="355">
        <v>200</v>
      </c>
      <c r="K17" s="355">
        <v>0</v>
      </c>
      <c r="L17" s="355">
        <v>100</v>
      </c>
      <c r="M17" s="355">
        <v>200</v>
      </c>
      <c r="O17" s="661" t="s">
        <v>520</v>
      </c>
      <c r="P17" s="662">
        <v>0.95</v>
      </c>
      <c r="Q17" s="662">
        <v>0.25</v>
      </c>
      <c r="R17" s="663">
        <f>Q17/P17</f>
        <v>0.26315789473684209</v>
      </c>
      <c r="S17" s="325">
        <v>0</v>
      </c>
      <c r="T17" s="658">
        <v>0.125</v>
      </c>
    </row>
    <row r="18" spans="1:20" ht="13.5" thickBot="1" x14ac:dyDescent="0.35">
      <c r="A18" s="356" t="s">
        <v>497</v>
      </c>
      <c r="B18" s="357"/>
      <c r="C18" s="357"/>
      <c r="D18" s="357"/>
      <c r="E18" s="358">
        <f>ROUND(SUM(E16:E17),-2)</f>
        <v>1600</v>
      </c>
      <c r="F18" s="358">
        <f>ROUND(SUM(F16:F17),-2)</f>
        <v>2000</v>
      </c>
      <c r="G18" s="358">
        <f>ROUND(SUM(G16:G17),-2)</f>
        <v>1500</v>
      </c>
      <c r="H18" s="358">
        <f t="shared" ref="H18:K18" si="5">ROUND(SUM(H16:H17),-2)</f>
        <v>1800</v>
      </c>
      <c r="I18" s="359">
        <f t="shared" si="5"/>
        <v>1100</v>
      </c>
      <c r="J18" s="359">
        <f t="shared" si="5"/>
        <v>800</v>
      </c>
      <c r="K18" s="359">
        <f t="shared" si="5"/>
        <v>2600</v>
      </c>
      <c r="L18" s="359">
        <f t="shared" ref="L18:M18" si="6">ROUND(SUM(L16:L17),-2)</f>
        <v>1900</v>
      </c>
      <c r="M18" s="359">
        <f t="shared" si="6"/>
        <v>200</v>
      </c>
    </row>
    <row r="19" spans="1:20" ht="13.5" thickBot="1" x14ac:dyDescent="0.35">
      <c r="A19" s="172"/>
      <c r="B19" s="172"/>
      <c r="C19" s="172"/>
      <c r="D19" s="172"/>
      <c r="E19" s="172"/>
      <c r="F19" s="172"/>
      <c r="G19" s="172"/>
      <c r="H19" s="172"/>
      <c r="I19" s="172"/>
      <c r="J19" s="172"/>
      <c r="K19" s="172"/>
      <c r="L19" s="172"/>
      <c r="M19" s="172"/>
    </row>
    <row r="20" spans="1:20" x14ac:dyDescent="0.3">
      <c r="A20" s="335" t="s">
        <v>454</v>
      </c>
      <c r="B20" s="163"/>
      <c r="C20" s="163"/>
      <c r="D20" s="163"/>
      <c r="E20" s="163"/>
      <c r="F20" s="163"/>
      <c r="G20" s="163"/>
      <c r="H20" s="163"/>
      <c r="I20" s="163"/>
      <c r="J20" s="163"/>
      <c r="K20" s="163"/>
      <c r="L20" s="163"/>
      <c r="M20" s="163"/>
    </row>
    <row r="21" spans="1:20" x14ac:dyDescent="0.3">
      <c r="A21" s="336" t="s">
        <v>455</v>
      </c>
      <c r="B21" s="172"/>
      <c r="C21" s="172"/>
      <c r="D21" s="172" t="s">
        <v>456</v>
      </c>
      <c r="E21" s="352">
        <f t="shared" ref="E21:F21" si="7">IFERROR(E15*20,"-")</f>
        <v>18000</v>
      </c>
      <c r="F21" s="352">
        <f t="shared" si="7"/>
        <v>14000</v>
      </c>
      <c r="G21" s="352">
        <f t="shared" ref="G21:K23" si="8">IFERROR(G15*20,"-")</f>
        <v>36000</v>
      </c>
      <c r="H21" s="352">
        <f t="shared" si="8"/>
        <v>34000</v>
      </c>
      <c r="I21" s="352">
        <f t="shared" si="8"/>
        <v>44000</v>
      </c>
      <c r="J21" s="352">
        <f t="shared" si="8"/>
        <v>38000</v>
      </c>
      <c r="K21" s="352">
        <f t="shared" si="8"/>
        <v>0</v>
      </c>
      <c r="L21" s="352">
        <f t="shared" ref="L21:M21" si="9">IFERROR(L15*20,"-")</f>
        <v>32000</v>
      </c>
      <c r="M21" s="352" t="str">
        <f t="shared" si="9"/>
        <v>-</v>
      </c>
    </row>
    <row r="22" spans="1:20" x14ac:dyDescent="0.3">
      <c r="A22" s="336" t="s">
        <v>452</v>
      </c>
      <c r="B22" s="172"/>
      <c r="C22" s="172"/>
      <c r="D22" s="172" t="s">
        <v>456</v>
      </c>
      <c r="E22" s="352">
        <f t="shared" ref="E22:F22" si="10">IFERROR(E16*20,"-")</f>
        <v>20000</v>
      </c>
      <c r="F22" s="352">
        <f t="shared" si="10"/>
        <v>28000.000000000004</v>
      </c>
      <c r="G22" s="352">
        <f t="shared" si="8"/>
        <v>13894.736842105265</v>
      </c>
      <c r="H22" s="352">
        <f t="shared" si="8"/>
        <v>19452.63157894737</v>
      </c>
      <c r="I22" s="352">
        <f t="shared" si="8"/>
        <v>15000</v>
      </c>
      <c r="J22" s="352">
        <f t="shared" si="8"/>
        <v>11250</v>
      </c>
      <c r="K22" s="352">
        <f t="shared" si="8"/>
        <v>52631.578947368413</v>
      </c>
      <c r="L22" s="352">
        <f t="shared" ref="L22:M22" si="11">IFERROR(L16*20,"-")</f>
        <v>36000</v>
      </c>
      <c r="M22" s="352">
        <f t="shared" si="11"/>
        <v>0</v>
      </c>
    </row>
    <row r="23" spans="1:20" x14ac:dyDescent="0.3">
      <c r="A23" s="336" t="s">
        <v>457</v>
      </c>
      <c r="B23" s="172"/>
      <c r="C23" s="172"/>
      <c r="D23" s="172" t="s">
        <v>456</v>
      </c>
      <c r="E23" s="352">
        <f t="shared" ref="E23:F23" si="12">IFERROR(E17*20,"-")</f>
        <v>12000</v>
      </c>
      <c r="F23" s="352">
        <f t="shared" si="12"/>
        <v>12000</v>
      </c>
      <c r="G23" s="352">
        <f t="shared" si="8"/>
        <v>16000</v>
      </c>
      <c r="H23" s="352">
        <f t="shared" si="8"/>
        <v>16000</v>
      </c>
      <c r="I23" s="352">
        <f t="shared" si="8"/>
        <v>6000</v>
      </c>
      <c r="J23" s="352">
        <f t="shared" si="8"/>
        <v>4000</v>
      </c>
      <c r="K23" s="352">
        <f t="shared" si="8"/>
        <v>0</v>
      </c>
      <c r="L23" s="352">
        <f t="shared" ref="L23:M23" si="13">IFERROR(L17*20,"-")</f>
        <v>2000</v>
      </c>
      <c r="M23" s="352">
        <f t="shared" si="13"/>
        <v>4000</v>
      </c>
    </row>
    <row r="24" spans="1:20" ht="13.5" thickBot="1" x14ac:dyDescent="0.35">
      <c r="A24" s="356" t="s">
        <v>458</v>
      </c>
      <c r="B24" s="357"/>
      <c r="C24" s="357"/>
      <c r="D24" s="357" t="s">
        <v>456</v>
      </c>
      <c r="E24" s="359">
        <f>ROUND(SUM(E21:E23),-3)</f>
        <v>50000</v>
      </c>
      <c r="F24" s="359">
        <f>ROUND(SUM(F21:F23),-3)</f>
        <v>54000</v>
      </c>
      <c r="G24" s="359">
        <f>ROUND(SUM(G21:G23),-3)</f>
        <v>66000</v>
      </c>
      <c r="H24" s="359">
        <f t="shared" ref="H24:K24" si="14">ROUND(SUM(H21:H23),-3)</f>
        <v>69000</v>
      </c>
      <c r="I24" s="359">
        <f t="shared" si="14"/>
        <v>65000</v>
      </c>
      <c r="J24" s="359">
        <f t="shared" si="14"/>
        <v>53000</v>
      </c>
      <c r="K24" s="359">
        <f t="shared" si="14"/>
        <v>53000</v>
      </c>
      <c r="L24" s="359">
        <f t="shared" ref="L24:M24" si="15">ROUND(SUM(L21:L23),-3)</f>
        <v>70000</v>
      </c>
      <c r="M24" s="359">
        <f t="shared" si="15"/>
        <v>4000</v>
      </c>
    </row>
    <row r="25" spans="1:20" ht="13.5" thickBot="1" x14ac:dyDescent="0.35">
      <c r="A25" s="172"/>
      <c r="B25" s="172"/>
      <c r="C25" s="172"/>
      <c r="D25" s="172"/>
      <c r="E25" s="172"/>
      <c r="F25" s="172"/>
      <c r="G25" s="172"/>
      <c r="H25" s="172"/>
      <c r="I25" s="172"/>
      <c r="J25" s="172"/>
      <c r="K25" s="172"/>
      <c r="L25" s="172"/>
      <c r="M25" s="172"/>
    </row>
    <row r="26" spans="1:20" x14ac:dyDescent="0.3">
      <c r="A26" s="360" t="s">
        <v>459</v>
      </c>
      <c r="B26" s="163"/>
      <c r="C26" s="163"/>
      <c r="D26" s="163"/>
      <c r="E26" s="163"/>
      <c r="F26" s="163"/>
      <c r="G26" s="163"/>
      <c r="H26" s="163"/>
      <c r="I26" s="163"/>
      <c r="J26" s="163"/>
      <c r="K26" s="163"/>
      <c r="L26" s="163"/>
      <c r="M26" s="163"/>
    </row>
    <row r="27" spans="1:20" ht="27.75" customHeight="1" x14ac:dyDescent="0.3">
      <c r="A27" s="734" t="s">
        <v>485</v>
      </c>
      <c r="B27" s="735"/>
      <c r="C27" s="735"/>
      <c r="D27" s="735"/>
      <c r="E27" s="597">
        <f>C5*T6</f>
        <v>3240</v>
      </c>
      <c r="F27" s="597">
        <f>C5*T7</f>
        <v>2300</v>
      </c>
      <c r="G27" s="597">
        <f>C7*T6</f>
        <v>2138.4</v>
      </c>
      <c r="H27" s="597">
        <f>C7*T7</f>
        <v>1518</v>
      </c>
      <c r="I27" s="597">
        <f>C6*T8/P8</f>
        <v>375</v>
      </c>
      <c r="J27" s="597">
        <f>C6*T9/P9</f>
        <v>281.25</v>
      </c>
      <c r="K27" s="664">
        <f>C6*T17/P17</f>
        <v>1184.2105263157896</v>
      </c>
      <c r="L27" s="597"/>
      <c r="M27" s="597" t="e">
        <f>F6*W9/S9</f>
        <v>#DIV/0!</v>
      </c>
    </row>
    <row r="28" spans="1:20" ht="30.75" customHeight="1" thickBot="1" x14ac:dyDescent="0.35">
      <c r="A28" s="736" t="s">
        <v>470</v>
      </c>
      <c r="B28" s="737"/>
      <c r="C28" s="737"/>
      <c r="D28" s="737"/>
      <c r="E28" s="599">
        <f>C5*S6</f>
        <v>2650</v>
      </c>
      <c r="F28" s="599">
        <f>C5*S7</f>
        <v>2030.0000000000002</v>
      </c>
      <c r="G28" s="599">
        <f>C7*S6</f>
        <v>1749</v>
      </c>
      <c r="H28" s="599">
        <f>C7*S7</f>
        <v>1339.8000000000002</v>
      </c>
      <c r="I28" s="599">
        <v>0</v>
      </c>
      <c r="J28" s="600">
        <v>0</v>
      </c>
      <c r="K28" s="599">
        <v>0</v>
      </c>
      <c r="L28" s="600">
        <v>0</v>
      </c>
      <c r="M28" s="600">
        <v>0</v>
      </c>
    </row>
    <row r="29" spans="1:20" x14ac:dyDescent="0.3">
      <c r="E29" s="361"/>
      <c r="F29" s="361"/>
      <c r="G29" s="361"/>
      <c r="H29" s="361"/>
    </row>
    <row r="30" spans="1:20" ht="13.5" thickBot="1" x14ac:dyDescent="0.35"/>
    <row r="31" spans="1:20" ht="13.5" thickBot="1" x14ac:dyDescent="0.35">
      <c r="A31" s="362" t="s">
        <v>484</v>
      </c>
      <c r="B31" s="363"/>
      <c r="C31" s="363"/>
      <c r="D31" s="363"/>
      <c r="E31" s="364">
        <f>ROUND(E28,-2)</f>
        <v>2700</v>
      </c>
      <c r="F31" s="364">
        <f>ROUND(F28,-2)</f>
        <v>2000</v>
      </c>
      <c r="G31" s="364">
        <f>ROUND(G28,-2)</f>
        <v>1700</v>
      </c>
      <c r="H31" s="365">
        <f>ROUND(H28,-2)</f>
        <v>1300</v>
      </c>
      <c r="K31" s="136" t="s">
        <v>556</v>
      </c>
    </row>
  </sheetData>
  <mergeCells count="2">
    <mergeCell ref="A27:D27"/>
    <mergeCell ref="A28:D28"/>
  </mergeCells>
  <phoneticPr fontId="71" type="noConversion"/>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W91"/>
  <sheetViews>
    <sheetView workbookViewId="0">
      <selection activeCell="Q29" sqref="Q29"/>
    </sheetView>
  </sheetViews>
  <sheetFormatPr defaultColWidth="10.90625" defaultRowHeight="12.5" x14ac:dyDescent="0.25"/>
  <cols>
    <col min="1" max="1" width="8.54296875" customWidth="1"/>
    <col min="2" max="2" width="11.54296875" customWidth="1"/>
    <col min="3" max="3" width="8.81640625" customWidth="1"/>
    <col min="4" max="4" width="6.81640625" customWidth="1"/>
    <col min="5" max="5" width="10.36328125" customWidth="1"/>
    <col min="6" max="6" width="9.453125" customWidth="1"/>
    <col min="7" max="7" width="8.81640625" customWidth="1"/>
    <col min="8" max="8" width="13.453125" customWidth="1"/>
    <col min="9" max="9" width="7.81640625" customWidth="1"/>
    <col min="10" max="10" width="10.08984375" customWidth="1"/>
    <col min="11" max="11" width="10.81640625" customWidth="1"/>
    <col min="12" max="12" width="9.6328125" style="24" customWidth="1"/>
    <col min="14" max="14" width="15" customWidth="1"/>
    <col min="17" max="17" width="25.6328125" customWidth="1"/>
  </cols>
  <sheetData>
    <row r="1" spans="1:18" ht="18.5" thickBot="1" x14ac:dyDescent="0.45">
      <c r="B1" s="22" t="s">
        <v>209</v>
      </c>
      <c r="K1" s="23" t="s">
        <v>210</v>
      </c>
    </row>
    <row r="2" spans="1:18" ht="15" thickBot="1" x14ac:dyDescent="0.4">
      <c r="B2" t="s">
        <v>211</v>
      </c>
      <c r="K2" s="24" t="s">
        <v>212</v>
      </c>
      <c r="N2" s="6" t="s">
        <v>212</v>
      </c>
      <c r="P2" s="25" t="s">
        <v>213</v>
      </c>
      <c r="Q2" s="26"/>
      <c r="R2" s="27">
        <v>7.0000000000000007E-2</v>
      </c>
    </row>
    <row r="3" spans="1:18" ht="18" customHeight="1" thickTop="1" thickBot="1" x14ac:dyDescent="0.45">
      <c r="B3" s="28" t="s">
        <v>214</v>
      </c>
      <c r="C3" s="24" t="s">
        <v>215</v>
      </c>
      <c r="D3" s="24" t="s">
        <v>216</v>
      </c>
      <c r="E3" s="24" t="s">
        <v>217</v>
      </c>
      <c r="F3" s="24" t="s">
        <v>218</v>
      </c>
      <c r="G3" s="24" t="s">
        <v>219</v>
      </c>
      <c r="H3" s="24" t="s">
        <v>220</v>
      </c>
      <c r="I3" s="24" t="s">
        <v>221</v>
      </c>
      <c r="J3" s="24" t="s">
        <v>222</v>
      </c>
      <c r="K3" s="24" t="s">
        <v>223</v>
      </c>
      <c r="M3" s="738" t="s">
        <v>224</v>
      </c>
      <c r="N3" s="6" t="s">
        <v>225</v>
      </c>
      <c r="P3" s="29" t="s">
        <v>226</v>
      </c>
      <c r="Q3" s="30"/>
      <c r="R3" s="31"/>
    </row>
    <row r="4" spans="1:18" ht="24.5" x14ac:dyDescent="0.4">
      <c r="B4" s="28" t="s">
        <v>98</v>
      </c>
      <c r="C4" s="24" t="s">
        <v>7</v>
      </c>
      <c r="D4" s="24" t="s">
        <v>105</v>
      </c>
      <c r="E4" s="24" t="s">
        <v>227</v>
      </c>
      <c r="F4" s="24"/>
      <c r="G4" s="24" t="s">
        <v>129</v>
      </c>
      <c r="H4" s="24" t="s">
        <v>228</v>
      </c>
      <c r="I4" s="24"/>
      <c r="J4" s="32" t="s">
        <v>229</v>
      </c>
      <c r="K4" s="33" t="s">
        <v>224</v>
      </c>
      <c r="L4" s="34" t="s">
        <v>230</v>
      </c>
      <c r="M4" s="738"/>
      <c r="N4" s="35" t="s">
        <v>228</v>
      </c>
    </row>
    <row r="5" spans="1:18" ht="18" x14ac:dyDescent="0.4">
      <c r="A5" s="16"/>
      <c r="B5" s="36" t="s">
        <v>231</v>
      </c>
      <c r="C5" s="37"/>
      <c r="D5" s="38">
        <v>1</v>
      </c>
      <c r="E5" s="37"/>
      <c r="F5" s="37"/>
      <c r="G5" s="37"/>
      <c r="H5" s="37"/>
      <c r="I5" s="37"/>
      <c r="J5" s="37"/>
      <c r="K5" s="39"/>
      <c r="M5" s="40"/>
      <c r="N5" s="41"/>
    </row>
    <row r="6" spans="1:18" ht="18" x14ac:dyDescent="0.4">
      <c r="A6" s="18" t="s">
        <v>232</v>
      </c>
      <c r="B6" s="42">
        <f>C6*D6*E6*F6</f>
        <v>230.4</v>
      </c>
      <c r="C6" s="43">
        <v>3</v>
      </c>
      <c r="D6">
        <f>D5</f>
        <v>1</v>
      </c>
      <c r="E6">
        <v>3200</v>
      </c>
      <c r="F6">
        <f>24/1000</f>
        <v>2.4E-2</v>
      </c>
      <c r="K6" s="44"/>
      <c r="M6" s="40"/>
      <c r="N6" s="45"/>
    </row>
    <row r="7" spans="1:18" ht="18" x14ac:dyDescent="0.4">
      <c r="A7" s="19" t="s">
        <v>233</v>
      </c>
      <c r="B7" s="46">
        <f>C7*D7*E7*F7</f>
        <v>19.2</v>
      </c>
      <c r="C7" s="47">
        <v>0.25</v>
      </c>
      <c r="D7" s="20">
        <f>D5</f>
        <v>1</v>
      </c>
      <c r="E7" s="20">
        <v>3200</v>
      </c>
      <c r="F7" s="20">
        <f>24/1000</f>
        <v>2.4E-2</v>
      </c>
      <c r="G7" s="48">
        <f>B6-B7</f>
        <v>211.20000000000002</v>
      </c>
      <c r="H7" s="49">
        <f>C67*D5</f>
        <v>200</v>
      </c>
      <c r="I7" s="50">
        <f>B$56</f>
        <v>4.8000000000000001E-2</v>
      </c>
      <c r="J7" s="20">
        <f>H7*I7</f>
        <v>9.6</v>
      </c>
      <c r="K7" s="51">
        <f>J7/G7</f>
        <v>4.5454545454545449E-2</v>
      </c>
      <c r="L7" s="52">
        <v>1</v>
      </c>
      <c r="M7" s="51">
        <f>J7/G7*L7</f>
        <v>4.5454545454545449E-2</v>
      </c>
      <c r="N7" s="53">
        <f>ROUND(G7*$R$2,-1)</f>
        <v>10</v>
      </c>
    </row>
    <row r="8" spans="1:18" ht="18" x14ac:dyDescent="0.4">
      <c r="A8" s="16"/>
      <c r="B8" s="36" t="s">
        <v>234</v>
      </c>
      <c r="C8" s="37"/>
      <c r="D8" s="38">
        <v>1</v>
      </c>
      <c r="E8" s="37"/>
      <c r="F8" s="37"/>
      <c r="G8" s="37"/>
      <c r="H8" s="37"/>
      <c r="I8" s="37"/>
      <c r="J8" s="37"/>
      <c r="K8" s="39"/>
      <c r="L8" s="52"/>
      <c r="M8" s="40"/>
      <c r="N8" s="41"/>
    </row>
    <row r="9" spans="1:18" ht="18" x14ac:dyDescent="0.4">
      <c r="A9" s="18" t="s">
        <v>232</v>
      </c>
      <c r="B9" s="42">
        <f>C9*D9*E9*F9</f>
        <v>153.6</v>
      </c>
      <c r="C9" s="43">
        <v>2</v>
      </c>
      <c r="D9">
        <f>D8</f>
        <v>1</v>
      </c>
      <c r="E9">
        <v>3200</v>
      </c>
      <c r="F9">
        <f>24/1000</f>
        <v>2.4E-2</v>
      </c>
      <c r="K9" s="44"/>
      <c r="L9" s="52"/>
      <c r="M9" s="40"/>
      <c r="N9" s="45"/>
    </row>
    <row r="10" spans="1:18" ht="18" x14ac:dyDescent="0.4">
      <c r="A10" s="19" t="s">
        <v>233</v>
      </c>
      <c r="B10" s="46">
        <f>C10*D10*E10*F10</f>
        <v>19.2</v>
      </c>
      <c r="C10" s="47">
        <v>0.25</v>
      </c>
      <c r="D10" s="20">
        <f>D8</f>
        <v>1</v>
      </c>
      <c r="E10" s="20">
        <v>3200</v>
      </c>
      <c r="F10" s="20">
        <f>24/1000</f>
        <v>2.4E-2</v>
      </c>
      <c r="G10" s="48">
        <f>B9-B10</f>
        <v>134.4</v>
      </c>
      <c r="H10" s="49">
        <f>C68*D8</f>
        <v>150</v>
      </c>
      <c r="I10" s="50">
        <f>B$56</f>
        <v>4.8000000000000001E-2</v>
      </c>
      <c r="J10" s="20">
        <f>H10*I10</f>
        <v>7.2</v>
      </c>
      <c r="K10" s="51">
        <f>J10/G10</f>
        <v>5.3571428571428568E-2</v>
      </c>
      <c r="L10" s="52">
        <v>1</v>
      </c>
      <c r="M10" s="51">
        <f>J10/G10*L10</f>
        <v>5.3571428571428568E-2</v>
      </c>
      <c r="N10" s="53">
        <f>ROUND(G10*$R$2,-1)</f>
        <v>10</v>
      </c>
    </row>
    <row r="11" spans="1:18" ht="18" x14ac:dyDescent="0.4">
      <c r="A11" s="16"/>
      <c r="B11" s="36" t="s">
        <v>235</v>
      </c>
      <c r="C11" s="37"/>
      <c r="D11" s="38">
        <v>1</v>
      </c>
      <c r="E11" s="37"/>
      <c r="F11" s="37"/>
      <c r="G11" s="37"/>
      <c r="H11" s="37"/>
      <c r="I11" s="37"/>
      <c r="J11" s="37"/>
      <c r="K11" s="39"/>
      <c r="L11" s="52"/>
      <c r="M11" s="40"/>
      <c r="N11" s="41"/>
    </row>
    <row r="12" spans="1:18" ht="18" x14ac:dyDescent="0.4">
      <c r="A12" s="18" t="s">
        <v>232</v>
      </c>
      <c r="B12" s="42">
        <f>C12*D12*E12*F12</f>
        <v>153.6</v>
      </c>
      <c r="C12" s="43">
        <v>2</v>
      </c>
      <c r="D12">
        <f>D11</f>
        <v>1</v>
      </c>
      <c r="E12">
        <v>3200</v>
      </c>
      <c r="F12">
        <f>24/1000</f>
        <v>2.4E-2</v>
      </c>
      <c r="K12" s="44"/>
      <c r="L12" s="52"/>
      <c r="M12" s="40"/>
      <c r="N12" s="45"/>
    </row>
    <row r="13" spans="1:18" ht="18" x14ac:dyDescent="0.4">
      <c r="A13" s="19" t="s">
        <v>233</v>
      </c>
      <c r="B13" s="46">
        <f>C13*D13*E13*F13</f>
        <v>19.2</v>
      </c>
      <c r="C13" s="47">
        <v>0.25</v>
      </c>
      <c r="D13" s="20">
        <f>D11</f>
        <v>1</v>
      </c>
      <c r="E13" s="20">
        <v>3200</v>
      </c>
      <c r="F13" s="20">
        <f>24/1000</f>
        <v>2.4E-2</v>
      </c>
      <c r="G13" s="48">
        <f>B12-B13</f>
        <v>134.4</v>
      </c>
      <c r="H13" s="49">
        <f>C69*D11</f>
        <v>150</v>
      </c>
      <c r="I13" s="50">
        <f>B$56</f>
        <v>4.8000000000000001E-2</v>
      </c>
      <c r="J13" s="20">
        <f>H13*I13</f>
        <v>7.2</v>
      </c>
      <c r="K13" s="51">
        <f>J13/G13</f>
        <v>5.3571428571428568E-2</v>
      </c>
      <c r="L13" s="52">
        <v>1</v>
      </c>
      <c r="M13" s="51">
        <f>J13/G13*L13</f>
        <v>5.3571428571428568E-2</v>
      </c>
      <c r="N13" s="53">
        <f>ROUND(G13*$R$2,-1)</f>
        <v>10</v>
      </c>
    </row>
    <row r="14" spans="1:18" ht="18" x14ac:dyDescent="0.4">
      <c r="A14" s="16"/>
      <c r="B14" s="54" t="s">
        <v>208</v>
      </c>
      <c r="C14" s="17"/>
      <c r="D14" s="38">
        <v>1</v>
      </c>
      <c r="E14" s="17"/>
      <c r="F14" s="17"/>
      <c r="G14" s="17"/>
      <c r="H14" s="17"/>
      <c r="I14" s="17"/>
      <c r="J14" s="17"/>
      <c r="K14" s="39"/>
      <c r="L14" s="52"/>
      <c r="M14" s="40"/>
      <c r="N14" s="41"/>
    </row>
    <row r="15" spans="1:18" ht="18" x14ac:dyDescent="0.4">
      <c r="A15" s="18" t="s">
        <v>232</v>
      </c>
      <c r="B15" s="42">
        <f>C15*D15*E15*F15</f>
        <v>239.76</v>
      </c>
      <c r="C15" s="43">
        <v>2.7</v>
      </c>
      <c r="D15">
        <f>D14</f>
        <v>1</v>
      </c>
      <c r="E15">
        <v>3700</v>
      </c>
      <c r="F15">
        <f>24/1000</f>
        <v>2.4E-2</v>
      </c>
      <c r="K15" s="44"/>
      <c r="L15" s="52"/>
      <c r="M15" s="40"/>
      <c r="N15" s="45"/>
    </row>
    <row r="16" spans="1:18" ht="18" x14ac:dyDescent="0.4">
      <c r="A16" s="19" t="s">
        <v>233</v>
      </c>
      <c r="B16" s="46">
        <f>C16*D16*E16*F16</f>
        <v>79.92</v>
      </c>
      <c r="C16" s="47">
        <v>0.9</v>
      </c>
      <c r="D16" s="20">
        <f>D14</f>
        <v>1</v>
      </c>
      <c r="E16" s="20">
        <v>3700</v>
      </c>
      <c r="F16" s="20">
        <f>24/1000</f>
        <v>2.4E-2</v>
      </c>
      <c r="G16" s="48">
        <f>B15-B16</f>
        <v>159.83999999999997</v>
      </c>
      <c r="H16" s="49">
        <f>C77*D14</f>
        <v>950</v>
      </c>
      <c r="I16" s="50">
        <f>B$56</f>
        <v>4.8000000000000001E-2</v>
      </c>
      <c r="J16" s="20">
        <f>H16*I16</f>
        <v>45.6</v>
      </c>
      <c r="K16" s="51">
        <f>J16/G16</f>
        <v>0.28528528528528535</v>
      </c>
      <c r="L16" s="52">
        <v>0.3</v>
      </c>
      <c r="M16" s="51">
        <f>J16/G16*L16</f>
        <v>8.55855855855856E-2</v>
      </c>
      <c r="N16" s="53">
        <f>ROUND(G16*$R$2,-1)</f>
        <v>10</v>
      </c>
    </row>
    <row r="17" spans="1:14" ht="18" x14ac:dyDescent="0.4">
      <c r="A17" s="16"/>
      <c r="B17" s="54" t="s">
        <v>236</v>
      </c>
      <c r="C17" s="17"/>
      <c r="D17" s="38">
        <v>1</v>
      </c>
      <c r="E17" s="17"/>
      <c r="F17" s="17"/>
      <c r="G17" s="17"/>
      <c r="H17" s="17"/>
      <c r="I17" s="17"/>
      <c r="J17" s="17"/>
      <c r="K17" s="39"/>
      <c r="L17" s="52"/>
      <c r="M17" s="40"/>
      <c r="N17" s="41"/>
    </row>
    <row r="18" spans="1:14" ht="18" x14ac:dyDescent="0.4">
      <c r="A18" s="18" t="s">
        <v>232</v>
      </c>
      <c r="B18" s="42" t="s">
        <v>132</v>
      </c>
      <c r="K18" s="44"/>
      <c r="L18" s="52"/>
      <c r="M18" s="40"/>
      <c r="N18" s="45"/>
    </row>
    <row r="19" spans="1:14" ht="18" x14ac:dyDescent="0.4">
      <c r="A19" s="19" t="s">
        <v>233</v>
      </c>
      <c r="B19" s="55" t="s">
        <v>237</v>
      </c>
      <c r="C19" s="20"/>
      <c r="D19" s="20"/>
      <c r="E19" s="20"/>
      <c r="F19" s="20"/>
      <c r="G19" s="48">
        <f>L80*D17</f>
        <v>450</v>
      </c>
      <c r="H19" s="49">
        <f>ROUND(D17*D80+I80,-2)</f>
        <v>10800</v>
      </c>
      <c r="I19" s="50">
        <f>B53</f>
        <v>5.4275921045792701E-2</v>
      </c>
      <c r="J19" s="56">
        <f>H19*I19</f>
        <v>586.1799472945612</v>
      </c>
      <c r="K19" s="51">
        <f>J19/G19</f>
        <v>1.302622105099025</v>
      </c>
      <c r="L19" s="52">
        <v>1</v>
      </c>
      <c r="M19" s="51">
        <f>J19/G19*L19</f>
        <v>1.302622105099025</v>
      </c>
      <c r="N19" s="53">
        <f>ROUND(G19*$R$2,-1)</f>
        <v>30</v>
      </c>
    </row>
    <row r="20" spans="1:14" ht="18" x14ac:dyDescent="0.4">
      <c r="A20" s="57" t="s">
        <v>238</v>
      </c>
      <c r="C20" s="17"/>
      <c r="D20" s="38">
        <v>1</v>
      </c>
      <c r="E20" s="17"/>
      <c r="F20" s="17"/>
      <c r="G20" s="17"/>
      <c r="H20" s="17"/>
      <c r="I20" s="17"/>
      <c r="J20" s="17"/>
      <c r="K20" s="58"/>
      <c r="L20" s="52"/>
      <c r="M20" s="40"/>
      <c r="N20" s="59"/>
    </row>
    <row r="21" spans="1:14" ht="18" x14ac:dyDescent="0.4">
      <c r="A21" s="18" t="s">
        <v>232</v>
      </c>
      <c r="B21" s="42">
        <f>C21*D21*E21*F21</f>
        <v>133.81200000000001</v>
      </c>
      <c r="C21" s="43">
        <v>1.5</v>
      </c>
      <c r="D21">
        <f>D20</f>
        <v>1</v>
      </c>
      <c r="E21">
        <v>3717</v>
      </c>
      <c r="F21">
        <f>24/1000</f>
        <v>2.4E-2</v>
      </c>
      <c r="K21" s="44"/>
      <c r="L21" s="52"/>
      <c r="M21" s="40"/>
      <c r="N21" s="45"/>
    </row>
    <row r="22" spans="1:14" ht="18" x14ac:dyDescent="0.4">
      <c r="A22" s="19" t="s">
        <v>233</v>
      </c>
      <c r="B22" s="46">
        <f>C22*D22*E22*F22</f>
        <v>41.927759999999999</v>
      </c>
      <c r="C22" s="47">
        <v>0.47</v>
      </c>
      <c r="D22" s="20">
        <f>D20</f>
        <v>1</v>
      </c>
      <c r="E22" s="20">
        <v>3717</v>
      </c>
      <c r="F22" s="20">
        <f>24/1000</f>
        <v>2.4E-2</v>
      </c>
      <c r="G22" s="48">
        <f>B21-B22</f>
        <v>91.884240000000005</v>
      </c>
      <c r="H22" s="49">
        <f>C66*D20</f>
        <v>300</v>
      </c>
      <c r="I22" s="50">
        <f>B$56</f>
        <v>4.8000000000000001E-2</v>
      </c>
      <c r="J22" s="20">
        <f>H22*I22</f>
        <v>14.4</v>
      </c>
      <c r="K22" s="51">
        <f>J22/G22</f>
        <v>0.15671893243063229</v>
      </c>
      <c r="L22" s="52">
        <v>1</v>
      </c>
      <c r="M22" s="51">
        <f>J22/G22*L22</f>
        <v>0.15671893243063229</v>
      </c>
      <c r="N22" s="53">
        <f>ROUND(G22*$R$2,-1)</f>
        <v>10</v>
      </c>
    </row>
    <row r="23" spans="1:14" ht="18" x14ac:dyDescent="0.4">
      <c r="A23" s="16"/>
      <c r="B23" s="54" t="s">
        <v>239</v>
      </c>
      <c r="C23" s="17"/>
      <c r="D23" s="38">
        <v>1</v>
      </c>
      <c r="E23" s="17"/>
      <c r="F23" s="17"/>
      <c r="G23" s="17"/>
      <c r="H23" s="17"/>
      <c r="I23" s="17"/>
      <c r="J23" s="17"/>
      <c r="K23" s="58"/>
      <c r="L23" s="52"/>
      <c r="M23" s="40"/>
      <c r="N23" s="59"/>
    </row>
    <row r="24" spans="1:14" ht="18" x14ac:dyDescent="0.4">
      <c r="A24" s="18" t="s">
        <v>232</v>
      </c>
      <c r="B24" s="42">
        <f>C24*D24*E24*F24</f>
        <v>178.416</v>
      </c>
      <c r="C24" s="43">
        <v>2</v>
      </c>
      <c r="D24">
        <f>D23</f>
        <v>1</v>
      </c>
      <c r="E24">
        <v>3717</v>
      </c>
      <c r="F24">
        <f>24/1000</f>
        <v>2.4E-2</v>
      </c>
      <c r="K24" s="44"/>
      <c r="L24" s="52"/>
      <c r="M24" s="40"/>
      <c r="N24" s="45"/>
    </row>
    <row r="25" spans="1:14" ht="18" x14ac:dyDescent="0.4">
      <c r="A25" s="19" t="s">
        <v>233</v>
      </c>
      <c r="B25" s="46">
        <f>C25*D25*E25*F25</f>
        <v>22.302</v>
      </c>
      <c r="C25" s="47">
        <v>0.25</v>
      </c>
      <c r="D25" s="20">
        <f>D23</f>
        <v>1</v>
      </c>
      <c r="E25" s="20">
        <v>3717</v>
      </c>
      <c r="F25" s="20">
        <f>24/1000</f>
        <v>2.4E-2</v>
      </c>
      <c r="G25" s="48">
        <f>B24-B25</f>
        <v>156.114</v>
      </c>
      <c r="H25" s="49">
        <f>C65*D23</f>
        <v>150</v>
      </c>
      <c r="I25" s="50">
        <f>B$56</f>
        <v>4.8000000000000001E-2</v>
      </c>
      <c r="J25" s="20">
        <f>H25*I25</f>
        <v>7.2</v>
      </c>
      <c r="K25" s="51">
        <f>J25/G25</f>
        <v>4.6120142972443212E-2</v>
      </c>
      <c r="L25" s="52">
        <v>1</v>
      </c>
      <c r="M25" s="51">
        <f>J25/G25*L25</f>
        <v>4.6120142972443212E-2</v>
      </c>
      <c r="N25" s="53">
        <f>ROUND(G25*$R$2,-1)</f>
        <v>10</v>
      </c>
    </row>
    <row r="26" spans="1:14" ht="18" x14ac:dyDescent="0.4">
      <c r="A26" s="16"/>
      <c r="B26" s="54" t="s">
        <v>115</v>
      </c>
      <c r="C26" s="17"/>
      <c r="D26" s="38">
        <v>1</v>
      </c>
      <c r="E26" s="17"/>
      <c r="F26" s="17"/>
      <c r="G26" s="17"/>
      <c r="H26" s="17"/>
      <c r="I26" s="17"/>
      <c r="J26" s="17"/>
      <c r="K26" s="58"/>
      <c r="L26" s="52"/>
      <c r="M26" s="40"/>
      <c r="N26" s="59"/>
    </row>
    <row r="27" spans="1:14" ht="18" x14ac:dyDescent="0.4">
      <c r="A27" s="18" t="s">
        <v>232</v>
      </c>
      <c r="B27" s="42">
        <f>C27*D27*E27*F27</f>
        <v>356.83199999999999</v>
      </c>
      <c r="C27" s="43">
        <v>4</v>
      </c>
      <c r="D27">
        <f>D26</f>
        <v>1</v>
      </c>
      <c r="E27">
        <v>3717</v>
      </c>
      <c r="F27">
        <f>24/1000</f>
        <v>2.4E-2</v>
      </c>
      <c r="K27" s="44"/>
      <c r="L27" s="52"/>
      <c r="M27" s="40"/>
      <c r="N27" s="45"/>
    </row>
    <row r="28" spans="1:14" ht="18" x14ac:dyDescent="0.4">
      <c r="A28" s="19" t="s">
        <v>233</v>
      </c>
      <c r="B28" s="46">
        <f>C28*D28*E28*F28</f>
        <v>17.841600000000003</v>
      </c>
      <c r="C28" s="47">
        <v>0.2</v>
      </c>
      <c r="D28" s="20">
        <f>D26</f>
        <v>1</v>
      </c>
      <c r="E28" s="20">
        <v>3717</v>
      </c>
      <c r="F28" s="20">
        <f>24/1000</f>
        <v>2.4E-2</v>
      </c>
      <c r="G28" s="48">
        <f>B27-B28</f>
        <v>338.99039999999997</v>
      </c>
      <c r="H28" s="49">
        <f>C73*D26</f>
        <v>210</v>
      </c>
      <c r="I28" s="50">
        <f>B$56</f>
        <v>4.8000000000000001E-2</v>
      </c>
      <c r="J28" s="20">
        <f>H28*I28</f>
        <v>10.08</v>
      </c>
      <c r="K28" s="51">
        <f>J28/G28</f>
        <v>2.9735355337496286E-2</v>
      </c>
      <c r="L28" s="52">
        <v>0.3</v>
      </c>
      <c r="M28" s="51">
        <f>J28/G28*L28</f>
        <v>8.9206066012488851E-3</v>
      </c>
      <c r="N28" s="53">
        <f>ROUND(G28*$R$2,-1)</f>
        <v>20</v>
      </c>
    </row>
    <row r="29" spans="1:14" ht="18" x14ac:dyDescent="0.4">
      <c r="A29" s="16"/>
      <c r="B29" s="54" t="s">
        <v>240</v>
      </c>
      <c r="C29" s="17"/>
      <c r="D29" s="38">
        <v>1</v>
      </c>
      <c r="E29" s="17"/>
      <c r="F29" s="17"/>
      <c r="G29" s="17"/>
      <c r="H29" s="17"/>
      <c r="I29" s="17"/>
      <c r="J29" s="17"/>
      <c r="K29" s="58"/>
      <c r="L29" s="52"/>
      <c r="M29" s="40"/>
      <c r="N29" s="59"/>
    </row>
    <row r="30" spans="1:14" ht="18.75" customHeight="1" x14ac:dyDescent="0.4">
      <c r="A30" s="18" t="s">
        <v>232</v>
      </c>
      <c r="B30" s="42">
        <f>C30*D30*E30*F30</f>
        <v>98.128800000000012</v>
      </c>
      <c r="C30" s="43">
        <v>1.1000000000000001</v>
      </c>
      <c r="D30">
        <f>D29</f>
        <v>1</v>
      </c>
      <c r="E30">
        <v>3717</v>
      </c>
      <c r="F30">
        <f>24/1000</f>
        <v>2.4E-2</v>
      </c>
      <c r="K30" s="44"/>
      <c r="L30" s="52"/>
      <c r="M30" s="40"/>
      <c r="N30" s="45"/>
    </row>
    <row r="31" spans="1:14" ht="18.75" customHeight="1" x14ac:dyDescent="0.4">
      <c r="A31" s="19" t="s">
        <v>233</v>
      </c>
      <c r="B31" s="46">
        <f>C31*D31*E31*F31</f>
        <v>17.841600000000003</v>
      </c>
      <c r="C31" s="47">
        <v>0.2</v>
      </c>
      <c r="D31" s="20">
        <f>D29</f>
        <v>1</v>
      </c>
      <c r="E31" s="20">
        <v>3717</v>
      </c>
      <c r="F31" s="20">
        <f>24/1000</f>
        <v>2.4E-2</v>
      </c>
      <c r="G31" s="48">
        <f>B30-B31</f>
        <v>80.287200000000013</v>
      </c>
      <c r="H31" s="49">
        <f>D79*D29</f>
        <v>300</v>
      </c>
      <c r="I31" s="50">
        <f>B$56</f>
        <v>4.8000000000000001E-2</v>
      </c>
      <c r="J31" s="20">
        <f>H31*I31</f>
        <v>14.4</v>
      </c>
      <c r="K31" s="51">
        <f>J31/G31</f>
        <v>0.17935611155950137</v>
      </c>
      <c r="L31" s="52">
        <v>0.3</v>
      </c>
      <c r="M31" s="51">
        <f>J31/G31*L31</f>
        <v>5.380683346785041E-2</v>
      </c>
      <c r="N31" s="53">
        <f>ROUND(G31*$R$2,-1)</f>
        <v>10</v>
      </c>
    </row>
    <row r="32" spans="1:14" ht="18.75" customHeight="1" x14ac:dyDescent="0.4">
      <c r="A32" s="16"/>
      <c r="B32" s="54" t="s">
        <v>241</v>
      </c>
      <c r="C32" s="37" t="s">
        <v>242</v>
      </c>
      <c r="D32" s="38">
        <v>1</v>
      </c>
      <c r="E32" s="60" t="s">
        <v>117</v>
      </c>
      <c r="F32" s="17"/>
      <c r="G32" s="17"/>
      <c r="H32" s="17"/>
      <c r="I32" s="17"/>
      <c r="J32" s="17"/>
      <c r="K32" s="61"/>
      <c r="M32" s="61"/>
      <c r="N32" s="62"/>
    </row>
    <row r="33" spans="1:23" ht="18.75" customHeight="1" x14ac:dyDescent="0.4">
      <c r="A33" s="18" t="s">
        <v>232</v>
      </c>
      <c r="B33" s="63">
        <f>C33*E33*F33*D33</f>
        <v>19.947899999999997</v>
      </c>
      <c r="C33" s="64">
        <v>0.7</v>
      </c>
      <c r="D33">
        <f>D32</f>
        <v>1</v>
      </c>
      <c r="E33">
        <v>3717</v>
      </c>
      <c r="F33" s="65">
        <f>24*1.15/1000/3.6</f>
        <v>7.6666666666666662E-3</v>
      </c>
      <c r="K33" s="61"/>
      <c r="M33" s="61"/>
      <c r="N33" s="62"/>
    </row>
    <row r="34" spans="1:23" ht="18.75" customHeight="1" x14ac:dyDescent="0.4">
      <c r="A34" s="19" t="s">
        <v>233</v>
      </c>
      <c r="B34" s="66">
        <f>C34*E34*F34*D34</f>
        <v>8.549100000000001</v>
      </c>
      <c r="C34" s="67">
        <f>0.1+(0.2*1)</f>
        <v>0.30000000000000004</v>
      </c>
      <c r="D34" s="20">
        <f>D32</f>
        <v>1</v>
      </c>
      <c r="E34" s="20">
        <v>3717</v>
      </c>
      <c r="F34" s="68">
        <f>24*1.15/1000/3.6</f>
        <v>7.6666666666666662E-3</v>
      </c>
      <c r="G34" s="69">
        <f>B33-B34</f>
        <v>11.398799999999996</v>
      </c>
      <c r="H34" s="49">
        <f>C81*D32</f>
        <v>100</v>
      </c>
      <c r="I34" s="50">
        <f>B$56</f>
        <v>4.8000000000000001E-2</v>
      </c>
      <c r="J34" s="20">
        <f>H34*I34</f>
        <v>4.8</v>
      </c>
      <c r="K34" s="51">
        <f>J34/G34</f>
        <v>0.42109695757448168</v>
      </c>
      <c r="L34" s="70">
        <v>0.5</v>
      </c>
      <c r="M34" s="51">
        <f>J34/G34*L34</f>
        <v>0.21054847878724084</v>
      </c>
      <c r="N34" s="53">
        <f>ROUND(G34*R2,-1)</f>
        <v>0</v>
      </c>
    </row>
    <row r="35" spans="1:23" ht="18.75" customHeight="1" x14ac:dyDescent="0.4">
      <c r="B35" s="71"/>
      <c r="C35" s="72"/>
      <c r="F35" s="65"/>
      <c r="G35" s="73"/>
      <c r="H35" s="74"/>
      <c r="I35" s="75"/>
      <c r="K35" s="76"/>
      <c r="L35" s="52"/>
      <c r="M35" s="77"/>
      <c r="N35" s="74"/>
    </row>
    <row r="36" spans="1:23" ht="18.75" customHeight="1" thickBot="1" x14ac:dyDescent="0.45">
      <c r="A36" s="739" t="s">
        <v>243</v>
      </c>
      <c r="B36" s="739"/>
      <c r="C36" s="739"/>
      <c r="D36" s="739"/>
      <c r="E36" s="739"/>
      <c r="F36" s="739"/>
      <c r="G36" s="739"/>
      <c r="H36" s="739"/>
      <c r="I36" s="739"/>
      <c r="J36" s="739"/>
      <c r="K36" s="739"/>
      <c r="L36" s="739"/>
      <c r="M36" s="739"/>
      <c r="N36" s="739"/>
      <c r="O36" s="739"/>
      <c r="P36" s="739"/>
      <c r="Q36" s="739"/>
      <c r="R36" s="739"/>
      <c r="S36" s="739"/>
      <c r="T36" s="739"/>
      <c r="U36" s="739"/>
      <c r="V36" s="739"/>
      <c r="W36" s="739"/>
    </row>
    <row r="37" spans="1:23" ht="18.75" customHeight="1" x14ac:dyDescent="0.4">
      <c r="A37" s="78"/>
      <c r="B37" s="79" t="s">
        <v>244</v>
      </c>
      <c r="C37" s="80"/>
      <c r="D37" s="81" t="s">
        <v>245</v>
      </c>
      <c r="E37" s="81"/>
      <c r="F37" s="82">
        <v>0.14000000000000001</v>
      </c>
      <c r="G37" s="83"/>
      <c r="H37" s="81" t="s">
        <v>246</v>
      </c>
      <c r="I37" s="84"/>
      <c r="J37" s="82">
        <v>0.09</v>
      </c>
      <c r="K37" s="85"/>
      <c r="L37" s="86"/>
      <c r="M37" s="87"/>
      <c r="N37" s="88"/>
      <c r="O37" s="12"/>
      <c r="P37" s="12"/>
      <c r="Q37" s="12"/>
      <c r="R37" s="12"/>
      <c r="S37" s="12"/>
      <c r="T37" s="12"/>
      <c r="U37" s="12"/>
      <c r="V37" s="12"/>
      <c r="W37" s="13"/>
    </row>
    <row r="38" spans="1:23" ht="18.75" customHeight="1" x14ac:dyDescent="0.4">
      <c r="A38" s="89" t="s">
        <v>232</v>
      </c>
      <c r="B38" s="90">
        <v>20000</v>
      </c>
      <c r="C38" s="43"/>
      <c r="E38" s="2" t="s">
        <v>247</v>
      </c>
      <c r="F38" s="91">
        <v>4</v>
      </c>
      <c r="G38" s="92" t="s">
        <v>248</v>
      </c>
      <c r="I38" s="75"/>
      <c r="K38" s="61"/>
      <c r="L38" s="52"/>
      <c r="M38" s="93"/>
      <c r="N38" s="94"/>
      <c r="O38" s="95"/>
      <c r="P38" s="95"/>
      <c r="Q38" s="95"/>
      <c r="R38" s="95"/>
      <c r="S38" s="95"/>
      <c r="T38" s="95"/>
      <c r="U38" s="95"/>
      <c r="W38" s="15"/>
    </row>
    <row r="39" spans="1:23" ht="18.75" customHeight="1" x14ac:dyDescent="0.4">
      <c r="A39" s="96" t="s">
        <v>249</v>
      </c>
      <c r="B39" s="66">
        <f>B38/F38</f>
        <v>5000</v>
      </c>
      <c r="C39" s="47"/>
      <c r="D39" s="20"/>
      <c r="E39" s="20"/>
      <c r="F39" s="20"/>
      <c r="G39" s="69">
        <f>B38-B39</f>
        <v>15000</v>
      </c>
      <c r="H39" s="97" t="s">
        <v>250</v>
      </c>
      <c r="I39" s="50"/>
      <c r="J39" s="20"/>
      <c r="K39" s="51"/>
      <c r="L39" s="98"/>
      <c r="M39" s="99"/>
      <c r="N39" s="53">
        <f>ROUND(G39*J37-B39*(F37-J37),-2)</f>
        <v>1100</v>
      </c>
      <c r="W39" s="15"/>
    </row>
    <row r="40" spans="1:23" ht="18.75" customHeight="1" x14ac:dyDescent="0.4">
      <c r="A40" s="14"/>
      <c r="B40" s="42" t="s">
        <v>251</v>
      </c>
      <c r="C40" s="64"/>
      <c r="D40" s="2" t="s">
        <v>252</v>
      </c>
      <c r="E40" s="2"/>
      <c r="F40" s="100">
        <v>7.0000000000000007E-2</v>
      </c>
      <c r="G40" s="92"/>
      <c r="H40" s="2" t="s">
        <v>246</v>
      </c>
      <c r="I40" s="75"/>
      <c r="J40" s="100">
        <f>J37</f>
        <v>0.09</v>
      </c>
      <c r="K40" s="61"/>
      <c r="L40" s="52"/>
      <c r="M40" s="93"/>
      <c r="N40" s="94"/>
      <c r="W40" s="15"/>
    </row>
    <row r="41" spans="1:23" ht="18" x14ac:dyDescent="0.4">
      <c r="A41" s="89" t="s">
        <v>232</v>
      </c>
      <c r="B41" s="63">
        <f>B38</f>
        <v>20000</v>
      </c>
      <c r="C41" s="43"/>
      <c r="D41" s="2" t="s">
        <v>253</v>
      </c>
      <c r="F41" s="101">
        <v>0.1</v>
      </c>
      <c r="G41" s="102"/>
      <c r="I41" s="75"/>
      <c r="K41" s="61"/>
      <c r="L41" s="52"/>
      <c r="M41" s="93"/>
      <c r="N41" s="94"/>
      <c r="O41" s="103" t="s">
        <v>254</v>
      </c>
      <c r="P41" s="104"/>
      <c r="Q41" s="104"/>
      <c r="R41" s="104"/>
      <c r="S41" s="104"/>
      <c r="T41" s="104"/>
      <c r="U41" s="104"/>
      <c r="V41" s="104"/>
      <c r="W41" s="105"/>
    </row>
    <row r="42" spans="1:23" ht="18" x14ac:dyDescent="0.4">
      <c r="A42" s="96" t="s">
        <v>249</v>
      </c>
      <c r="B42" s="66">
        <f>B41*(1-F41)</f>
        <v>18000</v>
      </c>
      <c r="C42" s="47"/>
      <c r="D42" s="20"/>
      <c r="E42" s="20"/>
      <c r="F42" s="20"/>
      <c r="G42" s="69">
        <f>B41-B42</f>
        <v>2000</v>
      </c>
      <c r="H42" s="97" t="s">
        <v>250</v>
      </c>
      <c r="I42" s="50"/>
      <c r="J42" s="20"/>
      <c r="K42" s="51"/>
      <c r="L42" s="98"/>
      <c r="M42" s="99"/>
      <c r="N42" s="53">
        <f>ROUND(G42*$R$2+(J40-F40)*B42,-2)</f>
        <v>500</v>
      </c>
      <c r="O42" s="2" t="s">
        <v>255</v>
      </c>
      <c r="W42" s="15"/>
    </row>
    <row r="43" spans="1:23" ht="18" x14ac:dyDescent="0.4">
      <c r="A43" s="14"/>
      <c r="B43" s="42" t="s">
        <v>256</v>
      </c>
      <c r="C43" s="64"/>
      <c r="D43" s="2"/>
      <c r="E43" s="2"/>
      <c r="F43" s="74"/>
      <c r="G43" s="92"/>
      <c r="H43" s="2"/>
      <c r="I43" s="75"/>
      <c r="J43" s="74"/>
      <c r="K43" s="61"/>
      <c r="L43" s="52"/>
      <c r="M43" s="93"/>
      <c r="N43" s="94"/>
      <c r="W43" s="15"/>
    </row>
    <row r="44" spans="1:23" ht="18" x14ac:dyDescent="0.4">
      <c r="A44" s="89" t="s">
        <v>232</v>
      </c>
      <c r="B44" s="63">
        <f>B38</f>
        <v>20000</v>
      </c>
      <c r="C44" s="43"/>
      <c r="D44" s="2" t="s">
        <v>253</v>
      </c>
      <c r="F44" s="101">
        <v>0.1</v>
      </c>
      <c r="G44" s="102"/>
      <c r="I44" s="75"/>
      <c r="K44" s="61"/>
      <c r="L44" s="52"/>
      <c r="M44" s="93"/>
      <c r="N44" s="94"/>
      <c r="W44" s="15"/>
    </row>
    <row r="45" spans="1:23" ht="18" x14ac:dyDescent="0.4">
      <c r="A45" s="96" t="s">
        <v>249</v>
      </c>
      <c r="B45" s="66">
        <f>B44*(1-F44)</f>
        <v>18000</v>
      </c>
      <c r="C45" s="47"/>
      <c r="D45" s="20"/>
      <c r="E45" s="20"/>
      <c r="F45" s="20"/>
      <c r="G45" s="69">
        <f>B44-B45</f>
        <v>2000</v>
      </c>
      <c r="H45" s="97" t="s">
        <v>250</v>
      </c>
      <c r="I45" s="50"/>
      <c r="J45" s="20"/>
      <c r="K45" s="51"/>
      <c r="L45" s="98"/>
      <c r="M45" s="99"/>
      <c r="N45" s="53">
        <f>ROUND(G45*$J$40,-2)</f>
        <v>200</v>
      </c>
      <c r="W45" s="15"/>
    </row>
    <row r="46" spans="1:23" ht="18" x14ac:dyDescent="0.4">
      <c r="A46" s="14"/>
      <c r="B46" s="42" t="s">
        <v>257</v>
      </c>
      <c r="C46" s="64"/>
      <c r="D46" s="2"/>
      <c r="E46" s="2"/>
      <c r="F46" s="74"/>
      <c r="G46" s="92"/>
      <c r="H46" s="2"/>
      <c r="I46" s="75"/>
      <c r="J46" s="74"/>
      <c r="K46" s="61"/>
      <c r="L46" s="52"/>
      <c r="M46" s="93"/>
      <c r="N46" s="94"/>
      <c r="W46" s="15"/>
    </row>
    <row r="47" spans="1:23" ht="18" x14ac:dyDescent="0.4">
      <c r="A47" s="89" t="s">
        <v>232</v>
      </c>
      <c r="B47" s="63">
        <f>B38</f>
        <v>20000</v>
      </c>
      <c r="C47" s="43"/>
      <c r="D47" s="2" t="s">
        <v>253</v>
      </c>
      <c r="F47" s="101">
        <v>0.1</v>
      </c>
      <c r="G47" s="102"/>
      <c r="I47" s="75"/>
      <c r="K47" s="61"/>
      <c r="L47" s="52"/>
      <c r="M47" s="93"/>
      <c r="N47" s="94"/>
      <c r="W47" s="15"/>
    </row>
    <row r="48" spans="1:23" ht="18.5" thickBot="1" x14ac:dyDescent="0.45">
      <c r="A48" s="5" t="s">
        <v>249</v>
      </c>
      <c r="B48" s="106">
        <f>B47*(1-F47)</f>
        <v>18000</v>
      </c>
      <c r="C48" s="107"/>
      <c r="D48" s="3"/>
      <c r="E48" s="3"/>
      <c r="F48" s="3"/>
      <c r="G48" s="108">
        <f>B47-B48</f>
        <v>2000</v>
      </c>
      <c r="H48" s="109" t="s">
        <v>250</v>
      </c>
      <c r="I48" s="110"/>
      <c r="J48" s="3"/>
      <c r="K48" s="111"/>
      <c r="L48" s="112"/>
      <c r="M48" s="113"/>
      <c r="N48" s="114">
        <f>ROUND(G48*$J$40,-2)</f>
        <v>200</v>
      </c>
      <c r="O48" s="3"/>
      <c r="P48" s="3"/>
      <c r="Q48" s="3"/>
      <c r="R48" s="3"/>
      <c r="S48" s="3"/>
      <c r="T48" s="3"/>
      <c r="U48" s="3"/>
      <c r="V48" s="3"/>
      <c r="W48" s="31"/>
    </row>
    <row r="49" spans="1:16" ht="13.5" thickBot="1" x14ac:dyDescent="0.35">
      <c r="M49" s="21"/>
    </row>
    <row r="50" spans="1:16" x14ac:dyDescent="0.25">
      <c r="B50" s="78" t="s">
        <v>258</v>
      </c>
      <c r="C50" s="12"/>
      <c r="D50" s="12"/>
      <c r="E50" s="12"/>
      <c r="F50" s="12"/>
      <c r="G50" s="13"/>
      <c r="J50" s="24"/>
      <c r="O50" s="2"/>
    </row>
    <row r="51" spans="1:16" x14ac:dyDescent="0.25">
      <c r="B51" s="14" t="s">
        <v>221</v>
      </c>
      <c r="C51" t="s">
        <v>259</v>
      </c>
      <c r="D51" t="s">
        <v>260</v>
      </c>
      <c r="G51" s="15"/>
      <c r="J51" s="24"/>
      <c r="O51" s="2"/>
    </row>
    <row r="52" spans="1:16" x14ac:dyDescent="0.25">
      <c r="A52" s="2" t="s">
        <v>261</v>
      </c>
      <c r="B52" s="115">
        <f>(D52*(1+D52)^C52)/((1+D52)^C52-1)</f>
        <v>6.4147128734474562E-2</v>
      </c>
      <c r="C52" s="116">
        <v>20</v>
      </c>
      <c r="D52" s="117">
        <v>2.5000000000000001E-2</v>
      </c>
      <c r="E52" s="2" t="s">
        <v>262</v>
      </c>
      <c r="G52" s="15"/>
      <c r="K52" s="24"/>
      <c r="O52" s="2"/>
    </row>
    <row r="53" spans="1:16" ht="13" x14ac:dyDescent="0.3">
      <c r="A53" s="2" t="s">
        <v>261</v>
      </c>
      <c r="B53" s="115">
        <f>(D53*(1+D53)^C53)/((1+D53)^C53-1)</f>
        <v>5.4275921045792701E-2</v>
      </c>
      <c r="C53">
        <v>25</v>
      </c>
      <c r="D53" s="117">
        <v>2.5000000000000001E-2</v>
      </c>
      <c r="E53" s="118" t="s">
        <v>263</v>
      </c>
      <c r="G53" s="15"/>
    </row>
    <row r="54" spans="1:16" ht="14.5" x14ac:dyDescent="0.35">
      <c r="B54" s="119">
        <f>(D54*(1+D54)^C54)/((1+D54)^C54-1)</f>
        <v>6.7215707596859159E-2</v>
      </c>
      <c r="C54">
        <v>20</v>
      </c>
      <c r="D54" s="120">
        <v>0.03</v>
      </c>
      <c r="E54" s="118"/>
      <c r="G54" s="15"/>
    </row>
    <row r="55" spans="1:16" ht="13" x14ac:dyDescent="0.3">
      <c r="B55" s="121"/>
      <c r="E55" s="118"/>
      <c r="G55" s="15"/>
    </row>
    <row r="56" spans="1:16" ht="13.5" thickBot="1" x14ac:dyDescent="0.35">
      <c r="A56" t="s">
        <v>264</v>
      </c>
      <c r="B56" s="122">
        <v>4.8000000000000001E-2</v>
      </c>
      <c r="C56" s="123">
        <v>30</v>
      </c>
      <c r="D56" s="123">
        <v>2.5</v>
      </c>
      <c r="E56" s="124" t="s">
        <v>265</v>
      </c>
      <c r="F56" s="3"/>
      <c r="G56" s="31"/>
    </row>
    <row r="57" spans="1:16" ht="13" x14ac:dyDescent="0.3">
      <c r="A57">
        <v>2007</v>
      </c>
      <c r="B57" s="75"/>
      <c r="E57" s="118"/>
      <c r="O57" s="2"/>
      <c r="P57" s="2"/>
    </row>
    <row r="58" spans="1:16" x14ac:dyDescent="0.25">
      <c r="A58" t="s">
        <v>264</v>
      </c>
      <c r="B58" s="125">
        <v>8.1000000000000003E-2</v>
      </c>
      <c r="C58" s="116">
        <v>15</v>
      </c>
      <c r="D58" s="116">
        <v>2.5</v>
      </c>
      <c r="E58" s="126" t="s">
        <v>266</v>
      </c>
    </row>
    <row r="59" spans="1:16" x14ac:dyDescent="0.25">
      <c r="A59">
        <v>2007</v>
      </c>
      <c r="B59" s="75">
        <v>8.3766999999999994E-2</v>
      </c>
      <c r="C59">
        <v>15</v>
      </c>
      <c r="D59">
        <v>3</v>
      </c>
      <c r="O59" s="127"/>
      <c r="P59" s="128"/>
    </row>
    <row r="60" spans="1:16" x14ac:dyDescent="0.25">
      <c r="B60" s="75">
        <v>8.9940999999999993E-2</v>
      </c>
      <c r="C60">
        <v>15</v>
      </c>
      <c r="D60">
        <v>4</v>
      </c>
      <c r="E60" s="2"/>
      <c r="O60" s="127"/>
      <c r="P60" s="128"/>
    </row>
    <row r="61" spans="1:16" x14ac:dyDescent="0.25">
      <c r="B61" s="75">
        <v>9.6341999999999997E-2</v>
      </c>
      <c r="C61">
        <v>15</v>
      </c>
      <c r="D61">
        <v>5</v>
      </c>
      <c r="O61" s="127"/>
      <c r="P61" s="128"/>
    </row>
    <row r="62" spans="1:16" x14ac:dyDescent="0.25">
      <c r="O62" s="127"/>
      <c r="P62" s="128"/>
    </row>
    <row r="63" spans="1:16" x14ac:dyDescent="0.25">
      <c r="C63" t="s">
        <v>267</v>
      </c>
    </row>
    <row r="64" spans="1:16" x14ac:dyDescent="0.25">
      <c r="C64" s="24" t="s">
        <v>268</v>
      </c>
      <c r="D64" s="24" t="s">
        <v>269</v>
      </c>
      <c r="E64" s="24"/>
    </row>
    <row r="65" spans="1:14" x14ac:dyDescent="0.25">
      <c r="B65" s="1" t="s">
        <v>239</v>
      </c>
      <c r="C65" s="116">
        <v>150</v>
      </c>
      <c r="D65" s="24"/>
      <c r="E65" s="24"/>
    </row>
    <row r="66" spans="1:14" x14ac:dyDescent="0.25">
      <c r="B66" s="1" t="s">
        <v>270</v>
      </c>
      <c r="C66" s="116">
        <v>300</v>
      </c>
      <c r="D66" s="24"/>
      <c r="E66" s="24"/>
    </row>
    <row r="67" spans="1:14" x14ac:dyDescent="0.25">
      <c r="B67" s="1" t="s">
        <v>231</v>
      </c>
      <c r="C67" s="129">
        <v>200</v>
      </c>
      <c r="D67" s="24"/>
      <c r="E67" s="24"/>
    </row>
    <row r="68" spans="1:14" x14ac:dyDescent="0.25">
      <c r="B68" s="1" t="s">
        <v>234</v>
      </c>
      <c r="C68" s="116">
        <v>150</v>
      </c>
      <c r="L68" s="130"/>
    </row>
    <row r="69" spans="1:14" x14ac:dyDescent="0.25">
      <c r="B69" s="1" t="s">
        <v>235</v>
      </c>
      <c r="C69" s="116">
        <v>150</v>
      </c>
      <c r="L69" s="130"/>
    </row>
    <row r="70" spans="1:14" x14ac:dyDescent="0.25">
      <c r="B70" s="131" t="s">
        <v>271</v>
      </c>
      <c r="C70" s="116">
        <v>350</v>
      </c>
      <c r="F70" t="s">
        <v>272</v>
      </c>
    </row>
    <row r="71" spans="1:14" x14ac:dyDescent="0.25">
      <c r="B71" s="1" t="s">
        <v>273</v>
      </c>
      <c r="C71" s="116">
        <v>300</v>
      </c>
      <c r="F71" t="s">
        <v>274</v>
      </c>
    </row>
    <row r="72" spans="1:14" x14ac:dyDescent="0.25">
      <c r="A72" t="s">
        <v>275</v>
      </c>
      <c r="B72" s="1"/>
      <c r="C72" s="116">
        <v>400</v>
      </c>
      <c r="F72" t="s">
        <v>274</v>
      </c>
    </row>
    <row r="73" spans="1:14" x14ac:dyDescent="0.25">
      <c r="B73" s="1" t="s">
        <v>276</v>
      </c>
      <c r="C73" s="116">
        <v>210</v>
      </c>
    </row>
    <row r="74" spans="1:14" x14ac:dyDescent="0.25">
      <c r="B74" s="1" t="s">
        <v>277</v>
      </c>
      <c r="C74" s="116">
        <v>300</v>
      </c>
      <c r="D74">
        <v>350</v>
      </c>
      <c r="F74" t="s">
        <v>278</v>
      </c>
    </row>
    <row r="75" spans="1:14" x14ac:dyDescent="0.25">
      <c r="A75" t="s">
        <v>279</v>
      </c>
      <c r="B75" s="1"/>
      <c r="C75" s="116">
        <v>350</v>
      </c>
      <c r="D75">
        <v>450</v>
      </c>
      <c r="F75" t="s">
        <v>278</v>
      </c>
    </row>
    <row r="76" spans="1:14" x14ac:dyDescent="0.25">
      <c r="B76" s="1" t="s">
        <v>280</v>
      </c>
      <c r="C76" s="116">
        <v>800</v>
      </c>
      <c r="D76">
        <v>900</v>
      </c>
      <c r="F76" t="s">
        <v>281</v>
      </c>
    </row>
    <row r="77" spans="1:14" x14ac:dyDescent="0.25">
      <c r="B77" s="1" t="s">
        <v>208</v>
      </c>
      <c r="C77" s="116">
        <v>950</v>
      </c>
      <c r="D77">
        <v>1000</v>
      </c>
      <c r="F77" t="s">
        <v>282</v>
      </c>
    </row>
    <row r="78" spans="1:14" x14ac:dyDescent="0.25">
      <c r="B78" s="1" t="s">
        <v>283</v>
      </c>
      <c r="C78" s="116">
        <v>350</v>
      </c>
      <c r="D78">
        <v>400</v>
      </c>
      <c r="F78" t="s">
        <v>282</v>
      </c>
    </row>
    <row r="79" spans="1:14" x14ac:dyDescent="0.25">
      <c r="B79" s="1" t="s">
        <v>284</v>
      </c>
      <c r="C79">
        <v>250</v>
      </c>
      <c r="D79" s="116">
        <v>300</v>
      </c>
      <c r="K79" t="s">
        <v>236</v>
      </c>
      <c r="L79" t="s">
        <v>285</v>
      </c>
      <c r="M79" t="s">
        <v>286</v>
      </c>
    </row>
    <row r="80" spans="1:14" x14ac:dyDescent="0.25">
      <c r="B80" s="1" t="s">
        <v>287</v>
      </c>
      <c r="C80">
        <v>500</v>
      </c>
      <c r="D80" s="116">
        <v>800</v>
      </c>
      <c r="F80" s="2" t="s">
        <v>267</v>
      </c>
      <c r="H80" s="2" t="s">
        <v>288</v>
      </c>
      <c r="I80" s="132">
        <v>10000</v>
      </c>
      <c r="J80" s="2" t="s">
        <v>228</v>
      </c>
      <c r="K80" t="s">
        <v>289</v>
      </c>
      <c r="L80" s="133">
        <v>450</v>
      </c>
      <c r="M80">
        <v>550</v>
      </c>
      <c r="N80" t="s">
        <v>290</v>
      </c>
    </row>
    <row r="81" spans="1:6" x14ac:dyDescent="0.25">
      <c r="B81" s="1" t="s">
        <v>291</v>
      </c>
      <c r="C81" s="116">
        <v>100</v>
      </c>
    </row>
    <row r="83" spans="1:6" x14ac:dyDescent="0.25">
      <c r="A83" t="s">
        <v>292</v>
      </c>
    </row>
    <row r="84" spans="1:6" x14ac:dyDescent="0.25">
      <c r="F84" s="1"/>
    </row>
    <row r="87" spans="1:6" ht="13" x14ac:dyDescent="0.3">
      <c r="B87" s="134"/>
    </row>
    <row r="88" spans="1:6" x14ac:dyDescent="0.25">
      <c r="B88" s="131"/>
    </row>
    <row r="89" spans="1:6" x14ac:dyDescent="0.25">
      <c r="B89" s="1"/>
    </row>
    <row r="90" spans="1:6" x14ac:dyDescent="0.25">
      <c r="B90" s="1"/>
    </row>
    <row r="91" spans="1:6" x14ac:dyDescent="0.25">
      <c r="B91" s="1"/>
    </row>
  </sheetData>
  <mergeCells count="2">
    <mergeCell ref="M3:M4"/>
    <mergeCell ref="A36:W36"/>
  </mergeCells>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8185-35E1-44B8-94A3-72A2B5428583}">
  <dimension ref="A1:P24"/>
  <sheetViews>
    <sheetView zoomScale="70" zoomScaleNormal="70" workbookViewId="0">
      <selection activeCell="J24" sqref="J24"/>
    </sheetView>
  </sheetViews>
  <sheetFormatPr defaultColWidth="10.90625" defaultRowHeight="12.5" x14ac:dyDescent="0.25"/>
  <sheetData>
    <row r="1" spans="1:16" ht="13.25" x14ac:dyDescent="0.25">
      <c r="A1" t="s">
        <v>525</v>
      </c>
    </row>
    <row r="2" spans="1:16" ht="13" x14ac:dyDescent="0.3">
      <c r="A2" t="s">
        <v>526</v>
      </c>
      <c r="C2" s="21" t="s">
        <v>532</v>
      </c>
    </row>
    <row r="3" spans="1:16" ht="13.25" x14ac:dyDescent="0.25">
      <c r="C3" t="s">
        <v>527</v>
      </c>
    </row>
    <row r="4" spans="1:16" ht="13.25" x14ac:dyDescent="0.25">
      <c r="A4" t="s">
        <v>528</v>
      </c>
      <c r="C4" t="s">
        <v>529</v>
      </c>
      <c r="D4">
        <v>2014</v>
      </c>
      <c r="E4">
        <v>2015</v>
      </c>
      <c r="F4">
        <v>2016</v>
      </c>
      <c r="G4">
        <v>2017</v>
      </c>
      <c r="H4">
        <v>2018</v>
      </c>
      <c r="I4">
        <v>2019</v>
      </c>
      <c r="J4">
        <v>2020</v>
      </c>
      <c r="K4">
        <v>2021</v>
      </c>
      <c r="L4">
        <v>2022</v>
      </c>
      <c r="M4">
        <v>2023</v>
      </c>
      <c r="N4">
        <v>2024</v>
      </c>
      <c r="O4">
        <v>2025</v>
      </c>
      <c r="P4">
        <v>2026</v>
      </c>
    </row>
    <row r="5" spans="1:16" ht="13.25" x14ac:dyDescent="0.25">
      <c r="A5" t="s">
        <v>530</v>
      </c>
      <c r="B5">
        <f>Energie_EBF!K23</f>
        <v>4.3</v>
      </c>
      <c r="C5">
        <v>3124.7</v>
      </c>
      <c r="D5">
        <v>2784</v>
      </c>
      <c r="E5">
        <v>3060</v>
      </c>
      <c r="F5">
        <v>3335</v>
      </c>
      <c r="G5">
        <v>3231</v>
      </c>
      <c r="H5">
        <v>2935</v>
      </c>
      <c r="I5">
        <v>3112</v>
      </c>
      <c r="J5">
        <v>2933</v>
      </c>
      <c r="K5">
        <v>3401</v>
      </c>
      <c r="L5">
        <v>2775</v>
      </c>
      <c r="M5">
        <v>2907</v>
      </c>
      <c r="N5">
        <v>2874</v>
      </c>
      <c r="O5">
        <v>3066</v>
      </c>
      <c r="P5">
        <v>0</v>
      </c>
    </row>
    <row r="6" spans="1:16" ht="13.25" x14ac:dyDescent="0.25">
      <c r="A6" t="s">
        <v>531</v>
      </c>
      <c r="C6" t="s">
        <v>528</v>
      </c>
      <c r="D6" s="666">
        <v>1.1223778735632184</v>
      </c>
      <c r="E6" s="666">
        <v>1.0211437908496732</v>
      </c>
      <c r="F6" s="666">
        <v>0.93694152923538221</v>
      </c>
      <c r="G6" s="666">
        <v>0.96709996904982976</v>
      </c>
      <c r="H6" s="666">
        <v>1.0646337308347529</v>
      </c>
      <c r="I6" s="666">
        <v>1.0040809768637531</v>
      </c>
      <c r="J6" s="666">
        <v>1.0653596999659052</v>
      </c>
      <c r="K6" s="666">
        <v>0.91875918847397819</v>
      </c>
      <c r="L6" s="666">
        <v>1.1260180180180179</v>
      </c>
      <c r="M6" s="666">
        <v>1.0748882008943927</v>
      </c>
      <c r="N6" s="666">
        <v>1.0872303409881698</v>
      </c>
      <c r="O6" s="666">
        <v>1.0191454664057402</v>
      </c>
      <c r="P6" s="666">
        <v>1</v>
      </c>
    </row>
    <row r="9" spans="1:16" ht="13.25" x14ac:dyDescent="0.25">
      <c r="A9" t="s">
        <v>533</v>
      </c>
    </row>
    <row r="11" spans="1:16" ht="13.25" x14ac:dyDescent="0.25">
      <c r="A11" s="740" t="s">
        <v>568</v>
      </c>
      <c r="B11" s="740"/>
    </row>
    <row r="13" spans="1:16" ht="13.25" x14ac:dyDescent="0.25">
      <c r="A13">
        <v>2014</v>
      </c>
      <c r="B13" s="666">
        <v>1.1223778735632184</v>
      </c>
    </row>
    <row r="14" spans="1:16" ht="13.25" x14ac:dyDescent="0.25">
      <c r="A14">
        <v>2015</v>
      </c>
      <c r="B14" s="666">
        <v>1.0211437908496732</v>
      </c>
    </row>
    <row r="15" spans="1:16" ht="13.25" x14ac:dyDescent="0.25">
      <c r="A15">
        <v>2016</v>
      </c>
      <c r="B15" s="666">
        <v>0.93694152923538221</v>
      </c>
    </row>
    <row r="16" spans="1:16" ht="13.25" x14ac:dyDescent="0.25">
      <c r="A16">
        <v>2017</v>
      </c>
      <c r="B16" s="666">
        <v>0.96709996904982976</v>
      </c>
    </row>
    <row r="17" spans="1:2" ht="13.25" x14ac:dyDescent="0.25">
      <c r="A17">
        <v>2018</v>
      </c>
      <c r="B17" s="666">
        <v>1.0646337308347529</v>
      </c>
    </row>
    <row r="18" spans="1:2" ht="13.25" x14ac:dyDescent="0.25">
      <c r="A18">
        <v>2019</v>
      </c>
      <c r="B18" s="666">
        <v>1.0040809768637531</v>
      </c>
    </row>
    <row r="19" spans="1:2" ht="13.25" x14ac:dyDescent="0.25">
      <c r="A19">
        <v>2020</v>
      </c>
      <c r="B19" s="666">
        <v>1.0653596999659052</v>
      </c>
    </row>
    <row r="20" spans="1:2" ht="13.25" x14ac:dyDescent="0.25">
      <c r="A20">
        <v>2021</v>
      </c>
      <c r="B20" s="666">
        <v>0.91875918847397819</v>
      </c>
    </row>
    <row r="21" spans="1:2" ht="13.25" x14ac:dyDescent="0.25">
      <c r="A21">
        <v>2022</v>
      </c>
      <c r="B21" s="666">
        <v>1.1260180180180179</v>
      </c>
    </row>
    <row r="22" spans="1:2" ht="13.25" x14ac:dyDescent="0.25">
      <c r="A22">
        <v>2023</v>
      </c>
      <c r="B22" s="666">
        <v>1.0748882008943927</v>
      </c>
    </row>
    <row r="23" spans="1:2" ht="13.25" x14ac:dyDescent="0.25">
      <c r="A23">
        <v>2024</v>
      </c>
      <c r="B23" s="666">
        <v>1.0872303409881698</v>
      </c>
    </row>
    <row r="24" spans="1:2" ht="13.25" x14ac:dyDescent="0.25">
      <c r="A24">
        <v>2025</v>
      </c>
      <c r="B24" s="666">
        <v>1.0191454664057402</v>
      </c>
    </row>
  </sheetData>
  <mergeCells count="1">
    <mergeCell ref="A11:B11"/>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I3:I4"/>
  <sheetViews>
    <sheetView zoomScale="85" zoomScaleNormal="85" workbookViewId="0">
      <selection activeCell="J37" sqref="J37"/>
    </sheetView>
  </sheetViews>
  <sheetFormatPr defaultColWidth="10.90625" defaultRowHeight="12.5" x14ac:dyDescent="0.25"/>
  <sheetData>
    <row r="3" spans="9:9" ht="13" x14ac:dyDescent="0.3">
      <c r="I3" s="10"/>
    </row>
    <row r="4" spans="9:9" ht="13" x14ac:dyDescent="0.3">
      <c r="I4" s="11"/>
    </row>
  </sheetData>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dimension ref="A1"/>
  <sheetViews>
    <sheetView zoomScale="70" zoomScaleNormal="70" workbookViewId="0">
      <selection activeCell="O73" sqref="O73"/>
    </sheetView>
  </sheetViews>
  <sheetFormatPr defaultColWidth="10.90625" defaultRowHeight="12.5" x14ac:dyDescent="0.25"/>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B1:AH193"/>
  <sheetViews>
    <sheetView zoomScale="80" zoomScaleNormal="80" workbookViewId="0">
      <selection activeCell="F11" sqref="F11"/>
    </sheetView>
  </sheetViews>
  <sheetFormatPr defaultColWidth="11.453125" defaultRowHeight="17.25" customHeight="1" outlineLevelCol="1" x14ac:dyDescent="0.3"/>
  <cols>
    <col min="1" max="1" width="3.453125" style="461" customWidth="1"/>
    <col min="2" max="2" width="23.36328125" style="461" customWidth="1"/>
    <col min="3" max="3" width="15.6328125" style="461" customWidth="1"/>
    <col min="4" max="4" width="21.6328125" style="461" customWidth="1"/>
    <col min="5" max="5" width="8.08984375" style="461" customWidth="1"/>
    <col min="6" max="6" width="21.81640625" style="461" customWidth="1"/>
    <col min="7" max="7" width="15.81640625" style="461" customWidth="1"/>
    <col min="8" max="8" width="12.54296875" style="461" bestFit="1" customWidth="1"/>
    <col min="9" max="9" width="28.453125" style="461" customWidth="1"/>
    <col min="10" max="10" width="16.81640625" style="461" customWidth="1"/>
    <col min="11" max="11" width="16.36328125" style="461" customWidth="1"/>
    <col min="12" max="12" width="17" style="461" customWidth="1"/>
    <col min="13" max="13" width="11.453125" style="461"/>
    <col min="14" max="14" width="11.453125" style="461" customWidth="1" outlineLevel="1"/>
    <col min="15" max="15" width="13" style="461" customWidth="1" outlineLevel="1"/>
    <col min="16" max="17" width="11.453125" style="461" customWidth="1" outlineLevel="1"/>
    <col min="18" max="18" width="13.6328125" style="461" customWidth="1" outlineLevel="1"/>
    <col min="19" max="23" width="11.453125" style="461" customWidth="1" outlineLevel="1"/>
    <col min="24" max="24" width="17.81640625" style="461" customWidth="1" outlineLevel="1"/>
    <col min="25" max="27" width="11.453125" style="461" customWidth="1" outlineLevel="1"/>
    <col min="28" max="16384" width="11.453125" style="461"/>
  </cols>
  <sheetData>
    <row r="1" spans="2:20" s="457" customFormat="1" ht="25.5" customHeight="1" x14ac:dyDescent="0.4">
      <c r="B1" s="733" t="s">
        <v>476</v>
      </c>
      <c r="C1" s="733"/>
      <c r="D1" s="733"/>
      <c r="E1" s="733"/>
      <c r="F1" s="733"/>
      <c r="N1" s="458" t="s">
        <v>184</v>
      </c>
      <c r="O1" s="459">
        <v>44672</v>
      </c>
      <c r="P1" s="460" t="s">
        <v>185</v>
      </c>
      <c r="Q1" s="458"/>
      <c r="R1" s="461"/>
      <c r="S1" s="461"/>
      <c r="T1" s="461"/>
    </row>
    <row r="2" spans="2:20" s="457" customFormat="1" ht="17.25" customHeight="1" thickBot="1" x14ac:dyDescent="0.6">
      <c r="B2" s="462"/>
      <c r="C2" s="463"/>
      <c r="D2" s="463"/>
      <c r="E2" s="463"/>
      <c r="F2" s="463"/>
      <c r="N2" s="458"/>
      <c r="O2" s="459"/>
      <c r="P2" s="460"/>
      <c r="Q2" s="458"/>
      <c r="R2" s="461"/>
      <c r="S2" s="461"/>
      <c r="T2" s="461"/>
    </row>
    <row r="3" spans="2:20" s="457" customFormat="1" ht="20.5" thickBot="1" x14ac:dyDescent="0.45">
      <c r="B3" s="741" t="e">
        <f>Energie_EBF!#REF!</f>
        <v>#REF!</v>
      </c>
      <c r="C3" s="742"/>
      <c r="D3" s="742"/>
      <c r="E3" s="742"/>
      <c r="F3" s="743"/>
      <c r="I3" s="464" t="s">
        <v>145</v>
      </c>
      <c r="J3" s="465"/>
      <c r="N3" s="466"/>
      <c r="O3" s="461"/>
      <c r="P3" s="461"/>
      <c r="Q3" s="461"/>
      <c r="R3" s="461"/>
      <c r="S3" s="461"/>
      <c r="T3" s="461"/>
    </row>
    <row r="4" spans="2:20" s="457" customFormat="1" ht="17.25" customHeight="1" x14ac:dyDescent="0.4">
      <c r="B4" s="467" t="s">
        <v>146</v>
      </c>
      <c r="C4" s="467"/>
      <c r="D4" s="467"/>
      <c r="E4" s="467"/>
      <c r="F4" s="468"/>
      <c r="N4" s="458" t="s">
        <v>186</v>
      </c>
      <c r="O4" s="461"/>
      <c r="P4" s="461"/>
      <c r="Q4" s="461"/>
      <c r="R4" s="458" t="s">
        <v>187</v>
      </c>
      <c r="S4" s="461"/>
      <c r="T4" s="461"/>
    </row>
    <row r="5" spans="2:20" s="457" customFormat="1" ht="31" x14ac:dyDescent="0.4">
      <c r="B5" s="469"/>
      <c r="C5" s="470" t="s">
        <v>147</v>
      </c>
      <c r="D5" s="471" t="s">
        <v>148</v>
      </c>
      <c r="E5" s="744" t="s">
        <v>149</v>
      </c>
      <c r="F5" s="744"/>
      <c r="G5" s="472"/>
      <c r="H5" s="472"/>
      <c r="I5" s="472"/>
      <c r="J5" s="472"/>
      <c r="K5" s="472"/>
      <c r="L5" s="472"/>
      <c r="N5" s="473" t="s">
        <v>188</v>
      </c>
      <c r="O5" s="473" t="s">
        <v>153</v>
      </c>
      <c r="P5" s="473" t="s">
        <v>189</v>
      </c>
      <c r="Q5" s="474"/>
      <c r="R5" s="473" t="s">
        <v>188</v>
      </c>
      <c r="S5" s="473" t="s">
        <v>190</v>
      </c>
      <c r="T5" s="473" t="s">
        <v>189</v>
      </c>
    </row>
    <row r="6" spans="2:20" s="457" customFormat="1" ht="17.25" customHeight="1" thickBot="1" x14ac:dyDescent="0.45">
      <c r="B6" s="469" t="s">
        <v>150</v>
      </c>
      <c r="C6" s="475">
        <v>82</v>
      </c>
      <c r="D6" s="475">
        <v>20</v>
      </c>
      <c r="E6" s="745">
        <f>C6-D6</f>
        <v>62</v>
      </c>
      <c r="F6" s="745"/>
      <c r="G6" s="472"/>
      <c r="H6" s="472"/>
      <c r="I6" s="472"/>
      <c r="J6" s="472"/>
      <c r="K6" s="472"/>
      <c r="L6" s="472"/>
      <c r="N6" s="476">
        <v>3</v>
      </c>
      <c r="O6" s="477">
        <f>ROUND(P6*N6,-2)</f>
        <v>10500</v>
      </c>
      <c r="P6" s="478">
        <v>3500</v>
      </c>
      <c r="Q6" s="479"/>
      <c r="R6" s="476">
        <v>3</v>
      </c>
      <c r="S6" s="477">
        <f>ROUND(T6*R6,-2)</f>
        <v>16800</v>
      </c>
      <c r="T6" s="478">
        <f>P6*1.6</f>
        <v>5600</v>
      </c>
    </row>
    <row r="7" spans="2:20" s="457" customFormat="1" ht="17.25" customHeight="1" thickBot="1" x14ac:dyDescent="0.45">
      <c r="B7" s="480" t="e">
        <f>B3</f>
        <v>#REF!</v>
      </c>
      <c r="C7" s="481">
        <v>44</v>
      </c>
      <c r="D7" s="482">
        <v>0</v>
      </c>
      <c r="E7" s="745">
        <f>C7-D7</f>
        <v>44</v>
      </c>
      <c r="F7" s="745"/>
      <c r="G7" s="472"/>
      <c r="H7" s="472"/>
      <c r="J7" s="472"/>
      <c r="K7" s="472"/>
      <c r="L7" s="472"/>
      <c r="N7" s="476">
        <v>4</v>
      </c>
      <c r="O7" s="477">
        <f t="shared" ref="O7:O51" si="0">ROUND(P7*N7,-2)</f>
        <v>13800</v>
      </c>
      <c r="P7" s="478">
        <f>ROUND(P6*0.985,-1)</f>
        <v>3450</v>
      </c>
      <c r="Q7" s="479"/>
      <c r="R7" s="476">
        <v>4</v>
      </c>
      <c r="S7" s="477">
        <f>ROUND(T7*R7,-3)</f>
        <v>22000</v>
      </c>
      <c r="T7" s="478">
        <f>ROUND(T6*0.98,-1)</f>
        <v>5490</v>
      </c>
    </row>
    <row r="8" spans="2:20" ht="17.25" customHeight="1" x14ac:dyDescent="0.35">
      <c r="B8" s="480"/>
      <c r="C8" s="475"/>
      <c r="D8" s="475"/>
      <c r="E8" s="483"/>
      <c r="F8" s="483"/>
      <c r="G8" s="469"/>
      <c r="H8" s="469"/>
      <c r="J8" s="469"/>
      <c r="K8" s="469"/>
      <c r="L8" s="469"/>
      <c r="N8" s="476">
        <v>5</v>
      </c>
      <c r="O8" s="477">
        <f t="shared" si="0"/>
        <v>17000</v>
      </c>
      <c r="P8" s="478">
        <f>ROUND(P7*0.985,-1)</f>
        <v>3400</v>
      </c>
      <c r="Q8" s="479"/>
      <c r="R8" s="476">
        <v>5</v>
      </c>
      <c r="S8" s="477">
        <f t="shared" ref="S8:S33" si="1">ROUND(T8*R8,-3)</f>
        <v>27000</v>
      </c>
      <c r="T8" s="478">
        <f t="shared" ref="T8:T33" si="2">ROUND(T7*0.98,-1)</f>
        <v>5380</v>
      </c>
    </row>
    <row r="9" spans="2:20" ht="17.25" customHeight="1" thickBot="1" x14ac:dyDescent="0.45">
      <c r="B9" s="467" t="s">
        <v>151</v>
      </c>
      <c r="C9" s="484"/>
      <c r="D9" s="484"/>
      <c r="E9" s="484"/>
      <c r="F9" s="485"/>
      <c r="G9" s="469"/>
      <c r="H9" s="469"/>
      <c r="N9" s="476">
        <v>6</v>
      </c>
      <c r="O9" s="477">
        <f t="shared" si="0"/>
        <v>20000</v>
      </c>
      <c r="P9" s="478">
        <f t="shared" ref="P9:P71" si="3">ROUND(P8*0.983,-1)</f>
        <v>3340</v>
      </c>
      <c r="Q9" s="479"/>
      <c r="R9" s="476">
        <v>6</v>
      </c>
      <c r="S9" s="477">
        <f t="shared" si="1"/>
        <v>32000</v>
      </c>
      <c r="T9" s="478">
        <f t="shared" si="2"/>
        <v>5270</v>
      </c>
    </row>
    <row r="10" spans="2:20" ht="17.25" customHeight="1" thickBot="1" x14ac:dyDescent="0.4">
      <c r="B10" s="469" t="s">
        <v>152</v>
      </c>
      <c r="C10" s="469"/>
      <c r="D10" s="469"/>
      <c r="E10" s="469"/>
      <c r="F10" s="486" t="s">
        <v>153</v>
      </c>
      <c r="G10" s="469"/>
      <c r="H10" s="469"/>
      <c r="N10" s="476">
        <v>7</v>
      </c>
      <c r="O10" s="477">
        <f t="shared" si="0"/>
        <v>23000</v>
      </c>
      <c r="P10" s="478">
        <f t="shared" si="3"/>
        <v>3280</v>
      </c>
      <c r="Q10" s="479"/>
      <c r="R10" s="476">
        <v>7</v>
      </c>
      <c r="S10" s="477">
        <f t="shared" si="1"/>
        <v>36000</v>
      </c>
      <c r="T10" s="478">
        <f t="shared" si="2"/>
        <v>5160</v>
      </c>
    </row>
    <row r="11" spans="2:20" ht="17.25" customHeight="1" thickBot="1" x14ac:dyDescent="0.4">
      <c r="B11" s="469" t="s">
        <v>143</v>
      </c>
      <c r="C11" s="469"/>
      <c r="D11" s="469"/>
      <c r="E11" s="469"/>
      <c r="F11" s="486" t="s">
        <v>566</v>
      </c>
      <c r="G11" s="469"/>
      <c r="H11" s="469"/>
      <c r="I11" s="487"/>
      <c r="J11" s="488"/>
      <c r="K11" s="488"/>
      <c r="L11" s="489"/>
      <c r="N11" s="476">
        <v>8</v>
      </c>
      <c r="O11" s="477">
        <f t="shared" si="0"/>
        <v>25800</v>
      </c>
      <c r="P11" s="478">
        <f t="shared" si="3"/>
        <v>3220</v>
      </c>
      <c r="Q11" s="479"/>
      <c r="R11" s="476">
        <v>8</v>
      </c>
      <c r="S11" s="477">
        <f t="shared" si="1"/>
        <v>40000</v>
      </c>
      <c r="T11" s="478">
        <f t="shared" si="2"/>
        <v>5060</v>
      </c>
    </row>
    <row r="12" spans="2:20" ht="17.25" customHeight="1" thickBot="1" x14ac:dyDescent="0.4">
      <c r="B12" s="490" t="s">
        <v>154</v>
      </c>
      <c r="C12" s="469"/>
      <c r="D12" s="469"/>
      <c r="E12" s="469"/>
      <c r="F12" s="486" t="s">
        <v>357</v>
      </c>
      <c r="G12" s="469"/>
      <c r="H12" s="469"/>
      <c r="I12" s="636" t="s">
        <v>504</v>
      </c>
      <c r="J12" s="637"/>
      <c r="K12" s="491"/>
      <c r="L12" s="487"/>
      <c r="N12" s="476">
        <v>9</v>
      </c>
      <c r="O12" s="477">
        <f t="shared" si="0"/>
        <v>28500</v>
      </c>
      <c r="P12" s="478">
        <f t="shared" si="3"/>
        <v>3170</v>
      </c>
      <c r="Q12" s="479"/>
      <c r="R12" s="476">
        <v>9</v>
      </c>
      <c r="S12" s="477">
        <f t="shared" si="1"/>
        <v>45000</v>
      </c>
      <c r="T12" s="478">
        <f t="shared" si="2"/>
        <v>4960</v>
      </c>
    </row>
    <row r="13" spans="2:20" ht="17.25" customHeight="1" thickBot="1" x14ac:dyDescent="0.5">
      <c r="B13" s="472" t="s">
        <v>155</v>
      </c>
      <c r="C13" s="483"/>
      <c r="D13" s="472"/>
      <c r="E13" s="483" t="s">
        <v>477</v>
      </c>
      <c r="F13" s="640">
        <f>ROUND(E7/4.5,1)</f>
        <v>9.8000000000000007</v>
      </c>
      <c r="G13" s="469"/>
      <c r="H13" s="469"/>
      <c r="I13" s="638" t="s">
        <v>481</v>
      </c>
      <c r="J13" s="639"/>
      <c r="K13" s="491"/>
      <c r="L13" s="489"/>
      <c r="N13" s="476">
        <v>10</v>
      </c>
      <c r="O13" s="477">
        <f t="shared" si="0"/>
        <v>31200</v>
      </c>
      <c r="P13" s="478">
        <f t="shared" si="3"/>
        <v>3120</v>
      </c>
      <c r="Q13" s="479"/>
      <c r="R13" s="476">
        <v>10</v>
      </c>
      <c r="S13" s="477">
        <f t="shared" si="1"/>
        <v>49000</v>
      </c>
      <c r="T13" s="478">
        <f t="shared" si="2"/>
        <v>4860</v>
      </c>
    </row>
    <row r="14" spans="2:20" ht="17.25" customHeight="1" x14ac:dyDescent="0.35">
      <c r="B14" s="492" t="s">
        <v>156</v>
      </c>
      <c r="C14" s="483"/>
      <c r="D14" s="472"/>
      <c r="E14" s="483" t="s">
        <v>129</v>
      </c>
      <c r="F14" s="493">
        <f>ROUND(IF(F11="Süden",1000,900)*F13,-2)</f>
        <v>9800</v>
      </c>
      <c r="G14" s="469"/>
      <c r="H14" s="469"/>
      <c r="I14" s="494"/>
      <c r="J14" s="494"/>
      <c r="K14" s="494"/>
      <c r="L14" s="494"/>
      <c r="N14" s="476">
        <v>11</v>
      </c>
      <c r="O14" s="477">
        <f t="shared" si="0"/>
        <v>33800</v>
      </c>
      <c r="P14" s="478">
        <f t="shared" si="3"/>
        <v>3070</v>
      </c>
      <c r="Q14" s="479"/>
      <c r="R14" s="476">
        <v>11</v>
      </c>
      <c r="S14" s="477">
        <f t="shared" si="1"/>
        <v>52000</v>
      </c>
      <c r="T14" s="478">
        <f t="shared" si="2"/>
        <v>4760</v>
      </c>
    </row>
    <row r="15" spans="2:20" ht="17.25" customHeight="1" thickBot="1" x14ac:dyDescent="0.4">
      <c r="B15" s="495" t="s">
        <v>157</v>
      </c>
      <c r="C15" s="495"/>
      <c r="D15" s="495"/>
      <c r="E15" s="496"/>
      <c r="F15" s="496">
        <f>INDEX(N5:T193,F13-1,IF(F10="Indach",6,2))</f>
        <v>28500</v>
      </c>
      <c r="G15" s="469"/>
      <c r="H15" s="469"/>
      <c r="N15" s="476">
        <v>12</v>
      </c>
      <c r="O15" s="477">
        <f t="shared" si="0"/>
        <v>36200</v>
      </c>
      <c r="P15" s="478">
        <f t="shared" si="3"/>
        <v>3020</v>
      </c>
      <c r="Q15" s="479"/>
      <c r="R15" s="476">
        <v>12</v>
      </c>
      <c r="S15" s="477">
        <f t="shared" si="1"/>
        <v>56000</v>
      </c>
      <c r="T15" s="478">
        <f t="shared" si="2"/>
        <v>4660</v>
      </c>
    </row>
    <row r="16" spans="2:20" ht="17.25" customHeight="1" x14ac:dyDescent="0.55000000000000004">
      <c r="B16" s="462" t="str">
        <f>IF(AND(F10="Indach",F13&gt;30),"!!!ACHTUNG INDACHANLAGE &gt; 30 kWp KANN NICHT BERECHNET WERDEN!!!","")</f>
        <v/>
      </c>
      <c r="C16" s="472"/>
      <c r="D16" s="472"/>
      <c r="E16" s="497"/>
      <c r="F16" s="497"/>
      <c r="G16" s="469"/>
      <c r="H16" s="469"/>
      <c r="I16" s="469"/>
      <c r="J16" s="469"/>
      <c r="K16" s="469"/>
      <c r="L16" s="469"/>
      <c r="N16" s="476">
        <v>13</v>
      </c>
      <c r="O16" s="477">
        <f t="shared" si="0"/>
        <v>38600</v>
      </c>
      <c r="P16" s="478">
        <f t="shared" si="3"/>
        <v>2970</v>
      </c>
      <c r="Q16" s="479"/>
      <c r="R16" s="476">
        <v>13</v>
      </c>
      <c r="S16" s="477">
        <f t="shared" si="1"/>
        <v>59000</v>
      </c>
      <c r="T16" s="478">
        <f t="shared" si="2"/>
        <v>4570</v>
      </c>
    </row>
    <row r="17" spans="2:26" ht="17.25" customHeight="1" x14ac:dyDescent="0.4">
      <c r="B17" s="467" t="s">
        <v>296</v>
      </c>
      <c r="C17" s="467"/>
      <c r="D17" s="467"/>
      <c r="E17" s="467"/>
      <c r="F17" s="467"/>
      <c r="G17" s="469"/>
      <c r="H17" s="469"/>
      <c r="I17" s="467" t="s">
        <v>158</v>
      </c>
      <c r="J17" s="467"/>
      <c r="K17" s="467"/>
      <c r="L17" s="467"/>
      <c r="N17" s="476">
        <v>14</v>
      </c>
      <c r="O17" s="477">
        <f t="shared" si="0"/>
        <v>40900</v>
      </c>
      <c r="P17" s="478">
        <f t="shared" si="3"/>
        <v>2920</v>
      </c>
      <c r="Q17" s="479"/>
      <c r="R17" s="476">
        <v>14</v>
      </c>
      <c r="S17" s="477">
        <f t="shared" si="1"/>
        <v>63000</v>
      </c>
      <c r="T17" s="478">
        <f t="shared" si="2"/>
        <v>4480</v>
      </c>
    </row>
    <row r="18" spans="2:26" ht="17.25" customHeight="1" x14ac:dyDescent="0.45">
      <c r="B18" s="472"/>
      <c r="C18" s="469"/>
      <c r="D18" s="475" t="s">
        <v>478</v>
      </c>
      <c r="E18" s="498" t="s">
        <v>479</v>
      </c>
      <c r="F18" s="469"/>
      <c r="G18" s="469"/>
      <c r="H18" s="469"/>
      <c r="I18" s="457"/>
      <c r="J18" s="457"/>
      <c r="K18" s="457"/>
      <c r="L18" s="457"/>
      <c r="N18" s="476">
        <v>15</v>
      </c>
      <c r="O18" s="477">
        <f t="shared" si="0"/>
        <v>43100</v>
      </c>
      <c r="P18" s="478">
        <f t="shared" si="3"/>
        <v>2870</v>
      </c>
      <c r="Q18" s="479"/>
      <c r="R18" s="476">
        <v>15</v>
      </c>
      <c r="S18" s="477">
        <f t="shared" si="1"/>
        <v>66000</v>
      </c>
      <c r="T18" s="478">
        <f t="shared" si="2"/>
        <v>4390</v>
      </c>
    </row>
    <row r="19" spans="2:26" ht="17.25" customHeight="1" x14ac:dyDescent="0.4">
      <c r="B19" s="469" t="s">
        <v>159</v>
      </c>
      <c r="C19" s="469"/>
      <c r="D19" s="469">
        <v>350</v>
      </c>
      <c r="E19" s="469">
        <v>1</v>
      </c>
      <c r="F19" s="499">
        <f>D19*E19</f>
        <v>350</v>
      </c>
      <c r="G19" s="469"/>
      <c r="H19" s="469"/>
      <c r="I19" s="467" t="s">
        <v>160</v>
      </c>
      <c r="J19" s="467"/>
      <c r="K19" s="467"/>
      <c r="L19" s="467"/>
      <c r="N19" s="476">
        <v>16</v>
      </c>
      <c r="O19" s="477">
        <f t="shared" si="0"/>
        <v>45100</v>
      </c>
      <c r="P19" s="478">
        <f t="shared" si="3"/>
        <v>2820</v>
      </c>
      <c r="Q19" s="479"/>
      <c r="R19" s="476">
        <v>16</v>
      </c>
      <c r="S19" s="477">
        <f t="shared" si="1"/>
        <v>69000</v>
      </c>
      <c r="T19" s="478">
        <f t="shared" si="2"/>
        <v>4300</v>
      </c>
    </row>
    <row r="20" spans="2:26" ht="17.25" customHeight="1" thickBot="1" x14ac:dyDescent="0.4">
      <c r="B20" s="469" t="s">
        <v>305</v>
      </c>
      <c r="C20" s="469"/>
      <c r="D20" s="469">
        <f>IF(F10=V32,(IF(E20&lt;=30,Y32,Z32)),IF(E20&lt;=30,Y33,Z33))</f>
        <v>380</v>
      </c>
      <c r="E20" s="500">
        <f>IF(F13&gt;29,30,F13)</f>
        <v>9.8000000000000007</v>
      </c>
      <c r="F20" s="499">
        <f>D20*E20</f>
        <v>3724.0000000000005</v>
      </c>
      <c r="G20" s="469"/>
      <c r="H20" s="469"/>
      <c r="I20" s="501"/>
      <c r="J20" s="502" t="s">
        <v>161</v>
      </c>
      <c r="K20" s="501" t="s">
        <v>162</v>
      </c>
      <c r="L20" s="501" t="s">
        <v>163</v>
      </c>
      <c r="N20" s="476">
        <v>17</v>
      </c>
      <c r="O20" s="477">
        <f t="shared" si="0"/>
        <v>47100</v>
      </c>
      <c r="P20" s="478">
        <f t="shared" si="3"/>
        <v>2770</v>
      </c>
      <c r="Q20" s="479"/>
      <c r="R20" s="476">
        <v>17</v>
      </c>
      <c r="S20" s="477">
        <f t="shared" si="1"/>
        <v>72000</v>
      </c>
      <c r="T20" s="478">
        <f t="shared" si="2"/>
        <v>4210</v>
      </c>
    </row>
    <row r="21" spans="2:26" ht="17.25" customHeight="1" thickBot="1" x14ac:dyDescent="0.4">
      <c r="B21" s="469" t="s">
        <v>306</v>
      </c>
      <c r="C21" s="469"/>
      <c r="D21" s="469">
        <f>IF(F10=V32,(IF(E21&gt;=30,Y32,Z32)),IF(E21&lt;=30,Y33,Z33))</f>
        <v>380</v>
      </c>
      <c r="E21" s="503" t="str">
        <f>IF(F13&gt;29,F13-E20,"-")</f>
        <v>-</v>
      </c>
      <c r="F21" s="499" t="str">
        <f>IFERROR(D21*E21,"-")</f>
        <v>-</v>
      </c>
      <c r="G21" s="469"/>
      <c r="I21" s="504" t="s">
        <v>164</v>
      </c>
      <c r="J21" s="505">
        <v>0.2</v>
      </c>
      <c r="K21" s="506">
        <f>1-J21</f>
        <v>0.8</v>
      </c>
      <c r="L21" s="507"/>
      <c r="N21" s="476">
        <v>18</v>
      </c>
      <c r="O21" s="477">
        <f t="shared" si="0"/>
        <v>49000</v>
      </c>
      <c r="P21" s="478">
        <f t="shared" si="3"/>
        <v>2720</v>
      </c>
      <c r="Q21" s="479"/>
      <c r="R21" s="476">
        <v>18</v>
      </c>
      <c r="S21" s="477">
        <f t="shared" si="1"/>
        <v>74000</v>
      </c>
      <c r="T21" s="478">
        <f t="shared" si="2"/>
        <v>4130</v>
      </c>
    </row>
    <row r="22" spans="2:26" ht="17.25" customHeight="1" x14ac:dyDescent="0.35">
      <c r="B22" s="469" t="s">
        <v>194</v>
      </c>
      <c r="C22" s="469"/>
      <c r="D22" s="469">
        <f>IF(F12="Ja",500,0)</f>
        <v>500</v>
      </c>
      <c r="E22" s="500">
        <f>IF(F12="Ja",F13,0)</f>
        <v>9.8000000000000007</v>
      </c>
      <c r="F22" s="499">
        <f>IF((D22*E22)&lt;=30000,D22*E22,30000)</f>
        <v>4900</v>
      </c>
      <c r="G22" s="469"/>
      <c r="H22" s="472" t="s">
        <v>193</v>
      </c>
      <c r="I22" s="507" t="s">
        <v>165</v>
      </c>
      <c r="J22" s="508">
        <v>0.19</v>
      </c>
      <c r="K22" s="509">
        <f>0.055+0.023</f>
        <v>7.8E-2</v>
      </c>
      <c r="L22" s="510">
        <f>J22*$J$21+K22*$K$21</f>
        <v>0.10040000000000002</v>
      </c>
      <c r="N22" s="476">
        <v>19</v>
      </c>
      <c r="O22" s="477">
        <f t="shared" si="0"/>
        <v>50700</v>
      </c>
      <c r="P22" s="478">
        <f t="shared" si="3"/>
        <v>2670</v>
      </c>
      <c r="Q22" s="479"/>
      <c r="R22" s="476">
        <v>19</v>
      </c>
      <c r="S22" s="477">
        <f t="shared" si="1"/>
        <v>77000</v>
      </c>
      <c r="T22" s="478">
        <f t="shared" si="2"/>
        <v>4050</v>
      </c>
    </row>
    <row r="23" spans="2:26" ht="17.25" customHeight="1" x14ac:dyDescent="0.35">
      <c r="B23" s="469" t="s">
        <v>505</v>
      </c>
      <c r="C23" s="469"/>
      <c r="D23" s="511"/>
      <c r="E23" s="635"/>
      <c r="F23" s="512"/>
      <c r="G23" s="469"/>
      <c r="H23" s="469"/>
      <c r="I23" s="507" t="s">
        <v>167</v>
      </c>
      <c r="J23" s="509">
        <v>0.12</v>
      </c>
      <c r="K23" s="509">
        <f>0.045+0.023</f>
        <v>6.8000000000000005E-2</v>
      </c>
      <c r="L23" s="510">
        <f>J23*$J$21+K23*$K$21</f>
        <v>7.8399999999999997E-2</v>
      </c>
      <c r="N23" s="476">
        <v>20</v>
      </c>
      <c r="O23" s="477">
        <f t="shared" si="0"/>
        <v>52400</v>
      </c>
      <c r="P23" s="478">
        <f t="shared" si="3"/>
        <v>2620</v>
      </c>
      <c r="Q23" s="479"/>
      <c r="R23" s="476">
        <v>20</v>
      </c>
      <c r="S23" s="477">
        <f t="shared" si="1"/>
        <v>79000</v>
      </c>
      <c r="T23" s="478">
        <f t="shared" si="2"/>
        <v>3970</v>
      </c>
    </row>
    <row r="24" spans="2:26" ht="17.25" customHeight="1" thickBot="1" x14ac:dyDescent="0.4">
      <c r="B24" s="495" t="s">
        <v>166</v>
      </c>
      <c r="C24" s="495"/>
      <c r="D24" s="495"/>
      <c r="E24" s="496"/>
      <c r="F24" s="496">
        <f>SUM(F19:F23)</f>
        <v>8974</v>
      </c>
      <c r="G24" s="469"/>
      <c r="H24" s="469"/>
      <c r="I24" s="513" t="s">
        <v>168</v>
      </c>
      <c r="J24" s="510">
        <f>J22*11/14+J23*3/14</f>
        <v>0.17499999999999999</v>
      </c>
      <c r="K24" s="510">
        <f>K22*11/14+K23*3/14</f>
        <v>7.5857142857142859E-2</v>
      </c>
      <c r="L24" s="514">
        <f>J24*$J$21+K24*$K$21</f>
        <v>9.5685714285714291E-2</v>
      </c>
      <c r="N24" s="476">
        <v>21</v>
      </c>
      <c r="O24" s="477">
        <f t="shared" si="0"/>
        <v>54200</v>
      </c>
      <c r="P24" s="478">
        <f t="shared" si="3"/>
        <v>2580</v>
      </c>
      <c r="Q24" s="479"/>
      <c r="R24" s="476">
        <v>21</v>
      </c>
      <c r="S24" s="477">
        <f t="shared" si="1"/>
        <v>82000</v>
      </c>
      <c r="T24" s="478">
        <f t="shared" si="2"/>
        <v>3890</v>
      </c>
    </row>
    <row r="25" spans="2:26" ht="17.25" customHeight="1" x14ac:dyDescent="0.35">
      <c r="B25" s="472"/>
      <c r="C25" s="472"/>
      <c r="D25" s="472"/>
      <c r="E25" s="497"/>
      <c r="F25" s="497"/>
      <c r="G25" s="469"/>
      <c r="H25" s="469"/>
      <c r="I25" s="469" t="s">
        <v>170</v>
      </c>
      <c r="J25" s="469"/>
      <c r="K25" s="469" t="s">
        <v>413</v>
      </c>
      <c r="L25" s="469"/>
      <c r="N25" s="476">
        <v>22</v>
      </c>
      <c r="O25" s="477">
        <f t="shared" si="0"/>
        <v>55900</v>
      </c>
      <c r="P25" s="478">
        <f t="shared" si="3"/>
        <v>2540</v>
      </c>
      <c r="Q25" s="479"/>
      <c r="R25" s="476">
        <v>22</v>
      </c>
      <c r="S25" s="477">
        <f t="shared" si="1"/>
        <v>84000</v>
      </c>
      <c r="T25" s="478">
        <f t="shared" si="2"/>
        <v>3810</v>
      </c>
    </row>
    <row r="26" spans="2:26" ht="17.25" customHeight="1" thickBot="1" x14ac:dyDescent="0.45">
      <c r="B26" s="515" t="s">
        <v>169</v>
      </c>
      <c r="C26" s="515"/>
      <c r="D26" s="515"/>
      <c r="E26" s="515"/>
      <c r="F26" s="516">
        <f>F15-F24</f>
        <v>19526</v>
      </c>
      <c r="G26" s="469"/>
      <c r="H26" s="469"/>
      <c r="I26" s="457"/>
      <c r="J26" s="457"/>
      <c r="K26" s="457"/>
      <c r="L26" s="517"/>
      <c r="N26" s="476">
        <v>23</v>
      </c>
      <c r="O26" s="477">
        <f t="shared" si="0"/>
        <v>57500</v>
      </c>
      <c r="P26" s="478">
        <f t="shared" si="3"/>
        <v>2500</v>
      </c>
      <c r="Q26" s="479"/>
      <c r="R26" s="476">
        <v>23</v>
      </c>
      <c r="S26" s="477">
        <f t="shared" si="1"/>
        <v>86000</v>
      </c>
      <c r="T26" s="478">
        <f t="shared" si="2"/>
        <v>3730</v>
      </c>
    </row>
    <row r="27" spans="2:26" ht="17.25" customHeight="1" thickTop="1" x14ac:dyDescent="0.4">
      <c r="B27" s="457"/>
      <c r="C27" s="457"/>
      <c r="D27" s="457"/>
      <c r="E27" s="457"/>
      <c r="F27" s="517"/>
      <c r="G27" s="469"/>
      <c r="H27" s="469"/>
      <c r="N27" s="476">
        <v>24</v>
      </c>
      <c r="O27" s="477">
        <f t="shared" si="0"/>
        <v>59000</v>
      </c>
      <c r="P27" s="478">
        <f t="shared" si="3"/>
        <v>2460</v>
      </c>
      <c r="Q27" s="479"/>
      <c r="R27" s="476">
        <v>24</v>
      </c>
      <c r="S27" s="477">
        <f t="shared" si="1"/>
        <v>88000</v>
      </c>
      <c r="T27" s="478">
        <f t="shared" si="2"/>
        <v>3660</v>
      </c>
    </row>
    <row r="28" spans="2:26" ht="17.25" customHeight="1" x14ac:dyDescent="0.4">
      <c r="B28" s="467" t="s">
        <v>171</v>
      </c>
      <c r="C28" s="467"/>
      <c r="D28" s="467"/>
      <c r="E28" s="467"/>
      <c r="F28" s="467"/>
      <c r="G28" s="469"/>
      <c r="H28" s="469"/>
      <c r="N28" s="476">
        <v>25</v>
      </c>
      <c r="O28" s="477">
        <f t="shared" si="0"/>
        <v>60500</v>
      </c>
      <c r="P28" s="478">
        <f t="shared" si="3"/>
        <v>2420</v>
      </c>
      <c r="Q28" s="479"/>
      <c r="R28" s="476">
        <v>25</v>
      </c>
      <c r="S28" s="477">
        <f t="shared" si="1"/>
        <v>90000</v>
      </c>
      <c r="T28" s="478">
        <f t="shared" si="2"/>
        <v>3590</v>
      </c>
    </row>
    <row r="29" spans="2:26" ht="17.25" customHeight="1" x14ac:dyDescent="0.35">
      <c r="B29" s="469" t="s">
        <v>172</v>
      </c>
      <c r="C29" s="469"/>
      <c r="D29" s="475" t="s">
        <v>173</v>
      </c>
      <c r="E29" s="518">
        <f>IF(D30=0,0,(D30*(1+D30)^D31)/((1+D30)^D31-1))</f>
        <v>5.4275921045792701E-2</v>
      </c>
      <c r="F29" s="499">
        <f>(F15-F24)*E29</f>
        <v>1059.7916343401482</v>
      </c>
      <c r="G29" s="469"/>
      <c r="H29" s="469"/>
      <c r="N29" s="476">
        <v>26</v>
      </c>
      <c r="O29" s="477">
        <f t="shared" si="0"/>
        <v>61900</v>
      </c>
      <c r="P29" s="478">
        <f t="shared" si="3"/>
        <v>2380</v>
      </c>
      <c r="R29" s="476">
        <v>26</v>
      </c>
      <c r="S29" s="477">
        <f t="shared" si="1"/>
        <v>92000</v>
      </c>
      <c r="T29" s="478">
        <f t="shared" si="2"/>
        <v>3520</v>
      </c>
    </row>
    <row r="30" spans="2:26" s="458" customFormat="1" ht="17.25" customHeight="1" x14ac:dyDescent="0.35">
      <c r="B30" s="472"/>
      <c r="C30" s="475" t="s">
        <v>174</v>
      </c>
      <c r="D30" s="519">
        <v>2.5000000000000001E-2</v>
      </c>
      <c r="E30" s="472"/>
      <c r="F30" s="497"/>
      <c r="G30" s="472"/>
      <c r="H30" s="472"/>
      <c r="N30" s="476">
        <v>27</v>
      </c>
      <c r="O30" s="477">
        <f t="shared" si="0"/>
        <v>63200</v>
      </c>
      <c r="P30" s="478">
        <f t="shared" si="3"/>
        <v>2340</v>
      </c>
      <c r="Q30" s="461"/>
      <c r="R30" s="476">
        <v>27</v>
      </c>
      <c r="S30" s="477">
        <f t="shared" si="1"/>
        <v>93000</v>
      </c>
      <c r="T30" s="478">
        <f t="shared" si="2"/>
        <v>3450</v>
      </c>
    </row>
    <row r="31" spans="2:26" s="458" customFormat="1" ht="17.25" customHeight="1" thickBot="1" x14ac:dyDescent="0.4">
      <c r="B31" s="472"/>
      <c r="C31" s="475" t="s">
        <v>175</v>
      </c>
      <c r="D31" s="520">
        <v>25</v>
      </c>
      <c r="E31" s="472"/>
      <c r="F31" s="497"/>
      <c r="G31" s="472"/>
      <c r="H31" s="472"/>
      <c r="N31" s="476">
        <v>28</v>
      </c>
      <c r="O31" s="477">
        <f t="shared" si="0"/>
        <v>64400</v>
      </c>
      <c r="P31" s="478">
        <f t="shared" si="3"/>
        <v>2300</v>
      </c>
      <c r="Q31" s="461"/>
      <c r="R31" s="476">
        <v>28</v>
      </c>
      <c r="S31" s="477">
        <f t="shared" si="1"/>
        <v>95000</v>
      </c>
      <c r="T31" s="478">
        <f t="shared" si="2"/>
        <v>3380</v>
      </c>
      <c r="V31" s="458" t="s">
        <v>191</v>
      </c>
      <c r="Y31" s="458" t="s">
        <v>192</v>
      </c>
      <c r="Z31" s="458" t="s">
        <v>307</v>
      </c>
    </row>
    <row r="32" spans="2:26" ht="17.25" customHeight="1" x14ac:dyDescent="0.35">
      <c r="B32" s="469"/>
      <c r="C32" s="469"/>
      <c r="D32" s="475"/>
      <c r="E32" s="469"/>
      <c r="F32" s="499"/>
      <c r="G32" s="469"/>
      <c r="H32" s="469"/>
      <c r="I32" s="521" t="s">
        <v>310</v>
      </c>
      <c r="J32" s="522">
        <v>0.01</v>
      </c>
      <c r="K32" s="523" t="s">
        <v>309</v>
      </c>
      <c r="L32" s="524"/>
      <c r="N32" s="476">
        <v>29</v>
      </c>
      <c r="O32" s="477">
        <f t="shared" si="0"/>
        <v>65500</v>
      </c>
      <c r="P32" s="478">
        <f t="shared" si="3"/>
        <v>2260</v>
      </c>
      <c r="R32" s="476">
        <v>29</v>
      </c>
      <c r="S32" s="477">
        <f t="shared" si="1"/>
        <v>96000</v>
      </c>
      <c r="T32" s="478">
        <f t="shared" si="2"/>
        <v>3310</v>
      </c>
      <c r="V32" s="461" t="s">
        <v>153</v>
      </c>
      <c r="X32" s="458">
        <v>350</v>
      </c>
      <c r="Y32" s="458">
        <v>380</v>
      </c>
      <c r="Z32" s="458">
        <v>290</v>
      </c>
    </row>
    <row r="33" spans="2:26" s="458" customFormat="1" ht="17.25" customHeight="1" thickBot="1" x14ac:dyDescent="0.4">
      <c r="B33" s="525" t="s">
        <v>176</v>
      </c>
      <c r="C33" s="526"/>
      <c r="D33" s="527"/>
      <c r="E33" s="526"/>
      <c r="F33" s="528">
        <f>F15*J32</f>
        <v>285</v>
      </c>
      <c r="G33" s="472"/>
      <c r="H33" s="472"/>
      <c r="I33" s="529" t="s">
        <v>311</v>
      </c>
      <c r="J33" s="530"/>
      <c r="K33" s="530"/>
      <c r="L33" s="531"/>
      <c r="N33" s="532">
        <v>30</v>
      </c>
      <c r="O33" s="533">
        <f t="shared" si="0"/>
        <v>66600</v>
      </c>
      <c r="P33" s="478">
        <f t="shared" si="3"/>
        <v>2220</v>
      </c>
      <c r="Q33" s="534"/>
      <c r="R33" s="532">
        <v>30</v>
      </c>
      <c r="S33" s="533">
        <f t="shared" si="1"/>
        <v>97000</v>
      </c>
      <c r="T33" s="535">
        <f t="shared" si="2"/>
        <v>3240</v>
      </c>
      <c r="V33" s="461" t="s">
        <v>190</v>
      </c>
      <c r="W33" s="461"/>
      <c r="X33" s="458">
        <v>385</v>
      </c>
      <c r="Y33" s="458">
        <v>420</v>
      </c>
      <c r="Z33" s="458">
        <v>320</v>
      </c>
    </row>
    <row r="34" spans="2:26" s="458" customFormat="1" ht="17.25" customHeight="1" thickBot="1" x14ac:dyDescent="0.4">
      <c r="B34" s="469"/>
      <c r="C34" s="469"/>
      <c r="D34" s="469"/>
      <c r="E34" s="469"/>
      <c r="F34" s="469"/>
      <c r="G34" s="472"/>
      <c r="H34" s="472"/>
      <c r="I34" s="536" t="s">
        <v>308</v>
      </c>
      <c r="J34" s="537"/>
      <c r="K34" s="537"/>
      <c r="L34" s="538"/>
      <c r="N34" s="476">
        <v>31</v>
      </c>
      <c r="O34" s="477">
        <f t="shared" si="0"/>
        <v>67600</v>
      </c>
      <c r="P34" s="478">
        <f t="shared" si="3"/>
        <v>2180</v>
      </c>
      <c r="R34" s="476"/>
      <c r="S34" s="477"/>
    </row>
    <row r="35" spans="2:26" s="458" customFormat="1" ht="17.25" customHeight="1" thickBot="1" x14ac:dyDescent="0.4">
      <c r="B35" s="495" t="s">
        <v>177</v>
      </c>
      <c r="C35" s="495"/>
      <c r="D35" s="495"/>
      <c r="E35" s="496"/>
      <c r="F35" s="496">
        <f>ROUND(SUM(F29:F34),-2)</f>
        <v>1300</v>
      </c>
      <c r="G35" s="472"/>
      <c r="H35" s="472"/>
      <c r="N35" s="476">
        <v>32</v>
      </c>
      <c r="O35" s="477">
        <f t="shared" si="0"/>
        <v>68500</v>
      </c>
      <c r="P35" s="478">
        <f t="shared" si="3"/>
        <v>2140</v>
      </c>
      <c r="R35" s="476"/>
      <c r="S35" s="477"/>
    </row>
    <row r="36" spans="2:26" s="458" customFormat="1" ht="17.25" customHeight="1" thickBot="1" x14ac:dyDescent="0.4">
      <c r="B36" s="469"/>
      <c r="C36" s="469"/>
      <c r="D36" s="469"/>
      <c r="E36" s="469"/>
      <c r="F36" s="469"/>
      <c r="G36" s="472"/>
      <c r="H36" s="539" t="s">
        <v>179</v>
      </c>
      <c r="I36" s="540" t="s">
        <v>180</v>
      </c>
      <c r="J36" s="540"/>
      <c r="K36" s="540"/>
      <c r="L36" s="541">
        <f>L24</f>
        <v>9.5685714285714291E-2</v>
      </c>
      <c r="N36" s="476">
        <v>33</v>
      </c>
      <c r="O36" s="477">
        <f t="shared" si="0"/>
        <v>69300</v>
      </c>
      <c r="P36" s="478">
        <f t="shared" si="3"/>
        <v>2100</v>
      </c>
      <c r="R36" s="476"/>
      <c r="S36" s="477"/>
      <c r="T36" s="458">
        <f>2300*30</f>
        <v>69000</v>
      </c>
    </row>
    <row r="37" spans="2:26" s="458" customFormat="1" ht="17.25" customHeight="1" thickBot="1" x14ac:dyDescent="0.4">
      <c r="B37" s="542" t="s">
        <v>178</v>
      </c>
      <c r="C37" s="542"/>
      <c r="D37" s="543"/>
      <c r="E37" s="544"/>
      <c r="F37" s="545">
        <f>F35/F14</f>
        <v>0.1326530612244898</v>
      </c>
      <c r="G37" s="472"/>
      <c r="H37" s="472"/>
      <c r="I37" s="461"/>
      <c r="J37" s="461"/>
      <c r="K37" s="461"/>
      <c r="L37" s="461"/>
      <c r="N37" s="476">
        <v>34</v>
      </c>
      <c r="O37" s="477">
        <f t="shared" si="0"/>
        <v>70000</v>
      </c>
      <c r="P37" s="478">
        <f t="shared" si="3"/>
        <v>2060</v>
      </c>
      <c r="R37" s="476"/>
      <c r="S37" s="477"/>
      <c r="T37" s="458">
        <f>2500*30</f>
        <v>75000</v>
      </c>
      <c r="V37" s="546"/>
      <c r="W37" s="546"/>
      <c r="X37" s="547"/>
      <c r="Y37" s="546"/>
    </row>
    <row r="38" spans="2:26" s="458" customFormat="1" ht="17.25" customHeight="1" thickBot="1" x14ac:dyDescent="0.45">
      <c r="B38" s="469"/>
      <c r="C38" s="469"/>
      <c r="D38" s="469"/>
      <c r="E38" s="469"/>
      <c r="F38" s="469"/>
      <c r="G38" s="472"/>
      <c r="H38" s="472"/>
      <c r="I38" s="548" t="s">
        <v>182</v>
      </c>
      <c r="J38" s="549"/>
      <c r="K38" s="549"/>
      <c r="L38" s="550" t="str">
        <f>IF(F37&lt;L36,"Ja","Nein")</f>
        <v>Nein</v>
      </c>
      <c r="N38" s="476">
        <v>35</v>
      </c>
      <c r="O38" s="477">
        <f t="shared" si="0"/>
        <v>70700</v>
      </c>
      <c r="P38" s="478">
        <f t="shared" si="3"/>
        <v>2020</v>
      </c>
      <c r="R38" s="476"/>
      <c r="S38" s="477"/>
      <c r="V38" s="546"/>
      <c r="W38" s="546"/>
      <c r="X38" s="547"/>
      <c r="Y38" s="546"/>
    </row>
    <row r="39" spans="2:26" ht="17.25" customHeight="1" thickBot="1" x14ac:dyDescent="0.4">
      <c r="B39" s="472" t="s">
        <v>181</v>
      </c>
      <c r="C39" s="483"/>
      <c r="D39" s="551"/>
      <c r="E39" s="472"/>
      <c r="F39" s="552">
        <f>ROUND(F15/F13,-2)</f>
        <v>2900</v>
      </c>
      <c r="G39" s="469"/>
      <c r="H39" s="469"/>
      <c r="N39" s="476">
        <v>36</v>
      </c>
      <c r="O39" s="477">
        <f t="shared" si="0"/>
        <v>71600</v>
      </c>
      <c r="P39" s="478">
        <f t="shared" si="3"/>
        <v>1990</v>
      </c>
      <c r="R39" s="476"/>
      <c r="S39" s="477"/>
      <c r="V39" s="546"/>
      <c r="W39" s="546"/>
      <c r="X39" s="547"/>
      <c r="Y39" s="546"/>
    </row>
    <row r="40" spans="2:26" ht="17.25" customHeight="1" x14ac:dyDescent="0.35">
      <c r="B40" s="469"/>
      <c r="C40" s="469"/>
      <c r="D40" s="469"/>
      <c r="E40" s="469"/>
      <c r="F40" s="469"/>
      <c r="N40" s="476">
        <v>37</v>
      </c>
      <c r="O40" s="477">
        <f t="shared" si="0"/>
        <v>72500</v>
      </c>
      <c r="P40" s="478">
        <f t="shared" si="3"/>
        <v>1960</v>
      </c>
      <c r="R40" s="476"/>
      <c r="S40" s="477"/>
      <c r="V40" s="546"/>
      <c r="W40" s="546"/>
      <c r="X40" s="547"/>
      <c r="Y40" s="546"/>
    </row>
    <row r="41" spans="2:26" ht="17.25" customHeight="1" thickBot="1" x14ac:dyDescent="0.4">
      <c r="B41" s="472" t="s">
        <v>183</v>
      </c>
      <c r="C41" s="469"/>
      <c r="D41" s="469"/>
      <c r="E41" s="469"/>
      <c r="F41" s="552">
        <f>ROUND(F26/F13,-2)</f>
        <v>2000</v>
      </c>
      <c r="I41" s="458"/>
      <c r="J41" s="458"/>
      <c r="K41" s="458"/>
      <c r="L41" s="458"/>
      <c r="N41" s="476">
        <v>38</v>
      </c>
      <c r="O41" s="477">
        <f t="shared" si="0"/>
        <v>73300</v>
      </c>
      <c r="P41" s="478">
        <f t="shared" si="3"/>
        <v>1930</v>
      </c>
      <c r="R41" s="476"/>
      <c r="S41" s="477"/>
      <c r="V41" s="546"/>
      <c r="W41" s="546"/>
      <c r="X41" s="547"/>
      <c r="Y41" s="546"/>
    </row>
    <row r="42" spans="2:26" s="458" customFormat="1" ht="17.25" customHeight="1" x14ac:dyDescent="0.3">
      <c r="B42" s="461"/>
      <c r="C42" s="461"/>
      <c r="D42" s="461"/>
      <c r="E42" s="461"/>
      <c r="F42" s="461"/>
      <c r="I42" s="461"/>
      <c r="J42" s="461"/>
      <c r="K42" s="461"/>
      <c r="L42" s="461"/>
      <c r="N42" s="476">
        <v>39</v>
      </c>
      <c r="O42" s="477">
        <f t="shared" si="0"/>
        <v>74100</v>
      </c>
      <c r="P42" s="478">
        <f t="shared" si="3"/>
        <v>1900</v>
      </c>
      <c r="R42" s="476"/>
      <c r="S42" s="477"/>
      <c r="V42" s="546"/>
      <c r="W42" s="546"/>
      <c r="X42" s="547"/>
      <c r="Y42" s="546"/>
    </row>
    <row r="43" spans="2:26" ht="17.25" customHeight="1" x14ac:dyDescent="0.3">
      <c r="I43" s="458"/>
      <c r="J43" s="458"/>
      <c r="K43" s="458"/>
      <c r="L43" s="458"/>
      <c r="N43" s="476">
        <v>40</v>
      </c>
      <c r="O43" s="477">
        <f t="shared" si="0"/>
        <v>74800</v>
      </c>
      <c r="P43" s="478">
        <f t="shared" si="3"/>
        <v>1870</v>
      </c>
      <c r="R43" s="476"/>
      <c r="S43" s="477"/>
      <c r="T43" s="458"/>
      <c r="V43" s="546"/>
      <c r="W43" s="546"/>
      <c r="X43" s="547"/>
      <c r="Y43" s="546"/>
    </row>
    <row r="44" spans="2:26" s="458" customFormat="1" ht="17.25" customHeight="1" x14ac:dyDescent="0.3">
      <c r="B44" s="461"/>
      <c r="C44" s="461"/>
      <c r="D44" s="461"/>
      <c r="E44" s="461"/>
      <c r="F44" s="461"/>
      <c r="I44" s="461"/>
      <c r="J44" s="461"/>
      <c r="K44" s="461"/>
      <c r="L44" s="461"/>
      <c r="N44" s="476">
        <v>41</v>
      </c>
      <c r="O44" s="477">
        <f t="shared" si="0"/>
        <v>75400</v>
      </c>
      <c r="P44" s="478">
        <f t="shared" si="3"/>
        <v>1840</v>
      </c>
      <c r="R44" s="476"/>
      <c r="S44" s="477"/>
      <c r="V44" s="546"/>
      <c r="W44" s="546"/>
      <c r="X44" s="547"/>
      <c r="Y44" s="546"/>
    </row>
    <row r="45" spans="2:26" ht="17.25" customHeight="1" x14ac:dyDescent="0.3">
      <c r="N45" s="476">
        <v>42</v>
      </c>
      <c r="O45" s="477">
        <f t="shared" si="0"/>
        <v>76000</v>
      </c>
      <c r="P45" s="478">
        <f t="shared" si="3"/>
        <v>1810</v>
      </c>
      <c r="R45" s="476"/>
      <c r="S45" s="477"/>
      <c r="V45" s="546"/>
      <c r="W45" s="546"/>
      <c r="X45" s="547"/>
      <c r="Y45" s="546"/>
    </row>
    <row r="46" spans="2:26" ht="17.25" customHeight="1" x14ac:dyDescent="0.3">
      <c r="N46" s="476">
        <v>43</v>
      </c>
      <c r="O46" s="477">
        <f t="shared" si="0"/>
        <v>76500</v>
      </c>
      <c r="P46" s="478">
        <f t="shared" si="3"/>
        <v>1780</v>
      </c>
      <c r="R46" s="476"/>
      <c r="S46" s="477"/>
      <c r="V46" s="546"/>
      <c r="W46" s="546"/>
      <c r="X46" s="547"/>
      <c r="Y46" s="546"/>
    </row>
    <row r="47" spans="2:26" ht="17.25" customHeight="1" x14ac:dyDescent="0.3">
      <c r="N47" s="476">
        <v>44</v>
      </c>
      <c r="O47" s="477">
        <f t="shared" si="0"/>
        <v>77000</v>
      </c>
      <c r="P47" s="478">
        <f t="shared" si="3"/>
        <v>1750</v>
      </c>
      <c r="R47" s="476"/>
      <c r="S47" s="477"/>
      <c r="V47" s="546"/>
      <c r="W47" s="546"/>
      <c r="X47" s="547"/>
      <c r="Y47" s="546"/>
    </row>
    <row r="48" spans="2:26" ht="17.25" customHeight="1" x14ac:dyDescent="0.3">
      <c r="N48" s="476">
        <v>45</v>
      </c>
      <c r="O48" s="477">
        <f t="shared" si="0"/>
        <v>77400</v>
      </c>
      <c r="P48" s="478">
        <f t="shared" si="3"/>
        <v>1720</v>
      </c>
      <c r="Q48" s="458"/>
      <c r="R48" s="476"/>
      <c r="S48" s="477"/>
      <c r="T48" s="458"/>
      <c r="V48" s="546"/>
      <c r="W48" s="546"/>
      <c r="X48" s="547"/>
      <c r="Y48" s="546"/>
    </row>
    <row r="49" spans="14:34" ht="17.25" customHeight="1" x14ac:dyDescent="0.3">
      <c r="N49" s="476">
        <v>46</v>
      </c>
      <c r="O49" s="477">
        <f t="shared" si="0"/>
        <v>77700</v>
      </c>
      <c r="P49" s="478">
        <f t="shared" si="3"/>
        <v>1690</v>
      </c>
      <c r="R49" s="476"/>
      <c r="S49" s="477"/>
    </row>
    <row r="50" spans="14:34" ht="17.25" customHeight="1" x14ac:dyDescent="0.3">
      <c r="N50" s="476">
        <v>47</v>
      </c>
      <c r="O50" s="477">
        <f t="shared" si="0"/>
        <v>78000</v>
      </c>
      <c r="P50" s="478">
        <f t="shared" si="3"/>
        <v>1660</v>
      </c>
      <c r="Q50" s="458"/>
      <c r="R50" s="476"/>
      <c r="S50" s="477"/>
      <c r="T50" s="458"/>
    </row>
    <row r="51" spans="14:34" ht="17.25" customHeight="1" x14ac:dyDescent="0.3">
      <c r="N51" s="476">
        <v>48</v>
      </c>
      <c r="O51" s="477">
        <f t="shared" si="0"/>
        <v>78200</v>
      </c>
      <c r="P51" s="478">
        <f t="shared" si="3"/>
        <v>1630</v>
      </c>
      <c r="R51" s="476"/>
      <c r="S51" s="477"/>
    </row>
    <row r="52" spans="14:34" ht="17.25" customHeight="1" x14ac:dyDescent="0.3">
      <c r="N52" s="476">
        <v>49</v>
      </c>
      <c r="O52" s="477">
        <f t="shared" ref="O52:O78" si="4">ROUND(P52*N52,-2)</f>
        <v>78400</v>
      </c>
      <c r="P52" s="478">
        <f t="shared" si="3"/>
        <v>1600</v>
      </c>
      <c r="R52" s="476"/>
      <c r="S52" s="477"/>
      <c r="V52" s="546"/>
      <c r="W52" s="546"/>
      <c r="X52" s="546"/>
      <c r="Y52" s="546"/>
      <c r="Z52" s="546"/>
      <c r="AA52" s="546"/>
      <c r="AB52" s="546"/>
      <c r="AC52" s="546"/>
      <c r="AD52" s="546"/>
      <c r="AE52" s="546"/>
      <c r="AF52" s="546"/>
      <c r="AG52" s="546"/>
      <c r="AH52" s="546"/>
    </row>
    <row r="53" spans="14:34" ht="17.25" customHeight="1" x14ac:dyDescent="0.3">
      <c r="N53" s="476">
        <v>50</v>
      </c>
      <c r="O53" s="477">
        <f t="shared" si="4"/>
        <v>78500</v>
      </c>
      <c r="P53" s="478">
        <f t="shared" si="3"/>
        <v>1570</v>
      </c>
      <c r="R53" s="476"/>
      <c r="S53" s="477"/>
      <c r="V53" s="546"/>
    </row>
    <row r="54" spans="14:34" ht="17.25" customHeight="1" x14ac:dyDescent="0.3">
      <c r="N54" s="476">
        <v>51</v>
      </c>
      <c r="O54" s="477">
        <f t="shared" si="4"/>
        <v>78500</v>
      </c>
      <c r="P54" s="478">
        <f t="shared" si="3"/>
        <v>1540</v>
      </c>
      <c r="R54" s="476"/>
      <c r="S54" s="477"/>
      <c r="V54" s="546"/>
    </row>
    <row r="55" spans="14:34" ht="17.25" customHeight="1" x14ac:dyDescent="0.3">
      <c r="N55" s="476">
        <v>52</v>
      </c>
      <c r="O55" s="477">
        <f t="shared" si="4"/>
        <v>78500</v>
      </c>
      <c r="P55" s="478">
        <f t="shared" si="3"/>
        <v>1510</v>
      </c>
      <c r="R55" s="476"/>
      <c r="S55" s="477"/>
      <c r="V55" s="546"/>
    </row>
    <row r="56" spans="14:34" ht="17.25" customHeight="1" x14ac:dyDescent="0.3">
      <c r="N56" s="476">
        <v>53</v>
      </c>
      <c r="O56" s="477">
        <f t="shared" si="4"/>
        <v>78400</v>
      </c>
      <c r="P56" s="478">
        <f t="shared" si="3"/>
        <v>1480</v>
      </c>
      <c r="R56" s="476"/>
      <c r="S56" s="477"/>
      <c r="V56" s="546"/>
    </row>
    <row r="57" spans="14:34" ht="17.25" customHeight="1" x14ac:dyDescent="0.3">
      <c r="N57" s="476">
        <v>54</v>
      </c>
      <c r="O57" s="477">
        <f t="shared" si="4"/>
        <v>78300</v>
      </c>
      <c r="P57" s="478">
        <f t="shared" si="3"/>
        <v>1450</v>
      </c>
      <c r="R57" s="476"/>
      <c r="S57" s="477"/>
      <c r="V57" s="546"/>
    </row>
    <row r="58" spans="14:34" ht="17.25" customHeight="1" x14ac:dyDescent="0.3">
      <c r="N58" s="476">
        <v>55</v>
      </c>
      <c r="O58" s="477">
        <f t="shared" si="4"/>
        <v>78700</v>
      </c>
      <c r="P58" s="478">
        <f t="shared" si="3"/>
        <v>1430</v>
      </c>
      <c r="R58" s="476"/>
      <c r="S58" s="477"/>
      <c r="V58" s="546"/>
    </row>
    <row r="59" spans="14:34" ht="17.25" customHeight="1" x14ac:dyDescent="0.3">
      <c r="N59" s="476">
        <v>56</v>
      </c>
      <c r="O59" s="477">
        <f t="shared" si="4"/>
        <v>79000</v>
      </c>
      <c r="P59" s="478">
        <f t="shared" si="3"/>
        <v>1410</v>
      </c>
      <c r="R59" s="476"/>
      <c r="S59" s="477"/>
      <c r="V59" s="546"/>
    </row>
    <row r="60" spans="14:34" ht="17.25" customHeight="1" x14ac:dyDescent="0.3">
      <c r="N60" s="476">
        <v>57</v>
      </c>
      <c r="O60" s="477">
        <f t="shared" si="4"/>
        <v>79200</v>
      </c>
      <c r="P60" s="478">
        <f t="shared" si="3"/>
        <v>1390</v>
      </c>
      <c r="R60" s="476"/>
      <c r="S60" s="477"/>
      <c r="V60" s="546"/>
    </row>
    <row r="61" spans="14:34" ht="17.25" customHeight="1" x14ac:dyDescent="0.3">
      <c r="N61" s="476">
        <v>58</v>
      </c>
      <c r="O61" s="477">
        <f t="shared" si="4"/>
        <v>79500</v>
      </c>
      <c r="P61" s="478">
        <f t="shared" si="3"/>
        <v>1370</v>
      </c>
      <c r="R61" s="476"/>
      <c r="S61" s="477"/>
      <c r="V61" s="546"/>
    </row>
    <row r="62" spans="14:34" ht="17.25" customHeight="1" x14ac:dyDescent="0.3">
      <c r="N62" s="476">
        <v>59</v>
      </c>
      <c r="O62" s="477">
        <f t="shared" si="4"/>
        <v>79700</v>
      </c>
      <c r="P62" s="478">
        <f t="shared" si="3"/>
        <v>1350</v>
      </c>
      <c r="R62" s="476"/>
      <c r="S62" s="477"/>
      <c r="V62" s="546"/>
    </row>
    <row r="63" spans="14:34" ht="17.25" customHeight="1" x14ac:dyDescent="0.3">
      <c r="N63" s="476">
        <v>60</v>
      </c>
      <c r="O63" s="477">
        <f t="shared" si="4"/>
        <v>79800</v>
      </c>
      <c r="P63" s="478">
        <f t="shared" si="3"/>
        <v>1330</v>
      </c>
      <c r="R63" s="476"/>
      <c r="S63" s="477"/>
      <c r="V63" s="546"/>
    </row>
    <row r="64" spans="14:34" ht="17.25" customHeight="1" x14ac:dyDescent="0.3">
      <c r="N64" s="476">
        <v>61</v>
      </c>
      <c r="O64" s="477">
        <f t="shared" si="4"/>
        <v>79900</v>
      </c>
      <c r="P64" s="478">
        <f t="shared" si="3"/>
        <v>1310</v>
      </c>
      <c r="R64" s="476"/>
      <c r="S64" s="477"/>
    </row>
    <row r="65" spans="14:19" ht="17.25" customHeight="1" x14ac:dyDescent="0.3">
      <c r="N65" s="476">
        <v>62</v>
      </c>
      <c r="O65" s="477">
        <f t="shared" si="4"/>
        <v>80000</v>
      </c>
      <c r="P65" s="478">
        <f t="shared" si="3"/>
        <v>1290</v>
      </c>
      <c r="R65" s="476"/>
      <c r="S65" s="477"/>
    </row>
    <row r="66" spans="14:19" ht="17.25" customHeight="1" x14ac:dyDescent="0.3">
      <c r="N66" s="476">
        <v>63</v>
      </c>
      <c r="O66" s="477">
        <f t="shared" si="4"/>
        <v>80000</v>
      </c>
      <c r="P66" s="478">
        <f t="shared" si="3"/>
        <v>1270</v>
      </c>
      <c r="R66" s="476"/>
      <c r="S66" s="477"/>
    </row>
    <row r="67" spans="14:19" ht="17.25" customHeight="1" x14ac:dyDescent="0.3">
      <c r="N67" s="476">
        <v>64</v>
      </c>
      <c r="O67" s="477">
        <f t="shared" si="4"/>
        <v>80000</v>
      </c>
      <c r="P67" s="478">
        <f t="shared" si="3"/>
        <v>1250</v>
      </c>
      <c r="R67" s="476"/>
      <c r="S67" s="477"/>
    </row>
    <row r="68" spans="14:19" ht="17.25" customHeight="1" x14ac:dyDescent="0.3">
      <c r="N68" s="476">
        <v>65</v>
      </c>
      <c r="O68" s="477">
        <f t="shared" si="4"/>
        <v>80000</v>
      </c>
      <c r="P68" s="478">
        <f t="shared" si="3"/>
        <v>1230</v>
      </c>
      <c r="R68" s="476"/>
      <c r="S68" s="477"/>
    </row>
    <row r="69" spans="14:19" ht="17.25" customHeight="1" x14ac:dyDescent="0.3">
      <c r="N69" s="476">
        <v>66</v>
      </c>
      <c r="O69" s="477">
        <f t="shared" si="4"/>
        <v>79900</v>
      </c>
      <c r="P69" s="478">
        <f t="shared" si="3"/>
        <v>1210</v>
      </c>
      <c r="R69" s="476"/>
      <c r="S69" s="477"/>
    </row>
    <row r="70" spans="14:19" ht="17.25" customHeight="1" x14ac:dyDescent="0.3">
      <c r="N70" s="476">
        <v>67</v>
      </c>
      <c r="O70" s="477">
        <f t="shared" si="4"/>
        <v>79700</v>
      </c>
      <c r="P70" s="478">
        <f t="shared" si="3"/>
        <v>1190</v>
      </c>
      <c r="R70" s="476"/>
      <c r="S70" s="477"/>
    </row>
    <row r="71" spans="14:19" ht="17.25" customHeight="1" x14ac:dyDescent="0.3">
      <c r="N71" s="476">
        <v>68</v>
      </c>
      <c r="O71" s="477">
        <f t="shared" si="4"/>
        <v>79600</v>
      </c>
      <c r="P71" s="478">
        <f t="shared" si="3"/>
        <v>1170</v>
      </c>
      <c r="R71" s="476"/>
      <c r="S71" s="477"/>
    </row>
    <row r="72" spans="14:19" ht="17.25" customHeight="1" x14ac:dyDescent="0.3">
      <c r="N72" s="476">
        <v>69</v>
      </c>
      <c r="O72" s="477">
        <f t="shared" si="4"/>
        <v>79400</v>
      </c>
      <c r="P72" s="478">
        <f t="shared" ref="P72:P78" si="5">ROUND(P71*0.983,-1)</f>
        <v>1150</v>
      </c>
      <c r="R72" s="476"/>
      <c r="S72" s="477"/>
    </row>
    <row r="73" spans="14:19" ht="17.25" customHeight="1" x14ac:dyDescent="0.3">
      <c r="N73" s="476">
        <v>70</v>
      </c>
      <c r="O73" s="477">
        <f t="shared" si="4"/>
        <v>79100</v>
      </c>
      <c r="P73" s="478">
        <f t="shared" si="5"/>
        <v>1130</v>
      </c>
      <c r="R73" s="476"/>
      <c r="S73" s="477"/>
    </row>
    <row r="74" spans="14:19" ht="17.25" customHeight="1" x14ac:dyDescent="0.3">
      <c r="N74" s="476">
        <v>71</v>
      </c>
      <c r="O74" s="477">
        <f t="shared" si="4"/>
        <v>78800</v>
      </c>
      <c r="P74" s="478">
        <f t="shared" si="5"/>
        <v>1110</v>
      </c>
      <c r="R74" s="476"/>
      <c r="S74" s="477"/>
    </row>
    <row r="75" spans="14:19" ht="17.25" customHeight="1" x14ac:dyDescent="0.3">
      <c r="N75" s="476">
        <v>72</v>
      </c>
      <c r="O75" s="477">
        <f t="shared" si="4"/>
        <v>78500</v>
      </c>
      <c r="P75" s="478">
        <f t="shared" si="5"/>
        <v>1090</v>
      </c>
      <c r="R75" s="476"/>
      <c r="S75" s="477"/>
    </row>
    <row r="76" spans="14:19" ht="17.25" customHeight="1" x14ac:dyDescent="0.3">
      <c r="N76" s="476">
        <v>73</v>
      </c>
      <c r="O76" s="477">
        <f t="shared" si="4"/>
        <v>78100</v>
      </c>
      <c r="P76" s="478">
        <f t="shared" si="5"/>
        <v>1070</v>
      </c>
      <c r="R76" s="476"/>
      <c r="S76" s="477"/>
    </row>
    <row r="77" spans="14:19" ht="17.25" customHeight="1" x14ac:dyDescent="0.3">
      <c r="N77" s="476">
        <v>74</v>
      </c>
      <c r="O77" s="477">
        <f t="shared" si="4"/>
        <v>77700</v>
      </c>
      <c r="P77" s="478">
        <f t="shared" si="5"/>
        <v>1050</v>
      </c>
      <c r="R77" s="476"/>
      <c r="S77" s="477"/>
    </row>
    <row r="78" spans="14:19" ht="17.25" customHeight="1" x14ac:dyDescent="0.3">
      <c r="N78" s="476">
        <v>75</v>
      </c>
      <c r="O78" s="477">
        <f t="shared" si="4"/>
        <v>77300</v>
      </c>
      <c r="P78" s="478">
        <f t="shared" si="5"/>
        <v>1030</v>
      </c>
      <c r="R78" s="476"/>
      <c r="S78" s="477"/>
    </row>
    <row r="79" spans="14:19" ht="17.25" customHeight="1" x14ac:dyDescent="0.3">
      <c r="N79" s="476"/>
      <c r="O79" s="477"/>
      <c r="P79" s="478"/>
      <c r="R79" s="476"/>
      <c r="S79" s="477"/>
    </row>
    <row r="80" spans="14:19" ht="17.25" customHeight="1" x14ac:dyDescent="0.3">
      <c r="N80" s="476"/>
      <c r="O80" s="477"/>
      <c r="P80" s="478"/>
      <c r="R80" s="476"/>
      <c r="S80" s="477"/>
    </row>
    <row r="81" spans="14:19" ht="17.25" customHeight="1" x14ac:dyDescent="0.3">
      <c r="N81" s="476"/>
      <c r="O81" s="477"/>
      <c r="P81" s="478"/>
      <c r="R81" s="476"/>
      <c r="S81" s="477"/>
    </row>
    <row r="82" spans="14:19" ht="17.25" customHeight="1" x14ac:dyDescent="0.3">
      <c r="N82" s="476"/>
      <c r="O82" s="477"/>
      <c r="P82" s="478"/>
      <c r="R82" s="476"/>
      <c r="S82" s="477"/>
    </row>
    <row r="83" spans="14:19" ht="17.25" customHeight="1" x14ac:dyDescent="0.3">
      <c r="N83" s="476"/>
      <c r="O83" s="477"/>
      <c r="P83" s="478"/>
      <c r="R83" s="476"/>
      <c r="S83" s="477"/>
    </row>
    <row r="84" spans="14:19" ht="17.25" customHeight="1" x14ac:dyDescent="0.3">
      <c r="N84" s="476"/>
      <c r="O84" s="477"/>
      <c r="P84" s="478"/>
      <c r="R84" s="476"/>
      <c r="S84" s="477"/>
    </row>
    <row r="85" spans="14:19" ht="17.25" customHeight="1" x14ac:dyDescent="0.3">
      <c r="N85" s="476"/>
      <c r="O85" s="477"/>
      <c r="P85" s="478"/>
      <c r="R85" s="476"/>
      <c r="S85" s="477"/>
    </row>
    <row r="86" spans="14:19" ht="17.25" customHeight="1" x14ac:dyDescent="0.3">
      <c r="N86" s="476"/>
      <c r="O86" s="477"/>
      <c r="P86" s="478"/>
      <c r="R86" s="476"/>
      <c r="S86" s="477"/>
    </row>
    <row r="87" spans="14:19" ht="17.25" customHeight="1" x14ac:dyDescent="0.3">
      <c r="N87" s="476"/>
      <c r="O87" s="477"/>
      <c r="P87" s="478"/>
      <c r="R87" s="476"/>
      <c r="S87" s="477"/>
    </row>
    <row r="88" spans="14:19" ht="17.25" customHeight="1" x14ac:dyDescent="0.3">
      <c r="N88" s="476"/>
      <c r="O88" s="477"/>
      <c r="P88" s="478"/>
      <c r="R88" s="476"/>
      <c r="S88" s="477"/>
    </row>
    <row r="89" spans="14:19" ht="17.25" customHeight="1" x14ac:dyDescent="0.3">
      <c r="N89" s="476"/>
      <c r="O89" s="477"/>
      <c r="P89" s="478"/>
      <c r="R89" s="476"/>
      <c r="S89" s="477"/>
    </row>
    <row r="90" spans="14:19" ht="17.25" customHeight="1" x14ac:dyDescent="0.3">
      <c r="N90" s="476"/>
      <c r="O90" s="477"/>
      <c r="P90" s="478"/>
      <c r="R90" s="476"/>
      <c r="S90" s="477"/>
    </row>
    <row r="91" spans="14:19" ht="17.25" customHeight="1" x14ac:dyDescent="0.3">
      <c r="N91" s="476"/>
      <c r="O91" s="477"/>
      <c r="P91" s="478"/>
      <c r="R91" s="476"/>
      <c r="S91" s="477"/>
    </row>
    <row r="92" spans="14:19" ht="17.25" customHeight="1" x14ac:dyDescent="0.3">
      <c r="N92" s="476"/>
      <c r="O92" s="477"/>
      <c r="P92" s="478"/>
      <c r="R92" s="476"/>
      <c r="S92" s="477"/>
    </row>
    <row r="93" spans="14:19" ht="17.25" customHeight="1" x14ac:dyDescent="0.3">
      <c r="N93" s="476"/>
      <c r="O93" s="477"/>
      <c r="P93" s="478"/>
      <c r="R93" s="476"/>
      <c r="S93" s="477"/>
    </row>
    <row r="94" spans="14:19" ht="17.25" customHeight="1" x14ac:dyDescent="0.3">
      <c r="N94" s="476"/>
      <c r="O94" s="477"/>
      <c r="P94" s="478"/>
      <c r="R94" s="476"/>
      <c r="S94" s="477"/>
    </row>
    <row r="95" spans="14:19" ht="17.25" customHeight="1" x14ac:dyDescent="0.3">
      <c r="N95" s="476"/>
      <c r="O95" s="477"/>
      <c r="P95" s="478"/>
      <c r="R95" s="476"/>
      <c r="S95" s="477"/>
    </row>
    <row r="96" spans="14:19" ht="17.25" customHeight="1" x14ac:dyDescent="0.3">
      <c r="N96" s="476"/>
      <c r="O96" s="477"/>
      <c r="P96" s="478"/>
      <c r="R96" s="476"/>
      <c r="S96" s="477"/>
    </row>
    <row r="97" spans="14:19" ht="17.25" customHeight="1" x14ac:dyDescent="0.3">
      <c r="N97" s="476"/>
      <c r="O97" s="477"/>
      <c r="P97" s="478"/>
      <c r="R97" s="476"/>
      <c r="S97" s="477"/>
    </row>
    <row r="98" spans="14:19" ht="17.25" customHeight="1" x14ac:dyDescent="0.3">
      <c r="N98" s="476"/>
      <c r="O98" s="477"/>
      <c r="P98" s="478"/>
      <c r="R98" s="476"/>
      <c r="S98" s="477"/>
    </row>
    <row r="99" spans="14:19" ht="17.25" customHeight="1" x14ac:dyDescent="0.3">
      <c r="N99" s="476"/>
      <c r="O99" s="477"/>
      <c r="P99" s="478"/>
      <c r="R99" s="476"/>
      <c r="S99" s="477"/>
    </row>
    <row r="100" spans="14:19" ht="17.25" customHeight="1" x14ac:dyDescent="0.3">
      <c r="N100" s="476"/>
      <c r="O100" s="477"/>
      <c r="P100" s="478"/>
      <c r="R100" s="476"/>
      <c r="S100" s="477"/>
    </row>
    <row r="101" spans="14:19" ht="17.25" customHeight="1" x14ac:dyDescent="0.3">
      <c r="N101" s="476"/>
      <c r="O101" s="477"/>
      <c r="P101" s="478"/>
      <c r="R101" s="476"/>
      <c r="S101" s="477"/>
    </row>
    <row r="102" spans="14:19" ht="17.25" customHeight="1" x14ac:dyDescent="0.3">
      <c r="N102" s="476"/>
      <c r="O102" s="477"/>
      <c r="P102" s="478"/>
      <c r="R102" s="476"/>
      <c r="S102" s="477"/>
    </row>
    <row r="103" spans="14:19" ht="17.25" customHeight="1" x14ac:dyDescent="0.3">
      <c r="N103" s="476"/>
      <c r="O103" s="477"/>
      <c r="P103" s="478"/>
      <c r="R103" s="476"/>
      <c r="S103" s="477"/>
    </row>
    <row r="104" spans="14:19" ht="17.25" customHeight="1" x14ac:dyDescent="0.3">
      <c r="N104" s="476"/>
      <c r="O104" s="477"/>
      <c r="P104" s="478"/>
      <c r="R104" s="476"/>
      <c r="S104" s="477"/>
    </row>
    <row r="105" spans="14:19" ht="17.25" customHeight="1" x14ac:dyDescent="0.3">
      <c r="N105" s="476"/>
      <c r="O105" s="477"/>
      <c r="P105" s="478"/>
      <c r="R105" s="476"/>
      <c r="S105" s="477"/>
    </row>
    <row r="106" spans="14:19" ht="17.25" customHeight="1" x14ac:dyDescent="0.3">
      <c r="N106" s="476"/>
      <c r="O106" s="477"/>
      <c r="P106" s="478"/>
      <c r="R106" s="476"/>
      <c r="S106" s="477"/>
    </row>
    <row r="107" spans="14:19" ht="17.25" customHeight="1" x14ac:dyDescent="0.3">
      <c r="N107" s="476"/>
      <c r="O107" s="477"/>
      <c r="P107" s="478"/>
      <c r="R107" s="476"/>
      <c r="S107" s="477"/>
    </row>
    <row r="108" spans="14:19" ht="17.25" customHeight="1" x14ac:dyDescent="0.3">
      <c r="N108" s="476"/>
      <c r="O108" s="477"/>
      <c r="P108" s="478"/>
      <c r="R108" s="476"/>
      <c r="S108" s="477"/>
    </row>
    <row r="109" spans="14:19" ht="17.25" customHeight="1" x14ac:dyDescent="0.3">
      <c r="N109" s="476"/>
      <c r="O109" s="477"/>
      <c r="P109" s="478"/>
      <c r="R109" s="476"/>
      <c r="S109" s="477"/>
    </row>
    <row r="110" spans="14:19" ht="17.25" customHeight="1" x14ac:dyDescent="0.3">
      <c r="N110" s="476"/>
      <c r="O110" s="477"/>
      <c r="P110" s="478"/>
      <c r="R110" s="476"/>
      <c r="S110" s="477"/>
    </row>
    <row r="111" spans="14:19" ht="17.25" customHeight="1" x14ac:dyDescent="0.3">
      <c r="N111" s="476"/>
      <c r="O111" s="477"/>
      <c r="P111" s="478"/>
      <c r="R111" s="476"/>
      <c r="S111" s="477"/>
    </row>
    <row r="112" spans="14:19" ht="17.25" customHeight="1" x14ac:dyDescent="0.3">
      <c r="N112" s="476"/>
      <c r="O112" s="477"/>
      <c r="P112" s="478"/>
      <c r="R112" s="476"/>
      <c r="S112" s="477"/>
    </row>
    <row r="113" spans="14:19" ht="17.25" customHeight="1" x14ac:dyDescent="0.3">
      <c r="N113" s="476"/>
      <c r="O113" s="477"/>
      <c r="P113" s="478"/>
      <c r="R113" s="476"/>
      <c r="S113" s="477"/>
    </row>
    <row r="114" spans="14:19" ht="17.25" customHeight="1" x14ac:dyDescent="0.3">
      <c r="N114" s="476"/>
      <c r="O114" s="477"/>
      <c r="P114" s="478"/>
      <c r="R114" s="476"/>
      <c r="S114" s="477"/>
    </row>
    <row r="115" spans="14:19" ht="17.25" customHeight="1" x14ac:dyDescent="0.3">
      <c r="N115" s="476"/>
      <c r="O115" s="477"/>
      <c r="P115" s="478"/>
      <c r="R115" s="476"/>
      <c r="S115" s="477"/>
    </row>
    <row r="116" spans="14:19" ht="17.25" customHeight="1" x14ac:dyDescent="0.3">
      <c r="N116" s="476"/>
      <c r="O116" s="477"/>
      <c r="P116" s="478"/>
      <c r="R116" s="476"/>
      <c r="S116" s="477"/>
    </row>
    <row r="117" spans="14:19" ht="17.25" customHeight="1" x14ac:dyDescent="0.3">
      <c r="N117" s="476"/>
      <c r="O117" s="477"/>
      <c r="P117" s="478"/>
      <c r="R117" s="476"/>
      <c r="S117" s="477"/>
    </row>
    <row r="118" spans="14:19" ht="17.25" customHeight="1" x14ac:dyDescent="0.3">
      <c r="N118" s="476"/>
      <c r="O118" s="477"/>
      <c r="P118" s="478"/>
      <c r="R118" s="476"/>
      <c r="S118" s="477"/>
    </row>
    <row r="119" spans="14:19" ht="17.25" customHeight="1" x14ac:dyDescent="0.3">
      <c r="N119" s="476"/>
      <c r="O119" s="477"/>
      <c r="P119" s="478"/>
      <c r="R119" s="476"/>
      <c r="S119" s="477"/>
    </row>
    <row r="120" spans="14:19" ht="17.25" customHeight="1" x14ac:dyDescent="0.3">
      <c r="N120" s="476"/>
      <c r="O120" s="477"/>
      <c r="P120" s="478"/>
      <c r="R120" s="476"/>
      <c r="S120" s="477"/>
    </row>
    <row r="121" spans="14:19" ht="17.25" customHeight="1" x14ac:dyDescent="0.3">
      <c r="N121" s="476"/>
      <c r="O121" s="477"/>
      <c r="P121" s="478"/>
      <c r="R121" s="476"/>
      <c r="S121" s="477"/>
    </row>
    <row r="122" spans="14:19" ht="17.25" customHeight="1" x14ac:dyDescent="0.3">
      <c r="N122" s="476"/>
      <c r="O122" s="477"/>
      <c r="P122" s="478"/>
      <c r="R122" s="476"/>
      <c r="S122" s="477"/>
    </row>
    <row r="123" spans="14:19" ht="17.25" customHeight="1" x14ac:dyDescent="0.3">
      <c r="N123" s="476"/>
      <c r="O123" s="477"/>
      <c r="P123" s="478"/>
      <c r="R123" s="476"/>
      <c r="S123" s="477"/>
    </row>
    <row r="124" spans="14:19" ht="17.25" customHeight="1" x14ac:dyDescent="0.3">
      <c r="N124" s="476"/>
      <c r="O124" s="477"/>
      <c r="P124" s="478"/>
      <c r="R124" s="476"/>
      <c r="S124" s="477"/>
    </row>
    <row r="125" spans="14:19" ht="17.25" customHeight="1" x14ac:dyDescent="0.3">
      <c r="N125" s="476"/>
      <c r="O125" s="477"/>
      <c r="P125" s="478"/>
      <c r="R125" s="476"/>
      <c r="S125" s="477"/>
    </row>
    <row r="126" spans="14:19" ht="17.25" customHeight="1" x14ac:dyDescent="0.3">
      <c r="N126" s="476"/>
      <c r="O126" s="477"/>
      <c r="P126" s="478"/>
      <c r="R126" s="476"/>
      <c r="S126" s="477"/>
    </row>
    <row r="127" spans="14:19" ht="17.25" customHeight="1" x14ac:dyDescent="0.3">
      <c r="N127" s="476"/>
      <c r="O127" s="477"/>
      <c r="P127" s="478"/>
      <c r="R127" s="476"/>
      <c r="S127" s="477"/>
    </row>
    <row r="128" spans="14:19" ht="17.25" customHeight="1" x14ac:dyDescent="0.3">
      <c r="N128" s="476"/>
      <c r="O128" s="477"/>
      <c r="P128" s="478"/>
      <c r="R128" s="476"/>
      <c r="S128" s="477"/>
    </row>
    <row r="129" spans="14:19" ht="17.25" customHeight="1" x14ac:dyDescent="0.3">
      <c r="N129" s="476"/>
      <c r="O129" s="477"/>
      <c r="P129" s="478"/>
      <c r="R129" s="476"/>
      <c r="S129" s="477"/>
    </row>
    <row r="130" spans="14:19" ht="17.25" customHeight="1" x14ac:dyDescent="0.3">
      <c r="N130" s="476"/>
      <c r="O130" s="477"/>
      <c r="P130" s="478"/>
      <c r="R130" s="476"/>
      <c r="S130" s="477"/>
    </row>
    <row r="131" spans="14:19" ht="17.25" customHeight="1" x14ac:dyDescent="0.3">
      <c r="N131" s="476"/>
      <c r="O131" s="477"/>
      <c r="P131" s="478"/>
      <c r="R131" s="476"/>
      <c r="S131" s="477"/>
    </row>
    <row r="132" spans="14:19" ht="17.25" customHeight="1" x14ac:dyDescent="0.3">
      <c r="N132" s="476"/>
      <c r="O132" s="477"/>
      <c r="P132" s="478"/>
      <c r="R132" s="476"/>
      <c r="S132" s="477"/>
    </row>
    <row r="133" spans="14:19" ht="17.25" customHeight="1" x14ac:dyDescent="0.3">
      <c r="N133" s="476"/>
      <c r="O133" s="477"/>
      <c r="P133" s="478"/>
      <c r="R133" s="476"/>
      <c r="S133" s="477"/>
    </row>
    <row r="134" spans="14:19" ht="17.25" customHeight="1" x14ac:dyDescent="0.3">
      <c r="N134" s="476"/>
      <c r="O134" s="477"/>
      <c r="P134" s="478"/>
      <c r="R134" s="476"/>
      <c r="S134" s="477"/>
    </row>
    <row r="135" spans="14:19" ht="17.25" customHeight="1" x14ac:dyDescent="0.3">
      <c r="N135" s="476"/>
      <c r="O135" s="477"/>
      <c r="P135" s="478"/>
      <c r="R135" s="476"/>
      <c r="S135" s="477"/>
    </row>
    <row r="136" spans="14:19" ht="17.25" customHeight="1" x14ac:dyDescent="0.3">
      <c r="N136" s="476"/>
      <c r="O136" s="477"/>
      <c r="P136" s="478"/>
      <c r="R136" s="476"/>
      <c r="S136" s="477"/>
    </row>
    <row r="137" spans="14:19" ht="17.25" customHeight="1" x14ac:dyDescent="0.3">
      <c r="N137" s="476"/>
      <c r="O137" s="477"/>
      <c r="P137" s="478"/>
      <c r="R137" s="476"/>
      <c r="S137" s="477"/>
    </row>
    <row r="138" spans="14:19" ht="17.25" customHeight="1" x14ac:dyDescent="0.3">
      <c r="N138" s="476"/>
      <c r="O138" s="477"/>
      <c r="P138" s="478"/>
      <c r="R138" s="476"/>
      <c r="S138" s="477"/>
    </row>
    <row r="139" spans="14:19" ht="17.25" customHeight="1" x14ac:dyDescent="0.3">
      <c r="N139" s="476"/>
      <c r="O139" s="477"/>
      <c r="P139" s="478"/>
      <c r="R139" s="476"/>
      <c r="S139" s="477"/>
    </row>
    <row r="140" spans="14:19" ht="17.25" customHeight="1" x14ac:dyDescent="0.3">
      <c r="N140" s="476"/>
      <c r="O140" s="477"/>
      <c r="P140" s="478"/>
      <c r="R140" s="476"/>
      <c r="S140" s="477"/>
    </row>
    <row r="141" spans="14:19" ht="17.25" customHeight="1" x14ac:dyDescent="0.3">
      <c r="N141" s="476"/>
      <c r="O141" s="477"/>
      <c r="P141" s="478"/>
      <c r="R141" s="476"/>
      <c r="S141" s="477"/>
    </row>
    <row r="142" spans="14:19" ht="17.25" customHeight="1" x14ac:dyDescent="0.3">
      <c r="N142" s="476"/>
      <c r="O142" s="477"/>
      <c r="P142" s="478"/>
      <c r="R142" s="476"/>
      <c r="S142" s="477"/>
    </row>
    <row r="143" spans="14:19" ht="17.25" customHeight="1" x14ac:dyDescent="0.3">
      <c r="N143" s="476"/>
      <c r="O143" s="477"/>
      <c r="P143" s="478"/>
      <c r="R143" s="476"/>
      <c r="S143" s="477"/>
    </row>
    <row r="144" spans="14:19" ht="17.25" customHeight="1" x14ac:dyDescent="0.3">
      <c r="N144" s="476"/>
      <c r="O144" s="477"/>
      <c r="P144" s="478"/>
      <c r="R144" s="476"/>
      <c r="S144" s="477"/>
    </row>
    <row r="145" spans="14:19" ht="17.25" customHeight="1" x14ac:dyDescent="0.3">
      <c r="N145" s="476"/>
      <c r="O145" s="477"/>
      <c r="P145" s="478"/>
      <c r="R145" s="476"/>
      <c r="S145" s="477"/>
    </row>
    <row r="146" spans="14:19" ht="17.25" customHeight="1" x14ac:dyDescent="0.3">
      <c r="N146" s="476"/>
      <c r="O146" s="477"/>
      <c r="P146" s="478"/>
      <c r="R146" s="476"/>
      <c r="S146" s="477"/>
    </row>
    <row r="147" spans="14:19" ht="17.25" customHeight="1" x14ac:dyDescent="0.3">
      <c r="N147" s="476"/>
      <c r="O147" s="477"/>
      <c r="P147" s="478"/>
      <c r="R147" s="476"/>
      <c r="S147" s="477"/>
    </row>
    <row r="148" spans="14:19" ht="17.25" customHeight="1" x14ac:dyDescent="0.3">
      <c r="N148" s="476"/>
      <c r="O148" s="477"/>
      <c r="P148" s="478"/>
      <c r="R148" s="476"/>
      <c r="S148" s="477"/>
    </row>
    <row r="149" spans="14:19" ht="17.25" customHeight="1" x14ac:dyDescent="0.3">
      <c r="N149" s="476"/>
      <c r="O149" s="477"/>
      <c r="P149" s="478"/>
      <c r="R149" s="476"/>
      <c r="S149" s="477"/>
    </row>
    <row r="150" spans="14:19" ht="17.25" customHeight="1" x14ac:dyDescent="0.3">
      <c r="N150" s="476"/>
      <c r="O150" s="477"/>
      <c r="P150" s="478"/>
      <c r="R150" s="476"/>
      <c r="S150" s="477"/>
    </row>
    <row r="151" spans="14:19" ht="17.25" customHeight="1" x14ac:dyDescent="0.3">
      <c r="N151" s="476"/>
      <c r="O151" s="477"/>
      <c r="P151" s="478"/>
      <c r="R151" s="476"/>
      <c r="S151" s="477"/>
    </row>
    <row r="152" spans="14:19" ht="17.25" customHeight="1" x14ac:dyDescent="0.3">
      <c r="N152" s="476"/>
      <c r="O152" s="477"/>
      <c r="P152" s="478"/>
      <c r="R152" s="476"/>
      <c r="S152" s="477"/>
    </row>
    <row r="153" spans="14:19" ht="17.25" customHeight="1" x14ac:dyDescent="0.3">
      <c r="N153" s="476"/>
      <c r="O153" s="477"/>
      <c r="P153" s="478"/>
      <c r="R153" s="476"/>
      <c r="S153" s="477"/>
    </row>
    <row r="154" spans="14:19" ht="17.25" customHeight="1" x14ac:dyDescent="0.3">
      <c r="N154" s="476"/>
      <c r="O154" s="477"/>
      <c r="P154" s="478"/>
      <c r="R154" s="476"/>
      <c r="S154" s="477"/>
    </row>
    <row r="155" spans="14:19" ht="17.25" customHeight="1" x14ac:dyDescent="0.3">
      <c r="N155" s="476"/>
      <c r="O155" s="477"/>
      <c r="P155" s="478"/>
      <c r="R155" s="476"/>
      <c r="S155" s="477"/>
    </row>
    <row r="156" spans="14:19" ht="17.25" customHeight="1" x14ac:dyDescent="0.3">
      <c r="N156" s="476"/>
      <c r="O156" s="477"/>
      <c r="P156" s="478"/>
      <c r="R156" s="476"/>
      <c r="S156" s="477"/>
    </row>
    <row r="157" spans="14:19" ht="17.25" customHeight="1" x14ac:dyDescent="0.3">
      <c r="N157" s="476"/>
      <c r="O157" s="477"/>
      <c r="P157" s="478"/>
      <c r="R157" s="476"/>
      <c r="S157" s="477"/>
    </row>
    <row r="158" spans="14:19" ht="17.25" customHeight="1" x14ac:dyDescent="0.3">
      <c r="N158" s="476"/>
      <c r="O158" s="477"/>
      <c r="P158" s="478"/>
      <c r="R158" s="476"/>
      <c r="S158" s="477"/>
    </row>
    <row r="159" spans="14:19" ht="17.25" customHeight="1" x14ac:dyDescent="0.3">
      <c r="N159" s="476"/>
      <c r="O159" s="477"/>
      <c r="P159" s="478"/>
      <c r="R159" s="476"/>
      <c r="S159" s="477"/>
    </row>
    <row r="160" spans="14:19" ht="17.25" customHeight="1" x14ac:dyDescent="0.3">
      <c r="N160" s="476"/>
      <c r="O160" s="477"/>
      <c r="P160" s="478"/>
      <c r="R160" s="476"/>
      <c r="S160" s="477"/>
    </row>
    <row r="161" spans="14:19" ht="17.25" customHeight="1" x14ac:dyDescent="0.3">
      <c r="N161" s="476"/>
      <c r="O161" s="477"/>
      <c r="P161" s="478"/>
      <c r="R161" s="476"/>
      <c r="S161" s="477"/>
    </row>
    <row r="162" spans="14:19" ht="17.25" customHeight="1" x14ac:dyDescent="0.3">
      <c r="N162" s="476"/>
      <c r="O162" s="477"/>
      <c r="P162" s="478"/>
      <c r="R162" s="476"/>
      <c r="S162" s="477"/>
    </row>
    <row r="163" spans="14:19" ht="17.25" customHeight="1" x14ac:dyDescent="0.3">
      <c r="N163" s="476"/>
      <c r="O163" s="477"/>
      <c r="P163" s="478"/>
      <c r="R163" s="476"/>
      <c r="S163" s="477"/>
    </row>
    <row r="164" spans="14:19" ht="17.25" customHeight="1" x14ac:dyDescent="0.3">
      <c r="N164" s="476"/>
      <c r="O164" s="477"/>
      <c r="P164" s="478"/>
      <c r="R164" s="476"/>
      <c r="S164" s="477"/>
    </row>
    <row r="165" spans="14:19" ht="17.25" customHeight="1" x14ac:dyDescent="0.3">
      <c r="N165" s="476"/>
      <c r="O165" s="477"/>
      <c r="P165" s="478"/>
      <c r="R165" s="476"/>
      <c r="S165" s="477"/>
    </row>
    <row r="166" spans="14:19" ht="17.25" customHeight="1" x14ac:dyDescent="0.3">
      <c r="N166" s="476"/>
      <c r="O166" s="477"/>
      <c r="P166" s="478"/>
      <c r="R166" s="476"/>
      <c r="S166" s="477"/>
    </row>
    <row r="167" spans="14:19" ht="17.25" customHeight="1" x14ac:dyDescent="0.3">
      <c r="N167" s="476"/>
      <c r="O167" s="477"/>
      <c r="P167" s="478"/>
      <c r="R167" s="476"/>
      <c r="S167" s="477"/>
    </row>
    <row r="168" spans="14:19" ht="17.25" customHeight="1" x14ac:dyDescent="0.3">
      <c r="N168" s="476"/>
      <c r="O168" s="477"/>
      <c r="P168" s="478"/>
      <c r="R168" s="476"/>
      <c r="S168" s="477"/>
    </row>
    <row r="169" spans="14:19" ht="17.25" customHeight="1" x14ac:dyDescent="0.3">
      <c r="N169" s="476"/>
      <c r="O169" s="477"/>
      <c r="P169" s="478"/>
      <c r="R169" s="476"/>
      <c r="S169" s="477"/>
    </row>
    <row r="170" spans="14:19" ht="17.25" customHeight="1" x14ac:dyDescent="0.3">
      <c r="N170" s="476"/>
      <c r="O170" s="477"/>
      <c r="P170" s="478"/>
      <c r="R170" s="476"/>
      <c r="S170" s="477"/>
    </row>
    <row r="171" spans="14:19" ht="17.25" customHeight="1" x14ac:dyDescent="0.3">
      <c r="N171" s="476"/>
      <c r="O171" s="477"/>
      <c r="P171" s="478"/>
      <c r="R171" s="476"/>
      <c r="S171" s="477"/>
    </row>
    <row r="172" spans="14:19" ht="17.25" customHeight="1" x14ac:dyDescent="0.3">
      <c r="N172" s="476"/>
      <c r="O172" s="477"/>
      <c r="P172" s="478"/>
      <c r="R172" s="476"/>
      <c r="S172" s="477"/>
    </row>
    <row r="173" spans="14:19" ht="17.25" customHeight="1" x14ac:dyDescent="0.3">
      <c r="N173" s="476"/>
      <c r="O173" s="477"/>
      <c r="P173" s="478"/>
      <c r="R173" s="476"/>
      <c r="S173" s="477"/>
    </row>
    <row r="174" spans="14:19" ht="17.25" customHeight="1" x14ac:dyDescent="0.3">
      <c r="N174" s="476"/>
      <c r="O174" s="477"/>
      <c r="P174" s="478"/>
      <c r="R174" s="476"/>
      <c r="S174" s="477"/>
    </row>
    <row r="175" spans="14:19" ht="17.25" customHeight="1" x14ac:dyDescent="0.3">
      <c r="N175" s="476"/>
      <c r="O175" s="477"/>
      <c r="P175" s="478"/>
      <c r="R175" s="476"/>
      <c r="S175" s="477"/>
    </row>
    <row r="176" spans="14:19" ht="17.25" customHeight="1" x14ac:dyDescent="0.3">
      <c r="N176" s="476"/>
      <c r="O176" s="477"/>
      <c r="P176" s="478"/>
      <c r="R176" s="476"/>
      <c r="S176" s="477"/>
    </row>
    <row r="177" spans="14:19" ht="17.25" customHeight="1" x14ac:dyDescent="0.3">
      <c r="N177" s="476"/>
      <c r="O177" s="477"/>
      <c r="P177" s="478"/>
      <c r="R177" s="476"/>
      <c r="S177" s="477"/>
    </row>
    <row r="178" spans="14:19" ht="17.25" customHeight="1" x14ac:dyDescent="0.3">
      <c r="N178" s="476"/>
      <c r="O178" s="477"/>
      <c r="P178" s="478"/>
      <c r="R178" s="476"/>
      <c r="S178" s="477"/>
    </row>
    <row r="179" spans="14:19" ht="17.25" customHeight="1" x14ac:dyDescent="0.3">
      <c r="N179" s="476"/>
      <c r="O179" s="477"/>
      <c r="P179" s="478"/>
      <c r="R179" s="476"/>
      <c r="S179" s="477"/>
    </row>
    <row r="180" spans="14:19" ht="17.25" customHeight="1" x14ac:dyDescent="0.3">
      <c r="N180" s="476"/>
      <c r="O180" s="477"/>
      <c r="P180" s="478"/>
      <c r="R180" s="476"/>
      <c r="S180" s="477"/>
    </row>
    <row r="181" spans="14:19" ht="17.25" customHeight="1" x14ac:dyDescent="0.3">
      <c r="N181" s="476"/>
      <c r="O181" s="477"/>
      <c r="P181" s="478"/>
      <c r="R181" s="476"/>
      <c r="S181" s="477"/>
    </row>
    <row r="182" spans="14:19" ht="17.25" customHeight="1" x14ac:dyDescent="0.3">
      <c r="N182" s="476"/>
      <c r="O182" s="477"/>
      <c r="P182" s="478"/>
      <c r="R182" s="476"/>
      <c r="S182" s="477"/>
    </row>
    <row r="183" spans="14:19" ht="17.25" customHeight="1" x14ac:dyDescent="0.3">
      <c r="N183" s="476"/>
      <c r="O183" s="477"/>
      <c r="P183" s="478"/>
      <c r="R183" s="476"/>
      <c r="S183" s="477"/>
    </row>
    <row r="184" spans="14:19" ht="17.25" customHeight="1" x14ac:dyDescent="0.3">
      <c r="N184" s="476"/>
      <c r="O184" s="477"/>
      <c r="P184" s="478"/>
      <c r="R184" s="476"/>
      <c r="S184" s="477"/>
    </row>
    <row r="185" spans="14:19" ht="17.25" customHeight="1" x14ac:dyDescent="0.3">
      <c r="N185" s="476"/>
      <c r="O185" s="477"/>
      <c r="P185" s="478"/>
      <c r="R185" s="476"/>
      <c r="S185" s="477"/>
    </row>
    <row r="186" spans="14:19" ht="17.25" customHeight="1" x14ac:dyDescent="0.3">
      <c r="N186" s="476"/>
      <c r="O186" s="477"/>
      <c r="P186" s="478"/>
      <c r="R186" s="476"/>
      <c r="S186" s="477"/>
    </row>
    <row r="187" spans="14:19" ht="17.25" customHeight="1" x14ac:dyDescent="0.3">
      <c r="N187" s="476"/>
      <c r="O187" s="477"/>
      <c r="P187" s="478"/>
      <c r="R187" s="476"/>
      <c r="S187" s="477"/>
    </row>
    <row r="188" spans="14:19" ht="17.25" customHeight="1" x14ac:dyDescent="0.3">
      <c r="N188" s="476"/>
      <c r="O188" s="477"/>
      <c r="P188" s="478"/>
      <c r="R188" s="476"/>
      <c r="S188" s="477"/>
    </row>
    <row r="189" spans="14:19" ht="17.25" customHeight="1" x14ac:dyDescent="0.3">
      <c r="N189" s="476"/>
      <c r="O189" s="477"/>
      <c r="P189" s="478"/>
      <c r="R189" s="476"/>
      <c r="S189" s="477"/>
    </row>
    <row r="190" spans="14:19" ht="17.25" customHeight="1" x14ac:dyDescent="0.3">
      <c r="N190" s="476"/>
      <c r="O190" s="477"/>
      <c r="P190" s="478"/>
      <c r="R190" s="476"/>
      <c r="S190" s="477"/>
    </row>
    <row r="191" spans="14:19" ht="17.25" customHeight="1" x14ac:dyDescent="0.3">
      <c r="N191" s="476"/>
      <c r="O191" s="477"/>
      <c r="P191" s="478"/>
      <c r="R191" s="476"/>
      <c r="S191" s="477"/>
    </row>
    <row r="192" spans="14:19" ht="17.25" customHeight="1" x14ac:dyDescent="0.3">
      <c r="N192" s="476"/>
      <c r="O192" s="477"/>
      <c r="P192" s="478"/>
      <c r="R192" s="476"/>
      <c r="S192" s="477"/>
    </row>
    <row r="193" spans="14:19" ht="17.25" customHeight="1" x14ac:dyDescent="0.3">
      <c r="N193" s="476"/>
      <c r="O193" s="477"/>
      <c r="P193" s="478"/>
      <c r="R193" s="476"/>
      <c r="S193" s="477"/>
    </row>
  </sheetData>
  <mergeCells count="5">
    <mergeCell ref="B1:F1"/>
    <mergeCell ref="B3:F3"/>
    <mergeCell ref="E5:F5"/>
    <mergeCell ref="E6:F6"/>
    <mergeCell ref="E7:F7"/>
  </mergeCells>
  <dataValidations count="3">
    <dataValidation type="list" allowBlank="1" showInputMessage="1" showErrorMessage="1" sqref="F11" xr:uid="{00000000-0002-0000-0400-000000000000}">
      <formula1>"Süden, Ost/West"</formula1>
    </dataValidation>
    <dataValidation type="list" allowBlank="1" showInputMessage="1" showErrorMessage="1" sqref="F12" xr:uid="{00000000-0002-0000-0400-000001000000}">
      <formula1>"Ja,Nein"</formula1>
    </dataValidation>
    <dataValidation type="list" allowBlank="1" showInputMessage="1" showErrorMessage="1" sqref="F10" xr:uid="{00000000-0002-0000-0400-000002000000}">
      <formula1>"Aufdach, Indach"</formula1>
    </dataValidation>
  </dataValidations>
  <hyperlinks>
    <hyperlink ref="I13" r:id="rId1" xr:uid="{C2511ACD-8926-44CE-AB74-33C6EC8ACB51}"/>
  </hyperlinks>
  <pageMargins left="0.7" right="0.7" top="0.78740157499999996" bottom="0.78740157499999996"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C70"/>
  <sheetViews>
    <sheetView zoomScale="70" zoomScaleNormal="70" workbookViewId="0">
      <selection activeCell="O73" sqref="O73"/>
    </sheetView>
  </sheetViews>
  <sheetFormatPr defaultColWidth="10.90625" defaultRowHeight="12.5" x14ac:dyDescent="0.25"/>
  <cols>
    <col min="1" max="1" width="22.36328125" bestFit="1" customWidth="1"/>
    <col min="2" max="2" width="22.36328125" customWidth="1"/>
  </cols>
  <sheetData>
    <row r="1" spans="1:3" x14ac:dyDescent="0.25">
      <c r="A1" s="6" t="s">
        <v>22</v>
      </c>
      <c r="B1" s="6"/>
      <c r="C1" s="7" t="s">
        <v>23</v>
      </c>
    </row>
    <row r="2" spans="1:3" x14ac:dyDescent="0.25">
      <c r="A2" s="8" t="s">
        <v>24</v>
      </c>
      <c r="B2" s="8"/>
      <c r="C2" s="9"/>
    </row>
    <row r="3" spans="1:3" x14ac:dyDescent="0.25">
      <c r="A3" s="4" t="s">
        <v>10</v>
      </c>
      <c r="B3" s="4"/>
      <c r="C3" s="4">
        <v>0.87</v>
      </c>
    </row>
    <row r="4" spans="1:3" x14ac:dyDescent="0.25">
      <c r="A4" s="4" t="s">
        <v>25</v>
      </c>
      <c r="B4" s="4"/>
      <c r="C4" s="4">
        <v>0.28999999999999998</v>
      </c>
    </row>
    <row r="5" spans="1:3" x14ac:dyDescent="0.25">
      <c r="A5" s="4" t="s">
        <v>25</v>
      </c>
      <c r="B5" s="4">
        <f>Energie_EBF!K23</f>
        <v>4.3</v>
      </c>
      <c r="C5" s="4">
        <v>0.5</v>
      </c>
    </row>
    <row r="6" spans="1:3" x14ac:dyDescent="0.25">
      <c r="A6" s="4" t="s">
        <v>25</v>
      </c>
      <c r="B6" s="4"/>
      <c r="C6" s="4">
        <v>1</v>
      </c>
    </row>
    <row r="7" spans="1:3" x14ac:dyDescent="0.25">
      <c r="A7" s="4" t="s">
        <v>26</v>
      </c>
      <c r="B7" s="4"/>
      <c r="C7" s="4">
        <v>1.46</v>
      </c>
    </row>
    <row r="8" spans="1:3" x14ac:dyDescent="0.25">
      <c r="A8" s="4" t="s">
        <v>27</v>
      </c>
      <c r="B8" s="4"/>
      <c r="C8" s="4">
        <v>1.34</v>
      </c>
    </row>
    <row r="9" spans="1:3" x14ac:dyDescent="0.25">
      <c r="A9" s="4" t="s">
        <v>28</v>
      </c>
      <c r="B9" s="4"/>
      <c r="C9" s="4">
        <v>2.1</v>
      </c>
    </row>
    <row r="10" spans="1:3" x14ac:dyDescent="0.25">
      <c r="A10" s="4" t="s">
        <v>29</v>
      </c>
      <c r="B10" s="4"/>
      <c r="C10" s="4">
        <v>0.17</v>
      </c>
    </row>
    <row r="11" spans="1:3" x14ac:dyDescent="0.25">
      <c r="A11" s="4" t="s">
        <v>30</v>
      </c>
      <c r="B11" s="4"/>
      <c r="C11" s="4">
        <v>0.7</v>
      </c>
    </row>
    <row r="12" spans="1:3" x14ac:dyDescent="0.25">
      <c r="A12" s="4" t="s">
        <v>31</v>
      </c>
      <c r="B12" s="4"/>
      <c r="C12" s="4">
        <v>0.26</v>
      </c>
    </row>
    <row r="13" spans="1:3" x14ac:dyDescent="0.25">
      <c r="A13" s="4" t="s">
        <v>32</v>
      </c>
      <c r="B13" s="4"/>
      <c r="C13" s="4">
        <v>0.12</v>
      </c>
    </row>
    <row r="14" spans="1:3" x14ac:dyDescent="0.25">
      <c r="A14" s="4" t="s">
        <v>33</v>
      </c>
      <c r="B14" s="4"/>
      <c r="C14" s="4">
        <v>0.21</v>
      </c>
    </row>
    <row r="15" spans="1:3" x14ac:dyDescent="0.25">
      <c r="A15" s="4" t="s">
        <v>34</v>
      </c>
      <c r="B15" s="4"/>
      <c r="C15" s="4">
        <v>0.44</v>
      </c>
    </row>
    <row r="16" spans="1:3" x14ac:dyDescent="0.25">
      <c r="A16" s="4" t="s">
        <v>35</v>
      </c>
      <c r="B16" s="4"/>
      <c r="C16" s="4">
        <v>2.2999999999999998</v>
      </c>
    </row>
    <row r="17" spans="1:3" x14ac:dyDescent="0.25">
      <c r="A17" s="4" t="s">
        <v>36</v>
      </c>
      <c r="B17" s="4"/>
      <c r="C17" s="4">
        <v>0.14000000000000001</v>
      </c>
    </row>
    <row r="18" spans="1:3" x14ac:dyDescent="0.25">
      <c r="A18" s="4" t="s">
        <v>37</v>
      </c>
      <c r="B18" s="4"/>
      <c r="C18" s="4">
        <v>0.04</v>
      </c>
    </row>
    <row r="19" spans="1:3" x14ac:dyDescent="0.25">
      <c r="A19" s="4" t="s">
        <v>38</v>
      </c>
      <c r="B19" s="4"/>
      <c r="C19" s="4">
        <v>3.5999999999999997E-2</v>
      </c>
    </row>
    <row r="20" spans="1:3" x14ac:dyDescent="0.25">
      <c r="A20" s="4" t="s">
        <v>39</v>
      </c>
      <c r="B20" s="4"/>
      <c r="C20" s="4">
        <v>0.04</v>
      </c>
    </row>
    <row r="21" spans="1:3" x14ac:dyDescent="0.25">
      <c r="A21" s="4" t="s">
        <v>40</v>
      </c>
      <c r="B21" s="4"/>
      <c r="C21" s="4">
        <v>4.3999999999999997E-2</v>
      </c>
    </row>
    <row r="22" spans="1:3" x14ac:dyDescent="0.25">
      <c r="A22" s="4" t="s">
        <v>41</v>
      </c>
      <c r="B22" s="4"/>
      <c r="C22" s="4">
        <v>0.16</v>
      </c>
    </row>
    <row r="23" spans="1:3" x14ac:dyDescent="0.25">
      <c r="A23" s="4" t="s">
        <v>41</v>
      </c>
      <c r="B23" s="4"/>
      <c r="C23" s="4">
        <v>0.19</v>
      </c>
    </row>
    <row r="24" spans="1:3" x14ac:dyDescent="0.25">
      <c r="A24" s="4" t="s">
        <v>42</v>
      </c>
      <c r="B24" s="4"/>
      <c r="C24" s="4">
        <v>0.2</v>
      </c>
    </row>
    <row r="25" spans="1:3" x14ac:dyDescent="0.25">
      <c r="A25" s="4" t="s">
        <v>43</v>
      </c>
      <c r="B25" s="4"/>
      <c r="C25" s="4">
        <v>0.21</v>
      </c>
    </row>
    <row r="26" spans="1:3" x14ac:dyDescent="0.25">
      <c r="A26" s="4" t="s">
        <v>44</v>
      </c>
      <c r="B26" s="4"/>
      <c r="C26" s="4">
        <v>0.4</v>
      </c>
    </row>
    <row r="27" spans="1:3" x14ac:dyDescent="0.25">
      <c r="A27" s="4" t="s">
        <v>45</v>
      </c>
      <c r="B27" s="4"/>
      <c r="C27" s="4">
        <v>0.04</v>
      </c>
    </row>
    <row r="28" spans="1:3" x14ac:dyDescent="0.25">
      <c r="A28" s="4" t="s">
        <v>46</v>
      </c>
      <c r="B28" s="4"/>
      <c r="C28" s="4">
        <v>0.04</v>
      </c>
    </row>
    <row r="29" spans="1:3" x14ac:dyDescent="0.25">
      <c r="A29" s="4" t="s">
        <v>47</v>
      </c>
      <c r="B29" s="4"/>
      <c r="C29" s="4">
        <v>0.04</v>
      </c>
    </row>
    <row r="30" spans="1:3" x14ac:dyDescent="0.25">
      <c r="A30" s="4" t="s">
        <v>48</v>
      </c>
      <c r="B30" s="4"/>
      <c r="C30" s="4">
        <v>0.7</v>
      </c>
    </row>
    <row r="31" spans="1:3" x14ac:dyDescent="0.25">
      <c r="A31" s="4" t="s">
        <v>49</v>
      </c>
      <c r="B31" s="4"/>
      <c r="C31" s="4">
        <v>0.12</v>
      </c>
    </row>
    <row r="32" spans="1:3" x14ac:dyDescent="0.25">
      <c r="A32" s="4" t="s">
        <v>50</v>
      </c>
      <c r="B32" s="4"/>
      <c r="C32" s="4">
        <v>8.5000000000000006E-2</v>
      </c>
    </row>
    <row r="33" spans="1:3" x14ac:dyDescent="0.25">
      <c r="A33" s="4" t="s">
        <v>51</v>
      </c>
      <c r="B33" s="4"/>
      <c r="C33" s="4">
        <v>0.17</v>
      </c>
    </row>
    <row r="34" spans="1:3" x14ac:dyDescent="0.25">
      <c r="A34" s="4" t="s">
        <v>52</v>
      </c>
      <c r="B34" s="4"/>
      <c r="C34" s="4">
        <v>0.12</v>
      </c>
    </row>
    <row r="35" spans="1:3" x14ac:dyDescent="0.25">
      <c r="A35" s="4" t="s">
        <v>53</v>
      </c>
      <c r="B35" s="4"/>
      <c r="C35" s="4">
        <v>0.06</v>
      </c>
    </row>
    <row r="36" spans="1:3" x14ac:dyDescent="0.25">
      <c r="A36" s="4" t="s">
        <v>9</v>
      </c>
      <c r="B36" s="4"/>
      <c r="C36" s="4">
        <v>0.7</v>
      </c>
    </row>
    <row r="37" spans="1:3" x14ac:dyDescent="0.25">
      <c r="A37" s="4" t="s">
        <v>54</v>
      </c>
      <c r="B37" s="4"/>
      <c r="C37" s="4">
        <v>0.47</v>
      </c>
    </row>
    <row r="38" spans="1:3" x14ac:dyDescent="0.25">
      <c r="A38" s="4" t="s">
        <v>8</v>
      </c>
      <c r="B38" s="4"/>
      <c r="C38" s="4">
        <v>1</v>
      </c>
    </row>
    <row r="39" spans="1:3" x14ac:dyDescent="0.25">
      <c r="A39" s="4" t="s">
        <v>55</v>
      </c>
      <c r="B39" s="4"/>
      <c r="C39" s="4">
        <v>1</v>
      </c>
    </row>
    <row r="40" spans="1:3" x14ac:dyDescent="0.25">
      <c r="A40" s="4" t="s">
        <v>56</v>
      </c>
      <c r="B40" s="4"/>
      <c r="C40" s="4">
        <v>1.8</v>
      </c>
    </row>
    <row r="41" spans="1:3" x14ac:dyDescent="0.25">
      <c r="A41" s="4" t="s">
        <v>57</v>
      </c>
      <c r="B41" s="4"/>
      <c r="C41" s="4">
        <v>1</v>
      </c>
    </row>
    <row r="42" spans="1:3" x14ac:dyDescent="0.25">
      <c r="A42" s="4" t="s">
        <v>58</v>
      </c>
      <c r="B42" s="4"/>
      <c r="C42" s="4">
        <v>0.05</v>
      </c>
    </row>
    <row r="43" spans="1:3" x14ac:dyDescent="0.25">
      <c r="A43" s="4" t="s">
        <v>59</v>
      </c>
      <c r="B43" s="4"/>
      <c r="C43" s="4">
        <v>4.2000000000000003E-2</v>
      </c>
    </row>
    <row r="44" spans="1:3" x14ac:dyDescent="0.25">
      <c r="A44" s="4" t="s">
        <v>60</v>
      </c>
      <c r="B44" s="4"/>
      <c r="C44" s="4">
        <v>4.2000000000000003E-2</v>
      </c>
    </row>
    <row r="45" spans="1:3" x14ac:dyDescent="0.25">
      <c r="A45" s="4" t="s">
        <v>61</v>
      </c>
      <c r="B45" s="4"/>
      <c r="C45" s="4">
        <v>0.06</v>
      </c>
    </row>
    <row r="46" spans="1:3" x14ac:dyDescent="0.25">
      <c r="A46" s="4" t="s">
        <v>62</v>
      </c>
      <c r="B46" s="4"/>
      <c r="C46" s="4">
        <v>4.5999999999999999E-2</v>
      </c>
    </row>
    <row r="47" spans="1:3" x14ac:dyDescent="0.25">
      <c r="A47" s="4" t="s">
        <v>63</v>
      </c>
      <c r="B47" s="4"/>
      <c r="C47" s="4">
        <v>2.2999999999999998</v>
      </c>
    </row>
    <row r="48" spans="1:3" x14ac:dyDescent="0.25">
      <c r="A48" s="4" t="s">
        <v>64</v>
      </c>
      <c r="B48" s="4"/>
      <c r="C48" s="4">
        <v>0.06</v>
      </c>
    </row>
    <row r="49" spans="1:3" x14ac:dyDescent="0.25">
      <c r="A49" s="4" t="s">
        <v>65</v>
      </c>
      <c r="B49" s="4"/>
      <c r="C49" s="4">
        <v>7.0000000000000007E-2</v>
      </c>
    </row>
    <row r="50" spans="1:3" x14ac:dyDescent="0.25">
      <c r="A50" s="4" t="s">
        <v>66</v>
      </c>
      <c r="B50" s="4"/>
      <c r="C50" s="4">
        <v>3.7999999999999999E-2</v>
      </c>
    </row>
    <row r="51" spans="1:3" x14ac:dyDescent="0.25">
      <c r="A51" s="4" t="s">
        <v>67</v>
      </c>
      <c r="B51" s="4"/>
      <c r="C51" s="4">
        <v>3.4000000000000002E-2</v>
      </c>
    </row>
    <row r="52" spans="1:3" x14ac:dyDescent="0.25">
      <c r="A52" s="4" t="s">
        <v>68</v>
      </c>
      <c r="B52" s="4"/>
      <c r="C52" s="4">
        <v>0.03</v>
      </c>
    </row>
    <row r="53" spans="1:3" x14ac:dyDescent="0.25">
      <c r="A53" s="4" t="s">
        <v>69</v>
      </c>
      <c r="B53" s="4"/>
      <c r="C53" s="4">
        <v>2.2999999999999998</v>
      </c>
    </row>
    <row r="54" spans="1:3" x14ac:dyDescent="0.25">
      <c r="A54" s="4" t="s">
        <v>70</v>
      </c>
      <c r="B54" s="4"/>
      <c r="C54" s="4">
        <v>3.7999999999999999E-2</v>
      </c>
    </row>
    <row r="55" spans="1:3" x14ac:dyDescent="0.25">
      <c r="A55" s="4" t="s">
        <v>71</v>
      </c>
      <c r="B55" s="4"/>
      <c r="C55" s="4">
        <v>0.03</v>
      </c>
    </row>
    <row r="56" spans="1:3" x14ac:dyDescent="0.25">
      <c r="A56" s="4" t="s">
        <v>72</v>
      </c>
      <c r="B56" s="4"/>
      <c r="C56" s="4">
        <v>3.5999999999999997E-2</v>
      </c>
    </row>
    <row r="57" spans="1:3" x14ac:dyDescent="0.25">
      <c r="A57" s="4" t="s">
        <v>73</v>
      </c>
      <c r="B57" s="4"/>
      <c r="C57" s="4">
        <v>4.8000000000000001E-2</v>
      </c>
    </row>
    <row r="58" spans="1:3" x14ac:dyDescent="0.25">
      <c r="A58" s="4" t="s">
        <v>74</v>
      </c>
      <c r="B58" s="4"/>
      <c r="C58" s="4">
        <v>3.7999999999999999E-2</v>
      </c>
    </row>
    <row r="59" spans="1:3" x14ac:dyDescent="0.25">
      <c r="A59" s="4" t="s">
        <v>75</v>
      </c>
      <c r="B59" s="4"/>
      <c r="C59" s="4">
        <v>0.52</v>
      </c>
    </row>
    <row r="60" spans="1:3" x14ac:dyDescent="0.25">
      <c r="A60" s="4" t="s">
        <v>76</v>
      </c>
      <c r="B60" s="4"/>
      <c r="C60" s="4">
        <v>1.5</v>
      </c>
    </row>
    <row r="61" spans="1:3" x14ac:dyDescent="0.25">
      <c r="A61" s="4" t="s">
        <v>16</v>
      </c>
      <c r="B61" s="4"/>
      <c r="C61" s="4">
        <v>1.8</v>
      </c>
    </row>
    <row r="62" spans="1:3" x14ac:dyDescent="0.25">
      <c r="A62" s="4" t="s">
        <v>77</v>
      </c>
      <c r="B62" s="4"/>
      <c r="C62" s="4">
        <v>0.04</v>
      </c>
    </row>
    <row r="63" spans="1:3" x14ac:dyDescent="0.25">
      <c r="A63" s="4" t="s">
        <v>78</v>
      </c>
      <c r="B63" s="4"/>
      <c r="C63" s="4">
        <v>0.04</v>
      </c>
    </row>
    <row r="64" spans="1:3" x14ac:dyDescent="0.25">
      <c r="A64" s="4" t="s">
        <v>79</v>
      </c>
      <c r="B64" s="4"/>
      <c r="C64" s="4">
        <v>1.5</v>
      </c>
    </row>
    <row r="65" spans="1:3" x14ac:dyDescent="0.25">
      <c r="A65" s="4" t="s">
        <v>80</v>
      </c>
      <c r="B65" s="4"/>
      <c r="C65" s="4">
        <v>0.44</v>
      </c>
    </row>
    <row r="66" spans="1:3" x14ac:dyDescent="0.25">
      <c r="A66" s="4" t="s">
        <v>81</v>
      </c>
      <c r="B66" s="4"/>
      <c r="C66" s="4">
        <v>1</v>
      </c>
    </row>
    <row r="67" spans="1:3" x14ac:dyDescent="0.25">
      <c r="A67" s="4" t="s">
        <v>82</v>
      </c>
      <c r="B67" s="4"/>
      <c r="C67" s="4">
        <v>0.37</v>
      </c>
    </row>
    <row r="68" spans="1:3" x14ac:dyDescent="0.25">
      <c r="A68" s="4" t="s">
        <v>83</v>
      </c>
      <c r="B68" s="4"/>
      <c r="C68" s="4">
        <v>0.11</v>
      </c>
    </row>
    <row r="69" spans="1:3" x14ac:dyDescent="0.25">
      <c r="A69" s="4" t="s">
        <v>84</v>
      </c>
      <c r="B69" s="4"/>
      <c r="C69" s="4">
        <v>1.5</v>
      </c>
    </row>
    <row r="70" spans="1:3" x14ac:dyDescent="0.25">
      <c r="A70" t="s">
        <v>136</v>
      </c>
      <c r="B70" t="s">
        <v>137</v>
      </c>
      <c r="C70">
        <v>0.09</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Energie_EBF</vt:lpstr>
      <vt:lpstr>Flächen</vt:lpstr>
      <vt:lpstr>U-Werte</vt:lpstr>
      <vt:lpstr>Kosten HLK</vt:lpstr>
      <vt:lpstr>IB</vt:lpstr>
      <vt:lpstr>Wirtschaftlichkeit Geb.</vt:lpstr>
      <vt:lpstr>HGT</vt:lpstr>
      <vt:lpstr>Umrechnungsfaktoren</vt:lpstr>
      <vt:lpstr>Solarthermie</vt:lpstr>
      <vt:lpstr>Kosten PVA</vt:lpstr>
      <vt:lpstr>Bauteilkatalog</vt:lpstr>
      <vt:lpstr>'U-Werte'!Print_Area</vt:lpstr>
    </vt:vector>
  </TitlesOfParts>
  <Company>Buchmann Partner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Staubli</dc:creator>
  <cp:lastModifiedBy>Zaida Mengelt</cp:lastModifiedBy>
  <cp:lastPrinted>2008-10-28T09:23:54Z</cp:lastPrinted>
  <dcterms:created xsi:type="dcterms:W3CDTF">2006-03-22T08:16:07Z</dcterms:created>
  <dcterms:modified xsi:type="dcterms:W3CDTF">2026-04-05T11:29:16Z</dcterms:modified>
</cp:coreProperties>
</file>