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40" windowHeight="1185"/>
  </bookViews>
  <sheets>
    <sheet name="Смета СН-2012 по гл. 1-5" sheetId="5" r:id="rId1"/>
    <sheet name="Дефектная ведомость" sheetId="6" r:id="rId2"/>
    <sheet name="Ведомость объемов работ" sheetId="7" r:id="rId3"/>
    <sheet name="RV_DATA" sheetId="9" state="hidden" r:id="rId4"/>
    <sheet name="Расчет стоимости ресурсов" sheetId="8" r:id="rId5"/>
    <sheet name="Source" sheetId="1" r:id="rId6"/>
    <sheet name="SourceObSm" sheetId="2" state="hidden" r:id="rId7"/>
    <sheet name="SmtRes" sheetId="3" state="hidden" r:id="rId8"/>
    <sheet name="EtalonRes" sheetId="4" state="hidden" r:id="rId9"/>
  </sheets>
  <definedNames>
    <definedName name="_xlnm.Print_Titles" localSheetId="2">'Ведомость объемов работ'!$18:$18</definedName>
    <definedName name="_xlnm.Print_Titles" localSheetId="1">'Дефектная ведомость'!$18:$18</definedName>
    <definedName name="_xlnm.Print_Titles" localSheetId="4">'Расчет стоимости ресурсов'!$4:$7</definedName>
    <definedName name="_xlnm.Print_Titles" localSheetId="0">'Смета СН-2012 по гл. 1-5'!$29:$29</definedName>
    <definedName name="_xlnm.Print_Area" localSheetId="2">'Ведомость объемов работ'!$A$1:$E$82</definedName>
    <definedName name="_xlnm.Print_Area" localSheetId="1">'Дефектная ведомость'!$A$1:$E$82</definedName>
    <definedName name="_xlnm.Print_Area" localSheetId="4">'Расчет стоимости ресурсов'!$A$1:$F$74</definedName>
    <definedName name="_xlnm.Print_Area" localSheetId="0">'Смета СН-2012 по гл. 1-5'!$A$1:$K$410</definedName>
  </definedNames>
  <calcPr calcId="125725"/>
</workbook>
</file>

<file path=xl/calcChain.xml><?xml version="1.0" encoding="utf-8"?>
<calcChain xmlns="http://schemas.openxmlformats.org/spreadsheetml/2006/main">
  <c r="E402" i="5"/>
  <c r="A14"/>
  <c r="A12" i="6"/>
  <c r="A12" i="7"/>
  <c r="A3" i="8"/>
  <c r="F70"/>
  <c r="E70"/>
  <c r="D70"/>
  <c r="F71"/>
  <c r="E71"/>
  <c r="D71"/>
  <c r="F72"/>
  <c r="E72"/>
  <c r="D72"/>
  <c r="A68"/>
  <c r="F58"/>
  <c r="E58"/>
  <c r="D58"/>
  <c r="F59"/>
  <c r="E59"/>
  <c r="D59"/>
  <c r="F60"/>
  <c r="E60"/>
  <c r="D60"/>
  <c r="F61"/>
  <c r="E61"/>
  <c r="D61"/>
  <c r="F62"/>
  <c r="E62"/>
  <c r="D62"/>
  <c r="F63"/>
  <c r="E63"/>
  <c r="D63"/>
  <c r="F64"/>
  <c r="E64"/>
  <c r="D64"/>
  <c r="F65"/>
  <c r="E65"/>
  <c r="D65"/>
  <c r="F66"/>
  <c r="E66"/>
  <c r="D66"/>
  <c r="A56"/>
  <c r="F54"/>
  <c r="E54"/>
  <c r="D54"/>
  <c r="F53"/>
  <c r="E53"/>
  <c r="D53"/>
  <c r="F52"/>
  <c r="E52"/>
  <c r="D52"/>
  <c r="F51"/>
  <c r="E51"/>
  <c r="D51"/>
  <c r="F50"/>
  <c r="E50"/>
  <c r="D50"/>
  <c r="F44"/>
  <c r="E44"/>
  <c r="D44"/>
  <c r="F45"/>
  <c r="E45"/>
  <c r="D45"/>
  <c r="F46"/>
  <c r="E46"/>
  <c r="D46"/>
  <c r="F49"/>
  <c r="E49"/>
  <c r="D49"/>
  <c r="F47"/>
  <c r="E47"/>
  <c r="D47"/>
  <c r="F48"/>
  <c r="E48"/>
  <c r="D48"/>
  <c r="A42"/>
  <c r="F40"/>
  <c r="E40"/>
  <c r="D40"/>
  <c r="F36"/>
  <c r="E36"/>
  <c r="D36"/>
  <c r="F33"/>
  <c r="E33"/>
  <c r="D33"/>
  <c r="F34"/>
  <c r="E34"/>
  <c r="D34"/>
  <c r="F35"/>
  <c r="E35"/>
  <c r="D35"/>
  <c r="F39"/>
  <c r="E39"/>
  <c r="D39"/>
  <c r="F37"/>
  <c r="E37"/>
  <c r="D37"/>
  <c r="F38"/>
  <c r="E38"/>
  <c r="D38"/>
  <c r="A31"/>
  <c r="F29"/>
  <c r="E29"/>
  <c r="D29"/>
  <c r="F28"/>
  <c r="E28"/>
  <c r="D28"/>
  <c r="F27"/>
  <c r="E27"/>
  <c r="D27"/>
  <c r="F26"/>
  <c r="E26"/>
  <c r="D26"/>
  <c r="F25"/>
  <c r="E25"/>
  <c r="D25"/>
  <c r="F24"/>
  <c r="E24"/>
  <c r="D24"/>
  <c r="F21"/>
  <c r="E21"/>
  <c r="D21"/>
  <c r="F20"/>
  <c r="E20"/>
  <c r="D20"/>
  <c r="F22"/>
  <c r="E22"/>
  <c r="D22"/>
  <c r="F23"/>
  <c r="E23"/>
  <c r="D23"/>
  <c r="A18"/>
  <c r="F16"/>
  <c r="E16"/>
  <c r="D16"/>
  <c r="F13"/>
  <c r="E13"/>
  <c r="D13"/>
  <c r="F10"/>
  <c r="E10"/>
  <c r="D10"/>
  <c r="F11"/>
  <c r="E11"/>
  <c r="D11"/>
  <c r="F12"/>
  <c r="E12"/>
  <c r="D12"/>
  <c r="F15"/>
  <c r="E15"/>
  <c r="D15"/>
  <c r="F14"/>
  <c r="E14"/>
  <c r="D14"/>
  <c r="A8"/>
  <c r="U80" i="9"/>
  <c r="T80"/>
  <c r="R80"/>
  <c r="Q80"/>
  <c r="S80"/>
  <c r="P80"/>
  <c r="O80"/>
  <c r="M80"/>
  <c r="L80"/>
  <c r="N80"/>
  <c r="K80"/>
  <c r="J80"/>
  <c r="I80"/>
  <c r="H80"/>
  <c r="G80"/>
  <c r="F80"/>
  <c r="E80"/>
  <c r="A80"/>
  <c r="U79"/>
  <c r="T79"/>
  <c r="R79"/>
  <c r="Q79"/>
  <c r="S79"/>
  <c r="P79"/>
  <c r="O79"/>
  <c r="M79"/>
  <c r="L79"/>
  <c r="N79"/>
  <c r="K79"/>
  <c r="J79"/>
  <c r="I79"/>
  <c r="H79"/>
  <c r="G79"/>
  <c r="F79"/>
  <c r="E79"/>
  <c r="A79"/>
  <c r="U78"/>
  <c r="T78"/>
  <c r="R78"/>
  <c r="Q78"/>
  <c r="S78"/>
  <c r="P78"/>
  <c r="O78"/>
  <c r="M78"/>
  <c r="L78"/>
  <c r="N78"/>
  <c r="K78"/>
  <c r="J78"/>
  <c r="I78"/>
  <c r="H78"/>
  <c r="G78"/>
  <c r="F78"/>
  <c r="E78"/>
  <c r="A78"/>
  <c r="U77"/>
  <c r="T77"/>
  <c r="R77"/>
  <c r="Q77"/>
  <c r="S77"/>
  <c r="P77"/>
  <c r="O77"/>
  <c r="M77"/>
  <c r="L77"/>
  <c r="N77"/>
  <c r="K77"/>
  <c r="J77"/>
  <c r="I77"/>
  <c r="H77"/>
  <c r="G77"/>
  <c r="F77"/>
  <c r="E77"/>
  <c r="A77"/>
  <c r="U76"/>
  <c r="T76"/>
  <c r="R76"/>
  <c r="Q76"/>
  <c r="S76"/>
  <c r="P76"/>
  <c r="O76"/>
  <c r="M76"/>
  <c r="L76"/>
  <c r="N76"/>
  <c r="K76"/>
  <c r="J76"/>
  <c r="I76"/>
  <c r="H76"/>
  <c r="G76"/>
  <c r="F76"/>
  <c r="E76"/>
  <c r="A76"/>
  <c r="G75"/>
  <c r="A75"/>
  <c r="U74"/>
  <c r="T74"/>
  <c r="R74"/>
  <c r="Q74"/>
  <c r="S74"/>
  <c r="P74"/>
  <c r="O74"/>
  <c r="M74"/>
  <c r="L74"/>
  <c r="N74"/>
  <c r="K74"/>
  <c r="J74"/>
  <c r="I74"/>
  <c r="H74"/>
  <c r="G74"/>
  <c r="F74"/>
  <c r="E74"/>
  <c r="A74"/>
  <c r="U73"/>
  <c r="T73"/>
  <c r="R73"/>
  <c r="Q73"/>
  <c r="S73"/>
  <c r="P73"/>
  <c r="O73"/>
  <c r="M73"/>
  <c r="L73"/>
  <c r="N73"/>
  <c r="K73"/>
  <c r="J73"/>
  <c r="I73"/>
  <c r="H73"/>
  <c r="G73"/>
  <c r="F73"/>
  <c r="E73"/>
  <c r="A73"/>
  <c r="U72"/>
  <c r="T72"/>
  <c r="R72"/>
  <c r="Q72"/>
  <c r="S72"/>
  <c r="P72"/>
  <c r="O72"/>
  <c r="M72"/>
  <c r="L72"/>
  <c r="N72"/>
  <c r="K72"/>
  <c r="J72"/>
  <c r="I72"/>
  <c r="H72"/>
  <c r="G72"/>
  <c r="F72"/>
  <c r="E72"/>
  <c r="A72"/>
  <c r="U71"/>
  <c r="T71"/>
  <c r="R71"/>
  <c r="Q71"/>
  <c r="S71"/>
  <c r="P71"/>
  <c r="O71"/>
  <c r="M71"/>
  <c r="L71"/>
  <c r="N71"/>
  <c r="K71"/>
  <c r="J71"/>
  <c r="I71"/>
  <c r="H71"/>
  <c r="G71"/>
  <c r="F71"/>
  <c r="E71"/>
  <c r="A71"/>
  <c r="U70"/>
  <c r="T70"/>
  <c r="R70"/>
  <c r="Q70"/>
  <c r="S70"/>
  <c r="P70"/>
  <c r="O70"/>
  <c r="M70"/>
  <c r="L70"/>
  <c r="N70"/>
  <c r="K70"/>
  <c r="J70"/>
  <c r="I70"/>
  <c r="H70"/>
  <c r="G70"/>
  <c r="F70"/>
  <c r="E70"/>
  <c r="A70"/>
  <c r="U69"/>
  <c r="T69"/>
  <c r="R69"/>
  <c r="Q69"/>
  <c r="S69"/>
  <c r="P69"/>
  <c r="O69"/>
  <c r="M69"/>
  <c r="L69"/>
  <c r="N69"/>
  <c r="K69"/>
  <c r="J69"/>
  <c r="I69"/>
  <c r="H69"/>
  <c r="G69"/>
  <c r="F69"/>
  <c r="E69"/>
  <c r="A69"/>
  <c r="U68"/>
  <c r="T68"/>
  <c r="R68"/>
  <c r="Q68"/>
  <c r="S68"/>
  <c r="P68"/>
  <c r="O68"/>
  <c r="M68"/>
  <c r="L68"/>
  <c r="N68"/>
  <c r="K68"/>
  <c r="J68"/>
  <c r="I68"/>
  <c r="H68"/>
  <c r="G68"/>
  <c r="F68"/>
  <c r="E68"/>
  <c r="A68"/>
  <c r="U67"/>
  <c r="T67"/>
  <c r="R67"/>
  <c r="Q67"/>
  <c r="S67"/>
  <c r="P67"/>
  <c r="O67"/>
  <c r="M67"/>
  <c r="L67"/>
  <c r="N67"/>
  <c r="K67"/>
  <c r="J67"/>
  <c r="I67"/>
  <c r="H67"/>
  <c r="G67"/>
  <c r="F67"/>
  <c r="E67"/>
  <c r="A67"/>
  <c r="U66"/>
  <c r="T66"/>
  <c r="R66"/>
  <c r="Q66"/>
  <c r="S66"/>
  <c r="P66"/>
  <c r="O66"/>
  <c r="M66"/>
  <c r="L66"/>
  <c r="N66"/>
  <c r="K66"/>
  <c r="J66"/>
  <c r="I66"/>
  <c r="H66"/>
  <c r="G66"/>
  <c r="F66"/>
  <c r="E66"/>
  <c r="A66"/>
  <c r="U65"/>
  <c r="T65"/>
  <c r="R65"/>
  <c r="Q65"/>
  <c r="S65"/>
  <c r="P65"/>
  <c r="O65"/>
  <c r="M65"/>
  <c r="L65"/>
  <c r="N65"/>
  <c r="K65"/>
  <c r="J65"/>
  <c r="I65"/>
  <c r="H65"/>
  <c r="G65"/>
  <c r="F65"/>
  <c r="E65"/>
  <c r="A65"/>
  <c r="G64"/>
  <c r="A64"/>
  <c r="U63"/>
  <c r="T63"/>
  <c r="S63"/>
  <c r="R63"/>
  <c r="P63"/>
  <c r="O63"/>
  <c r="N63"/>
  <c r="M63"/>
  <c r="K63"/>
  <c r="I63"/>
  <c r="H63"/>
  <c r="G63"/>
  <c r="F63"/>
  <c r="E63"/>
  <c r="D63"/>
  <c r="A63"/>
  <c r="U62"/>
  <c r="T62"/>
  <c r="S62"/>
  <c r="R62"/>
  <c r="P62"/>
  <c r="O62"/>
  <c r="N62"/>
  <c r="M62"/>
  <c r="K62"/>
  <c r="I62"/>
  <c r="H62"/>
  <c r="G62"/>
  <c r="F62"/>
  <c r="E62"/>
  <c r="D62"/>
  <c r="A62"/>
  <c r="U61"/>
  <c r="T61"/>
  <c r="S61"/>
  <c r="R61"/>
  <c r="P61"/>
  <c r="O61"/>
  <c r="N61"/>
  <c r="M61"/>
  <c r="K61"/>
  <c r="I61"/>
  <c r="H61"/>
  <c r="G61"/>
  <c r="F61"/>
  <c r="E61"/>
  <c r="D61"/>
  <c r="A61"/>
  <c r="U60"/>
  <c r="T60"/>
  <c r="S60"/>
  <c r="R60"/>
  <c r="P60"/>
  <c r="O60"/>
  <c r="N60"/>
  <c r="M60"/>
  <c r="K60"/>
  <c r="I60"/>
  <c r="H60"/>
  <c r="G60"/>
  <c r="F60"/>
  <c r="E60"/>
  <c r="D60"/>
  <c r="A60"/>
  <c r="U59"/>
  <c r="T59"/>
  <c r="R59"/>
  <c r="Q59"/>
  <c r="S59"/>
  <c r="P59"/>
  <c r="O59"/>
  <c r="M59"/>
  <c r="L59"/>
  <c r="N59"/>
  <c r="K59"/>
  <c r="J59"/>
  <c r="I59"/>
  <c r="H59"/>
  <c r="G59"/>
  <c r="F59"/>
  <c r="E59"/>
  <c r="A59"/>
  <c r="U58"/>
  <c r="T58"/>
  <c r="R58"/>
  <c r="Q58"/>
  <c r="S58"/>
  <c r="P58"/>
  <c r="O58"/>
  <c r="M58"/>
  <c r="L58"/>
  <c r="N58"/>
  <c r="K58"/>
  <c r="J58"/>
  <c r="I58"/>
  <c r="H58"/>
  <c r="G58"/>
  <c r="F58"/>
  <c r="E58"/>
  <c r="A58"/>
  <c r="U57"/>
  <c r="T57"/>
  <c r="R57"/>
  <c r="Q57"/>
  <c r="S57"/>
  <c r="P57"/>
  <c r="O57"/>
  <c r="M57"/>
  <c r="L57"/>
  <c r="N57"/>
  <c r="K57"/>
  <c r="J57"/>
  <c r="I57"/>
  <c r="H57"/>
  <c r="G57"/>
  <c r="F57"/>
  <c r="E57"/>
  <c r="A57"/>
  <c r="U56"/>
  <c r="T56"/>
  <c r="R56"/>
  <c r="Q56"/>
  <c r="S56"/>
  <c r="P56"/>
  <c r="O56"/>
  <c r="M56"/>
  <c r="L56"/>
  <c r="N56"/>
  <c r="K56"/>
  <c r="J56"/>
  <c r="I56"/>
  <c r="H56"/>
  <c r="G56"/>
  <c r="F56"/>
  <c r="E56"/>
  <c r="A56"/>
  <c r="U55"/>
  <c r="T55"/>
  <c r="R55"/>
  <c r="Q55"/>
  <c r="S55"/>
  <c r="P55"/>
  <c r="O55"/>
  <c r="M55"/>
  <c r="L55"/>
  <c r="N55"/>
  <c r="K55"/>
  <c r="J55"/>
  <c r="I55"/>
  <c r="H55"/>
  <c r="G55"/>
  <c r="F55"/>
  <c r="E55"/>
  <c r="A55"/>
  <c r="U54"/>
  <c r="T54"/>
  <c r="R54"/>
  <c r="Q54"/>
  <c r="S54"/>
  <c r="P54"/>
  <c r="O54"/>
  <c r="M54"/>
  <c r="L54"/>
  <c r="N54"/>
  <c r="K54"/>
  <c r="J54"/>
  <c r="I54"/>
  <c r="H54"/>
  <c r="G54"/>
  <c r="F54"/>
  <c r="E54"/>
  <c r="A54"/>
  <c r="U53"/>
  <c r="T53"/>
  <c r="R53"/>
  <c r="Q53"/>
  <c r="S53"/>
  <c r="P53"/>
  <c r="O53"/>
  <c r="M53"/>
  <c r="L53"/>
  <c r="N53"/>
  <c r="K53"/>
  <c r="J53"/>
  <c r="I53"/>
  <c r="H53"/>
  <c r="G53"/>
  <c r="F53"/>
  <c r="E53"/>
  <c r="A53"/>
  <c r="U52"/>
  <c r="T52"/>
  <c r="R52"/>
  <c r="Q52"/>
  <c r="S52"/>
  <c r="P52"/>
  <c r="O52"/>
  <c r="M52"/>
  <c r="L52"/>
  <c r="N52"/>
  <c r="K52"/>
  <c r="J52"/>
  <c r="I52"/>
  <c r="H52"/>
  <c r="G52"/>
  <c r="F52"/>
  <c r="E52"/>
  <c r="A52"/>
  <c r="U51"/>
  <c r="T51"/>
  <c r="S51"/>
  <c r="R51"/>
  <c r="P51"/>
  <c r="O51"/>
  <c r="N51"/>
  <c r="M51"/>
  <c r="K51"/>
  <c r="I51"/>
  <c r="H51"/>
  <c r="G51"/>
  <c r="F51"/>
  <c r="E51"/>
  <c r="D51"/>
  <c r="A51"/>
  <c r="U50"/>
  <c r="T50"/>
  <c r="R50"/>
  <c r="Q50"/>
  <c r="S50"/>
  <c r="P50"/>
  <c r="O50"/>
  <c r="M50"/>
  <c r="L50"/>
  <c r="N50"/>
  <c r="K50"/>
  <c r="J50"/>
  <c r="I50"/>
  <c r="H50"/>
  <c r="G50"/>
  <c r="F50"/>
  <c r="E50"/>
  <c r="A50"/>
  <c r="U49"/>
  <c r="T49"/>
  <c r="R49"/>
  <c r="Q49"/>
  <c r="S49"/>
  <c r="P49"/>
  <c r="O49"/>
  <c r="M49"/>
  <c r="L49"/>
  <c r="N49"/>
  <c r="K49"/>
  <c r="J49"/>
  <c r="I49"/>
  <c r="H49"/>
  <c r="G49"/>
  <c r="F49"/>
  <c r="E49"/>
  <c r="A49"/>
  <c r="U48"/>
  <c r="T48"/>
  <c r="R48"/>
  <c r="Q48"/>
  <c r="S48"/>
  <c r="P48"/>
  <c r="O48"/>
  <c r="M48"/>
  <c r="L48"/>
  <c r="N48"/>
  <c r="K48"/>
  <c r="J48"/>
  <c r="I48"/>
  <c r="H48"/>
  <c r="G48"/>
  <c r="F48"/>
  <c r="E48"/>
  <c r="A48"/>
  <c r="U47"/>
  <c r="T47"/>
  <c r="R47"/>
  <c r="Q47"/>
  <c r="S47"/>
  <c r="P47"/>
  <c r="O47"/>
  <c r="M47"/>
  <c r="L47"/>
  <c r="N47"/>
  <c r="K47"/>
  <c r="J47"/>
  <c r="I47"/>
  <c r="H47"/>
  <c r="G47"/>
  <c r="F47"/>
  <c r="E47"/>
  <c r="A47"/>
  <c r="U46"/>
  <c r="T46"/>
  <c r="R46"/>
  <c r="Q46"/>
  <c r="S46"/>
  <c r="P46"/>
  <c r="O46"/>
  <c r="M46"/>
  <c r="L46"/>
  <c r="N46"/>
  <c r="K46"/>
  <c r="J46"/>
  <c r="I46"/>
  <c r="H46"/>
  <c r="G46"/>
  <c r="F46"/>
  <c r="E46"/>
  <c r="A46"/>
  <c r="U45"/>
  <c r="T45"/>
  <c r="R45"/>
  <c r="Q45"/>
  <c r="S45"/>
  <c r="P45"/>
  <c r="O45"/>
  <c r="M45"/>
  <c r="L45"/>
  <c r="N45"/>
  <c r="K45"/>
  <c r="J45"/>
  <c r="I45"/>
  <c r="H45"/>
  <c r="G45"/>
  <c r="F45"/>
  <c r="E45"/>
  <c r="A45"/>
  <c r="U44"/>
  <c r="T44"/>
  <c r="R44"/>
  <c r="Q44"/>
  <c r="S44"/>
  <c r="P44"/>
  <c r="O44"/>
  <c r="M44"/>
  <c r="L44"/>
  <c r="N44"/>
  <c r="K44"/>
  <c r="J44"/>
  <c r="I44"/>
  <c r="H44"/>
  <c r="G44"/>
  <c r="F44"/>
  <c r="E44"/>
  <c r="A44"/>
  <c r="U43"/>
  <c r="T43"/>
  <c r="R43"/>
  <c r="Q43"/>
  <c r="S43"/>
  <c r="P43"/>
  <c r="O43"/>
  <c r="M43"/>
  <c r="L43"/>
  <c r="N43"/>
  <c r="K43"/>
  <c r="J43"/>
  <c r="I43"/>
  <c r="H43"/>
  <c r="G43"/>
  <c r="F43"/>
  <c r="E43"/>
  <c r="A43"/>
  <c r="G42"/>
  <c r="A42"/>
  <c r="U41"/>
  <c r="T41"/>
  <c r="S41"/>
  <c r="R41"/>
  <c r="P41"/>
  <c r="O41"/>
  <c r="N41"/>
  <c r="M41"/>
  <c r="K41"/>
  <c r="I41"/>
  <c r="H41"/>
  <c r="G41"/>
  <c r="F41"/>
  <c r="E41"/>
  <c r="D41"/>
  <c r="A41"/>
  <c r="U40"/>
  <c r="T40"/>
  <c r="S40"/>
  <c r="R40"/>
  <c r="P40"/>
  <c r="O40"/>
  <c r="N40"/>
  <c r="M40"/>
  <c r="K40"/>
  <c r="I40"/>
  <c r="H40"/>
  <c r="G40"/>
  <c r="F40"/>
  <c r="E40"/>
  <c r="D40"/>
  <c r="A40"/>
  <c r="U39"/>
  <c r="T39"/>
  <c r="R39"/>
  <c r="Q39"/>
  <c r="S39"/>
  <c r="P39"/>
  <c r="O39"/>
  <c r="M39"/>
  <c r="L39"/>
  <c r="N39"/>
  <c r="K39"/>
  <c r="J39"/>
  <c r="I39"/>
  <c r="H39"/>
  <c r="G39"/>
  <c r="F39"/>
  <c r="E39"/>
  <c r="A39"/>
  <c r="U38"/>
  <c r="T38"/>
  <c r="R38"/>
  <c r="Q38"/>
  <c r="S38"/>
  <c r="P38"/>
  <c r="O38"/>
  <c r="M38"/>
  <c r="L38"/>
  <c r="N38"/>
  <c r="K38"/>
  <c r="J38"/>
  <c r="I38"/>
  <c r="H38"/>
  <c r="G38"/>
  <c r="F38"/>
  <c r="E38"/>
  <c r="A38"/>
  <c r="U37"/>
  <c r="T37"/>
  <c r="R37"/>
  <c r="Q37"/>
  <c r="S37"/>
  <c r="P37"/>
  <c r="O37"/>
  <c r="M37"/>
  <c r="L37"/>
  <c r="N37"/>
  <c r="K37"/>
  <c r="J37"/>
  <c r="I37"/>
  <c r="H37"/>
  <c r="G37"/>
  <c r="F37"/>
  <c r="E37"/>
  <c r="A37"/>
  <c r="U36"/>
  <c r="T36"/>
  <c r="R36"/>
  <c r="Q36"/>
  <c r="S36"/>
  <c r="P36"/>
  <c r="O36"/>
  <c r="M36"/>
  <c r="L36"/>
  <c r="N36"/>
  <c r="K36"/>
  <c r="J36"/>
  <c r="I36"/>
  <c r="H36"/>
  <c r="G36"/>
  <c r="F36"/>
  <c r="E36"/>
  <c r="A36"/>
  <c r="U35"/>
  <c r="T35"/>
  <c r="R35"/>
  <c r="Q35"/>
  <c r="S35"/>
  <c r="P35"/>
  <c r="O35"/>
  <c r="M35"/>
  <c r="L35"/>
  <c r="N35"/>
  <c r="K35"/>
  <c r="J35"/>
  <c r="I35"/>
  <c r="H35"/>
  <c r="G35"/>
  <c r="F35"/>
  <c r="E35"/>
  <c r="A35"/>
  <c r="U34"/>
  <c r="T34"/>
  <c r="R34"/>
  <c r="Q34"/>
  <c r="S34"/>
  <c r="P34"/>
  <c r="O34"/>
  <c r="M34"/>
  <c r="L34"/>
  <c r="N34"/>
  <c r="K34"/>
  <c r="J34"/>
  <c r="I34"/>
  <c r="H34"/>
  <c r="G34"/>
  <c r="F34"/>
  <c r="E34"/>
  <c r="A34"/>
  <c r="U33"/>
  <c r="T33"/>
  <c r="R33"/>
  <c r="Q33"/>
  <c r="S33"/>
  <c r="P33"/>
  <c r="O33"/>
  <c r="M33"/>
  <c r="L33"/>
  <c r="N33"/>
  <c r="K33"/>
  <c r="J33"/>
  <c r="I33"/>
  <c r="H33"/>
  <c r="G33"/>
  <c r="F33"/>
  <c r="E33"/>
  <c r="A33"/>
  <c r="U32"/>
  <c r="T32"/>
  <c r="R32"/>
  <c r="Q32"/>
  <c r="S32"/>
  <c r="P32"/>
  <c r="O32"/>
  <c r="M32"/>
  <c r="L32"/>
  <c r="N32"/>
  <c r="K32"/>
  <c r="J32"/>
  <c r="I32"/>
  <c r="H32"/>
  <c r="G32"/>
  <c r="F32"/>
  <c r="E32"/>
  <c r="A32"/>
  <c r="G31"/>
  <c r="A31"/>
  <c r="U30"/>
  <c r="T30"/>
  <c r="S30"/>
  <c r="R30"/>
  <c r="P30"/>
  <c r="O30"/>
  <c r="N30"/>
  <c r="M30"/>
  <c r="K30"/>
  <c r="I30"/>
  <c r="H30"/>
  <c r="G30"/>
  <c r="F30"/>
  <c r="E30"/>
  <c r="D30"/>
  <c r="A30"/>
  <c r="U29"/>
  <c r="T29"/>
  <c r="S29"/>
  <c r="R29"/>
  <c r="P29"/>
  <c r="O29"/>
  <c r="N29"/>
  <c r="M29"/>
  <c r="K29"/>
  <c r="I29"/>
  <c r="H29"/>
  <c r="G29"/>
  <c r="F29"/>
  <c r="E29"/>
  <c r="D29"/>
  <c r="A29"/>
  <c r="U28"/>
  <c r="T28"/>
  <c r="S28"/>
  <c r="R28"/>
  <c r="P28"/>
  <c r="O28"/>
  <c r="N28"/>
  <c r="M28"/>
  <c r="K28"/>
  <c r="I28"/>
  <c r="H28"/>
  <c r="G28"/>
  <c r="F28"/>
  <c r="E28"/>
  <c r="D28"/>
  <c r="A28"/>
  <c r="U27"/>
  <c r="T27"/>
  <c r="S27"/>
  <c r="R27"/>
  <c r="P27"/>
  <c r="O27"/>
  <c r="N27"/>
  <c r="M27"/>
  <c r="K27"/>
  <c r="I27"/>
  <c r="H27"/>
  <c r="G27"/>
  <c r="F27"/>
  <c r="E27"/>
  <c r="D27"/>
  <c r="A27"/>
  <c r="U26"/>
  <c r="T26"/>
  <c r="S26"/>
  <c r="R26"/>
  <c r="P26"/>
  <c r="O26"/>
  <c r="N26"/>
  <c r="M26"/>
  <c r="K26"/>
  <c r="I26"/>
  <c r="H26"/>
  <c r="G26"/>
  <c r="F26"/>
  <c r="E26"/>
  <c r="D26"/>
  <c r="A26"/>
  <c r="U25"/>
  <c r="T25"/>
  <c r="S25"/>
  <c r="R25"/>
  <c r="P25"/>
  <c r="O25"/>
  <c r="N25"/>
  <c r="M25"/>
  <c r="K25"/>
  <c r="I25"/>
  <c r="H25"/>
  <c r="G25"/>
  <c r="F25"/>
  <c r="E25"/>
  <c r="D25"/>
  <c r="A25"/>
  <c r="U24"/>
  <c r="T24"/>
  <c r="S24"/>
  <c r="R24"/>
  <c r="P24"/>
  <c r="O24"/>
  <c r="N24"/>
  <c r="M24"/>
  <c r="K24"/>
  <c r="I24"/>
  <c r="H24"/>
  <c r="G24"/>
  <c r="F24"/>
  <c r="E24"/>
  <c r="D24"/>
  <c r="A24"/>
  <c r="U23"/>
  <c r="T23"/>
  <c r="R23"/>
  <c r="Q23"/>
  <c r="S23"/>
  <c r="P23"/>
  <c r="O23"/>
  <c r="M23"/>
  <c r="L23"/>
  <c r="N23"/>
  <c r="K23"/>
  <c r="J23"/>
  <c r="I23"/>
  <c r="H23"/>
  <c r="G23"/>
  <c r="F23"/>
  <c r="E23"/>
  <c r="A23"/>
  <c r="U22"/>
  <c r="T22"/>
  <c r="R22"/>
  <c r="Q22"/>
  <c r="S22"/>
  <c r="P22"/>
  <c r="O22"/>
  <c r="M22"/>
  <c r="L22"/>
  <c r="N22"/>
  <c r="K22"/>
  <c r="J22"/>
  <c r="I22"/>
  <c r="H22"/>
  <c r="G22"/>
  <c r="F22"/>
  <c r="E22"/>
  <c r="A22"/>
  <c r="U21"/>
  <c r="T21"/>
  <c r="R21"/>
  <c r="Q21"/>
  <c r="S21"/>
  <c r="P21"/>
  <c r="O21"/>
  <c r="M21"/>
  <c r="L21"/>
  <c r="N21"/>
  <c r="K21"/>
  <c r="J21"/>
  <c r="I21"/>
  <c r="H21"/>
  <c r="G21"/>
  <c r="F21"/>
  <c r="E21"/>
  <c r="A21"/>
  <c r="U20"/>
  <c r="T20"/>
  <c r="R20"/>
  <c r="Q20"/>
  <c r="S20"/>
  <c r="P20"/>
  <c r="O20"/>
  <c r="M20"/>
  <c r="L20"/>
  <c r="N20"/>
  <c r="K20"/>
  <c r="J20"/>
  <c r="I20"/>
  <c r="H20"/>
  <c r="G20"/>
  <c r="F20"/>
  <c r="E20"/>
  <c r="A20"/>
  <c r="U19"/>
  <c r="T19"/>
  <c r="R19"/>
  <c r="Q19"/>
  <c r="S19"/>
  <c r="P19"/>
  <c r="O19"/>
  <c r="M19"/>
  <c r="L19"/>
  <c r="N19"/>
  <c r="K19"/>
  <c r="J19"/>
  <c r="I19"/>
  <c r="H19"/>
  <c r="G19"/>
  <c r="F19"/>
  <c r="E19"/>
  <c r="A19"/>
  <c r="G18"/>
  <c r="A18"/>
  <c r="U17"/>
  <c r="T17"/>
  <c r="R17"/>
  <c r="Q17"/>
  <c r="S17"/>
  <c r="P17"/>
  <c r="O17"/>
  <c r="M17"/>
  <c r="L17"/>
  <c r="N17"/>
  <c r="K17"/>
  <c r="J17"/>
  <c r="I17"/>
  <c r="H17"/>
  <c r="G17"/>
  <c r="F17"/>
  <c r="E17"/>
  <c r="A17"/>
  <c r="U16"/>
  <c r="T16"/>
  <c r="R16"/>
  <c r="Q16"/>
  <c r="S16"/>
  <c r="P16"/>
  <c r="O16"/>
  <c r="M16"/>
  <c r="L16"/>
  <c r="N16"/>
  <c r="K16"/>
  <c r="J16"/>
  <c r="I16"/>
  <c r="H16"/>
  <c r="G16"/>
  <c r="F16"/>
  <c r="E16"/>
  <c r="A16"/>
  <c r="U15"/>
  <c r="T15"/>
  <c r="S15"/>
  <c r="R15"/>
  <c r="P15"/>
  <c r="O15"/>
  <c r="N15"/>
  <c r="M15"/>
  <c r="K15"/>
  <c r="I15"/>
  <c r="H15"/>
  <c r="G15"/>
  <c r="F15"/>
  <c r="E15"/>
  <c r="D15"/>
  <c r="A15"/>
  <c r="U14"/>
  <c r="T14"/>
  <c r="S14"/>
  <c r="R14"/>
  <c r="P14"/>
  <c r="O14"/>
  <c r="N14"/>
  <c r="M14"/>
  <c r="K14"/>
  <c r="I14"/>
  <c r="H14"/>
  <c r="G14"/>
  <c r="F14"/>
  <c r="E14"/>
  <c r="D14"/>
  <c r="A14"/>
  <c r="U13"/>
  <c r="T13"/>
  <c r="R13"/>
  <c r="Q13"/>
  <c r="S13"/>
  <c r="P13"/>
  <c r="O13"/>
  <c r="M13"/>
  <c r="L13"/>
  <c r="N13"/>
  <c r="K13"/>
  <c r="J13"/>
  <c r="I13"/>
  <c r="H13"/>
  <c r="G13"/>
  <c r="F13"/>
  <c r="E13"/>
  <c r="A13"/>
  <c r="U12"/>
  <c r="T12"/>
  <c r="R12"/>
  <c r="Q12"/>
  <c r="S12"/>
  <c r="P12"/>
  <c r="O12"/>
  <c r="M12"/>
  <c r="L12"/>
  <c r="N12"/>
  <c r="K12"/>
  <c r="J12"/>
  <c r="I12"/>
  <c r="H12"/>
  <c r="G12"/>
  <c r="F12"/>
  <c r="E12"/>
  <c r="A12"/>
  <c r="U11"/>
  <c r="T11"/>
  <c r="R11"/>
  <c r="Q11"/>
  <c r="S11"/>
  <c r="P11"/>
  <c r="O11"/>
  <c r="M11"/>
  <c r="L11"/>
  <c r="N11"/>
  <c r="K11"/>
  <c r="J11"/>
  <c r="I11"/>
  <c r="H11"/>
  <c r="G11"/>
  <c r="F11"/>
  <c r="E11"/>
  <c r="A11"/>
  <c r="U10"/>
  <c r="T10"/>
  <c r="R10"/>
  <c r="Q10"/>
  <c r="S10"/>
  <c r="P10"/>
  <c r="O10"/>
  <c r="M10"/>
  <c r="L10"/>
  <c r="N10"/>
  <c r="K10"/>
  <c r="J10"/>
  <c r="I10"/>
  <c r="H10"/>
  <c r="G10"/>
  <c r="F10"/>
  <c r="E10"/>
  <c r="A10"/>
  <c r="U9"/>
  <c r="T9"/>
  <c r="R9"/>
  <c r="Q9"/>
  <c r="S9"/>
  <c r="P9"/>
  <c r="O9"/>
  <c r="M9"/>
  <c r="L9"/>
  <c r="N9"/>
  <c r="K9"/>
  <c r="J9"/>
  <c r="I9"/>
  <c r="H9"/>
  <c r="G9"/>
  <c r="F9"/>
  <c r="E9"/>
  <c r="A9"/>
  <c r="U8"/>
  <c r="T8"/>
  <c r="R8"/>
  <c r="Q8"/>
  <c r="S8"/>
  <c r="P8"/>
  <c r="O8"/>
  <c r="M8"/>
  <c r="L8"/>
  <c r="N8"/>
  <c r="K8"/>
  <c r="J8"/>
  <c r="I8"/>
  <c r="H8"/>
  <c r="G8"/>
  <c r="F8"/>
  <c r="E8"/>
  <c r="A8"/>
  <c r="G7"/>
  <c r="A7"/>
  <c r="G6"/>
  <c r="A6"/>
  <c r="D77" i="7"/>
  <c r="C77"/>
  <c r="B77"/>
  <c r="A77"/>
  <c r="D76"/>
  <c r="C76"/>
  <c r="B76"/>
  <c r="A76"/>
  <c r="D75"/>
  <c r="C75"/>
  <c r="B75"/>
  <c r="A75"/>
  <c r="D74"/>
  <c r="C74"/>
  <c r="B74"/>
  <c r="A74"/>
  <c r="A73"/>
  <c r="D72"/>
  <c r="C72"/>
  <c r="B72"/>
  <c r="A72"/>
  <c r="D71"/>
  <c r="C71"/>
  <c r="B71"/>
  <c r="A71"/>
  <c r="D70"/>
  <c r="C70"/>
  <c r="B70"/>
  <c r="A70"/>
  <c r="A69"/>
  <c r="D68"/>
  <c r="C68"/>
  <c r="B68"/>
  <c r="A68"/>
  <c r="D67"/>
  <c r="C67"/>
  <c r="B67"/>
  <c r="A67"/>
  <c r="D66"/>
  <c r="C66"/>
  <c r="B66"/>
  <c r="A66"/>
  <c r="D65"/>
  <c r="C65"/>
  <c r="B65"/>
  <c r="A65"/>
  <c r="D64"/>
  <c r="C64"/>
  <c r="B64"/>
  <c r="A64"/>
  <c r="D63"/>
  <c r="C63"/>
  <c r="B63"/>
  <c r="A63"/>
  <c r="D62"/>
  <c r="C62"/>
  <c r="B62"/>
  <c r="A62"/>
  <c r="D61"/>
  <c r="C61"/>
  <c r="B61"/>
  <c r="A61"/>
  <c r="D60"/>
  <c r="C60"/>
  <c r="B60"/>
  <c r="A60"/>
  <c r="D59"/>
  <c r="C59"/>
  <c r="B59"/>
  <c r="A59"/>
  <c r="D58"/>
  <c r="C58"/>
  <c r="B58"/>
  <c r="A58"/>
  <c r="D57"/>
  <c r="C57"/>
  <c r="B57"/>
  <c r="A57"/>
  <c r="D56"/>
  <c r="C56"/>
  <c r="B56"/>
  <c r="A56"/>
  <c r="D55"/>
  <c r="C55"/>
  <c r="B55"/>
  <c r="A55"/>
  <c r="D54"/>
  <c r="C54"/>
  <c r="B54"/>
  <c r="A54"/>
  <c r="A53"/>
  <c r="D52"/>
  <c r="C52"/>
  <c r="B52"/>
  <c r="A52"/>
  <c r="D51"/>
  <c r="C51"/>
  <c r="B51"/>
  <c r="A51"/>
  <c r="D50"/>
  <c r="C50"/>
  <c r="B50"/>
  <c r="A50"/>
  <c r="D49"/>
  <c r="C49"/>
  <c r="B49"/>
  <c r="A49"/>
  <c r="D48"/>
  <c r="C48"/>
  <c r="B48"/>
  <c r="A48"/>
  <c r="D47"/>
  <c r="C47"/>
  <c r="B47"/>
  <c r="A47"/>
  <c r="D46"/>
  <c r="C46"/>
  <c r="B46"/>
  <c r="A46"/>
  <c r="A45"/>
  <c r="D44"/>
  <c r="C44"/>
  <c r="B44"/>
  <c r="A44"/>
  <c r="D43"/>
  <c r="C43"/>
  <c r="B43"/>
  <c r="A43"/>
  <c r="D42"/>
  <c r="C42"/>
  <c r="B42"/>
  <c r="A42"/>
  <c r="D41"/>
  <c r="C41"/>
  <c r="B41"/>
  <c r="A41"/>
  <c r="D40"/>
  <c r="C40"/>
  <c r="B40"/>
  <c r="A40"/>
  <c r="D39"/>
  <c r="C39"/>
  <c r="B39"/>
  <c r="A39"/>
  <c r="D38"/>
  <c r="C38"/>
  <c r="B38"/>
  <c r="A38"/>
  <c r="D37"/>
  <c r="C37"/>
  <c r="B37"/>
  <c r="A37"/>
  <c r="D36"/>
  <c r="C36"/>
  <c r="B36"/>
  <c r="A36"/>
  <c r="D35"/>
  <c r="C35"/>
  <c r="B35"/>
  <c r="A35"/>
  <c r="D34"/>
  <c r="C34"/>
  <c r="B34"/>
  <c r="A34"/>
  <c r="D33"/>
  <c r="C33"/>
  <c r="B33"/>
  <c r="A33"/>
  <c r="A32"/>
  <c r="D31"/>
  <c r="C31"/>
  <c r="B31"/>
  <c r="A31"/>
  <c r="D30"/>
  <c r="C30"/>
  <c r="B30"/>
  <c r="A30"/>
  <c r="D29"/>
  <c r="C29"/>
  <c r="B29"/>
  <c r="A29"/>
  <c r="D28"/>
  <c r="C28"/>
  <c r="B28"/>
  <c r="A28"/>
  <c r="D27"/>
  <c r="C27"/>
  <c r="B27"/>
  <c r="A27"/>
  <c r="D26"/>
  <c r="C26"/>
  <c r="B26"/>
  <c r="A26"/>
  <c r="D25"/>
  <c r="C25"/>
  <c r="B25"/>
  <c r="A25"/>
  <c r="D24"/>
  <c r="C24"/>
  <c r="B24"/>
  <c r="A24"/>
  <c r="D23"/>
  <c r="C23"/>
  <c r="B23"/>
  <c r="A23"/>
  <c r="D22"/>
  <c r="C22"/>
  <c r="B22"/>
  <c r="A22"/>
  <c r="D21"/>
  <c r="C21"/>
  <c r="B21"/>
  <c r="A21"/>
  <c r="D20"/>
  <c r="C20"/>
  <c r="B20"/>
  <c r="A20"/>
  <c r="A19"/>
  <c r="A11"/>
  <c r="A1"/>
  <c r="D77" i="6"/>
  <c r="C77"/>
  <c r="B77"/>
  <c r="A77"/>
  <c r="D76"/>
  <c r="C76"/>
  <c r="B76"/>
  <c r="A76"/>
  <c r="D75"/>
  <c r="C75"/>
  <c r="B75"/>
  <c r="A75"/>
  <c r="D74"/>
  <c r="C74"/>
  <c r="B74"/>
  <c r="A74"/>
  <c r="A73"/>
  <c r="D72"/>
  <c r="C72"/>
  <c r="B72"/>
  <c r="A72"/>
  <c r="D71"/>
  <c r="C71"/>
  <c r="B71"/>
  <c r="A71"/>
  <c r="D70"/>
  <c r="C70"/>
  <c r="B70"/>
  <c r="A70"/>
  <c r="A69"/>
  <c r="D68"/>
  <c r="C68"/>
  <c r="B68"/>
  <c r="A68"/>
  <c r="D67"/>
  <c r="C67"/>
  <c r="B67"/>
  <c r="A67"/>
  <c r="D66"/>
  <c r="C66"/>
  <c r="B66"/>
  <c r="A66"/>
  <c r="D65"/>
  <c r="C65"/>
  <c r="B65"/>
  <c r="A65"/>
  <c r="D64"/>
  <c r="C64"/>
  <c r="B64"/>
  <c r="A64"/>
  <c r="D63"/>
  <c r="C63"/>
  <c r="B63"/>
  <c r="A63"/>
  <c r="D62"/>
  <c r="C62"/>
  <c r="B62"/>
  <c r="A62"/>
  <c r="D61"/>
  <c r="C61"/>
  <c r="B61"/>
  <c r="A61"/>
  <c r="D60"/>
  <c r="C60"/>
  <c r="B60"/>
  <c r="A60"/>
  <c r="D59"/>
  <c r="C59"/>
  <c r="B59"/>
  <c r="A59"/>
  <c r="D58"/>
  <c r="C58"/>
  <c r="B58"/>
  <c r="A58"/>
  <c r="D57"/>
  <c r="C57"/>
  <c r="B57"/>
  <c r="A57"/>
  <c r="D56"/>
  <c r="C56"/>
  <c r="B56"/>
  <c r="A56"/>
  <c r="D55"/>
  <c r="C55"/>
  <c r="B55"/>
  <c r="A55"/>
  <c r="D54"/>
  <c r="C54"/>
  <c r="B54"/>
  <c r="A54"/>
  <c r="A53"/>
  <c r="D52"/>
  <c r="C52"/>
  <c r="B52"/>
  <c r="A52"/>
  <c r="D51"/>
  <c r="C51"/>
  <c r="B51"/>
  <c r="A51"/>
  <c r="D50"/>
  <c r="C50"/>
  <c r="B50"/>
  <c r="A50"/>
  <c r="D49"/>
  <c r="C49"/>
  <c r="B49"/>
  <c r="A49"/>
  <c r="D48"/>
  <c r="C48"/>
  <c r="B48"/>
  <c r="A48"/>
  <c r="D47"/>
  <c r="C47"/>
  <c r="B47"/>
  <c r="A47"/>
  <c r="D46"/>
  <c r="C46"/>
  <c r="B46"/>
  <c r="A46"/>
  <c r="A45"/>
  <c r="D44"/>
  <c r="C44"/>
  <c r="B44"/>
  <c r="A44"/>
  <c r="D43"/>
  <c r="C43"/>
  <c r="B43"/>
  <c r="A43"/>
  <c r="D42"/>
  <c r="C42"/>
  <c r="B42"/>
  <c r="A42"/>
  <c r="D41"/>
  <c r="C41"/>
  <c r="B41"/>
  <c r="A41"/>
  <c r="D40"/>
  <c r="C40"/>
  <c r="B40"/>
  <c r="A40"/>
  <c r="D39"/>
  <c r="C39"/>
  <c r="B39"/>
  <c r="A39"/>
  <c r="D38"/>
  <c r="C38"/>
  <c r="B38"/>
  <c r="A38"/>
  <c r="D37"/>
  <c r="C37"/>
  <c r="B37"/>
  <c r="A37"/>
  <c r="D36"/>
  <c r="C36"/>
  <c r="B36"/>
  <c r="A36"/>
  <c r="D35"/>
  <c r="C35"/>
  <c r="B35"/>
  <c r="A35"/>
  <c r="D34"/>
  <c r="C34"/>
  <c r="B34"/>
  <c r="A34"/>
  <c r="D33"/>
  <c r="C33"/>
  <c r="B33"/>
  <c r="A33"/>
  <c r="A32"/>
  <c r="D31"/>
  <c r="C31"/>
  <c r="B31"/>
  <c r="A31"/>
  <c r="D30"/>
  <c r="C30"/>
  <c r="B30"/>
  <c r="A30"/>
  <c r="D29"/>
  <c r="C29"/>
  <c r="B29"/>
  <c r="A29"/>
  <c r="D28"/>
  <c r="C28"/>
  <c r="B28"/>
  <c r="A28"/>
  <c r="D27"/>
  <c r="C27"/>
  <c r="B27"/>
  <c r="A27"/>
  <c r="D26"/>
  <c r="C26"/>
  <c r="B26"/>
  <c r="A26"/>
  <c r="D25"/>
  <c r="C25"/>
  <c r="B25"/>
  <c r="A25"/>
  <c r="D24"/>
  <c r="C24"/>
  <c r="B24"/>
  <c r="A24"/>
  <c r="D23"/>
  <c r="C23"/>
  <c r="B23"/>
  <c r="A23"/>
  <c r="D22"/>
  <c r="C22"/>
  <c r="B22"/>
  <c r="A22"/>
  <c r="D21"/>
  <c r="C21"/>
  <c r="B21"/>
  <c r="A21"/>
  <c r="D20"/>
  <c r="C20"/>
  <c r="B20"/>
  <c r="A20"/>
  <c r="A19"/>
  <c r="A11"/>
  <c r="A1"/>
  <c r="H408" i="5"/>
  <c r="H405"/>
  <c r="C408"/>
  <c r="C405"/>
  <c r="I402"/>
  <c r="C402"/>
  <c r="I401"/>
  <c r="C401"/>
  <c r="I400"/>
  <c r="C400"/>
  <c r="I399"/>
  <c r="C399"/>
  <c r="I24"/>
  <c r="I23"/>
  <c r="I22"/>
  <c r="I21"/>
  <c r="I20"/>
  <c r="I19"/>
  <c r="AF398"/>
  <c r="A398"/>
  <c r="I395"/>
  <c r="C395"/>
  <c r="I394"/>
  <c r="C394"/>
  <c r="I393"/>
  <c r="C393"/>
  <c r="AF391"/>
  <c r="A391"/>
  <c r="K388"/>
  <c r="H388"/>
  <c r="G388"/>
  <c r="E388"/>
  <c r="E387"/>
  <c r="E386"/>
  <c r="J385"/>
  <c r="I385"/>
  <c r="H385"/>
  <c r="G385"/>
  <c r="F385"/>
  <c r="J384"/>
  <c r="I384"/>
  <c r="H384"/>
  <c r="G384"/>
  <c r="F384"/>
  <c r="C383"/>
  <c r="V382"/>
  <c r="T382"/>
  <c r="J387" s="1"/>
  <c r="R382"/>
  <c r="J386" s="1"/>
  <c r="U382"/>
  <c r="S382"/>
  <c r="Q382"/>
  <c r="E382"/>
  <c r="D382"/>
  <c r="C382"/>
  <c r="B382"/>
  <c r="A382"/>
  <c r="K380"/>
  <c r="H380"/>
  <c r="G380"/>
  <c r="E380"/>
  <c r="E379"/>
  <c r="E378"/>
  <c r="J377"/>
  <c r="I377"/>
  <c r="H377"/>
  <c r="G377"/>
  <c r="F377"/>
  <c r="J376"/>
  <c r="I376"/>
  <c r="H376"/>
  <c r="G376"/>
  <c r="F376"/>
  <c r="C375"/>
  <c r="V374"/>
  <c r="T374"/>
  <c r="J379" s="1"/>
  <c r="R374"/>
  <c r="J378" s="1"/>
  <c r="U374"/>
  <c r="S374"/>
  <c r="Q374"/>
  <c r="E374"/>
  <c r="D374"/>
  <c r="C374"/>
  <c r="B374"/>
  <c r="A374"/>
  <c r="K372"/>
  <c r="H372"/>
  <c r="G372"/>
  <c r="E372"/>
  <c r="E371"/>
  <c r="E370"/>
  <c r="J369"/>
  <c r="I369"/>
  <c r="H369"/>
  <c r="G369"/>
  <c r="F369"/>
  <c r="J368"/>
  <c r="I368"/>
  <c r="H368"/>
  <c r="G368"/>
  <c r="F368"/>
  <c r="C367"/>
  <c r="V366"/>
  <c r="T366"/>
  <c r="J371" s="1"/>
  <c r="R366"/>
  <c r="J370" s="1"/>
  <c r="U366"/>
  <c r="S366"/>
  <c r="Q366"/>
  <c r="E366"/>
  <c r="D366"/>
  <c r="C366"/>
  <c r="B366"/>
  <c r="A366"/>
  <c r="K364"/>
  <c r="H364"/>
  <c r="G364"/>
  <c r="E364"/>
  <c r="E363"/>
  <c r="E362"/>
  <c r="E361"/>
  <c r="J360"/>
  <c r="I360"/>
  <c r="H360"/>
  <c r="G360"/>
  <c r="F360"/>
  <c r="J359"/>
  <c r="I359"/>
  <c r="H359"/>
  <c r="G359"/>
  <c r="F359"/>
  <c r="J358"/>
  <c r="I358"/>
  <c r="H358"/>
  <c r="G358"/>
  <c r="F358"/>
  <c r="J357"/>
  <c r="I357"/>
  <c r="H357"/>
  <c r="G357"/>
  <c r="F357"/>
  <c r="C356"/>
  <c r="V355"/>
  <c r="J363" s="1"/>
  <c r="T355"/>
  <c r="J362" s="1"/>
  <c r="R355"/>
  <c r="J361" s="1"/>
  <c r="U355"/>
  <c r="S355"/>
  <c r="Q355"/>
  <c r="E355"/>
  <c r="D355"/>
  <c r="C355"/>
  <c r="B355"/>
  <c r="A355"/>
  <c r="A354"/>
  <c r="I352"/>
  <c r="C352"/>
  <c r="I351"/>
  <c r="C351"/>
  <c r="I350"/>
  <c r="C350"/>
  <c r="A348"/>
  <c r="K345"/>
  <c r="H345"/>
  <c r="G345"/>
  <c r="E345"/>
  <c r="E344"/>
  <c r="E343"/>
  <c r="E342"/>
  <c r="J341"/>
  <c r="I341"/>
  <c r="H341"/>
  <c r="G341"/>
  <c r="F341"/>
  <c r="J340"/>
  <c r="I340"/>
  <c r="H340"/>
  <c r="G340"/>
  <c r="F340"/>
  <c r="J339"/>
  <c r="I339"/>
  <c r="H339"/>
  <c r="G339"/>
  <c r="F339"/>
  <c r="J338"/>
  <c r="I338"/>
  <c r="H338"/>
  <c r="G338"/>
  <c r="F338"/>
  <c r="C337"/>
  <c r="V336"/>
  <c r="J344" s="1"/>
  <c r="T336"/>
  <c r="J343" s="1"/>
  <c r="R336"/>
  <c r="J342" s="1"/>
  <c r="U336"/>
  <c r="S336"/>
  <c r="Q336"/>
  <c r="E336"/>
  <c r="D336"/>
  <c r="C336"/>
  <c r="B336"/>
  <c r="A336"/>
  <c r="K334"/>
  <c r="H334"/>
  <c r="G334"/>
  <c r="E334"/>
  <c r="E333"/>
  <c r="E332"/>
  <c r="J331"/>
  <c r="I331"/>
  <c r="H331"/>
  <c r="G331"/>
  <c r="F331"/>
  <c r="J330"/>
  <c r="I330"/>
  <c r="H330"/>
  <c r="G330"/>
  <c r="F330"/>
  <c r="C329"/>
  <c r="V328"/>
  <c r="T328"/>
  <c r="J333" s="1"/>
  <c r="R328"/>
  <c r="J332" s="1"/>
  <c r="U328"/>
  <c r="S328"/>
  <c r="Q328"/>
  <c r="E328"/>
  <c r="D328"/>
  <c r="C328"/>
  <c r="B328"/>
  <c r="A328"/>
  <c r="K326"/>
  <c r="H326"/>
  <c r="G326"/>
  <c r="E326"/>
  <c r="E325"/>
  <c r="E324"/>
  <c r="J323"/>
  <c r="I323"/>
  <c r="H323"/>
  <c r="G323"/>
  <c r="F323"/>
  <c r="J322"/>
  <c r="I322"/>
  <c r="H322"/>
  <c r="G322"/>
  <c r="F322"/>
  <c r="C321"/>
  <c r="V320"/>
  <c r="T320"/>
  <c r="J325" s="1"/>
  <c r="R320"/>
  <c r="J324" s="1"/>
  <c r="U320"/>
  <c r="S320"/>
  <c r="Q320"/>
  <c r="E320"/>
  <c r="D320"/>
  <c r="C320"/>
  <c r="B320"/>
  <c r="A320"/>
  <c r="A319"/>
  <c r="I317"/>
  <c r="C317"/>
  <c r="I316"/>
  <c r="C316"/>
  <c r="I315"/>
  <c r="C315"/>
  <c r="A313"/>
  <c r="K310"/>
  <c r="H310"/>
  <c r="G310"/>
  <c r="E310"/>
  <c r="E309"/>
  <c r="E308"/>
  <c r="E307"/>
  <c r="J306"/>
  <c r="I306"/>
  <c r="H306"/>
  <c r="F306"/>
  <c r="V306"/>
  <c r="T306"/>
  <c r="R306"/>
  <c r="U306"/>
  <c r="S306"/>
  <c r="Q306"/>
  <c r="E306"/>
  <c r="D306"/>
  <c r="B306"/>
  <c r="A306"/>
  <c r="J305"/>
  <c r="I305"/>
  <c r="H305"/>
  <c r="F305"/>
  <c r="V305"/>
  <c r="T305"/>
  <c r="R305"/>
  <c r="U305"/>
  <c r="S305"/>
  <c r="Q305"/>
  <c r="E305"/>
  <c r="D305"/>
  <c r="B305"/>
  <c r="A305"/>
  <c r="J304"/>
  <c r="I304"/>
  <c r="H304"/>
  <c r="F304"/>
  <c r="V304"/>
  <c r="T304"/>
  <c r="R304"/>
  <c r="U304"/>
  <c r="S304"/>
  <c r="Q304"/>
  <c r="E304"/>
  <c r="D304"/>
  <c r="B304"/>
  <c r="A304"/>
  <c r="J303"/>
  <c r="I303"/>
  <c r="H303"/>
  <c r="F303"/>
  <c r="V303"/>
  <c r="T303"/>
  <c r="R303"/>
  <c r="U303"/>
  <c r="S303"/>
  <c r="Q303"/>
  <c r="E303"/>
  <c r="D303"/>
  <c r="B303"/>
  <c r="A303"/>
  <c r="J302"/>
  <c r="I302"/>
  <c r="H302"/>
  <c r="G302"/>
  <c r="F302"/>
  <c r="J301"/>
  <c r="I301"/>
  <c r="H301"/>
  <c r="G301"/>
  <c r="F301"/>
  <c r="J300"/>
  <c r="I300"/>
  <c r="H300"/>
  <c r="G300"/>
  <c r="F300"/>
  <c r="J299"/>
  <c r="I299"/>
  <c r="H299"/>
  <c r="G299"/>
  <c r="F299"/>
  <c r="C298"/>
  <c r="V297"/>
  <c r="T297"/>
  <c r="R297"/>
  <c r="U297"/>
  <c r="S297"/>
  <c r="Q297"/>
  <c r="E297"/>
  <c r="D297"/>
  <c r="C297"/>
  <c r="B297"/>
  <c r="A297"/>
  <c r="K295"/>
  <c r="H295"/>
  <c r="G295"/>
  <c r="E295"/>
  <c r="E294"/>
  <c r="J293"/>
  <c r="E293"/>
  <c r="J292"/>
  <c r="I292"/>
  <c r="H292"/>
  <c r="G292"/>
  <c r="F292"/>
  <c r="C291"/>
  <c r="V290"/>
  <c r="T290"/>
  <c r="J294" s="1"/>
  <c r="R290"/>
  <c r="U290"/>
  <c r="S290"/>
  <c r="Q290"/>
  <c r="E290"/>
  <c r="D290"/>
  <c r="C290"/>
  <c r="B290"/>
  <c r="A290"/>
  <c r="E288"/>
  <c r="J287"/>
  <c r="I287"/>
  <c r="H287"/>
  <c r="G287"/>
  <c r="F287"/>
  <c r="J286"/>
  <c r="I286"/>
  <c r="H286"/>
  <c r="G286"/>
  <c r="F286"/>
  <c r="C285"/>
  <c r="V284"/>
  <c r="J288" s="1"/>
  <c r="T284"/>
  <c r="R284"/>
  <c r="U284"/>
  <c r="S284"/>
  <c r="Q284"/>
  <c r="E284"/>
  <c r="D284"/>
  <c r="C284"/>
  <c r="B284"/>
  <c r="A284"/>
  <c r="K282"/>
  <c r="H282"/>
  <c r="G282"/>
  <c r="E282"/>
  <c r="E281"/>
  <c r="E280"/>
  <c r="E279"/>
  <c r="J278"/>
  <c r="I278"/>
  <c r="H278"/>
  <c r="G278"/>
  <c r="F278"/>
  <c r="J277"/>
  <c r="I277"/>
  <c r="H277"/>
  <c r="G277"/>
  <c r="F277"/>
  <c r="J276"/>
  <c r="I276"/>
  <c r="H276"/>
  <c r="G276"/>
  <c r="F276"/>
  <c r="J275"/>
  <c r="I275"/>
  <c r="H275"/>
  <c r="G275"/>
  <c r="F275"/>
  <c r="C274"/>
  <c r="V273"/>
  <c r="J281" s="1"/>
  <c r="T273"/>
  <c r="J280" s="1"/>
  <c r="R273"/>
  <c r="J279" s="1"/>
  <c r="U273"/>
  <c r="S273"/>
  <c r="Q273"/>
  <c r="E273"/>
  <c r="D273"/>
  <c r="C273"/>
  <c r="B273"/>
  <c r="A273"/>
  <c r="K271"/>
  <c r="H271"/>
  <c r="G271"/>
  <c r="E271"/>
  <c r="E270"/>
  <c r="E269"/>
  <c r="J268"/>
  <c r="I268"/>
  <c r="H268"/>
  <c r="G268"/>
  <c r="F268"/>
  <c r="J267"/>
  <c r="I267"/>
  <c r="H267"/>
  <c r="G267"/>
  <c r="F267"/>
  <c r="C266"/>
  <c r="V265"/>
  <c r="T265"/>
  <c r="J270" s="1"/>
  <c r="R265"/>
  <c r="J269" s="1"/>
  <c r="U265"/>
  <c r="S265"/>
  <c r="Q265"/>
  <c r="E265"/>
  <c r="D265"/>
  <c r="C265"/>
  <c r="B265"/>
  <c r="A265"/>
  <c r="K263"/>
  <c r="H263"/>
  <c r="G263"/>
  <c r="E263"/>
  <c r="E262"/>
  <c r="E261"/>
  <c r="E260"/>
  <c r="J259"/>
  <c r="I259"/>
  <c r="H259"/>
  <c r="F259"/>
  <c r="V259"/>
  <c r="T259"/>
  <c r="R259"/>
  <c r="U259"/>
  <c r="S259"/>
  <c r="Q259"/>
  <c r="E259"/>
  <c r="D259"/>
  <c r="B259"/>
  <c r="A259"/>
  <c r="J258"/>
  <c r="I258"/>
  <c r="H258"/>
  <c r="G258"/>
  <c r="F258"/>
  <c r="J257"/>
  <c r="I257"/>
  <c r="H257"/>
  <c r="G257"/>
  <c r="F257"/>
  <c r="J256"/>
  <c r="I256"/>
  <c r="H256"/>
  <c r="G256"/>
  <c r="F256"/>
  <c r="J255"/>
  <c r="I255"/>
  <c r="H255"/>
  <c r="G255"/>
  <c r="F255"/>
  <c r="C254"/>
  <c r="V253"/>
  <c r="J262" s="1"/>
  <c r="T253"/>
  <c r="J261" s="1"/>
  <c r="R253"/>
  <c r="J260" s="1"/>
  <c r="U253"/>
  <c r="S253"/>
  <c r="Q253"/>
  <c r="E253"/>
  <c r="D253"/>
  <c r="C253"/>
  <c r="B253"/>
  <c r="A253"/>
  <c r="K251"/>
  <c r="H251"/>
  <c r="G251"/>
  <c r="E251"/>
  <c r="E250"/>
  <c r="E249"/>
  <c r="J248"/>
  <c r="I248"/>
  <c r="H248"/>
  <c r="G248"/>
  <c r="F248"/>
  <c r="C247"/>
  <c r="V246"/>
  <c r="T246"/>
  <c r="J250" s="1"/>
  <c r="R246"/>
  <c r="J249" s="1"/>
  <c r="U246"/>
  <c r="S246"/>
  <c r="Q246"/>
  <c r="E246"/>
  <c r="D246"/>
  <c r="C246"/>
  <c r="B246"/>
  <c r="A246"/>
  <c r="E244"/>
  <c r="J243"/>
  <c r="I243"/>
  <c r="H243"/>
  <c r="G243"/>
  <c r="F243"/>
  <c r="J242"/>
  <c r="I242"/>
  <c r="H242"/>
  <c r="G242"/>
  <c r="F242"/>
  <c r="C241"/>
  <c r="V240"/>
  <c r="J244" s="1"/>
  <c r="T240"/>
  <c r="R240"/>
  <c r="U240"/>
  <c r="S240"/>
  <c r="Q240"/>
  <c r="E240"/>
  <c r="D240"/>
  <c r="C240"/>
  <c r="B240"/>
  <c r="A240"/>
  <c r="K238"/>
  <c r="H238"/>
  <c r="G238"/>
  <c r="E238"/>
  <c r="E237"/>
  <c r="E236"/>
  <c r="J235"/>
  <c r="I235"/>
  <c r="H235"/>
  <c r="G235"/>
  <c r="F235"/>
  <c r="J234"/>
  <c r="I234"/>
  <c r="H234"/>
  <c r="G234"/>
  <c r="F234"/>
  <c r="C233"/>
  <c r="V232"/>
  <c r="T232"/>
  <c r="J237" s="1"/>
  <c r="R232"/>
  <c r="J236" s="1"/>
  <c r="U232"/>
  <c r="S232"/>
  <c r="Q232"/>
  <c r="E232"/>
  <c r="D232"/>
  <c r="C232"/>
  <c r="B232"/>
  <c r="A232"/>
  <c r="K230"/>
  <c r="H230"/>
  <c r="G230"/>
  <c r="E230"/>
  <c r="E229"/>
  <c r="E228"/>
  <c r="E227"/>
  <c r="J226"/>
  <c r="I226"/>
  <c r="H226"/>
  <c r="G226"/>
  <c r="F226"/>
  <c r="J225"/>
  <c r="I225"/>
  <c r="H225"/>
  <c r="G225"/>
  <c r="F225"/>
  <c r="J224"/>
  <c r="I224"/>
  <c r="H224"/>
  <c r="G224"/>
  <c r="F224"/>
  <c r="J223"/>
  <c r="I223"/>
  <c r="H223"/>
  <c r="G223"/>
  <c r="F223"/>
  <c r="C222"/>
  <c r="V221"/>
  <c r="J229" s="1"/>
  <c r="T221"/>
  <c r="J228" s="1"/>
  <c r="R221"/>
  <c r="J227" s="1"/>
  <c r="U221"/>
  <c r="S221"/>
  <c r="Q221"/>
  <c r="E221"/>
  <c r="D221"/>
  <c r="C221"/>
  <c r="B221"/>
  <c r="A221"/>
  <c r="A220"/>
  <c r="I218"/>
  <c r="C218"/>
  <c r="I217"/>
  <c r="C217"/>
  <c r="I216"/>
  <c r="C216"/>
  <c r="A214"/>
  <c r="K211"/>
  <c r="H211"/>
  <c r="G211"/>
  <c r="E211"/>
  <c r="E210"/>
  <c r="E209"/>
  <c r="E208"/>
  <c r="J207"/>
  <c r="I207"/>
  <c r="H207"/>
  <c r="F207"/>
  <c r="V207"/>
  <c r="T207"/>
  <c r="R207"/>
  <c r="U207"/>
  <c r="S207"/>
  <c r="Q207"/>
  <c r="E207"/>
  <c r="D207"/>
  <c r="B207"/>
  <c r="A207"/>
  <c r="J206"/>
  <c r="I206"/>
  <c r="H206"/>
  <c r="F206"/>
  <c r="V206"/>
  <c r="T206"/>
  <c r="R206"/>
  <c r="U206"/>
  <c r="S206"/>
  <c r="Q206"/>
  <c r="E206"/>
  <c r="D206"/>
  <c r="C206"/>
  <c r="B206"/>
  <c r="A206"/>
  <c r="J205"/>
  <c r="I205"/>
  <c r="H205"/>
  <c r="G205"/>
  <c r="F205"/>
  <c r="J204"/>
  <c r="I204"/>
  <c r="H204"/>
  <c r="G204"/>
  <c r="F204"/>
  <c r="J203"/>
  <c r="I203"/>
  <c r="H203"/>
  <c r="G203"/>
  <c r="F203"/>
  <c r="J202"/>
  <c r="I202"/>
  <c r="H202"/>
  <c r="G202"/>
  <c r="F202"/>
  <c r="C201"/>
  <c r="V200"/>
  <c r="J210" s="1"/>
  <c r="T200"/>
  <c r="J209" s="1"/>
  <c r="R200"/>
  <c r="U200"/>
  <c r="S200"/>
  <c r="Q200"/>
  <c r="E200"/>
  <c r="D200"/>
  <c r="C200"/>
  <c r="B200"/>
  <c r="A200"/>
  <c r="K198"/>
  <c r="H198"/>
  <c r="G198"/>
  <c r="E198"/>
  <c r="E197"/>
  <c r="J196"/>
  <c r="E196"/>
  <c r="J195"/>
  <c r="I195"/>
  <c r="H195"/>
  <c r="G195"/>
  <c r="F195"/>
  <c r="C194"/>
  <c r="V193"/>
  <c r="T193"/>
  <c r="J197" s="1"/>
  <c r="R193"/>
  <c r="U193"/>
  <c r="S193"/>
  <c r="Q193"/>
  <c r="E193"/>
  <c r="D193"/>
  <c r="C193"/>
  <c r="B193"/>
  <c r="A193"/>
  <c r="E191"/>
  <c r="J190"/>
  <c r="I190"/>
  <c r="H190"/>
  <c r="G190"/>
  <c r="F190"/>
  <c r="J189"/>
  <c r="I189"/>
  <c r="H189"/>
  <c r="G189"/>
  <c r="F189"/>
  <c r="C188"/>
  <c r="V187"/>
  <c r="J191" s="1"/>
  <c r="T187"/>
  <c r="R187"/>
  <c r="U187"/>
  <c r="S187"/>
  <c r="Q187"/>
  <c r="E187"/>
  <c r="D187"/>
  <c r="C187"/>
  <c r="B187"/>
  <c r="A187"/>
  <c r="K185"/>
  <c r="H185"/>
  <c r="G185"/>
  <c r="E185"/>
  <c r="E184"/>
  <c r="E183"/>
  <c r="J182"/>
  <c r="I182"/>
  <c r="H182"/>
  <c r="G182"/>
  <c r="F182"/>
  <c r="J181"/>
  <c r="I181"/>
  <c r="H181"/>
  <c r="G181"/>
  <c r="F181"/>
  <c r="C180"/>
  <c r="V179"/>
  <c r="T179"/>
  <c r="J184" s="1"/>
  <c r="R179"/>
  <c r="J183" s="1"/>
  <c r="U179"/>
  <c r="S179"/>
  <c r="Q179"/>
  <c r="E179"/>
  <c r="D179"/>
  <c r="C179"/>
  <c r="B179"/>
  <c r="A179"/>
  <c r="K177"/>
  <c r="H177"/>
  <c r="G177"/>
  <c r="E177"/>
  <c r="E176"/>
  <c r="E175"/>
  <c r="E174"/>
  <c r="J173"/>
  <c r="I173"/>
  <c r="H173"/>
  <c r="G173"/>
  <c r="F173"/>
  <c r="J172"/>
  <c r="I172"/>
  <c r="H172"/>
  <c r="G172"/>
  <c r="F172"/>
  <c r="J171"/>
  <c r="I171"/>
  <c r="H171"/>
  <c r="G171"/>
  <c r="F171"/>
  <c r="J170"/>
  <c r="I170"/>
  <c r="H170"/>
  <c r="G170"/>
  <c r="F170"/>
  <c r="C169"/>
  <c r="V168"/>
  <c r="J176" s="1"/>
  <c r="T168"/>
  <c r="J175" s="1"/>
  <c r="R168"/>
  <c r="J174" s="1"/>
  <c r="U168"/>
  <c r="S168"/>
  <c r="Q168"/>
  <c r="E168"/>
  <c r="D168"/>
  <c r="C168"/>
  <c r="B168"/>
  <c r="A168"/>
  <c r="A167"/>
  <c r="I165"/>
  <c r="C165"/>
  <c r="I164"/>
  <c r="C164"/>
  <c r="I163"/>
  <c r="C163"/>
  <c r="A161"/>
  <c r="K158"/>
  <c r="H158"/>
  <c r="G158"/>
  <c r="E158"/>
  <c r="E157"/>
  <c r="E156"/>
  <c r="E155"/>
  <c r="J154"/>
  <c r="I154"/>
  <c r="H154"/>
  <c r="F154"/>
  <c r="V154"/>
  <c r="T154"/>
  <c r="R154"/>
  <c r="U154"/>
  <c r="S154"/>
  <c r="Q154"/>
  <c r="E154"/>
  <c r="D154"/>
  <c r="B154"/>
  <c r="A154"/>
  <c r="J153"/>
  <c r="I153"/>
  <c r="H153"/>
  <c r="F153"/>
  <c r="V153"/>
  <c r="T153"/>
  <c r="R153"/>
  <c r="U153"/>
  <c r="S153"/>
  <c r="Q153"/>
  <c r="E153"/>
  <c r="D153"/>
  <c r="B153"/>
  <c r="A153"/>
  <c r="J152"/>
  <c r="I152"/>
  <c r="H152"/>
  <c r="F152"/>
  <c r="V152"/>
  <c r="T152"/>
  <c r="R152"/>
  <c r="U152"/>
  <c r="S152"/>
  <c r="Q152"/>
  <c r="E152"/>
  <c r="D152"/>
  <c r="B152"/>
  <c r="A152"/>
  <c r="J151"/>
  <c r="I151"/>
  <c r="H151"/>
  <c r="F151"/>
  <c r="V151"/>
  <c r="T151"/>
  <c r="R151"/>
  <c r="U151"/>
  <c r="S151"/>
  <c r="Q151"/>
  <c r="E151"/>
  <c r="D151"/>
  <c r="B151"/>
  <c r="A151"/>
  <c r="J150"/>
  <c r="I150"/>
  <c r="H150"/>
  <c r="F150"/>
  <c r="V150"/>
  <c r="T150"/>
  <c r="R150"/>
  <c r="U150"/>
  <c r="S150"/>
  <c r="Q150"/>
  <c r="E150"/>
  <c r="D150"/>
  <c r="B150"/>
  <c r="A150"/>
  <c r="J149"/>
  <c r="I149"/>
  <c r="H149"/>
  <c r="F149"/>
  <c r="V149"/>
  <c r="T149"/>
  <c r="R149"/>
  <c r="U149"/>
  <c r="S149"/>
  <c r="Q149"/>
  <c r="E149"/>
  <c r="D149"/>
  <c r="B149"/>
  <c r="A149"/>
  <c r="J148"/>
  <c r="I148"/>
  <c r="H148"/>
  <c r="F148"/>
  <c r="V148"/>
  <c r="T148"/>
  <c r="R148"/>
  <c r="U148"/>
  <c r="S148"/>
  <c r="Q148"/>
  <c r="E148"/>
  <c r="D148"/>
  <c r="C148"/>
  <c r="B148"/>
  <c r="A148"/>
  <c r="J147"/>
  <c r="I147"/>
  <c r="H147"/>
  <c r="G147"/>
  <c r="F147"/>
  <c r="J146"/>
  <c r="I146"/>
  <c r="H146"/>
  <c r="G146"/>
  <c r="F146"/>
  <c r="J145"/>
  <c r="I145"/>
  <c r="H145"/>
  <c r="G145"/>
  <c r="F145"/>
  <c r="J144"/>
  <c r="I144"/>
  <c r="H144"/>
  <c r="G144"/>
  <c r="F144"/>
  <c r="C143"/>
  <c r="V142"/>
  <c r="J157" s="1"/>
  <c r="T142"/>
  <c r="R142"/>
  <c r="U142"/>
  <c r="S142"/>
  <c r="Q142"/>
  <c r="E142"/>
  <c r="D142"/>
  <c r="C142"/>
  <c r="B142"/>
  <c r="A142"/>
  <c r="K140"/>
  <c r="H140"/>
  <c r="G140"/>
  <c r="E140"/>
  <c r="E139"/>
  <c r="J138"/>
  <c r="E138"/>
  <c r="J137"/>
  <c r="I137"/>
  <c r="H137"/>
  <c r="G137"/>
  <c r="F137"/>
  <c r="C136"/>
  <c r="V135"/>
  <c r="T135"/>
  <c r="J139" s="1"/>
  <c r="R135"/>
  <c r="U135"/>
  <c r="S135"/>
  <c r="Q135"/>
  <c r="E135"/>
  <c r="D135"/>
  <c r="C135"/>
  <c r="B135"/>
  <c r="A135"/>
  <c r="E133"/>
  <c r="J132"/>
  <c r="I132"/>
  <c r="H132"/>
  <c r="G132"/>
  <c r="F132"/>
  <c r="J131"/>
  <c r="I131"/>
  <c r="H131"/>
  <c r="G131"/>
  <c r="F131"/>
  <c r="C130"/>
  <c r="V129"/>
  <c r="J133" s="1"/>
  <c r="T129"/>
  <c r="R129"/>
  <c r="U129"/>
  <c r="S129"/>
  <c r="Q129"/>
  <c r="E129"/>
  <c r="D129"/>
  <c r="C129"/>
  <c r="B129"/>
  <c r="A129"/>
  <c r="K127"/>
  <c r="H127"/>
  <c r="G127"/>
  <c r="E127"/>
  <c r="E126"/>
  <c r="J125"/>
  <c r="E125"/>
  <c r="J124"/>
  <c r="I124"/>
  <c r="H124"/>
  <c r="G124"/>
  <c r="F124"/>
  <c r="J123"/>
  <c r="I123"/>
  <c r="H123"/>
  <c r="G123"/>
  <c r="F123"/>
  <c r="C122"/>
  <c r="V121"/>
  <c r="T121"/>
  <c r="J126" s="1"/>
  <c r="R121"/>
  <c r="U121"/>
  <c r="S121"/>
  <c r="Q121"/>
  <c r="E121"/>
  <c r="D121"/>
  <c r="C121"/>
  <c r="B121"/>
  <c r="A121"/>
  <c r="K119"/>
  <c r="H119"/>
  <c r="G119"/>
  <c r="E119"/>
  <c r="E118"/>
  <c r="E117"/>
  <c r="E116"/>
  <c r="J115"/>
  <c r="I115"/>
  <c r="H115"/>
  <c r="G115"/>
  <c r="F115"/>
  <c r="J114"/>
  <c r="I114"/>
  <c r="H114"/>
  <c r="G114"/>
  <c r="F114"/>
  <c r="J113"/>
  <c r="I113"/>
  <c r="H113"/>
  <c r="G113"/>
  <c r="F113"/>
  <c r="J112"/>
  <c r="I112"/>
  <c r="H112"/>
  <c r="G112"/>
  <c r="F112"/>
  <c r="C111"/>
  <c r="V110"/>
  <c r="J118" s="1"/>
  <c r="T110"/>
  <c r="J117" s="1"/>
  <c r="R110"/>
  <c r="J116" s="1"/>
  <c r="U110"/>
  <c r="S110"/>
  <c r="Q110"/>
  <c r="E110"/>
  <c r="D110"/>
  <c r="C110"/>
  <c r="B110"/>
  <c r="A110"/>
  <c r="A109"/>
  <c r="I107"/>
  <c r="C107"/>
  <c r="I106"/>
  <c r="C106"/>
  <c r="I105"/>
  <c r="C105"/>
  <c r="A103"/>
  <c r="K100"/>
  <c r="H100"/>
  <c r="G100"/>
  <c r="E100"/>
  <c r="E99"/>
  <c r="E98"/>
  <c r="J97"/>
  <c r="I97"/>
  <c r="H97"/>
  <c r="F97"/>
  <c r="V97"/>
  <c r="T97"/>
  <c r="R97"/>
  <c r="U97"/>
  <c r="S97"/>
  <c r="Q97"/>
  <c r="E97"/>
  <c r="D97"/>
  <c r="C97"/>
  <c r="B97"/>
  <c r="A97"/>
  <c r="J96"/>
  <c r="I96"/>
  <c r="H96"/>
  <c r="G96"/>
  <c r="F96"/>
  <c r="J95"/>
  <c r="I95"/>
  <c r="H95"/>
  <c r="G95"/>
  <c r="F95"/>
  <c r="C94"/>
  <c r="V93"/>
  <c r="T93"/>
  <c r="J99" s="1"/>
  <c r="R93"/>
  <c r="J98" s="1"/>
  <c r="U93"/>
  <c r="S93"/>
  <c r="Q93"/>
  <c r="E93"/>
  <c r="D93"/>
  <c r="C93"/>
  <c r="B93"/>
  <c r="A93"/>
  <c r="K91"/>
  <c r="H91"/>
  <c r="G91"/>
  <c r="E91"/>
  <c r="E90"/>
  <c r="E89"/>
  <c r="J88"/>
  <c r="I88"/>
  <c r="H88"/>
  <c r="F88"/>
  <c r="V88"/>
  <c r="T88"/>
  <c r="R88"/>
  <c r="U88"/>
  <c r="S88"/>
  <c r="Q88"/>
  <c r="E88"/>
  <c r="D88"/>
  <c r="B88"/>
  <c r="A88"/>
  <c r="J87"/>
  <c r="I87"/>
  <c r="H87"/>
  <c r="F87"/>
  <c r="V87"/>
  <c r="T87"/>
  <c r="R87"/>
  <c r="U87"/>
  <c r="S87"/>
  <c r="Q87"/>
  <c r="E87"/>
  <c r="D87"/>
  <c r="C87"/>
  <c r="B87"/>
  <c r="A87"/>
  <c r="J86"/>
  <c r="I86"/>
  <c r="H86"/>
  <c r="F86"/>
  <c r="V86"/>
  <c r="T86"/>
  <c r="R86"/>
  <c r="U86"/>
  <c r="S86"/>
  <c r="Q86"/>
  <c r="E86"/>
  <c r="D86"/>
  <c r="C86"/>
  <c r="B86"/>
  <c r="A86"/>
  <c r="J85"/>
  <c r="I85"/>
  <c r="H85"/>
  <c r="G85"/>
  <c r="F85"/>
  <c r="J84"/>
  <c r="I84"/>
  <c r="H84"/>
  <c r="G84"/>
  <c r="F84"/>
  <c r="C83"/>
  <c r="V82"/>
  <c r="T82"/>
  <c r="R82"/>
  <c r="U82"/>
  <c r="S82"/>
  <c r="Q82"/>
  <c r="E82"/>
  <c r="D82"/>
  <c r="C82"/>
  <c r="B82"/>
  <c r="A82"/>
  <c r="K80"/>
  <c r="H80"/>
  <c r="G80"/>
  <c r="E80"/>
  <c r="E79"/>
  <c r="E78"/>
  <c r="J77"/>
  <c r="I77"/>
  <c r="H77"/>
  <c r="G77"/>
  <c r="F77"/>
  <c r="J76"/>
  <c r="I76"/>
  <c r="H76"/>
  <c r="G76"/>
  <c r="F76"/>
  <c r="C75"/>
  <c r="V74"/>
  <c r="T74"/>
  <c r="J79" s="1"/>
  <c r="R74"/>
  <c r="J78" s="1"/>
  <c r="U74"/>
  <c r="S74"/>
  <c r="Q74"/>
  <c r="E74"/>
  <c r="D74"/>
  <c r="C74"/>
  <c r="B74"/>
  <c r="A74"/>
  <c r="K72"/>
  <c r="H72"/>
  <c r="G72"/>
  <c r="E72"/>
  <c r="E71"/>
  <c r="E70"/>
  <c r="J69"/>
  <c r="I69"/>
  <c r="H69"/>
  <c r="G69"/>
  <c r="F69"/>
  <c r="J68"/>
  <c r="I68"/>
  <c r="H68"/>
  <c r="G68"/>
  <c r="F68"/>
  <c r="C67"/>
  <c r="V66"/>
  <c r="T66"/>
  <c r="J71" s="1"/>
  <c r="R66"/>
  <c r="J70" s="1"/>
  <c r="U66"/>
  <c r="S66"/>
  <c r="Q66"/>
  <c r="E66"/>
  <c r="D66"/>
  <c r="C66"/>
  <c r="B66"/>
  <c r="A66"/>
  <c r="K64"/>
  <c r="H64"/>
  <c r="G64"/>
  <c r="E64"/>
  <c r="E63"/>
  <c r="E62"/>
  <c r="J61"/>
  <c r="I61"/>
  <c r="H61"/>
  <c r="G61"/>
  <c r="F61"/>
  <c r="C60"/>
  <c r="V59"/>
  <c r="T59"/>
  <c r="J63" s="1"/>
  <c r="R59"/>
  <c r="J62" s="1"/>
  <c r="U59"/>
  <c r="S59"/>
  <c r="Q59"/>
  <c r="E59"/>
  <c r="D59"/>
  <c r="C59"/>
  <c r="B59"/>
  <c r="A59"/>
  <c r="K57"/>
  <c r="H57"/>
  <c r="G57"/>
  <c r="E57"/>
  <c r="E56"/>
  <c r="E55"/>
  <c r="J54"/>
  <c r="I54"/>
  <c r="H54"/>
  <c r="G54"/>
  <c r="F54"/>
  <c r="C53"/>
  <c r="V52"/>
  <c r="T52"/>
  <c r="J56" s="1"/>
  <c r="R52"/>
  <c r="J55" s="1"/>
  <c r="U52"/>
  <c r="S52"/>
  <c r="Q52"/>
  <c r="E52"/>
  <c r="D52"/>
  <c r="C52"/>
  <c r="B52"/>
  <c r="A52"/>
  <c r="K50"/>
  <c r="H50"/>
  <c r="G50"/>
  <c r="E50"/>
  <c r="E49"/>
  <c r="E48"/>
  <c r="E47"/>
  <c r="J46"/>
  <c r="I46"/>
  <c r="H46"/>
  <c r="G46"/>
  <c r="F46"/>
  <c r="J45"/>
  <c r="I45"/>
  <c r="H45"/>
  <c r="G45"/>
  <c r="F45"/>
  <c r="J44"/>
  <c r="I44"/>
  <c r="H44"/>
  <c r="G44"/>
  <c r="F44"/>
  <c r="C43"/>
  <c r="V42"/>
  <c r="J49" s="1"/>
  <c r="T42"/>
  <c r="J48" s="1"/>
  <c r="R42"/>
  <c r="J47" s="1"/>
  <c r="U42"/>
  <c r="S42"/>
  <c r="Q42"/>
  <c r="E42"/>
  <c r="D42"/>
  <c r="C42"/>
  <c r="B42"/>
  <c r="A42"/>
  <c r="K40"/>
  <c r="H40"/>
  <c r="G40"/>
  <c r="E40"/>
  <c r="E39"/>
  <c r="E38"/>
  <c r="E37"/>
  <c r="J36"/>
  <c r="I36"/>
  <c r="H36"/>
  <c r="G36"/>
  <c r="F36"/>
  <c r="J35"/>
  <c r="I35"/>
  <c r="H35"/>
  <c r="G35"/>
  <c r="F35"/>
  <c r="J34"/>
  <c r="I34"/>
  <c r="H34"/>
  <c r="G34"/>
  <c r="F34"/>
  <c r="C33"/>
  <c r="V32"/>
  <c r="J39" s="1"/>
  <c r="T32"/>
  <c r="J38" s="1"/>
  <c r="R32"/>
  <c r="J37" s="1"/>
  <c r="U32"/>
  <c r="S32"/>
  <c r="Q32"/>
  <c r="E32"/>
  <c r="D32"/>
  <c r="C32"/>
  <c r="B32"/>
  <c r="A32"/>
  <c r="A31"/>
  <c r="A17"/>
  <c r="A10"/>
  <c r="G6"/>
  <c r="B6"/>
  <c r="A1"/>
  <c r="A1" i="4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" i="3"/>
  <c r="CY1"/>
  <c r="CZ1"/>
  <c r="DB1" s="1"/>
  <c r="DA1"/>
  <c r="DC1"/>
  <c r="A2"/>
  <c r="CY2"/>
  <c r="CZ2"/>
  <c r="DA2"/>
  <c r="DB2"/>
  <c r="DC2"/>
  <c r="A3"/>
  <c r="CX3"/>
  <c r="CY3"/>
  <c r="CZ3"/>
  <c r="DA3"/>
  <c r="DB3"/>
  <c r="DC3"/>
  <c r="A4"/>
  <c r="CY4"/>
  <c r="CZ4"/>
  <c r="DB4" s="1"/>
  <c r="DA4"/>
  <c r="DC4"/>
  <c r="A5"/>
  <c r="CY5"/>
  <c r="CZ5"/>
  <c r="DB5" s="1"/>
  <c r="DA5"/>
  <c r="DC5"/>
  <c r="A6"/>
  <c r="CY6"/>
  <c r="CZ6"/>
  <c r="DA6"/>
  <c r="DB6"/>
  <c r="DC6"/>
  <c r="A7"/>
  <c r="CX7"/>
  <c r="CY7"/>
  <c r="CZ7"/>
  <c r="DA7"/>
  <c r="DB7"/>
  <c r="DC7"/>
  <c r="A8"/>
  <c r="CY8"/>
  <c r="CZ8"/>
  <c r="DB8" s="1"/>
  <c r="DA8"/>
  <c r="DC8"/>
  <c r="A9"/>
  <c r="CY9"/>
  <c r="CZ9"/>
  <c r="DB9" s="1"/>
  <c r="DA9"/>
  <c r="DC9"/>
  <c r="A10"/>
  <c r="CY10"/>
  <c r="CZ10"/>
  <c r="DA10"/>
  <c r="DB10"/>
  <c r="DC10"/>
  <c r="A11"/>
  <c r="CX11"/>
  <c r="CY11"/>
  <c r="CZ11"/>
  <c r="DA11"/>
  <c r="DB11"/>
  <c r="DC11"/>
  <c r="A12"/>
  <c r="CY12"/>
  <c r="CZ12"/>
  <c r="DB12" s="1"/>
  <c r="DA12"/>
  <c r="DC12"/>
  <c r="A13"/>
  <c r="CY13"/>
  <c r="CZ13"/>
  <c r="DB13" s="1"/>
  <c r="DA13"/>
  <c r="DC13"/>
  <c r="A14"/>
  <c r="CY14"/>
  <c r="CZ14"/>
  <c r="DA14"/>
  <c r="DB14"/>
  <c r="DC14"/>
  <c r="A15"/>
  <c r="CX15"/>
  <c r="CY15"/>
  <c r="CZ15"/>
  <c r="DA15"/>
  <c r="DB15"/>
  <c r="DC15"/>
  <c r="A16"/>
  <c r="CY16"/>
  <c r="CZ16"/>
  <c r="DB16" s="1"/>
  <c r="DA16"/>
  <c r="DC16"/>
  <c r="A17"/>
  <c r="CY17"/>
  <c r="CZ17"/>
  <c r="DB17" s="1"/>
  <c r="DA17"/>
  <c r="DC17"/>
  <c r="A18"/>
  <c r="CY18"/>
  <c r="CZ18"/>
  <c r="DA18"/>
  <c r="DB18"/>
  <c r="DC18"/>
  <c r="A19"/>
  <c r="CX19"/>
  <c r="CY19"/>
  <c r="CZ19"/>
  <c r="DA19"/>
  <c r="DB19"/>
  <c r="DC19"/>
  <c r="A20"/>
  <c r="CY20"/>
  <c r="CZ20"/>
  <c r="DB20" s="1"/>
  <c r="DA20"/>
  <c r="DC20"/>
  <c r="A21"/>
  <c r="CY21"/>
  <c r="CZ21"/>
  <c r="DB21" s="1"/>
  <c r="DA21"/>
  <c r="DC21"/>
  <c r="A22"/>
  <c r="CY22"/>
  <c r="CZ22"/>
  <c r="DA22"/>
  <c r="DB22"/>
  <c r="DC22"/>
  <c r="A23"/>
  <c r="CY23"/>
  <c r="CZ23"/>
  <c r="DA23"/>
  <c r="DB23"/>
  <c r="DC23"/>
  <c r="A24"/>
  <c r="CY24"/>
  <c r="CZ24"/>
  <c r="DB24" s="1"/>
  <c r="DA24"/>
  <c r="DC24"/>
  <c r="A25"/>
  <c r="CY25"/>
  <c r="CZ25"/>
  <c r="DB25" s="1"/>
  <c r="DA25"/>
  <c r="DC25"/>
  <c r="A26"/>
  <c r="CY26"/>
  <c r="CZ26"/>
  <c r="DA26"/>
  <c r="DB26"/>
  <c r="DC26"/>
  <c r="A27"/>
  <c r="CY27"/>
  <c r="CZ27"/>
  <c r="DA27"/>
  <c r="DB27"/>
  <c r="DC27"/>
  <c r="A28"/>
  <c r="CY28"/>
  <c r="CZ28"/>
  <c r="DB28" s="1"/>
  <c r="DA28"/>
  <c r="DC28"/>
  <c r="A29"/>
  <c r="CY29"/>
  <c r="CZ29"/>
  <c r="DB29" s="1"/>
  <c r="DA29"/>
  <c r="DC29"/>
  <c r="A30"/>
  <c r="CY30"/>
  <c r="CZ30"/>
  <c r="DA30"/>
  <c r="DB30"/>
  <c r="DC30"/>
  <c r="A31"/>
  <c r="CY31"/>
  <c r="CZ31"/>
  <c r="DA31"/>
  <c r="DB31"/>
  <c r="DC31"/>
  <c r="A32"/>
  <c r="CY32"/>
  <c r="CZ32"/>
  <c r="DB32" s="1"/>
  <c r="DA32"/>
  <c r="DC32"/>
  <c r="A33"/>
  <c r="CY33"/>
  <c r="CZ33"/>
  <c r="DB33" s="1"/>
  <c r="DA33"/>
  <c r="DC33"/>
  <c r="A34"/>
  <c r="CY34"/>
  <c r="CZ34"/>
  <c r="DA34"/>
  <c r="DB34"/>
  <c r="DC34"/>
  <c r="A35"/>
  <c r="CY35"/>
  <c r="CZ35"/>
  <c r="DA35"/>
  <c r="DB35"/>
  <c r="DC35"/>
  <c r="A36"/>
  <c r="CY36"/>
  <c r="CZ36"/>
  <c r="DB36" s="1"/>
  <c r="DA36"/>
  <c r="DC36"/>
  <c r="A37"/>
  <c r="CY37"/>
  <c r="CZ37"/>
  <c r="DB37" s="1"/>
  <c r="DA37"/>
  <c r="DC37"/>
  <c r="A38"/>
  <c r="CY38"/>
  <c r="CZ38"/>
  <c r="DA38"/>
  <c r="DB38"/>
  <c r="DC38"/>
  <c r="A39"/>
  <c r="CY39"/>
  <c r="CZ39"/>
  <c r="DA39"/>
  <c r="DB39"/>
  <c r="DC39"/>
  <c r="A40"/>
  <c r="CY40"/>
  <c r="CZ40"/>
  <c r="DB40" s="1"/>
  <c r="DA40"/>
  <c r="DC40"/>
  <c r="A41"/>
  <c r="CY41"/>
  <c r="CZ41"/>
  <c r="DB41" s="1"/>
  <c r="DA41"/>
  <c r="DC41"/>
  <c r="A42"/>
  <c r="CY42"/>
  <c r="CZ42"/>
  <c r="DA42"/>
  <c r="DB42"/>
  <c r="DC42"/>
  <c r="A43"/>
  <c r="CY43"/>
  <c r="CZ43"/>
  <c r="DA43"/>
  <c r="DB43"/>
  <c r="DC43"/>
  <c r="A44"/>
  <c r="CY44"/>
  <c r="CZ44"/>
  <c r="DB44" s="1"/>
  <c r="DA44"/>
  <c r="DC44"/>
  <c r="A45"/>
  <c r="CY45"/>
  <c r="CZ45"/>
  <c r="DB45" s="1"/>
  <c r="DA45"/>
  <c r="DC45"/>
  <c r="A46"/>
  <c r="CY46"/>
  <c r="CZ46"/>
  <c r="DA46"/>
  <c r="DB46"/>
  <c r="DC46"/>
  <c r="A47"/>
  <c r="CY47"/>
  <c r="CZ47"/>
  <c r="DA47"/>
  <c r="DB47"/>
  <c r="DC47"/>
  <c r="A48"/>
  <c r="CY48"/>
  <c r="CZ48"/>
  <c r="DB48" s="1"/>
  <c r="DA48"/>
  <c r="DC48"/>
  <c r="A49"/>
  <c r="CY49"/>
  <c r="CZ49"/>
  <c r="DB49" s="1"/>
  <c r="DA49"/>
  <c r="DC49"/>
  <c r="A50"/>
  <c r="CY50"/>
  <c r="CZ50"/>
  <c r="DA50"/>
  <c r="DB50"/>
  <c r="DC50"/>
  <c r="A51"/>
  <c r="CY51"/>
  <c r="CZ51"/>
  <c r="DA51"/>
  <c r="DB51"/>
  <c r="DC51"/>
  <c r="A52"/>
  <c r="CY52"/>
  <c r="CZ52"/>
  <c r="DB52" s="1"/>
  <c r="DA52"/>
  <c r="DC52"/>
  <c r="A53"/>
  <c r="CY53"/>
  <c r="CZ53"/>
  <c r="DB53" s="1"/>
  <c r="DA53"/>
  <c r="DC53"/>
  <c r="A54"/>
  <c r="CY54"/>
  <c r="CZ54"/>
  <c r="DA54"/>
  <c r="DB54"/>
  <c r="DC54"/>
  <c r="A55"/>
  <c r="CY55"/>
  <c r="CZ55"/>
  <c r="DA55"/>
  <c r="DB55"/>
  <c r="DC55"/>
  <c r="A56"/>
  <c r="CY56"/>
  <c r="CZ56"/>
  <c r="DB56" s="1"/>
  <c r="DA56"/>
  <c r="DC56"/>
  <c r="A57"/>
  <c r="CY57"/>
  <c r="CZ57"/>
  <c r="DB57" s="1"/>
  <c r="DA57"/>
  <c r="DC57"/>
  <c r="A58"/>
  <c r="CY58"/>
  <c r="CZ58"/>
  <c r="DA58"/>
  <c r="DB58"/>
  <c r="DC58"/>
  <c r="A59"/>
  <c r="CY59"/>
  <c r="CZ59"/>
  <c r="DA59"/>
  <c r="DB59"/>
  <c r="DC59"/>
  <c r="A60"/>
  <c r="CY60"/>
  <c r="CZ60"/>
  <c r="DB60" s="1"/>
  <c r="DA60"/>
  <c r="DC60"/>
  <c r="A61"/>
  <c r="CY61"/>
  <c r="CZ61"/>
  <c r="DB61" s="1"/>
  <c r="DA61"/>
  <c r="DC61"/>
  <c r="A62"/>
  <c r="CY62"/>
  <c r="CZ62"/>
  <c r="DA62"/>
  <c r="DB62"/>
  <c r="DC62"/>
  <c r="A63"/>
  <c r="CY63"/>
  <c r="CZ63"/>
  <c r="DA63"/>
  <c r="DB63"/>
  <c r="DC63"/>
  <c r="A64"/>
  <c r="CY64"/>
  <c r="CZ64"/>
  <c r="DB64" s="1"/>
  <c r="DA64"/>
  <c r="DC64"/>
  <c r="A65"/>
  <c r="CY65"/>
  <c r="CZ65"/>
  <c r="DB65" s="1"/>
  <c r="DA65"/>
  <c r="DC65"/>
  <c r="A66"/>
  <c r="CY66"/>
  <c r="CZ66"/>
  <c r="DA66"/>
  <c r="DB66"/>
  <c r="DC66"/>
  <c r="A67"/>
  <c r="CY67"/>
  <c r="CZ67"/>
  <c r="DA67"/>
  <c r="DB67"/>
  <c r="DC67"/>
  <c r="A68"/>
  <c r="CY68"/>
  <c r="CZ68"/>
  <c r="DB68" s="1"/>
  <c r="DA68"/>
  <c r="DC68"/>
  <c r="A69"/>
  <c r="CY69"/>
  <c r="CZ69"/>
  <c r="DB69" s="1"/>
  <c r="DA69"/>
  <c r="DC69"/>
  <c r="A70"/>
  <c r="CY70"/>
  <c r="CZ70"/>
  <c r="DA70"/>
  <c r="DB70"/>
  <c r="DC70"/>
  <c r="A71"/>
  <c r="CY71"/>
  <c r="CZ71"/>
  <c r="DA71"/>
  <c r="DB71"/>
  <c r="DC71"/>
  <c r="A72"/>
  <c r="CY72"/>
  <c r="CZ72"/>
  <c r="DB72" s="1"/>
  <c r="DA72"/>
  <c r="DC72"/>
  <c r="A73"/>
  <c r="CY73"/>
  <c r="CZ73"/>
  <c r="DB73" s="1"/>
  <c r="DA73"/>
  <c r="DC73"/>
  <c r="A74"/>
  <c r="CY74"/>
  <c r="CZ74"/>
  <c r="DA74"/>
  <c r="DB74"/>
  <c r="DC74"/>
  <c r="A75"/>
  <c r="CY75"/>
  <c r="CZ75"/>
  <c r="DA75"/>
  <c r="DB75"/>
  <c r="DC75"/>
  <c r="A76"/>
  <c r="CY76"/>
  <c r="CZ76"/>
  <c r="DB76" s="1"/>
  <c r="DA76"/>
  <c r="DC76"/>
  <c r="A77"/>
  <c r="CY77"/>
  <c r="CZ77"/>
  <c r="DB77" s="1"/>
  <c r="DA77"/>
  <c r="DC77"/>
  <c r="A78"/>
  <c r="CY78"/>
  <c r="CZ78"/>
  <c r="DA78"/>
  <c r="DB78"/>
  <c r="DC78"/>
  <c r="A79"/>
  <c r="CY79"/>
  <c r="CZ79"/>
  <c r="DA79"/>
  <c r="DB79"/>
  <c r="DC79"/>
  <c r="A80"/>
  <c r="CY80"/>
  <c r="CZ80"/>
  <c r="DB80" s="1"/>
  <c r="DA80"/>
  <c r="DC80"/>
  <c r="A81"/>
  <c r="CY81"/>
  <c r="CZ81"/>
  <c r="DB81" s="1"/>
  <c r="DA81"/>
  <c r="DC81"/>
  <c r="A82"/>
  <c r="CY82"/>
  <c r="CZ82"/>
  <c r="DA82"/>
  <c r="DB82"/>
  <c r="DC82"/>
  <c r="A83"/>
  <c r="CY83"/>
  <c r="CZ83"/>
  <c r="DA83"/>
  <c r="DB83"/>
  <c r="DC83"/>
  <c r="A84"/>
  <c r="CY84"/>
  <c r="CZ84"/>
  <c r="DB84" s="1"/>
  <c r="DA84"/>
  <c r="DC84"/>
  <c r="A85"/>
  <c r="CY85"/>
  <c r="CZ85"/>
  <c r="DB85" s="1"/>
  <c r="DA85"/>
  <c r="DC85"/>
  <c r="A86"/>
  <c r="CY86"/>
  <c r="CZ86"/>
  <c r="DA86"/>
  <c r="DB86"/>
  <c r="DC86"/>
  <c r="A87"/>
  <c r="CY87"/>
  <c r="CZ87"/>
  <c r="DA87"/>
  <c r="DB87"/>
  <c r="DC87"/>
  <c r="A88"/>
  <c r="CY88"/>
  <c r="CZ88"/>
  <c r="DB88" s="1"/>
  <c r="DA88"/>
  <c r="DC88"/>
  <c r="A89"/>
  <c r="CY89"/>
  <c r="CZ89"/>
  <c r="DB89" s="1"/>
  <c r="DA89"/>
  <c r="DC89"/>
  <c r="A90"/>
  <c r="CY90"/>
  <c r="CZ90"/>
  <c r="DA90"/>
  <c r="DB90"/>
  <c r="DC90"/>
  <c r="A91"/>
  <c r="CY91"/>
  <c r="CZ91"/>
  <c r="DA91"/>
  <c r="DB91"/>
  <c r="DC91"/>
  <c r="A92"/>
  <c r="CY92"/>
  <c r="CZ92"/>
  <c r="DB92" s="1"/>
  <c r="DA92"/>
  <c r="DC92"/>
  <c r="A93"/>
  <c r="CY93"/>
  <c r="CZ93"/>
  <c r="DB93" s="1"/>
  <c r="DA93"/>
  <c r="DC93"/>
  <c r="A94"/>
  <c r="CY94"/>
  <c r="CZ94"/>
  <c r="DA94"/>
  <c r="DB94"/>
  <c r="DC94"/>
  <c r="A95"/>
  <c r="CY95"/>
  <c r="CZ95"/>
  <c r="DA95"/>
  <c r="DB95"/>
  <c r="DC95"/>
  <c r="A96"/>
  <c r="CY96"/>
  <c r="CZ96"/>
  <c r="DB96" s="1"/>
  <c r="DA96"/>
  <c r="DC96"/>
  <c r="A97"/>
  <c r="CY97"/>
  <c r="CZ97"/>
  <c r="DB97" s="1"/>
  <c r="DA97"/>
  <c r="DC97"/>
  <c r="A98"/>
  <c r="CY98"/>
  <c r="CZ98"/>
  <c r="DA98"/>
  <c r="DB98"/>
  <c r="DC98"/>
  <c r="A99"/>
  <c r="CY99"/>
  <c r="CZ99"/>
  <c r="DA99"/>
  <c r="DB99"/>
  <c r="DC99"/>
  <c r="A100"/>
  <c r="CY100"/>
  <c r="CZ100"/>
  <c r="DB100" s="1"/>
  <c r="DA100"/>
  <c r="DC100"/>
  <c r="A101"/>
  <c r="CY101"/>
  <c r="CZ101"/>
  <c r="DB101" s="1"/>
  <c r="DA101"/>
  <c r="DC101"/>
  <c r="A102"/>
  <c r="CY102"/>
  <c r="CZ102"/>
  <c r="DA102"/>
  <c r="DB102"/>
  <c r="DC102"/>
  <c r="A103"/>
  <c r="CY103"/>
  <c r="CZ103"/>
  <c r="DA103"/>
  <c r="DB103"/>
  <c r="DC103"/>
  <c r="A104"/>
  <c r="CY104"/>
  <c r="CZ104"/>
  <c r="DB104" s="1"/>
  <c r="DA104"/>
  <c r="DC104"/>
  <c r="A105"/>
  <c r="CY105"/>
  <c r="CZ105"/>
  <c r="DB105" s="1"/>
  <c r="DA105"/>
  <c r="DC105"/>
  <c r="A106"/>
  <c r="CY106"/>
  <c r="CZ106"/>
  <c r="DA106"/>
  <c r="DB106"/>
  <c r="DC106"/>
  <c r="A107"/>
  <c r="CY107"/>
  <c r="CZ107"/>
  <c r="DA107"/>
  <c r="DB107"/>
  <c r="DC107"/>
  <c r="A108"/>
  <c r="CY108"/>
  <c r="CZ108"/>
  <c r="DB108" s="1"/>
  <c r="DA108"/>
  <c r="DC108"/>
  <c r="A109"/>
  <c r="CY109"/>
  <c r="CZ109"/>
  <c r="DB109" s="1"/>
  <c r="DA109"/>
  <c r="DC109"/>
  <c r="A110"/>
  <c r="CY110"/>
  <c r="CZ110"/>
  <c r="DA110"/>
  <c r="DB110"/>
  <c r="DC110"/>
  <c r="A111"/>
  <c r="CY111"/>
  <c r="CZ111"/>
  <c r="DA111"/>
  <c r="DB111"/>
  <c r="DC111"/>
  <c r="A112"/>
  <c r="CY112"/>
  <c r="CZ112"/>
  <c r="DB112" s="1"/>
  <c r="DA112"/>
  <c r="DC112"/>
  <c r="A113"/>
  <c r="CY113"/>
  <c r="CZ113"/>
  <c r="DB113" s="1"/>
  <c r="DA113"/>
  <c r="DC113"/>
  <c r="A114"/>
  <c r="CY114"/>
  <c r="CZ114"/>
  <c r="DA114"/>
  <c r="DB114"/>
  <c r="DC114"/>
  <c r="A115"/>
  <c r="CY115"/>
  <c r="CZ115"/>
  <c r="DA115"/>
  <c r="DB115"/>
  <c r="DC115"/>
  <c r="A116"/>
  <c r="CY116"/>
  <c r="CZ116"/>
  <c r="DB116" s="1"/>
  <c r="DA116"/>
  <c r="DC116"/>
  <c r="A117"/>
  <c r="CY117"/>
  <c r="CZ117"/>
  <c r="DB117" s="1"/>
  <c r="DA117"/>
  <c r="DC117"/>
  <c r="A118"/>
  <c r="CY118"/>
  <c r="CZ118"/>
  <c r="DA118"/>
  <c r="DB118"/>
  <c r="DC118"/>
  <c r="A119"/>
  <c r="CY119"/>
  <c r="CZ119"/>
  <c r="DA119"/>
  <c r="DB119"/>
  <c r="DC119"/>
  <c r="A120"/>
  <c r="CY120"/>
  <c r="CZ120"/>
  <c r="DB120" s="1"/>
  <c r="DA120"/>
  <c r="DC120"/>
  <c r="A121"/>
  <c r="CY121"/>
  <c r="CZ121"/>
  <c r="DB121" s="1"/>
  <c r="DA121"/>
  <c r="DC121"/>
  <c r="D12" i="1"/>
  <c r="E18"/>
  <c r="Z18"/>
  <c r="AA18"/>
  <c r="AB18"/>
  <c r="AC18"/>
  <c r="AD18"/>
  <c r="AE18"/>
  <c r="AF18"/>
  <c r="AG18"/>
  <c r="AH18"/>
  <c r="AI18"/>
  <c r="AJ18"/>
  <c r="AK18"/>
  <c r="AL18"/>
  <c r="AM18"/>
  <c r="AN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D20"/>
  <c r="E22"/>
  <c r="Z22"/>
  <c r="AA22"/>
  <c r="AB22"/>
  <c r="AC22"/>
  <c r="AD22"/>
  <c r="AE22"/>
  <c r="AF22"/>
  <c r="AG22"/>
  <c r="AH22"/>
  <c r="AI22"/>
  <c r="AJ22"/>
  <c r="AK22"/>
  <c r="AL22"/>
  <c r="AM22"/>
  <c r="AN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D24"/>
  <c r="C26"/>
  <c r="E26"/>
  <c r="G26"/>
  <c r="Z26"/>
  <c r="AA26"/>
  <c r="AM26"/>
  <c r="AN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Z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C28"/>
  <c r="D28"/>
  <c r="I28"/>
  <c r="CX1" i="3" s="1"/>
  <c r="AC28" i="1"/>
  <c r="AD28"/>
  <c r="AE28"/>
  <c r="CS28" s="1"/>
  <c r="R28" s="1"/>
  <c r="GK28" s="1"/>
  <c r="AF28"/>
  <c r="AG28"/>
  <c r="CU28" s="1"/>
  <c r="T28" s="1"/>
  <c r="AH28"/>
  <c r="CV28" s="1"/>
  <c r="U28" s="1"/>
  <c r="AI28"/>
  <c r="CW28" s="1"/>
  <c r="V28" s="1"/>
  <c r="AI41" s="1"/>
  <c r="AJ28"/>
  <c r="CR28"/>
  <c r="Q28" s="1"/>
  <c r="CT28"/>
  <c r="S28" s="1"/>
  <c r="CX28"/>
  <c r="W28" s="1"/>
  <c r="FR28"/>
  <c r="GL28"/>
  <c r="GN28"/>
  <c r="GO28"/>
  <c r="GV28"/>
  <c r="HC28"/>
  <c r="GX28" s="1"/>
  <c r="C29"/>
  <c r="D29"/>
  <c r="I29"/>
  <c r="CX4" i="3" s="1"/>
  <c r="AC29" i="1"/>
  <c r="AD29"/>
  <c r="AE29"/>
  <c r="CS29" s="1"/>
  <c r="R29" s="1"/>
  <c r="AF29"/>
  <c r="AG29"/>
  <c r="CU29" s="1"/>
  <c r="T29" s="1"/>
  <c r="AH29"/>
  <c r="CV29" s="1"/>
  <c r="U29" s="1"/>
  <c r="AI29"/>
  <c r="CW29" s="1"/>
  <c r="V29" s="1"/>
  <c r="AJ29"/>
  <c r="CR29"/>
  <c r="Q29" s="1"/>
  <c r="CT29"/>
  <c r="S29" s="1"/>
  <c r="CX29"/>
  <c r="W29" s="1"/>
  <c r="FR29"/>
  <c r="GK29"/>
  <c r="GL29"/>
  <c r="GN29"/>
  <c r="GO29"/>
  <c r="GV29"/>
  <c r="HC29"/>
  <c r="GX29" s="1"/>
  <c r="C30"/>
  <c r="D30"/>
  <c r="I30"/>
  <c r="CX5" i="3" s="1"/>
  <c r="AC30" i="1"/>
  <c r="AD30"/>
  <c r="AE30"/>
  <c r="CS30" s="1"/>
  <c r="R30" s="1"/>
  <c r="GK30" s="1"/>
  <c r="AF30"/>
  <c r="AG30"/>
  <c r="CU30" s="1"/>
  <c r="T30" s="1"/>
  <c r="AH30"/>
  <c r="CV30" s="1"/>
  <c r="U30" s="1"/>
  <c r="AI30"/>
  <c r="CW30" s="1"/>
  <c r="V30" s="1"/>
  <c r="AJ30"/>
  <c r="CR30"/>
  <c r="Q30" s="1"/>
  <c r="CT30"/>
  <c r="S30" s="1"/>
  <c r="CX30"/>
  <c r="W30" s="1"/>
  <c r="FR30"/>
  <c r="GL30"/>
  <c r="GN30"/>
  <c r="GO30"/>
  <c r="CC41" s="1"/>
  <c r="GV30"/>
  <c r="HC30"/>
  <c r="GX30" s="1"/>
  <c r="C31"/>
  <c r="D31"/>
  <c r="I31"/>
  <c r="CX6" i="3" s="1"/>
  <c r="AC31" i="1"/>
  <c r="AD31"/>
  <c r="AE31"/>
  <c r="CS31" s="1"/>
  <c r="R31" s="1"/>
  <c r="AF31"/>
  <c r="AG31"/>
  <c r="CU31" s="1"/>
  <c r="T31" s="1"/>
  <c r="AH31"/>
  <c r="CV31" s="1"/>
  <c r="U31" s="1"/>
  <c r="AI31"/>
  <c r="CW31" s="1"/>
  <c r="V31" s="1"/>
  <c r="AJ31"/>
  <c r="CR31"/>
  <c r="Q31" s="1"/>
  <c r="CT31"/>
  <c r="S31" s="1"/>
  <c r="CX31"/>
  <c r="W31" s="1"/>
  <c r="FR31"/>
  <c r="GK31"/>
  <c r="GL31"/>
  <c r="GN31"/>
  <c r="GO31"/>
  <c r="GV31"/>
  <c r="HC31"/>
  <c r="GX31" s="1"/>
  <c r="C32"/>
  <c r="D32"/>
  <c r="I32"/>
  <c r="CX8" i="3" s="1"/>
  <c r="AC32" i="1"/>
  <c r="AD32"/>
  <c r="AE32"/>
  <c r="CS32" s="1"/>
  <c r="R32" s="1"/>
  <c r="GK32" s="1"/>
  <c r="AF32"/>
  <c r="AG32"/>
  <c r="CU32" s="1"/>
  <c r="T32" s="1"/>
  <c r="AH32"/>
  <c r="CV32" s="1"/>
  <c r="U32" s="1"/>
  <c r="AI32"/>
  <c r="CW32" s="1"/>
  <c r="V32" s="1"/>
  <c r="AJ32"/>
  <c r="CR32"/>
  <c r="Q32" s="1"/>
  <c r="CT32"/>
  <c r="S32" s="1"/>
  <c r="CX32"/>
  <c r="W32" s="1"/>
  <c r="FR32"/>
  <c r="GL32"/>
  <c r="GN32"/>
  <c r="GO32"/>
  <c r="GV32"/>
  <c r="HC32"/>
  <c r="GX32" s="1"/>
  <c r="C33"/>
  <c r="D33"/>
  <c r="I33"/>
  <c r="CX9" i="3" s="1"/>
  <c r="AC33" i="1"/>
  <c r="AD33"/>
  <c r="AE33"/>
  <c r="CS33" s="1"/>
  <c r="R33" s="1"/>
  <c r="AF33"/>
  <c r="AG33"/>
  <c r="CU33" s="1"/>
  <c r="T33" s="1"/>
  <c r="AH33"/>
  <c r="CV33" s="1"/>
  <c r="U33" s="1"/>
  <c r="AI33"/>
  <c r="CW33" s="1"/>
  <c r="V33" s="1"/>
  <c r="AJ33"/>
  <c r="CR33"/>
  <c r="Q33" s="1"/>
  <c r="CT33"/>
  <c r="S33" s="1"/>
  <c r="CX33"/>
  <c r="W33" s="1"/>
  <c r="FR33"/>
  <c r="GK33"/>
  <c r="GL33"/>
  <c r="GN33"/>
  <c r="GO33"/>
  <c r="GV33"/>
  <c r="HC33"/>
  <c r="GX33" s="1"/>
  <c r="C34"/>
  <c r="D34"/>
  <c r="I34"/>
  <c r="CX12" i="3" s="1"/>
  <c r="AC34" i="1"/>
  <c r="AD34"/>
  <c r="AE34"/>
  <c r="CS34" s="1"/>
  <c r="R34" s="1"/>
  <c r="GK34" s="1"/>
  <c r="AF34"/>
  <c r="AG34"/>
  <c r="CU34" s="1"/>
  <c r="T34" s="1"/>
  <c r="AH34"/>
  <c r="CV34" s="1"/>
  <c r="U34" s="1"/>
  <c r="AI34"/>
  <c r="CW34" s="1"/>
  <c r="V34" s="1"/>
  <c r="AJ34"/>
  <c r="CR34"/>
  <c r="Q34" s="1"/>
  <c r="CT34"/>
  <c r="S34" s="1"/>
  <c r="CX34"/>
  <c r="W34" s="1"/>
  <c r="FR34"/>
  <c r="GL34"/>
  <c r="GN34"/>
  <c r="GO34"/>
  <c r="GV34"/>
  <c r="HC34"/>
  <c r="GX34" s="1"/>
  <c r="I35"/>
  <c r="AC35"/>
  <c r="CQ35" s="1"/>
  <c r="P35" s="1"/>
  <c r="AE35"/>
  <c r="AF35"/>
  <c r="AG35"/>
  <c r="CU35" s="1"/>
  <c r="T35" s="1"/>
  <c r="AH35"/>
  <c r="AI35"/>
  <c r="CW35" s="1"/>
  <c r="V35" s="1"/>
  <c r="AJ35"/>
  <c r="CT35"/>
  <c r="S35" s="1"/>
  <c r="CY35" s="1"/>
  <c r="X35" s="1"/>
  <c r="CV35"/>
  <c r="U35" s="1"/>
  <c r="CX35"/>
  <c r="W35" s="1"/>
  <c r="CZ35"/>
  <c r="Y35" s="1"/>
  <c r="FR35"/>
  <c r="GL35"/>
  <c r="GN35"/>
  <c r="GO35"/>
  <c r="GV35"/>
  <c r="HC35" s="1"/>
  <c r="GX35" s="1"/>
  <c r="I36"/>
  <c r="AC36"/>
  <c r="AE36"/>
  <c r="CS36" s="1"/>
  <c r="R36" s="1"/>
  <c r="AF36"/>
  <c r="AG36"/>
  <c r="CU36" s="1"/>
  <c r="T36" s="1"/>
  <c r="AH36"/>
  <c r="AI36"/>
  <c r="CW36" s="1"/>
  <c r="V36" s="1"/>
  <c r="AJ36"/>
  <c r="CR36"/>
  <c r="Q36" s="1"/>
  <c r="CT36"/>
  <c r="S36" s="1"/>
  <c r="CV36"/>
  <c r="U36" s="1"/>
  <c r="CX36"/>
  <c r="W36" s="1"/>
  <c r="FR36"/>
  <c r="GK36"/>
  <c r="GL36"/>
  <c r="GN36"/>
  <c r="GO36"/>
  <c r="GV36"/>
  <c r="HC36"/>
  <c r="GX36" s="1"/>
  <c r="I37"/>
  <c r="U37"/>
  <c r="AC37"/>
  <c r="CQ37" s="1"/>
  <c r="P37" s="1"/>
  <c r="AE37"/>
  <c r="AF37"/>
  <c r="AG37"/>
  <c r="CU37" s="1"/>
  <c r="T37" s="1"/>
  <c r="AH37"/>
  <c r="AI37"/>
  <c r="CW37" s="1"/>
  <c r="V37" s="1"/>
  <c r="AJ37"/>
  <c r="CR37"/>
  <c r="Q37" s="1"/>
  <c r="CT37"/>
  <c r="S37" s="1"/>
  <c r="CY37" s="1"/>
  <c r="X37" s="1"/>
  <c r="CV37"/>
  <c r="CX37"/>
  <c r="W37" s="1"/>
  <c r="FR37"/>
  <c r="GL37"/>
  <c r="GN37"/>
  <c r="GO37"/>
  <c r="GV37"/>
  <c r="HC37" s="1"/>
  <c r="GX37" s="1"/>
  <c r="C38"/>
  <c r="D38"/>
  <c r="I38"/>
  <c r="CX20" i="3" s="1"/>
  <c r="U38" i="1"/>
  <c r="AC38"/>
  <c r="CQ38" s="1"/>
  <c r="P38" s="1"/>
  <c r="AE38"/>
  <c r="AF38"/>
  <c r="AG38"/>
  <c r="CU38" s="1"/>
  <c r="T38" s="1"/>
  <c r="AH38"/>
  <c r="AI38"/>
  <c r="CW38" s="1"/>
  <c r="V38" s="1"/>
  <c r="AJ38"/>
  <c r="CR38"/>
  <c r="Q38" s="1"/>
  <c r="CT38"/>
  <c r="S38" s="1"/>
  <c r="CY38" s="1"/>
  <c r="X38" s="1"/>
  <c r="CV38"/>
  <c r="CX38"/>
  <c r="W38" s="1"/>
  <c r="FR38"/>
  <c r="GL38"/>
  <c r="GN38"/>
  <c r="GO38"/>
  <c r="GV38"/>
  <c r="HC38" s="1"/>
  <c r="GX38" s="1"/>
  <c r="I39"/>
  <c r="S39"/>
  <c r="AC39"/>
  <c r="AE39"/>
  <c r="CS39" s="1"/>
  <c r="R39" s="1"/>
  <c r="AF39"/>
  <c r="AG39"/>
  <c r="CU39" s="1"/>
  <c r="T39" s="1"/>
  <c r="AH39"/>
  <c r="AI39"/>
  <c r="CW39" s="1"/>
  <c r="V39" s="1"/>
  <c r="AJ39"/>
  <c r="CR39"/>
  <c r="Q39" s="1"/>
  <c r="CT39"/>
  <c r="CV39"/>
  <c r="U39" s="1"/>
  <c r="CX39"/>
  <c r="W39" s="1"/>
  <c r="FR39"/>
  <c r="GK39"/>
  <c r="GL39"/>
  <c r="GN39"/>
  <c r="GO39"/>
  <c r="GV39"/>
  <c r="HC39"/>
  <c r="GX39" s="1"/>
  <c r="B41"/>
  <c r="B26" s="1"/>
  <c r="C41"/>
  <c r="D41"/>
  <c r="D26" s="1"/>
  <c r="F41"/>
  <c r="F26" s="1"/>
  <c r="G41"/>
  <c r="AO41"/>
  <c r="AO26" s="1"/>
  <c r="AS41"/>
  <c r="BX41"/>
  <c r="BX26" s="1"/>
  <c r="BY41"/>
  <c r="BZ41"/>
  <c r="AQ41" s="1"/>
  <c r="CB41"/>
  <c r="CB26" s="1"/>
  <c r="CG41"/>
  <c r="CK41"/>
  <c r="CL41"/>
  <c r="BC41" s="1"/>
  <c r="BC26" s="1"/>
  <c r="F45"/>
  <c r="F57"/>
  <c r="D73"/>
  <c r="E75"/>
  <c r="Z75"/>
  <c r="AA75"/>
  <c r="AM75"/>
  <c r="AN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FN75"/>
  <c r="FO75"/>
  <c r="FP75"/>
  <c r="FQ75"/>
  <c r="FR75"/>
  <c r="FS75"/>
  <c r="FT75"/>
  <c r="FU75"/>
  <c r="FV75"/>
  <c r="FW75"/>
  <c r="FX75"/>
  <c r="FY75"/>
  <c r="FZ75"/>
  <c r="GA75"/>
  <c r="GB75"/>
  <c r="GC75"/>
  <c r="GD75"/>
  <c r="GE75"/>
  <c r="GF75"/>
  <c r="GG75"/>
  <c r="GH75"/>
  <c r="GI75"/>
  <c r="GJ75"/>
  <c r="GK75"/>
  <c r="GL75"/>
  <c r="GM75"/>
  <c r="GN75"/>
  <c r="GO75"/>
  <c r="GP75"/>
  <c r="GQ75"/>
  <c r="GR75"/>
  <c r="GS75"/>
  <c r="GT75"/>
  <c r="GU75"/>
  <c r="GV75"/>
  <c r="GW75"/>
  <c r="GX75"/>
  <c r="C77"/>
  <c r="D77"/>
  <c r="I77"/>
  <c r="CX23" i="3" s="1"/>
  <c r="V77" i="1"/>
  <c r="AC77"/>
  <c r="AE77"/>
  <c r="AD77" s="1"/>
  <c r="AB77" s="1"/>
  <c r="AF77"/>
  <c r="CT77" s="1"/>
  <c r="S77" s="1"/>
  <c r="AG77"/>
  <c r="AH77"/>
  <c r="AI77"/>
  <c r="AJ77"/>
  <c r="CX77" s="1"/>
  <c r="W77" s="1"/>
  <c r="CQ77"/>
  <c r="CR77"/>
  <c r="Q77" s="1"/>
  <c r="CS77"/>
  <c r="R77" s="1"/>
  <c r="CU77"/>
  <c r="T77" s="1"/>
  <c r="CV77"/>
  <c r="CW77"/>
  <c r="FR77"/>
  <c r="GL77"/>
  <c r="GN77"/>
  <c r="GO77"/>
  <c r="GV77"/>
  <c r="HC77" s="1"/>
  <c r="GX77"/>
  <c r="C78"/>
  <c r="D78"/>
  <c r="I78"/>
  <c r="R78"/>
  <c r="GK78" s="1"/>
  <c r="AC78"/>
  <c r="AD78"/>
  <c r="AE78"/>
  <c r="AF78"/>
  <c r="CT78" s="1"/>
  <c r="S78" s="1"/>
  <c r="AG78"/>
  <c r="AH78"/>
  <c r="CV78" s="1"/>
  <c r="U78" s="1"/>
  <c r="AI78"/>
  <c r="AJ78"/>
  <c r="CX78" s="1"/>
  <c r="W78" s="1"/>
  <c r="CQ78"/>
  <c r="P78" s="1"/>
  <c r="CR78"/>
  <c r="Q78" s="1"/>
  <c r="CS78"/>
  <c r="CU78"/>
  <c r="T78" s="1"/>
  <c r="CW78"/>
  <c r="V78" s="1"/>
  <c r="FR78"/>
  <c r="GL78"/>
  <c r="GN78"/>
  <c r="GO78"/>
  <c r="GV78"/>
  <c r="GX78"/>
  <c r="HC78"/>
  <c r="C79"/>
  <c r="D79"/>
  <c r="I79"/>
  <c r="CX31" i="3" s="1"/>
  <c r="R79" i="1"/>
  <c r="GK79" s="1"/>
  <c r="AC79"/>
  <c r="AD79"/>
  <c r="AE79"/>
  <c r="AF79"/>
  <c r="CT79" s="1"/>
  <c r="S79" s="1"/>
  <c r="AG79"/>
  <c r="AH79"/>
  <c r="CV79" s="1"/>
  <c r="U79" s="1"/>
  <c r="AI79"/>
  <c r="AJ79"/>
  <c r="CX79" s="1"/>
  <c r="W79" s="1"/>
  <c r="CQ79"/>
  <c r="P79" s="1"/>
  <c r="CR79"/>
  <c r="Q79" s="1"/>
  <c r="CS79"/>
  <c r="CU79"/>
  <c r="T79" s="1"/>
  <c r="CW79"/>
  <c r="V79" s="1"/>
  <c r="FR79"/>
  <c r="GL79"/>
  <c r="GN79"/>
  <c r="CB90" s="1"/>
  <c r="CB75" s="1"/>
  <c r="GO79"/>
  <c r="GV79"/>
  <c r="HC79" s="1"/>
  <c r="GX79" s="1"/>
  <c r="C80"/>
  <c r="D80"/>
  <c r="I80"/>
  <c r="CX32" i="3" s="1"/>
  <c r="V80" i="1"/>
  <c r="AC80"/>
  <c r="AD80"/>
  <c r="AE80"/>
  <c r="AF80"/>
  <c r="CT80" s="1"/>
  <c r="AG80"/>
  <c r="AH80"/>
  <c r="CV80" s="1"/>
  <c r="AI80"/>
  <c r="AJ80"/>
  <c r="CX80" s="1"/>
  <c r="CQ80"/>
  <c r="P80" s="1"/>
  <c r="CR80"/>
  <c r="CS80"/>
  <c r="R80" s="1"/>
  <c r="GK80" s="1"/>
  <c r="CU80"/>
  <c r="CW80"/>
  <c r="FR80"/>
  <c r="GL80"/>
  <c r="GN80"/>
  <c r="GO80"/>
  <c r="GV80"/>
  <c r="HC80" s="1"/>
  <c r="GX80"/>
  <c r="C81"/>
  <c r="D81"/>
  <c r="I81"/>
  <c r="CX35" i="3" s="1"/>
  <c r="R81" i="1"/>
  <c r="GK81" s="1"/>
  <c r="AC81"/>
  <c r="AD81"/>
  <c r="AE81"/>
  <c r="AF81"/>
  <c r="CT81" s="1"/>
  <c r="S81" s="1"/>
  <c r="AG81"/>
  <c r="AH81"/>
  <c r="CV81" s="1"/>
  <c r="U81" s="1"/>
  <c r="AI81"/>
  <c r="AJ81"/>
  <c r="CX81" s="1"/>
  <c r="W81" s="1"/>
  <c r="CQ81"/>
  <c r="P81" s="1"/>
  <c r="CR81"/>
  <c r="Q81" s="1"/>
  <c r="CS81"/>
  <c r="CU81"/>
  <c r="T81" s="1"/>
  <c r="CW81"/>
  <c r="V81" s="1"/>
  <c r="FR81"/>
  <c r="GL81"/>
  <c r="GN81"/>
  <c r="GO81"/>
  <c r="GV81"/>
  <c r="HC81" s="1"/>
  <c r="GX81" s="1"/>
  <c r="AC82"/>
  <c r="AD82"/>
  <c r="AE82"/>
  <c r="AF82"/>
  <c r="CT82" s="1"/>
  <c r="AG82"/>
  <c r="AH82"/>
  <c r="CV82" s="1"/>
  <c r="AI82"/>
  <c r="AJ82"/>
  <c r="CX82" s="1"/>
  <c r="CQ82"/>
  <c r="CR82"/>
  <c r="CS82"/>
  <c r="CU82"/>
  <c r="CW82"/>
  <c r="FR82"/>
  <c r="GL82"/>
  <c r="BZ90" s="1"/>
  <c r="GN82"/>
  <c r="GO82"/>
  <c r="GV82"/>
  <c r="HC82"/>
  <c r="I83"/>
  <c r="P83"/>
  <c r="CP83" s="1"/>
  <c r="O83" s="1"/>
  <c r="T83"/>
  <c r="X83"/>
  <c r="AC83"/>
  <c r="AD83"/>
  <c r="AB83" s="1"/>
  <c r="AE83"/>
  <c r="AF83"/>
  <c r="CT83" s="1"/>
  <c r="S83" s="1"/>
  <c r="CZ83" s="1"/>
  <c r="Y83" s="1"/>
  <c r="AG83"/>
  <c r="AH83"/>
  <c r="CV83" s="1"/>
  <c r="U83" s="1"/>
  <c r="AI83"/>
  <c r="AJ83"/>
  <c r="CX83" s="1"/>
  <c r="W83" s="1"/>
  <c r="CQ83"/>
  <c r="CR83"/>
  <c r="Q83" s="1"/>
  <c r="CS83"/>
  <c r="R83" s="1"/>
  <c r="GK83" s="1"/>
  <c r="GP83" s="1"/>
  <c r="CU83"/>
  <c r="CW83"/>
  <c r="V83" s="1"/>
  <c r="CY83"/>
  <c r="FR83"/>
  <c r="GL83"/>
  <c r="GN83"/>
  <c r="GO83"/>
  <c r="GV83"/>
  <c r="GX83"/>
  <c r="HC83"/>
  <c r="I84"/>
  <c r="R84" s="1"/>
  <c r="GK84" s="1"/>
  <c r="V84"/>
  <c r="AC84"/>
  <c r="AD84"/>
  <c r="AB84" s="1"/>
  <c r="AE84"/>
  <c r="AF84"/>
  <c r="CT84" s="1"/>
  <c r="AG84"/>
  <c r="AH84"/>
  <c r="CV84" s="1"/>
  <c r="U84" s="1"/>
  <c r="AI84"/>
  <c r="AJ84"/>
  <c r="CX84" s="1"/>
  <c r="CQ84"/>
  <c r="CR84"/>
  <c r="Q84" s="1"/>
  <c r="CS84"/>
  <c r="CU84"/>
  <c r="T84" s="1"/>
  <c r="CW84"/>
  <c r="FR84"/>
  <c r="GL84"/>
  <c r="GN84"/>
  <c r="GO84"/>
  <c r="GV84"/>
  <c r="HC84" s="1"/>
  <c r="GX84" s="1"/>
  <c r="I85"/>
  <c r="GX85" s="1"/>
  <c r="V85"/>
  <c r="AC85"/>
  <c r="AD85"/>
  <c r="AB85" s="1"/>
  <c r="AE85"/>
  <c r="AF85"/>
  <c r="CT85" s="1"/>
  <c r="AG85"/>
  <c r="AH85"/>
  <c r="CV85" s="1"/>
  <c r="U85" s="1"/>
  <c r="AI85"/>
  <c r="AJ85"/>
  <c r="CX85" s="1"/>
  <c r="CQ85"/>
  <c r="CR85"/>
  <c r="Q85" s="1"/>
  <c r="CS85"/>
  <c r="CU85"/>
  <c r="T85" s="1"/>
  <c r="CW85"/>
  <c r="FR85"/>
  <c r="GL85"/>
  <c r="GN85"/>
  <c r="GO85"/>
  <c r="GV85"/>
  <c r="HC85"/>
  <c r="I86"/>
  <c r="AC86"/>
  <c r="AE86"/>
  <c r="CS86" s="1"/>
  <c r="R86" s="1"/>
  <c r="GK86" s="1"/>
  <c r="AF86"/>
  <c r="AG86"/>
  <c r="CU86" s="1"/>
  <c r="T86" s="1"/>
  <c r="AH86"/>
  <c r="AI86"/>
  <c r="CW86" s="1"/>
  <c r="V86" s="1"/>
  <c r="AJ86"/>
  <c r="CR86"/>
  <c r="Q86" s="1"/>
  <c r="CT86"/>
  <c r="S86" s="1"/>
  <c r="CV86"/>
  <c r="U86" s="1"/>
  <c r="CX86"/>
  <c r="W86" s="1"/>
  <c r="FR86"/>
  <c r="GL86"/>
  <c r="GN86"/>
  <c r="GO86"/>
  <c r="GV86"/>
  <c r="HC86"/>
  <c r="GX86" s="1"/>
  <c r="I87"/>
  <c r="AC87"/>
  <c r="CQ87" s="1"/>
  <c r="P87" s="1"/>
  <c r="AE87"/>
  <c r="AD87" s="1"/>
  <c r="AF87"/>
  <c r="AG87"/>
  <c r="CU87" s="1"/>
  <c r="T87" s="1"/>
  <c r="AH87"/>
  <c r="AI87"/>
  <c r="CW87" s="1"/>
  <c r="V87" s="1"/>
  <c r="AJ87"/>
  <c r="CR87"/>
  <c r="Q87" s="1"/>
  <c r="CT87"/>
  <c r="S87" s="1"/>
  <c r="CV87"/>
  <c r="U87" s="1"/>
  <c r="CX87"/>
  <c r="W87" s="1"/>
  <c r="FR87"/>
  <c r="GL87"/>
  <c r="GN87"/>
  <c r="GO87"/>
  <c r="GV87"/>
  <c r="HC87" s="1"/>
  <c r="GX87" s="1"/>
  <c r="I88"/>
  <c r="AC88"/>
  <c r="AE88"/>
  <c r="CS88" s="1"/>
  <c r="R88" s="1"/>
  <c r="GK88" s="1"/>
  <c r="AF88"/>
  <c r="AG88"/>
  <c r="CU88" s="1"/>
  <c r="T88" s="1"/>
  <c r="AH88"/>
  <c r="AI88"/>
  <c r="CW88" s="1"/>
  <c r="V88" s="1"/>
  <c r="AJ88"/>
  <c r="CR88"/>
  <c r="Q88" s="1"/>
  <c r="CT88"/>
  <c r="S88" s="1"/>
  <c r="CV88"/>
  <c r="U88" s="1"/>
  <c r="CX88"/>
  <c r="W88" s="1"/>
  <c r="FR88"/>
  <c r="GL88"/>
  <c r="GN88"/>
  <c r="GO88"/>
  <c r="GV88"/>
  <c r="HC88"/>
  <c r="GX88" s="1"/>
  <c r="B90"/>
  <c r="B75" s="1"/>
  <c r="C90"/>
  <c r="C75" s="1"/>
  <c r="D90"/>
  <c r="D75" s="1"/>
  <c r="F90"/>
  <c r="F75" s="1"/>
  <c r="G90"/>
  <c r="G75" s="1"/>
  <c r="AO90"/>
  <c r="AO75" s="1"/>
  <c r="AS90"/>
  <c r="BC90"/>
  <c r="BC75" s="1"/>
  <c r="BX90"/>
  <c r="BX75" s="1"/>
  <c r="BY90"/>
  <c r="CC90"/>
  <c r="CK90"/>
  <c r="CL90"/>
  <c r="CL75" s="1"/>
  <c r="F94"/>
  <c r="F106"/>
  <c r="D122"/>
  <c r="B124"/>
  <c r="E124"/>
  <c r="F124"/>
  <c r="Z124"/>
  <c r="AA124"/>
  <c r="AM124"/>
  <c r="AN124"/>
  <c r="BD124"/>
  <c r="BE124"/>
  <c r="BF124"/>
  <c r="BG124"/>
  <c r="BH124"/>
  <c r="BI124"/>
  <c r="BJ124"/>
  <c r="BK124"/>
  <c r="BL124"/>
  <c r="BM124"/>
  <c r="BN124"/>
  <c r="BO124"/>
  <c r="BP124"/>
  <c r="BQ124"/>
  <c r="BR124"/>
  <c r="BS124"/>
  <c r="BT124"/>
  <c r="BU124"/>
  <c r="BV124"/>
  <c r="BW124"/>
  <c r="CC124"/>
  <c r="CK124"/>
  <c r="CM124"/>
  <c r="CN124"/>
  <c r="CO124"/>
  <c r="CP124"/>
  <c r="CQ124"/>
  <c r="CR124"/>
  <c r="CS124"/>
  <c r="CT124"/>
  <c r="CU124"/>
  <c r="CV124"/>
  <c r="CW124"/>
  <c r="CX124"/>
  <c r="CY124"/>
  <c r="CZ124"/>
  <c r="DA124"/>
  <c r="DB124"/>
  <c r="DC124"/>
  <c r="DD124"/>
  <c r="DE124"/>
  <c r="DF124"/>
  <c r="DG124"/>
  <c r="DH124"/>
  <c r="DI124"/>
  <c r="DJ124"/>
  <c r="DK124"/>
  <c r="DL124"/>
  <c r="DM124"/>
  <c r="DN124"/>
  <c r="DO124"/>
  <c r="DP124"/>
  <c r="DQ124"/>
  <c r="DR124"/>
  <c r="DS124"/>
  <c r="DT124"/>
  <c r="DU124"/>
  <c r="DV124"/>
  <c r="DW124"/>
  <c r="DX124"/>
  <c r="DY124"/>
  <c r="DZ124"/>
  <c r="EA124"/>
  <c r="EB124"/>
  <c r="EC124"/>
  <c r="ED124"/>
  <c r="EE124"/>
  <c r="EF124"/>
  <c r="EG124"/>
  <c r="EH124"/>
  <c r="EI124"/>
  <c r="EJ124"/>
  <c r="EK124"/>
  <c r="EL124"/>
  <c r="EM124"/>
  <c r="EN124"/>
  <c r="EO124"/>
  <c r="EP124"/>
  <c r="EQ124"/>
  <c r="ER124"/>
  <c r="ES124"/>
  <c r="ET124"/>
  <c r="EU124"/>
  <c r="EV124"/>
  <c r="EW124"/>
  <c r="EX124"/>
  <c r="EY124"/>
  <c r="EZ124"/>
  <c r="FA124"/>
  <c r="FB124"/>
  <c r="FC124"/>
  <c r="FD124"/>
  <c r="FE124"/>
  <c r="FF124"/>
  <c r="FG124"/>
  <c r="FH124"/>
  <c r="FI124"/>
  <c r="FJ124"/>
  <c r="FK124"/>
  <c r="FL124"/>
  <c r="FM124"/>
  <c r="FN124"/>
  <c r="FO124"/>
  <c r="FP124"/>
  <c r="FQ124"/>
  <c r="FR124"/>
  <c r="FS124"/>
  <c r="FT124"/>
  <c r="FU124"/>
  <c r="FV124"/>
  <c r="FW124"/>
  <c r="FX124"/>
  <c r="FY124"/>
  <c r="FZ124"/>
  <c r="GA124"/>
  <c r="GB124"/>
  <c r="GC124"/>
  <c r="GD124"/>
  <c r="GE124"/>
  <c r="GF124"/>
  <c r="GG124"/>
  <c r="GH124"/>
  <c r="GI124"/>
  <c r="GJ124"/>
  <c r="GK124"/>
  <c r="GL124"/>
  <c r="GM124"/>
  <c r="GN124"/>
  <c r="GO124"/>
  <c r="GP124"/>
  <c r="GQ124"/>
  <c r="GR124"/>
  <c r="GS124"/>
  <c r="GT124"/>
  <c r="GU124"/>
  <c r="GV124"/>
  <c r="GW124"/>
  <c r="GX124"/>
  <c r="C126"/>
  <c r="D126"/>
  <c r="I126"/>
  <c r="GX126" s="1"/>
  <c r="R126"/>
  <c r="AC126"/>
  <c r="AD126"/>
  <c r="AE126"/>
  <c r="AF126"/>
  <c r="CT126" s="1"/>
  <c r="S126" s="1"/>
  <c r="AG126"/>
  <c r="AH126"/>
  <c r="CV126" s="1"/>
  <c r="U126" s="1"/>
  <c r="AI126"/>
  <c r="AJ126"/>
  <c r="CX126" s="1"/>
  <c r="W126" s="1"/>
  <c r="CQ126"/>
  <c r="P126" s="1"/>
  <c r="CR126"/>
  <c r="Q126" s="1"/>
  <c r="CS126"/>
  <c r="CU126"/>
  <c r="T126" s="1"/>
  <c r="CW126"/>
  <c r="V126" s="1"/>
  <c r="FR126"/>
  <c r="GL126"/>
  <c r="GN126"/>
  <c r="GO126"/>
  <c r="GV126"/>
  <c r="HC126"/>
  <c r="C127"/>
  <c r="D127"/>
  <c r="I127"/>
  <c r="R127"/>
  <c r="GK127" s="1"/>
  <c r="V127"/>
  <c r="AC127"/>
  <c r="AD127"/>
  <c r="AE127"/>
  <c r="AF127"/>
  <c r="CT127" s="1"/>
  <c r="S127" s="1"/>
  <c r="AG127"/>
  <c r="AH127"/>
  <c r="CV127" s="1"/>
  <c r="U127" s="1"/>
  <c r="AI127"/>
  <c r="AJ127"/>
  <c r="CX127" s="1"/>
  <c r="W127" s="1"/>
  <c r="CQ127"/>
  <c r="P127" s="1"/>
  <c r="CR127"/>
  <c r="Q127" s="1"/>
  <c r="CS127"/>
  <c r="CU127"/>
  <c r="T127" s="1"/>
  <c r="CW127"/>
  <c r="FR127"/>
  <c r="GL127"/>
  <c r="GN127"/>
  <c r="CB134" s="1"/>
  <c r="GO127"/>
  <c r="GV127"/>
  <c r="GX127"/>
  <c r="HC127"/>
  <c r="C128"/>
  <c r="D128"/>
  <c r="I128"/>
  <c r="CX50" i="3" s="1"/>
  <c r="R128" i="1"/>
  <c r="GK128" s="1"/>
  <c r="AC128"/>
  <c r="AD128"/>
  <c r="AE128"/>
  <c r="AF128"/>
  <c r="CT128" s="1"/>
  <c r="S128" s="1"/>
  <c r="AG128"/>
  <c r="AH128"/>
  <c r="CV128" s="1"/>
  <c r="U128" s="1"/>
  <c r="AI128"/>
  <c r="AJ128"/>
  <c r="CX128" s="1"/>
  <c r="W128" s="1"/>
  <c r="CQ128"/>
  <c r="P128" s="1"/>
  <c r="CR128"/>
  <c r="Q128" s="1"/>
  <c r="CS128"/>
  <c r="CU128"/>
  <c r="T128" s="1"/>
  <c r="CW128"/>
  <c r="V128" s="1"/>
  <c r="FR128"/>
  <c r="GL128"/>
  <c r="GN128"/>
  <c r="GO128"/>
  <c r="GV128"/>
  <c r="HC128" s="1"/>
  <c r="GX128" s="1"/>
  <c r="C129"/>
  <c r="D129"/>
  <c r="I129"/>
  <c r="CX51" i="3" s="1"/>
  <c r="AC129" i="1"/>
  <c r="AD129"/>
  <c r="AE129"/>
  <c r="AF129"/>
  <c r="CT129" s="1"/>
  <c r="AG129"/>
  <c r="AH129"/>
  <c r="CV129" s="1"/>
  <c r="AI129"/>
  <c r="AJ129"/>
  <c r="CX129" s="1"/>
  <c r="CQ129"/>
  <c r="CR129"/>
  <c r="CS129"/>
  <c r="R129" s="1"/>
  <c r="GK129" s="1"/>
  <c r="CU129"/>
  <c r="CW129"/>
  <c r="V129" s="1"/>
  <c r="FR129"/>
  <c r="GL129"/>
  <c r="GN129"/>
  <c r="GO129"/>
  <c r="GV129"/>
  <c r="HC129" s="1"/>
  <c r="C130"/>
  <c r="D130"/>
  <c r="I130"/>
  <c r="R130"/>
  <c r="GK130" s="1"/>
  <c r="V130"/>
  <c r="AC130"/>
  <c r="AD130"/>
  <c r="AE130"/>
  <c r="AF130"/>
  <c r="CT130" s="1"/>
  <c r="S130" s="1"/>
  <c r="AG130"/>
  <c r="AH130"/>
  <c r="CV130" s="1"/>
  <c r="U130" s="1"/>
  <c r="AI130"/>
  <c r="AJ130"/>
  <c r="CX130" s="1"/>
  <c r="W130" s="1"/>
  <c r="CQ130"/>
  <c r="P130" s="1"/>
  <c r="CR130"/>
  <c r="Q130" s="1"/>
  <c r="CS130"/>
  <c r="CU130"/>
  <c r="T130" s="1"/>
  <c r="CW130"/>
  <c r="FR130"/>
  <c r="GL130"/>
  <c r="GN130"/>
  <c r="GO130"/>
  <c r="GV130"/>
  <c r="GX130"/>
  <c r="HC130"/>
  <c r="AC131"/>
  <c r="AD131"/>
  <c r="AB131" s="1"/>
  <c r="AE131"/>
  <c r="AF131"/>
  <c r="CT131" s="1"/>
  <c r="AG131"/>
  <c r="AH131"/>
  <c r="CV131" s="1"/>
  <c r="AI131"/>
  <c r="AJ131"/>
  <c r="CX131" s="1"/>
  <c r="CQ131"/>
  <c r="CR131"/>
  <c r="CS131"/>
  <c r="CU131"/>
  <c r="CW131"/>
  <c r="FR131"/>
  <c r="GL131"/>
  <c r="BZ134" s="1"/>
  <c r="GN131"/>
  <c r="GO131"/>
  <c r="GV131"/>
  <c r="HC131"/>
  <c r="I132"/>
  <c r="R132"/>
  <c r="GK132" s="1"/>
  <c r="V132"/>
  <c r="AC132"/>
  <c r="AD132"/>
  <c r="AE132"/>
  <c r="AF132"/>
  <c r="CT132" s="1"/>
  <c r="S132" s="1"/>
  <c r="AG132"/>
  <c r="AH132"/>
  <c r="CV132" s="1"/>
  <c r="U132" s="1"/>
  <c r="AI132"/>
  <c r="AJ132"/>
  <c r="CX132" s="1"/>
  <c r="W132" s="1"/>
  <c r="CQ132"/>
  <c r="P132" s="1"/>
  <c r="CR132"/>
  <c r="Q132" s="1"/>
  <c r="CS132"/>
  <c r="CU132"/>
  <c r="T132" s="1"/>
  <c r="CW132"/>
  <c r="FR132"/>
  <c r="GL132"/>
  <c r="GN132"/>
  <c r="GO132"/>
  <c r="GV132"/>
  <c r="GX132"/>
  <c r="HC132"/>
  <c r="B134"/>
  <c r="C134"/>
  <c r="C124" s="1"/>
  <c r="D134"/>
  <c r="D124" s="1"/>
  <c r="F134"/>
  <c r="G134"/>
  <c r="G124" s="1"/>
  <c r="AT134"/>
  <c r="F152" s="1"/>
  <c r="BB134"/>
  <c r="BB124" s="1"/>
  <c r="BX134"/>
  <c r="CC134"/>
  <c r="CK134"/>
  <c r="CL134"/>
  <c r="BC134" s="1"/>
  <c r="F147"/>
  <c r="D166"/>
  <c r="E168"/>
  <c r="Z168"/>
  <c r="AA168"/>
  <c r="AM168"/>
  <c r="AN168"/>
  <c r="BD168"/>
  <c r="BE168"/>
  <c r="BF168"/>
  <c r="BG168"/>
  <c r="BH168"/>
  <c r="BI168"/>
  <c r="BJ168"/>
  <c r="BK168"/>
  <c r="BL168"/>
  <c r="BM168"/>
  <c r="BN168"/>
  <c r="BO168"/>
  <c r="BP168"/>
  <c r="BQ168"/>
  <c r="BR168"/>
  <c r="BS168"/>
  <c r="BT168"/>
  <c r="BU168"/>
  <c r="BV168"/>
  <c r="BW168"/>
  <c r="CL168"/>
  <c r="CM168"/>
  <c r="CN168"/>
  <c r="CO168"/>
  <c r="CP168"/>
  <c r="CQ168"/>
  <c r="CR168"/>
  <c r="CS168"/>
  <c r="CT168"/>
  <c r="CU168"/>
  <c r="CV168"/>
  <c r="CW168"/>
  <c r="CX168"/>
  <c r="CY168"/>
  <c r="CZ168"/>
  <c r="DA168"/>
  <c r="DB168"/>
  <c r="DC168"/>
  <c r="DD168"/>
  <c r="DE168"/>
  <c r="DF168"/>
  <c r="DG168"/>
  <c r="DH168"/>
  <c r="DI168"/>
  <c r="DJ168"/>
  <c r="DK168"/>
  <c r="DL168"/>
  <c r="DM168"/>
  <c r="DN168"/>
  <c r="DO168"/>
  <c r="DP168"/>
  <c r="DQ168"/>
  <c r="DR168"/>
  <c r="DS168"/>
  <c r="DT168"/>
  <c r="DU168"/>
  <c r="DV168"/>
  <c r="DW168"/>
  <c r="DX168"/>
  <c r="DY168"/>
  <c r="DZ168"/>
  <c r="EA168"/>
  <c r="EB168"/>
  <c r="EC168"/>
  <c r="ED168"/>
  <c r="EE168"/>
  <c r="EF168"/>
  <c r="EG168"/>
  <c r="EH168"/>
  <c r="EI168"/>
  <c r="EJ168"/>
  <c r="EK168"/>
  <c r="EL168"/>
  <c r="EM168"/>
  <c r="EN168"/>
  <c r="EO168"/>
  <c r="EP168"/>
  <c r="EQ168"/>
  <c r="ER168"/>
  <c r="ES168"/>
  <c r="ET168"/>
  <c r="EU168"/>
  <c r="EV168"/>
  <c r="EW168"/>
  <c r="EX168"/>
  <c r="EY168"/>
  <c r="EZ168"/>
  <c r="FA168"/>
  <c r="FB168"/>
  <c r="FC168"/>
  <c r="FD168"/>
  <c r="FE168"/>
  <c r="FF168"/>
  <c r="FG168"/>
  <c r="FH168"/>
  <c r="FI168"/>
  <c r="FJ168"/>
  <c r="FK168"/>
  <c r="FL168"/>
  <c r="FM168"/>
  <c r="FN168"/>
  <c r="FO168"/>
  <c r="FP168"/>
  <c r="FQ168"/>
  <c r="FR168"/>
  <c r="FS168"/>
  <c r="FT168"/>
  <c r="FU168"/>
  <c r="FV168"/>
  <c r="FW168"/>
  <c r="FX168"/>
  <c r="FY168"/>
  <c r="FZ168"/>
  <c r="GA168"/>
  <c r="GB168"/>
  <c r="GC168"/>
  <c r="GD168"/>
  <c r="GE168"/>
  <c r="GF168"/>
  <c r="GG168"/>
  <c r="GH168"/>
  <c r="GI168"/>
  <c r="GJ168"/>
  <c r="GK168"/>
  <c r="GL168"/>
  <c r="GM168"/>
  <c r="GN168"/>
  <c r="GO168"/>
  <c r="GP168"/>
  <c r="GQ168"/>
  <c r="GR168"/>
  <c r="GS168"/>
  <c r="GT168"/>
  <c r="GU168"/>
  <c r="GV168"/>
  <c r="GW168"/>
  <c r="GX168"/>
  <c r="C170"/>
  <c r="D170"/>
  <c r="I170"/>
  <c r="S170"/>
  <c r="CY170" s="1"/>
  <c r="X170" s="1"/>
  <c r="W170"/>
  <c r="AC170"/>
  <c r="AE170"/>
  <c r="AF170"/>
  <c r="AG170"/>
  <c r="CU170" s="1"/>
  <c r="T170" s="1"/>
  <c r="AH170"/>
  <c r="AI170"/>
  <c r="CW170" s="1"/>
  <c r="V170" s="1"/>
  <c r="AJ170"/>
  <c r="CR170"/>
  <c r="Q170" s="1"/>
  <c r="CT170"/>
  <c r="CV170"/>
  <c r="U170" s="1"/>
  <c r="CX170"/>
  <c r="CZ170"/>
  <c r="Y170" s="1"/>
  <c r="FR170"/>
  <c r="GL170"/>
  <c r="GN170"/>
  <c r="GO170"/>
  <c r="CC186" s="1"/>
  <c r="GV170"/>
  <c r="HC170"/>
  <c r="GX170" s="1"/>
  <c r="C171"/>
  <c r="D171"/>
  <c r="I171"/>
  <c r="S171"/>
  <c r="CY171" s="1"/>
  <c r="X171" s="1"/>
  <c r="W171"/>
  <c r="AC171"/>
  <c r="AE171"/>
  <c r="AF171"/>
  <c r="AG171"/>
  <c r="CU171" s="1"/>
  <c r="T171" s="1"/>
  <c r="AH171"/>
  <c r="AI171"/>
  <c r="CW171" s="1"/>
  <c r="V171" s="1"/>
  <c r="AJ171"/>
  <c r="CR171"/>
  <c r="Q171" s="1"/>
  <c r="CT171"/>
  <c r="CV171"/>
  <c r="U171" s="1"/>
  <c r="CX171"/>
  <c r="CZ171"/>
  <c r="Y171" s="1"/>
  <c r="FR171"/>
  <c r="GL171"/>
  <c r="GN171"/>
  <c r="GO171"/>
  <c r="GV171"/>
  <c r="HC171"/>
  <c r="GX171" s="1"/>
  <c r="C172"/>
  <c r="D172"/>
  <c r="I172"/>
  <c r="CX67" i="3" s="1"/>
  <c r="S172" i="1"/>
  <c r="CY172" s="1"/>
  <c r="X172" s="1"/>
  <c r="W172"/>
  <c r="AC172"/>
  <c r="AE172"/>
  <c r="AF172"/>
  <c r="AG172"/>
  <c r="CU172" s="1"/>
  <c r="T172" s="1"/>
  <c r="AH172"/>
  <c r="AI172"/>
  <c r="CW172" s="1"/>
  <c r="V172" s="1"/>
  <c r="AJ172"/>
  <c r="CR172"/>
  <c r="Q172" s="1"/>
  <c r="CT172"/>
  <c r="CV172"/>
  <c r="U172" s="1"/>
  <c r="CX172"/>
  <c r="CZ172"/>
  <c r="Y172" s="1"/>
  <c r="FR172"/>
  <c r="GL172"/>
  <c r="GN172"/>
  <c r="GO172"/>
  <c r="GV172"/>
  <c r="HC172"/>
  <c r="GX172" s="1"/>
  <c r="C173"/>
  <c r="D173"/>
  <c r="I173"/>
  <c r="CX68" i="3" s="1"/>
  <c r="S173" i="1"/>
  <c r="CY173" s="1"/>
  <c r="X173" s="1"/>
  <c r="W173"/>
  <c r="AC173"/>
  <c r="AE173"/>
  <c r="AF173"/>
  <c r="AG173"/>
  <c r="CU173" s="1"/>
  <c r="T173" s="1"/>
  <c r="AH173"/>
  <c r="AI173"/>
  <c r="CW173" s="1"/>
  <c r="V173" s="1"/>
  <c r="AJ173"/>
  <c r="CR173"/>
  <c r="Q173" s="1"/>
  <c r="CT173"/>
  <c r="CV173"/>
  <c r="U173" s="1"/>
  <c r="CX173"/>
  <c r="CZ173"/>
  <c r="Y173" s="1"/>
  <c r="FR173"/>
  <c r="GL173"/>
  <c r="GN173"/>
  <c r="GO173"/>
  <c r="GV173"/>
  <c r="HC173"/>
  <c r="GX173" s="1"/>
  <c r="C174"/>
  <c r="D174"/>
  <c r="I174"/>
  <c r="CX71" i="3" s="1"/>
  <c r="S174" i="1"/>
  <c r="CY174" s="1"/>
  <c r="X174" s="1"/>
  <c r="W174"/>
  <c r="AC174"/>
  <c r="AE174"/>
  <c r="AF174"/>
  <c r="AG174"/>
  <c r="CU174" s="1"/>
  <c r="T174" s="1"/>
  <c r="AH174"/>
  <c r="AI174"/>
  <c r="CW174" s="1"/>
  <c r="V174" s="1"/>
  <c r="AJ174"/>
  <c r="CR174"/>
  <c r="Q174" s="1"/>
  <c r="CT174"/>
  <c r="CV174"/>
  <c r="U174" s="1"/>
  <c r="CX174"/>
  <c r="CZ174"/>
  <c r="Y174" s="1"/>
  <c r="FR174"/>
  <c r="GL174"/>
  <c r="GN174"/>
  <c r="GO174"/>
  <c r="GV174"/>
  <c r="HC174"/>
  <c r="GX174" s="1"/>
  <c r="I175"/>
  <c r="S175"/>
  <c r="CY175" s="1"/>
  <c r="X175" s="1"/>
  <c r="W175"/>
  <c r="AC175"/>
  <c r="AE175"/>
  <c r="AF175"/>
  <c r="AG175"/>
  <c r="CU175" s="1"/>
  <c r="T175" s="1"/>
  <c r="AH175"/>
  <c r="AI175"/>
  <c r="CW175" s="1"/>
  <c r="V175" s="1"/>
  <c r="AJ175"/>
  <c r="CR175"/>
  <c r="Q175" s="1"/>
  <c r="CT175"/>
  <c r="CV175"/>
  <c r="U175" s="1"/>
  <c r="CX175"/>
  <c r="CZ175"/>
  <c r="Y175" s="1"/>
  <c r="FR175"/>
  <c r="GL175"/>
  <c r="GN175"/>
  <c r="GO175"/>
  <c r="GV175"/>
  <c r="HC175"/>
  <c r="GX175" s="1"/>
  <c r="C176"/>
  <c r="D176"/>
  <c r="I176"/>
  <c r="S176"/>
  <c r="CY176" s="1"/>
  <c r="X176" s="1"/>
  <c r="W176"/>
  <c r="AC176"/>
  <c r="AE176"/>
  <c r="AF176"/>
  <c r="AG176"/>
  <c r="CU176" s="1"/>
  <c r="T176" s="1"/>
  <c r="AH176"/>
  <c r="AI176"/>
  <c r="CW176" s="1"/>
  <c r="V176" s="1"/>
  <c r="AJ176"/>
  <c r="CR176"/>
  <c r="Q176" s="1"/>
  <c r="CT176"/>
  <c r="CV176"/>
  <c r="U176" s="1"/>
  <c r="CX176"/>
  <c r="FR176"/>
  <c r="GL176"/>
  <c r="GN176"/>
  <c r="GO176"/>
  <c r="GV176"/>
  <c r="HC176"/>
  <c r="GX176" s="1"/>
  <c r="C177"/>
  <c r="D177"/>
  <c r="I177"/>
  <c r="CX79" i="3" s="1"/>
  <c r="S177" i="1"/>
  <c r="CY177" s="1"/>
  <c r="X177" s="1"/>
  <c r="W177"/>
  <c r="AC177"/>
  <c r="AE177"/>
  <c r="AF177"/>
  <c r="AG177"/>
  <c r="CU177" s="1"/>
  <c r="T177" s="1"/>
  <c r="AH177"/>
  <c r="AI177"/>
  <c r="CW177" s="1"/>
  <c r="V177" s="1"/>
  <c r="AJ177"/>
  <c r="CR177"/>
  <c r="Q177" s="1"/>
  <c r="CT177"/>
  <c r="CV177"/>
  <c r="U177" s="1"/>
  <c r="CX177"/>
  <c r="CZ177"/>
  <c r="Y177" s="1"/>
  <c r="FR177"/>
  <c r="GL177"/>
  <c r="GN177"/>
  <c r="GO177"/>
  <c r="GV177"/>
  <c r="HC177"/>
  <c r="GX177" s="1"/>
  <c r="C178"/>
  <c r="D178"/>
  <c r="I178"/>
  <c r="CX84" i="3" s="1"/>
  <c r="S178" i="1"/>
  <c r="CY178" s="1"/>
  <c r="X178" s="1"/>
  <c r="W178"/>
  <c r="AC178"/>
  <c r="AE178"/>
  <c r="AF178"/>
  <c r="AG178"/>
  <c r="CU178" s="1"/>
  <c r="T178" s="1"/>
  <c r="AH178"/>
  <c r="AI178"/>
  <c r="CW178" s="1"/>
  <c r="V178" s="1"/>
  <c r="AJ178"/>
  <c r="CR178"/>
  <c r="Q178" s="1"/>
  <c r="CT178"/>
  <c r="CV178"/>
  <c r="U178" s="1"/>
  <c r="CX178"/>
  <c r="CZ178"/>
  <c r="Y178" s="1"/>
  <c r="FR178"/>
  <c r="GL178"/>
  <c r="GN178"/>
  <c r="GO178"/>
  <c r="GV178"/>
  <c r="HC178" s="1"/>
  <c r="GX178" s="1"/>
  <c r="C179"/>
  <c r="D179"/>
  <c r="I179"/>
  <c r="CX85" i="3" s="1"/>
  <c r="AC179" i="1"/>
  <c r="CQ179" s="1"/>
  <c r="P179" s="1"/>
  <c r="AE179"/>
  <c r="AD179" s="1"/>
  <c r="AF179"/>
  <c r="AG179"/>
  <c r="CU179" s="1"/>
  <c r="T179" s="1"/>
  <c r="AH179"/>
  <c r="AI179"/>
  <c r="CW179" s="1"/>
  <c r="V179" s="1"/>
  <c r="AJ179"/>
  <c r="CT179"/>
  <c r="S179" s="1"/>
  <c r="CV179"/>
  <c r="U179" s="1"/>
  <c r="CX179"/>
  <c r="W179" s="1"/>
  <c r="FR179"/>
  <c r="GL179"/>
  <c r="GN179"/>
  <c r="GO179"/>
  <c r="GV179"/>
  <c r="HC179" s="1"/>
  <c r="GX179" s="1"/>
  <c r="C180"/>
  <c r="D180"/>
  <c r="I180"/>
  <c r="AC180"/>
  <c r="CQ180" s="1"/>
  <c r="P180" s="1"/>
  <c r="AE180"/>
  <c r="AD180" s="1"/>
  <c r="AF180"/>
  <c r="AG180"/>
  <c r="CU180" s="1"/>
  <c r="T180" s="1"/>
  <c r="AH180"/>
  <c r="AI180"/>
  <c r="CW180" s="1"/>
  <c r="V180" s="1"/>
  <c r="AJ180"/>
  <c r="CT180"/>
  <c r="S180" s="1"/>
  <c r="CV180"/>
  <c r="U180" s="1"/>
  <c r="CX180"/>
  <c r="W180" s="1"/>
  <c r="FR180"/>
  <c r="GL180"/>
  <c r="GN180"/>
  <c r="GO180"/>
  <c r="GV180"/>
  <c r="HC180" s="1"/>
  <c r="GX180" s="1"/>
  <c r="I181"/>
  <c r="AC181"/>
  <c r="AE181"/>
  <c r="CS181" s="1"/>
  <c r="R181" s="1"/>
  <c r="GK181" s="1"/>
  <c r="AF181"/>
  <c r="AG181"/>
  <c r="CU181" s="1"/>
  <c r="T181" s="1"/>
  <c r="AH181"/>
  <c r="AI181"/>
  <c r="CW181" s="1"/>
  <c r="V181" s="1"/>
  <c r="AJ181"/>
  <c r="CR181"/>
  <c r="Q181" s="1"/>
  <c r="CT181"/>
  <c r="S181" s="1"/>
  <c r="CV181"/>
  <c r="U181" s="1"/>
  <c r="CX181"/>
  <c r="W181" s="1"/>
  <c r="FR181"/>
  <c r="GL181"/>
  <c r="GN181"/>
  <c r="GO181"/>
  <c r="GV181"/>
  <c r="HC181"/>
  <c r="GX181" s="1"/>
  <c r="I182"/>
  <c r="AC182"/>
  <c r="CQ182" s="1"/>
  <c r="P182" s="1"/>
  <c r="CP182" s="1"/>
  <c r="O182" s="1"/>
  <c r="AE182"/>
  <c r="AD182" s="1"/>
  <c r="AF182"/>
  <c r="AG182"/>
  <c r="CU182" s="1"/>
  <c r="T182" s="1"/>
  <c r="AH182"/>
  <c r="AI182"/>
  <c r="CW182" s="1"/>
  <c r="V182" s="1"/>
  <c r="AJ182"/>
  <c r="CR182"/>
  <c r="Q182" s="1"/>
  <c r="CT182"/>
  <c r="S182" s="1"/>
  <c r="CV182"/>
  <c r="U182" s="1"/>
  <c r="CX182"/>
  <c r="W182" s="1"/>
  <c r="FR182"/>
  <c r="GL182"/>
  <c r="GN182"/>
  <c r="GO182"/>
  <c r="GV182"/>
  <c r="HC182" s="1"/>
  <c r="GX182" s="1"/>
  <c r="I183"/>
  <c r="AC183"/>
  <c r="AE183"/>
  <c r="CS183" s="1"/>
  <c r="R183" s="1"/>
  <c r="GK183" s="1"/>
  <c r="AF183"/>
  <c r="AG183"/>
  <c r="CU183" s="1"/>
  <c r="T183" s="1"/>
  <c r="AH183"/>
  <c r="AI183"/>
  <c r="CW183" s="1"/>
  <c r="V183" s="1"/>
  <c r="AJ183"/>
  <c r="CR183"/>
  <c r="Q183" s="1"/>
  <c r="CT183"/>
  <c r="S183" s="1"/>
  <c r="CV183"/>
  <c r="U183" s="1"/>
  <c r="CX183"/>
  <c r="W183" s="1"/>
  <c r="FR183"/>
  <c r="GL183"/>
  <c r="GN183"/>
  <c r="GO183"/>
  <c r="GV183"/>
  <c r="HC183"/>
  <c r="GX183" s="1"/>
  <c r="I184"/>
  <c r="AC184"/>
  <c r="CQ184" s="1"/>
  <c r="P184" s="1"/>
  <c r="AE184"/>
  <c r="AD184" s="1"/>
  <c r="AF184"/>
  <c r="AG184"/>
  <c r="CU184" s="1"/>
  <c r="T184" s="1"/>
  <c r="AH184"/>
  <c r="AI184"/>
  <c r="CW184" s="1"/>
  <c r="V184" s="1"/>
  <c r="AJ184"/>
  <c r="CR184"/>
  <c r="Q184" s="1"/>
  <c r="CT184"/>
  <c r="S184" s="1"/>
  <c r="CV184"/>
  <c r="U184" s="1"/>
  <c r="CX184"/>
  <c r="W184" s="1"/>
  <c r="FR184"/>
  <c r="GL184"/>
  <c r="GN184"/>
  <c r="GO184"/>
  <c r="GV184"/>
  <c r="HC184" s="1"/>
  <c r="GX184" s="1"/>
  <c r="B186"/>
  <c r="B168" s="1"/>
  <c r="C186"/>
  <c r="C168" s="1"/>
  <c r="D186"/>
  <c r="D168" s="1"/>
  <c r="F186"/>
  <c r="F168" s="1"/>
  <c r="G186"/>
  <c r="G168" s="1"/>
  <c r="AO186"/>
  <c r="AO168" s="1"/>
  <c r="AQ186"/>
  <c r="AQ168" s="1"/>
  <c r="AS186"/>
  <c r="AS168" s="1"/>
  <c r="BC186"/>
  <c r="BC168" s="1"/>
  <c r="BX186"/>
  <c r="BX168" s="1"/>
  <c r="BY186"/>
  <c r="BY168" s="1"/>
  <c r="BZ186"/>
  <c r="BZ168" s="1"/>
  <c r="CB186"/>
  <c r="CB168" s="1"/>
  <c r="CG186"/>
  <c r="CG168" s="1"/>
  <c r="CI186"/>
  <c r="CI168" s="1"/>
  <c r="CK186"/>
  <c r="CK168" s="1"/>
  <c r="CL186"/>
  <c r="F190"/>
  <c r="F196"/>
  <c r="D218"/>
  <c r="D220"/>
  <c r="E220"/>
  <c r="F220"/>
  <c r="Z220"/>
  <c r="AA220"/>
  <c r="AM220"/>
  <c r="AN220"/>
  <c r="BD220"/>
  <c r="BE220"/>
  <c r="BF220"/>
  <c r="BG220"/>
  <c r="BH220"/>
  <c r="BI220"/>
  <c r="BJ220"/>
  <c r="BK220"/>
  <c r="BL220"/>
  <c r="BM220"/>
  <c r="BN220"/>
  <c r="BO220"/>
  <c r="BP220"/>
  <c r="BQ220"/>
  <c r="BR220"/>
  <c r="BS220"/>
  <c r="BT220"/>
  <c r="BU220"/>
  <c r="BV220"/>
  <c r="BW220"/>
  <c r="CC220"/>
  <c r="CK220"/>
  <c r="CM220"/>
  <c r="CN220"/>
  <c r="CO220"/>
  <c r="CP220"/>
  <c r="CQ220"/>
  <c r="CR220"/>
  <c r="CS220"/>
  <c r="CT220"/>
  <c r="CU220"/>
  <c r="CV220"/>
  <c r="CW220"/>
  <c r="CX220"/>
  <c r="CY220"/>
  <c r="CZ220"/>
  <c r="DA220"/>
  <c r="DB220"/>
  <c r="DC220"/>
  <c r="DD220"/>
  <c r="DE220"/>
  <c r="DF220"/>
  <c r="DG220"/>
  <c r="DH220"/>
  <c r="DI220"/>
  <c r="DJ220"/>
  <c r="DK220"/>
  <c r="DL220"/>
  <c r="DM220"/>
  <c r="DN220"/>
  <c r="DO220"/>
  <c r="DP220"/>
  <c r="DQ220"/>
  <c r="DR220"/>
  <c r="DS220"/>
  <c r="DT220"/>
  <c r="DU220"/>
  <c r="DV220"/>
  <c r="DW220"/>
  <c r="DX220"/>
  <c r="DY220"/>
  <c r="DZ220"/>
  <c r="EA220"/>
  <c r="EB220"/>
  <c r="EC220"/>
  <c r="ED220"/>
  <c r="EE220"/>
  <c r="EF220"/>
  <c r="EG220"/>
  <c r="EH220"/>
  <c r="EI220"/>
  <c r="EJ220"/>
  <c r="EK220"/>
  <c r="EL220"/>
  <c r="EM220"/>
  <c r="EN220"/>
  <c r="EO220"/>
  <c r="EP220"/>
  <c r="EQ220"/>
  <c r="ER220"/>
  <c r="ES220"/>
  <c r="ET220"/>
  <c r="EU220"/>
  <c r="EV220"/>
  <c r="EW220"/>
  <c r="EX220"/>
  <c r="EY220"/>
  <c r="EZ220"/>
  <c r="FA220"/>
  <c r="FB220"/>
  <c r="FC220"/>
  <c r="FD220"/>
  <c r="FE220"/>
  <c r="FF220"/>
  <c r="FG220"/>
  <c r="FH220"/>
  <c r="FI220"/>
  <c r="FJ220"/>
  <c r="FK220"/>
  <c r="FL220"/>
  <c r="FM220"/>
  <c r="FN220"/>
  <c r="FO220"/>
  <c r="FP220"/>
  <c r="FQ220"/>
  <c r="FR220"/>
  <c r="FS220"/>
  <c r="FT220"/>
  <c r="FU220"/>
  <c r="FV220"/>
  <c r="FW220"/>
  <c r="FX220"/>
  <c r="FY220"/>
  <c r="FZ220"/>
  <c r="GA220"/>
  <c r="GB220"/>
  <c r="GC220"/>
  <c r="GD220"/>
  <c r="GE220"/>
  <c r="GF220"/>
  <c r="GG220"/>
  <c r="GH220"/>
  <c r="GI220"/>
  <c r="GJ220"/>
  <c r="GK220"/>
  <c r="GL220"/>
  <c r="GM220"/>
  <c r="GN220"/>
  <c r="GO220"/>
  <c r="GP220"/>
  <c r="GQ220"/>
  <c r="GR220"/>
  <c r="GS220"/>
  <c r="GT220"/>
  <c r="GU220"/>
  <c r="GV220"/>
  <c r="GW220"/>
  <c r="GX220"/>
  <c r="C222"/>
  <c r="D222"/>
  <c r="I222"/>
  <c r="AC222"/>
  <c r="AD222"/>
  <c r="AB222" s="1"/>
  <c r="AE222"/>
  <c r="AF222"/>
  <c r="CT222" s="1"/>
  <c r="S222" s="1"/>
  <c r="AG222"/>
  <c r="AH222"/>
  <c r="CV222" s="1"/>
  <c r="U222" s="1"/>
  <c r="AH226" s="1"/>
  <c r="AI222"/>
  <c r="AJ222"/>
  <c r="CX222" s="1"/>
  <c r="W222" s="1"/>
  <c r="CQ222"/>
  <c r="P222" s="1"/>
  <c r="CR222"/>
  <c r="Q222" s="1"/>
  <c r="AD226" s="1"/>
  <c r="CS222"/>
  <c r="R222" s="1"/>
  <c r="CU222"/>
  <c r="T222" s="1"/>
  <c r="CW222"/>
  <c r="V222" s="1"/>
  <c r="FR222"/>
  <c r="BY226" s="1"/>
  <c r="GL222"/>
  <c r="GN222"/>
  <c r="GO222"/>
  <c r="GV222"/>
  <c r="HC222" s="1"/>
  <c r="GX222" s="1"/>
  <c r="CJ226" s="1"/>
  <c r="C223"/>
  <c r="D223"/>
  <c r="I223"/>
  <c r="AC223"/>
  <c r="AD223"/>
  <c r="AB223" s="1"/>
  <c r="AE223"/>
  <c r="AF223"/>
  <c r="CT223" s="1"/>
  <c r="S223" s="1"/>
  <c r="AG223"/>
  <c r="AH223"/>
  <c r="CV223" s="1"/>
  <c r="U223" s="1"/>
  <c r="AI223"/>
  <c r="AJ223"/>
  <c r="CX223" s="1"/>
  <c r="W223" s="1"/>
  <c r="CQ223"/>
  <c r="P223" s="1"/>
  <c r="CP223" s="1"/>
  <c r="O223" s="1"/>
  <c r="CR223"/>
  <c r="Q223" s="1"/>
  <c r="CS223"/>
  <c r="R223" s="1"/>
  <c r="GK223" s="1"/>
  <c r="CU223"/>
  <c r="T223" s="1"/>
  <c r="CW223"/>
  <c r="V223" s="1"/>
  <c r="FR223"/>
  <c r="GL223"/>
  <c r="GN223"/>
  <c r="GO223"/>
  <c r="GV223"/>
  <c r="HC223" s="1"/>
  <c r="GX223" s="1"/>
  <c r="C224"/>
  <c r="D224"/>
  <c r="I224"/>
  <c r="AC224"/>
  <c r="AD224"/>
  <c r="AB224" s="1"/>
  <c r="AE224"/>
  <c r="AF224"/>
  <c r="CT224" s="1"/>
  <c r="S224" s="1"/>
  <c r="AG224"/>
  <c r="AH224"/>
  <c r="CV224" s="1"/>
  <c r="U224" s="1"/>
  <c r="AI224"/>
  <c r="AJ224"/>
  <c r="CX224" s="1"/>
  <c r="W224" s="1"/>
  <c r="CQ224"/>
  <c r="P224" s="1"/>
  <c r="CR224"/>
  <c r="Q224" s="1"/>
  <c r="CS224"/>
  <c r="R224" s="1"/>
  <c r="GK224" s="1"/>
  <c r="CU224"/>
  <c r="T224" s="1"/>
  <c r="CW224"/>
  <c r="V224" s="1"/>
  <c r="FR224"/>
  <c r="GL224"/>
  <c r="GN224"/>
  <c r="GO224"/>
  <c r="GV224"/>
  <c r="HC224" s="1"/>
  <c r="GX224" s="1"/>
  <c r="B226"/>
  <c r="B220" s="1"/>
  <c r="C226"/>
  <c r="C220" s="1"/>
  <c r="D226"/>
  <c r="F226"/>
  <c r="G226"/>
  <c r="G220" s="1"/>
  <c r="AT226"/>
  <c r="AT220" s="1"/>
  <c r="BB226"/>
  <c r="BB220" s="1"/>
  <c r="BX226"/>
  <c r="AO226" s="1"/>
  <c r="BZ226"/>
  <c r="BZ220" s="1"/>
  <c r="CB226"/>
  <c r="AS226" s="1"/>
  <c r="CC226"/>
  <c r="CK226"/>
  <c r="CL226"/>
  <c r="CL220" s="1"/>
  <c r="F239"/>
  <c r="D258"/>
  <c r="C260"/>
  <c r="E260"/>
  <c r="G260"/>
  <c r="Z260"/>
  <c r="AA260"/>
  <c r="AM260"/>
  <c r="AN260"/>
  <c r="BD260"/>
  <c r="BE260"/>
  <c r="BF260"/>
  <c r="BG260"/>
  <c r="BH260"/>
  <c r="BI260"/>
  <c r="BJ260"/>
  <c r="BK260"/>
  <c r="BL260"/>
  <c r="BM260"/>
  <c r="BN260"/>
  <c r="BO260"/>
  <c r="BP260"/>
  <c r="BQ260"/>
  <c r="BR260"/>
  <c r="BS260"/>
  <c r="BT260"/>
  <c r="BU260"/>
  <c r="BV260"/>
  <c r="BW260"/>
  <c r="BX260"/>
  <c r="BZ260"/>
  <c r="CB260"/>
  <c r="CL260"/>
  <c r="CM260"/>
  <c r="CN260"/>
  <c r="CO260"/>
  <c r="CP260"/>
  <c r="CQ260"/>
  <c r="CR260"/>
  <c r="CS260"/>
  <c r="CT260"/>
  <c r="CU260"/>
  <c r="CV260"/>
  <c r="CW260"/>
  <c r="CX260"/>
  <c r="CY260"/>
  <c r="CZ260"/>
  <c r="DA260"/>
  <c r="DB260"/>
  <c r="DC260"/>
  <c r="DD260"/>
  <c r="DE260"/>
  <c r="DF260"/>
  <c r="DG260"/>
  <c r="DH260"/>
  <c r="DI260"/>
  <c r="DJ260"/>
  <c r="DK260"/>
  <c r="DL260"/>
  <c r="DM260"/>
  <c r="DN260"/>
  <c r="DO260"/>
  <c r="DP260"/>
  <c r="DQ260"/>
  <c r="DR260"/>
  <c r="DS260"/>
  <c r="DT260"/>
  <c r="DU260"/>
  <c r="DV260"/>
  <c r="DW260"/>
  <c r="DX260"/>
  <c r="DY260"/>
  <c r="DZ260"/>
  <c r="EA260"/>
  <c r="EB260"/>
  <c r="EC260"/>
  <c r="ED260"/>
  <c r="EE260"/>
  <c r="EF260"/>
  <c r="EG260"/>
  <c r="EH260"/>
  <c r="EI260"/>
  <c r="EJ260"/>
  <c r="EK260"/>
  <c r="EL260"/>
  <c r="EM260"/>
  <c r="EN260"/>
  <c r="EO260"/>
  <c r="EP260"/>
  <c r="EQ260"/>
  <c r="ER260"/>
  <c r="ES260"/>
  <c r="ET260"/>
  <c r="EU260"/>
  <c r="EV260"/>
  <c r="EW260"/>
  <c r="EX260"/>
  <c r="EY260"/>
  <c r="EZ260"/>
  <c r="FA260"/>
  <c r="FB260"/>
  <c r="FC260"/>
  <c r="FD260"/>
  <c r="FE260"/>
  <c r="FF260"/>
  <c r="FG260"/>
  <c r="FH260"/>
  <c r="FI260"/>
  <c r="FJ260"/>
  <c r="FK260"/>
  <c r="FL260"/>
  <c r="FM260"/>
  <c r="FN260"/>
  <c r="FO260"/>
  <c r="FP260"/>
  <c r="FQ260"/>
  <c r="FR260"/>
  <c r="FS260"/>
  <c r="FT260"/>
  <c r="FU260"/>
  <c r="FV260"/>
  <c r="FW260"/>
  <c r="FX260"/>
  <c r="FY260"/>
  <c r="FZ260"/>
  <c r="GA260"/>
  <c r="GB260"/>
  <c r="GC260"/>
  <c r="GD260"/>
  <c r="GE260"/>
  <c r="GF260"/>
  <c r="GG260"/>
  <c r="GH260"/>
  <c r="GI260"/>
  <c r="GJ260"/>
  <c r="GK260"/>
  <c r="GL260"/>
  <c r="GM260"/>
  <c r="GN260"/>
  <c r="GO260"/>
  <c r="GP260"/>
  <c r="GQ260"/>
  <c r="GR260"/>
  <c r="GS260"/>
  <c r="GT260"/>
  <c r="GU260"/>
  <c r="GV260"/>
  <c r="GW260"/>
  <c r="GX260"/>
  <c r="C262"/>
  <c r="D262"/>
  <c r="I262"/>
  <c r="AC262"/>
  <c r="AE262"/>
  <c r="CS262" s="1"/>
  <c r="R262" s="1"/>
  <c r="AF262"/>
  <c r="AG262"/>
  <c r="CU262" s="1"/>
  <c r="T262" s="1"/>
  <c r="AH262"/>
  <c r="AI262"/>
  <c r="CW262" s="1"/>
  <c r="V262" s="1"/>
  <c r="AJ262"/>
  <c r="CT262"/>
  <c r="S262" s="1"/>
  <c r="CV262"/>
  <c r="U262" s="1"/>
  <c r="CX262"/>
  <c r="W262" s="1"/>
  <c r="FR262"/>
  <c r="GL262"/>
  <c r="GN262"/>
  <c r="GO262"/>
  <c r="GV262"/>
  <c r="HC262"/>
  <c r="GX262" s="1"/>
  <c r="C263"/>
  <c r="D263"/>
  <c r="I263"/>
  <c r="AC263"/>
  <c r="AE263"/>
  <c r="CS263" s="1"/>
  <c r="R263" s="1"/>
  <c r="GK263" s="1"/>
  <c r="AF263"/>
  <c r="AG263"/>
  <c r="CU263" s="1"/>
  <c r="T263" s="1"/>
  <c r="AH263"/>
  <c r="AI263"/>
  <c r="CW263" s="1"/>
  <c r="V263" s="1"/>
  <c r="AJ263"/>
  <c r="CR263"/>
  <c r="Q263" s="1"/>
  <c r="CT263"/>
  <c r="S263" s="1"/>
  <c r="CV263"/>
  <c r="U263" s="1"/>
  <c r="CX263"/>
  <c r="W263" s="1"/>
  <c r="FR263"/>
  <c r="GL263"/>
  <c r="GN263"/>
  <c r="GO263"/>
  <c r="GV263"/>
  <c r="HC263"/>
  <c r="GX263" s="1"/>
  <c r="C264"/>
  <c r="D264"/>
  <c r="I264"/>
  <c r="AC264"/>
  <c r="AE264"/>
  <c r="CS264" s="1"/>
  <c r="R264" s="1"/>
  <c r="GK264" s="1"/>
  <c r="AF264"/>
  <c r="AG264"/>
  <c r="CU264" s="1"/>
  <c r="T264" s="1"/>
  <c r="AH264"/>
  <c r="AI264"/>
  <c r="CW264" s="1"/>
  <c r="V264" s="1"/>
  <c r="AJ264"/>
  <c r="CR264"/>
  <c r="Q264" s="1"/>
  <c r="CT264"/>
  <c r="S264" s="1"/>
  <c r="CV264"/>
  <c r="U264" s="1"/>
  <c r="CX264"/>
  <c r="W264" s="1"/>
  <c r="FR264"/>
  <c r="GL264"/>
  <c r="GN264"/>
  <c r="GO264"/>
  <c r="GV264"/>
  <c r="HC264"/>
  <c r="GX264" s="1"/>
  <c r="C265"/>
  <c r="D265"/>
  <c r="I265"/>
  <c r="AC265"/>
  <c r="AE265"/>
  <c r="CS265" s="1"/>
  <c r="R265" s="1"/>
  <c r="GK265" s="1"/>
  <c r="AF265"/>
  <c r="AG265"/>
  <c r="CU265" s="1"/>
  <c r="T265" s="1"/>
  <c r="AH265"/>
  <c r="AI265"/>
  <c r="CW265" s="1"/>
  <c r="V265" s="1"/>
  <c r="AJ265"/>
  <c r="CR265"/>
  <c r="Q265" s="1"/>
  <c r="CT265"/>
  <c r="S265" s="1"/>
  <c r="CV265"/>
  <c r="U265" s="1"/>
  <c r="CX265"/>
  <c r="W265" s="1"/>
  <c r="FR265"/>
  <c r="GL265"/>
  <c r="GN265"/>
  <c r="GO265"/>
  <c r="GV265"/>
  <c r="HC265"/>
  <c r="GX265" s="1"/>
  <c r="B267"/>
  <c r="B260" s="1"/>
  <c r="C267"/>
  <c r="D267"/>
  <c r="D260" s="1"/>
  <c r="F267"/>
  <c r="F260" s="1"/>
  <c r="G267"/>
  <c r="AO267"/>
  <c r="AO260" s="1"/>
  <c r="AQ267"/>
  <c r="AQ260" s="1"/>
  <c r="AS267"/>
  <c r="AS260" s="1"/>
  <c r="BC267"/>
  <c r="BC260" s="1"/>
  <c r="BX267"/>
  <c r="BY267"/>
  <c r="BY260" s="1"/>
  <c r="BZ267"/>
  <c r="CB267"/>
  <c r="CC267"/>
  <c r="CC260" s="1"/>
  <c r="CG267"/>
  <c r="CG260" s="1"/>
  <c r="CK267"/>
  <c r="CK260" s="1"/>
  <c r="CL267"/>
  <c r="F271"/>
  <c r="F277"/>
  <c r="F283"/>
  <c r="B299"/>
  <c r="B22" s="1"/>
  <c r="C299"/>
  <c r="C22" s="1"/>
  <c r="D299"/>
  <c r="D22" s="1"/>
  <c r="F299"/>
  <c r="F22" s="1"/>
  <c r="G299"/>
  <c r="G22" s="1"/>
  <c r="B328"/>
  <c r="B18" s="1"/>
  <c r="C328"/>
  <c r="C18" s="1"/>
  <c r="D328"/>
  <c r="D18" s="1"/>
  <c r="F328"/>
  <c r="F18" s="1"/>
  <c r="G328"/>
  <c r="G18" s="1"/>
  <c r="I239" i="5" l="1"/>
  <c r="I335"/>
  <c r="J208"/>
  <c r="I212" s="1"/>
  <c r="I41"/>
  <c r="K41" s="1"/>
  <c r="I231"/>
  <c r="I381"/>
  <c r="J90"/>
  <c r="I141"/>
  <c r="P141" s="1"/>
  <c r="J156"/>
  <c r="I199"/>
  <c r="I296"/>
  <c r="P296" s="1"/>
  <c r="J308"/>
  <c r="I311" s="1"/>
  <c r="J309"/>
  <c r="J307"/>
  <c r="I65"/>
  <c r="P65" s="1"/>
  <c r="J89"/>
  <c r="J155"/>
  <c r="I245"/>
  <c r="P245" s="1"/>
  <c r="I252"/>
  <c r="K252" s="1"/>
  <c r="I283"/>
  <c r="K283" s="1"/>
  <c r="I346"/>
  <c r="K199"/>
  <c r="P199"/>
  <c r="K296"/>
  <c r="I58"/>
  <c r="I101"/>
  <c r="I128"/>
  <c r="I134"/>
  <c r="I186"/>
  <c r="I192"/>
  <c r="I264"/>
  <c r="I289"/>
  <c r="P381"/>
  <c r="K381"/>
  <c r="P239"/>
  <c r="K239"/>
  <c r="K245"/>
  <c r="P252"/>
  <c r="P335"/>
  <c r="K335"/>
  <c r="P346"/>
  <c r="K346"/>
  <c r="I51"/>
  <c r="I81"/>
  <c r="I120"/>
  <c r="I159"/>
  <c r="I178"/>
  <c r="I272"/>
  <c r="P231"/>
  <c r="K231"/>
  <c r="I365"/>
  <c r="I373"/>
  <c r="I73"/>
  <c r="I327"/>
  <c r="I389"/>
  <c r="E73" i="8"/>
  <c r="E55"/>
  <c r="E17"/>
  <c r="E30"/>
  <c r="E41"/>
  <c r="E67"/>
  <c r="CZ224" i="1"/>
  <c r="Y224" s="1"/>
  <c r="CY224"/>
  <c r="X224" s="1"/>
  <c r="BA226"/>
  <c r="CJ220"/>
  <c r="AH220"/>
  <c r="U226"/>
  <c r="CB124"/>
  <c r="AS134"/>
  <c r="GK262"/>
  <c r="AE267"/>
  <c r="GK222"/>
  <c r="AE226"/>
  <c r="CZ183"/>
  <c r="Y183" s="1"/>
  <c r="CY183"/>
  <c r="X183" s="1"/>
  <c r="CY180"/>
  <c r="X180" s="1"/>
  <c r="CZ180"/>
  <c r="Y180" s="1"/>
  <c r="AB262"/>
  <c r="AH186"/>
  <c r="AJ267"/>
  <c r="AI267"/>
  <c r="CP224"/>
  <c r="O224" s="1"/>
  <c r="AI186"/>
  <c r="P131"/>
  <c r="AD220"/>
  <c r="Q226"/>
  <c r="F230"/>
  <c r="AO220"/>
  <c r="CY222"/>
  <c r="X222" s="1"/>
  <c r="AK226" s="1"/>
  <c r="AF226"/>
  <c r="CZ222"/>
  <c r="Y222" s="1"/>
  <c r="CZ181"/>
  <c r="Y181" s="1"/>
  <c r="CY181"/>
  <c r="X181" s="1"/>
  <c r="CC168"/>
  <c r="AT186"/>
  <c r="AG226"/>
  <c r="AJ226"/>
  <c r="AD186"/>
  <c r="AJ186"/>
  <c r="AS220"/>
  <c r="F243"/>
  <c r="BY220"/>
  <c r="CI226"/>
  <c r="AP226"/>
  <c r="CY182"/>
  <c r="X182" s="1"/>
  <c r="GM182" s="1"/>
  <c r="CZ182"/>
  <c r="Y182" s="1"/>
  <c r="GP182" s="1"/>
  <c r="CZ265"/>
  <c r="Y265" s="1"/>
  <c r="CY265"/>
  <c r="X265" s="1"/>
  <c r="CZ264"/>
  <c r="Y264" s="1"/>
  <c r="CY264"/>
  <c r="X264" s="1"/>
  <c r="CZ263"/>
  <c r="Y263" s="1"/>
  <c r="CY263"/>
  <c r="X263" s="1"/>
  <c r="CZ262"/>
  <c r="Y262" s="1"/>
  <c r="AL267" s="1"/>
  <c r="CY262"/>
  <c r="X262" s="1"/>
  <c r="AK267" s="1"/>
  <c r="AF267"/>
  <c r="CZ223"/>
  <c r="Y223" s="1"/>
  <c r="CY223"/>
  <c r="X223" s="1"/>
  <c r="GM223" s="1"/>
  <c r="CP222"/>
  <c r="O222" s="1"/>
  <c r="AC226"/>
  <c r="CY184"/>
  <c r="X184" s="1"/>
  <c r="CZ184"/>
  <c r="Y184" s="1"/>
  <c r="CY179"/>
  <c r="X179" s="1"/>
  <c r="AK186" s="1"/>
  <c r="CZ179"/>
  <c r="Y179" s="1"/>
  <c r="AH267"/>
  <c r="AB264"/>
  <c r="CJ267"/>
  <c r="AG267"/>
  <c r="AI226"/>
  <c r="CP184"/>
  <c r="O184" s="1"/>
  <c r="AG186"/>
  <c r="CJ186"/>
  <c r="CQ178"/>
  <c r="P178" s="1"/>
  <c r="CP178" s="1"/>
  <c r="O178" s="1"/>
  <c r="CZ132"/>
  <c r="Y132" s="1"/>
  <c r="CY132"/>
  <c r="X132" s="1"/>
  <c r="CZ127"/>
  <c r="Y127" s="1"/>
  <c r="CY127"/>
  <c r="X127" s="1"/>
  <c r="CZ86"/>
  <c r="Y86" s="1"/>
  <c r="CY86"/>
  <c r="X86" s="1"/>
  <c r="BZ75"/>
  <c r="AQ90"/>
  <c r="CZ34"/>
  <c r="Y34" s="1"/>
  <c r="CY34"/>
  <c r="X34" s="1"/>
  <c r="CX88" i="3"/>
  <c r="CX92"/>
  <c r="CX89"/>
  <c r="CX93"/>
  <c r="CX86"/>
  <c r="CX90"/>
  <c r="CX94"/>
  <c r="CX91"/>
  <c r="CX95"/>
  <c r="CX87"/>
  <c r="CS178" i="1"/>
  <c r="R178" s="1"/>
  <c r="GK178" s="1"/>
  <c r="AD178"/>
  <c r="AB178" s="1"/>
  <c r="CS176"/>
  <c r="R176" s="1"/>
  <c r="GK176" s="1"/>
  <c r="AD176"/>
  <c r="AD173"/>
  <c r="CS173"/>
  <c r="R173" s="1"/>
  <c r="GK173" s="1"/>
  <c r="AD171"/>
  <c r="CS171"/>
  <c r="R171" s="1"/>
  <c r="GK171" s="1"/>
  <c r="BX124"/>
  <c r="AO134"/>
  <c r="CG134"/>
  <c r="CX52" i="3"/>
  <c r="CX56"/>
  <c r="CX53"/>
  <c r="CX57"/>
  <c r="CX54"/>
  <c r="CX58"/>
  <c r="CX59"/>
  <c r="I131" i="1"/>
  <c r="CX55" i="3"/>
  <c r="CX48"/>
  <c r="CX49"/>
  <c r="CX47"/>
  <c r="GK77" i="1"/>
  <c r="CZ29"/>
  <c r="Y29" s="1"/>
  <c r="CY29"/>
  <c r="X29" s="1"/>
  <c r="CZ28"/>
  <c r="Y28" s="1"/>
  <c r="CY28"/>
  <c r="X28" s="1"/>
  <c r="AF41"/>
  <c r="CR180"/>
  <c r="Q180" s="1"/>
  <c r="CP180" s="1"/>
  <c r="O180" s="1"/>
  <c r="CR179"/>
  <c r="Q179" s="1"/>
  <c r="CP179" s="1"/>
  <c r="O179" s="1"/>
  <c r="V131"/>
  <c r="AI134" s="1"/>
  <c r="AB130"/>
  <c r="P129"/>
  <c r="BC299"/>
  <c r="F284"/>
  <c r="BB267"/>
  <c r="AX267"/>
  <c r="AT267"/>
  <c r="AP267"/>
  <c r="CQ265"/>
  <c r="P265" s="1"/>
  <c r="CP265" s="1"/>
  <c r="O265" s="1"/>
  <c r="AD265"/>
  <c r="AB265" s="1"/>
  <c r="CQ264"/>
  <c r="P264" s="1"/>
  <c r="CP264" s="1"/>
  <c r="O264" s="1"/>
  <c r="AD264"/>
  <c r="CQ263"/>
  <c r="P263" s="1"/>
  <c r="CP263" s="1"/>
  <c r="O263" s="1"/>
  <c r="AD263"/>
  <c r="AB263" s="1"/>
  <c r="CQ262"/>
  <c r="P262" s="1"/>
  <c r="AD262"/>
  <c r="F244"/>
  <c r="BC226"/>
  <c r="AQ226"/>
  <c r="CB220"/>
  <c r="BX220"/>
  <c r="AZ186"/>
  <c r="CS184"/>
  <c r="R184" s="1"/>
  <c r="GK184" s="1"/>
  <c r="AB184"/>
  <c r="CQ183"/>
  <c r="P183" s="1"/>
  <c r="CP183" s="1"/>
  <c r="O183" s="1"/>
  <c r="AD183"/>
  <c r="AB183" s="1"/>
  <c r="CS182"/>
  <c r="R182" s="1"/>
  <c r="GK182" s="1"/>
  <c r="AB182"/>
  <c r="CQ181"/>
  <c r="P181" s="1"/>
  <c r="CP181" s="1"/>
  <c r="O181" s="1"/>
  <c r="AD181"/>
  <c r="AB181" s="1"/>
  <c r="CS180"/>
  <c r="R180" s="1"/>
  <c r="GK180" s="1"/>
  <c r="AB180"/>
  <c r="CS179"/>
  <c r="R179" s="1"/>
  <c r="GK179" s="1"/>
  <c r="AB179"/>
  <c r="CP132"/>
  <c r="O132" s="1"/>
  <c r="Q131"/>
  <c r="U131"/>
  <c r="CP130"/>
  <c r="O130" s="1"/>
  <c r="Q129"/>
  <c r="AD134" s="1"/>
  <c r="U129"/>
  <c r="AH134" s="1"/>
  <c r="CP127"/>
  <c r="O127" s="1"/>
  <c r="CG90"/>
  <c r="T82"/>
  <c r="CZ130"/>
  <c r="Y130" s="1"/>
  <c r="CY130"/>
  <c r="X130" s="1"/>
  <c r="CX100" i="3"/>
  <c r="CX104"/>
  <c r="CX108"/>
  <c r="CX101"/>
  <c r="CX105"/>
  <c r="CX109"/>
  <c r="CX102"/>
  <c r="CX106"/>
  <c r="CX110"/>
  <c r="CX107"/>
  <c r="CX103"/>
  <c r="CX98"/>
  <c r="CX99"/>
  <c r="CX96"/>
  <c r="CX97"/>
  <c r="CQ177" i="1"/>
  <c r="P177" s="1"/>
  <c r="CP177" s="1"/>
  <c r="O177" s="1"/>
  <c r="AB175"/>
  <c r="CQ175"/>
  <c r="P175" s="1"/>
  <c r="CP175" s="1"/>
  <c r="O175" s="1"/>
  <c r="CQ174"/>
  <c r="P174" s="1"/>
  <c r="CP174" s="1"/>
  <c r="O174" s="1"/>
  <c r="CQ172"/>
  <c r="P172" s="1"/>
  <c r="CP172" s="1"/>
  <c r="O172" s="1"/>
  <c r="CQ170"/>
  <c r="P170" s="1"/>
  <c r="CZ128"/>
  <c r="Y128" s="1"/>
  <c r="CY128"/>
  <c r="X128" s="1"/>
  <c r="CZ126"/>
  <c r="Y126" s="1"/>
  <c r="CY126"/>
  <c r="X126" s="1"/>
  <c r="CK75"/>
  <c r="BB90"/>
  <c r="AS75"/>
  <c r="F107"/>
  <c r="CY87"/>
  <c r="X87" s="1"/>
  <c r="CZ87"/>
  <c r="Y87" s="1"/>
  <c r="CZ36"/>
  <c r="Y36" s="1"/>
  <c r="CY36"/>
  <c r="X36" s="1"/>
  <c r="CZ31"/>
  <c r="Y31" s="1"/>
  <c r="CY31"/>
  <c r="X31" s="1"/>
  <c r="CZ30"/>
  <c r="Y30" s="1"/>
  <c r="CY30"/>
  <c r="X30" s="1"/>
  <c r="AI26"/>
  <c r="V41"/>
  <c r="BY134"/>
  <c r="CI267"/>
  <c r="F202"/>
  <c r="R131"/>
  <c r="GK131" s="1"/>
  <c r="GX129"/>
  <c r="AB128"/>
  <c r="AB126"/>
  <c r="CP87"/>
  <c r="O87" s="1"/>
  <c r="AJ41"/>
  <c r="AB176"/>
  <c r="CQ176"/>
  <c r="P176" s="1"/>
  <c r="CP176" s="1"/>
  <c r="O176" s="1"/>
  <c r="CQ173"/>
  <c r="P173" s="1"/>
  <c r="CP173" s="1"/>
  <c r="O173" s="1"/>
  <c r="AB173"/>
  <c r="CQ171"/>
  <c r="P171" s="1"/>
  <c r="CP171" s="1"/>
  <c r="O171" s="1"/>
  <c r="AB171"/>
  <c r="GK126"/>
  <c r="AE134"/>
  <c r="CC75"/>
  <c r="AT90"/>
  <c r="CX120" i="3"/>
  <c r="CX121"/>
  <c r="CX119"/>
  <c r="CX117"/>
  <c r="CX118"/>
  <c r="CX116"/>
  <c r="CX115"/>
  <c r="CX112"/>
  <c r="CX113"/>
  <c r="CX114"/>
  <c r="CX111"/>
  <c r="CS177" i="1"/>
  <c r="R177" s="1"/>
  <c r="GK177" s="1"/>
  <c r="AD177"/>
  <c r="AB177" s="1"/>
  <c r="CS175"/>
  <c r="R175" s="1"/>
  <c r="GK175" s="1"/>
  <c r="AD175"/>
  <c r="AD174"/>
  <c r="AB174" s="1"/>
  <c r="CS174"/>
  <c r="R174" s="1"/>
  <c r="GK174" s="1"/>
  <c r="AD172"/>
  <c r="AB172" s="1"/>
  <c r="CS172"/>
  <c r="R172" s="1"/>
  <c r="GK172" s="1"/>
  <c r="AD170"/>
  <c r="AB170" s="1"/>
  <c r="CS170"/>
  <c r="R170" s="1"/>
  <c r="BC124"/>
  <c r="F150"/>
  <c r="AQ134"/>
  <c r="BZ124"/>
  <c r="AC134"/>
  <c r="CP126"/>
  <c r="O126" s="1"/>
  <c r="CX44" i="3"/>
  <c r="CX45"/>
  <c r="CX46"/>
  <c r="CX43"/>
  <c r="CI90" i="1"/>
  <c r="AP90"/>
  <c r="BY75"/>
  <c r="CZ88"/>
  <c r="Y88" s="1"/>
  <c r="CY88"/>
  <c r="X88" s="1"/>
  <c r="CZ33"/>
  <c r="Y33" s="1"/>
  <c r="CY33"/>
  <c r="X33" s="1"/>
  <c r="CZ32"/>
  <c r="Y32" s="1"/>
  <c r="CY32"/>
  <c r="X32" s="1"/>
  <c r="CC26"/>
  <c r="AT41"/>
  <c r="CZ176"/>
  <c r="Y176" s="1"/>
  <c r="AL186" s="1"/>
  <c r="AB132"/>
  <c r="AB127"/>
  <c r="CR262"/>
  <c r="Q262" s="1"/>
  <c r="AD267" s="1"/>
  <c r="CG226"/>
  <c r="F203"/>
  <c r="BB186"/>
  <c r="AX186"/>
  <c r="AP186"/>
  <c r="AF186"/>
  <c r="W131"/>
  <c r="S131"/>
  <c r="T129"/>
  <c r="W129"/>
  <c r="AJ134" s="1"/>
  <c r="S129"/>
  <c r="AB129"/>
  <c r="CP128"/>
  <c r="O128" s="1"/>
  <c r="CZ79"/>
  <c r="Y79" s="1"/>
  <c r="CY79"/>
  <c r="X79" s="1"/>
  <c r="CZ77"/>
  <c r="Y77" s="1"/>
  <c r="CY77"/>
  <c r="X77" s="1"/>
  <c r="CG26"/>
  <c r="AX41"/>
  <c r="BY26"/>
  <c r="CI41"/>
  <c r="AP41"/>
  <c r="AS26"/>
  <c r="F58"/>
  <c r="CZ39"/>
  <c r="Y39" s="1"/>
  <c r="CY39"/>
  <c r="X39" s="1"/>
  <c r="AD35"/>
  <c r="AB35" s="1"/>
  <c r="CS35"/>
  <c r="R35" s="1"/>
  <c r="GK35" s="1"/>
  <c r="AB34"/>
  <c r="CQ34"/>
  <c r="P34" s="1"/>
  <c r="CP34" s="1"/>
  <c r="O34" s="1"/>
  <c r="AB30"/>
  <c r="CQ30"/>
  <c r="P30" s="1"/>
  <c r="CP30" s="1"/>
  <c r="O30" s="1"/>
  <c r="GM83"/>
  <c r="W82"/>
  <c r="AB79"/>
  <c r="CP38"/>
  <c r="O38" s="1"/>
  <c r="CP37"/>
  <c r="O37" s="1"/>
  <c r="CJ41"/>
  <c r="CX39" i="3"/>
  <c r="CX72"/>
  <c r="CX69"/>
  <c r="CX73"/>
  <c r="CX70"/>
  <c r="CX74"/>
  <c r="CX64"/>
  <c r="CX65"/>
  <c r="CX66"/>
  <c r="CX60"/>
  <c r="CX61"/>
  <c r="CX62"/>
  <c r="CK26" i="1"/>
  <c r="BB41"/>
  <c r="F51"/>
  <c r="AQ26"/>
  <c r="AD38"/>
  <c r="CS38"/>
  <c r="R38" s="1"/>
  <c r="GK38" s="1"/>
  <c r="AD37"/>
  <c r="AB37" s="1"/>
  <c r="CS37"/>
  <c r="R37" s="1"/>
  <c r="GK37" s="1"/>
  <c r="CQ36"/>
  <c r="P36" s="1"/>
  <c r="CP36" s="1"/>
  <c r="O36" s="1"/>
  <c r="AB31"/>
  <c r="CQ31"/>
  <c r="P31" s="1"/>
  <c r="CP31" s="1"/>
  <c r="O31" s="1"/>
  <c r="CL124"/>
  <c r="AT124"/>
  <c r="CQ88"/>
  <c r="P88" s="1"/>
  <c r="CP88" s="1"/>
  <c r="O88" s="1"/>
  <c r="AD88"/>
  <c r="AB88" s="1"/>
  <c r="CS87"/>
  <c r="R87" s="1"/>
  <c r="GK87" s="1"/>
  <c r="AB87"/>
  <c r="CQ86"/>
  <c r="P86" s="1"/>
  <c r="CP86" s="1"/>
  <c r="O86" s="1"/>
  <c r="AD86"/>
  <c r="AB86" s="1"/>
  <c r="P85"/>
  <c r="CP85" s="1"/>
  <c r="O85" s="1"/>
  <c r="P84"/>
  <c r="T80"/>
  <c r="AG90" s="1"/>
  <c r="W80"/>
  <c r="AJ90" s="1"/>
  <c r="S80"/>
  <c r="AB80"/>
  <c r="CP79"/>
  <c r="O79" s="1"/>
  <c r="U77"/>
  <c r="P77"/>
  <c r="CX83" i="3"/>
  <c r="CZ81" i="1"/>
  <c r="Y81" s="1"/>
  <c r="CY81"/>
  <c r="X81" s="1"/>
  <c r="CZ78"/>
  <c r="Y78" s="1"/>
  <c r="CY78"/>
  <c r="X78" s="1"/>
  <c r="CX24" i="3"/>
  <c r="CX25"/>
  <c r="CX26"/>
  <c r="CQ39" i="1"/>
  <c r="P39" s="1"/>
  <c r="CP39" s="1"/>
  <c r="O39" s="1"/>
  <c r="AB32"/>
  <c r="CQ32"/>
  <c r="P32" s="1"/>
  <c r="CP32" s="1"/>
  <c r="O32" s="1"/>
  <c r="AB28"/>
  <c r="CQ28"/>
  <c r="P28" s="1"/>
  <c r="W85"/>
  <c r="S85"/>
  <c r="R85"/>
  <c r="GK85" s="1"/>
  <c r="W84"/>
  <c r="S84"/>
  <c r="AB82"/>
  <c r="AB81"/>
  <c r="AB78"/>
  <c r="CR35"/>
  <c r="Q35" s="1"/>
  <c r="AG41"/>
  <c r="CX63" i="3"/>
  <c r="CX80"/>
  <c r="CX81"/>
  <c r="CX82"/>
  <c r="CX76"/>
  <c r="CX77"/>
  <c r="CX78"/>
  <c r="CX36"/>
  <c r="CX40"/>
  <c r="CX33"/>
  <c r="CX37"/>
  <c r="CX41"/>
  <c r="I82" i="1"/>
  <c r="CX34" i="3"/>
  <c r="CX38"/>
  <c r="CX42"/>
  <c r="CX28"/>
  <c r="CX29"/>
  <c r="CX30"/>
  <c r="AB33" i="1"/>
  <c r="CQ33"/>
  <c r="P33" s="1"/>
  <c r="CP33" s="1"/>
  <c r="O33" s="1"/>
  <c r="AB29"/>
  <c r="CQ29"/>
  <c r="P29" s="1"/>
  <c r="CP29" s="1"/>
  <c r="O29" s="1"/>
  <c r="R82"/>
  <c r="GK82" s="1"/>
  <c r="CP81"/>
  <c r="O81" s="1"/>
  <c r="Q80"/>
  <c r="U80"/>
  <c r="CP78"/>
  <c r="O78" s="1"/>
  <c r="CZ38"/>
  <c r="Y38" s="1"/>
  <c r="CZ37"/>
  <c r="Y37" s="1"/>
  <c r="CP35"/>
  <c r="O35" s="1"/>
  <c r="AD41"/>
  <c r="AH41"/>
  <c r="CX75" i="3"/>
  <c r="CX27"/>
  <c r="AD39" i="1"/>
  <c r="AB39" s="1"/>
  <c r="AB38"/>
  <c r="AD36"/>
  <c r="AB36" s="1"/>
  <c r="CX22" i="3"/>
  <c r="CX18"/>
  <c r="CX14"/>
  <c r="CX10"/>
  <c r="CX2"/>
  <c r="CX21"/>
  <c r="CX17"/>
  <c r="CX13"/>
  <c r="CX16"/>
  <c r="P41" i="5" l="1"/>
  <c r="P283"/>
  <c r="K141"/>
  <c r="P212"/>
  <c r="K212"/>
  <c r="K65"/>
  <c r="I92"/>
  <c r="K92" s="1"/>
  <c r="K311"/>
  <c r="P311"/>
  <c r="P327"/>
  <c r="I348" s="1"/>
  <c r="K327"/>
  <c r="P159"/>
  <c r="K159"/>
  <c r="K192"/>
  <c r="P192"/>
  <c r="P101"/>
  <c r="K101"/>
  <c r="K389"/>
  <c r="P389"/>
  <c r="P365"/>
  <c r="K365"/>
  <c r="K178"/>
  <c r="P178"/>
  <c r="P51"/>
  <c r="K51"/>
  <c r="P264"/>
  <c r="K264"/>
  <c r="P128"/>
  <c r="K128"/>
  <c r="P373"/>
  <c r="K373"/>
  <c r="P272"/>
  <c r="K272"/>
  <c r="K81"/>
  <c r="P81"/>
  <c r="P289"/>
  <c r="K289"/>
  <c r="K134"/>
  <c r="P134"/>
  <c r="P58"/>
  <c r="K58"/>
  <c r="P73"/>
  <c r="K73"/>
  <c r="K120"/>
  <c r="P120"/>
  <c r="P186"/>
  <c r="K186"/>
  <c r="AL168" i="1"/>
  <c r="Y186"/>
  <c r="AJ124"/>
  <c r="W134"/>
  <c r="AD124"/>
  <c r="Q134"/>
  <c r="GP179"/>
  <c r="GM179"/>
  <c r="AF90"/>
  <c r="AH124"/>
  <c r="U134"/>
  <c r="AI124"/>
  <c r="V134"/>
  <c r="AJ75"/>
  <c r="W90"/>
  <c r="GP180"/>
  <c r="GM180"/>
  <c r="T90"/>
  <c r="AG75"/>
  <c r="AD90"/>
  <c r="AD26"/>
  <c r="Q41"/>
  <c r="AG26"/>
  <c r="T41"/>
  <c r="CP77"/>
  <c r="O77" s="1"/>
  <c r="GM34"/>
  <c r="GP34"/>
  <c r="F50"/>
  <c r="AP26"/>
  <c r="CZ131"/>
  <c r="Y131" s="1"/>
  <c r="CY131"/>
  <c r="X131" s="1"/>
  <c r="AJ26"/>
  <c r="W41"/>
  <c r="GM264"/>
  <c r="GP264"/>
  <c r="AT260"/>
  <c r="F285"/>
  <c r="F138"/>
  <c r="AO299"/>
  <c r="AO124"/>
  <c r="V226"/>
  <c r="AI220"/>
  <c r="AK260"/>
  <c r="X267"/>
  <c r="AK220"/>
  <c r="X226"/>
  <c r="U41"/>
  <c r="AH26"/>
  <c r="GM81"/>
  <c r="GP81"/>
  <c r="GM33"/>
  <c r="GP33"/>
  <c r="P82"/>
  <c r="AC90" s="1"/>
  <c r="GX82"/>
  <c r="CJ90" s="1"/>
  <c r="CZ85"/>
  <c r="Y85" s="1"/>
  <c r="CY85"/>
  <c r="X85" s="1"/>
  <c r="GM32"/>
  <c r="GP32"/>
  <c r="GM86"/>
  <c r="GP86"/>
  <c r="GM88"/>
  <c r="GP88"/>
  <c r="GM31"/>
  <c r="GP31"/>
  <c r="CJ26"/>
  <c r="BA41"/>
  <c r="F48"/>
  <c r="AX26"/>
  <c r="GM128"/>
  <c r="GP128"/>
  <c r="F195"/>
  <c r="AP168"/>
  <c r="CG220"/>
  <c r="AX226"/>
  <c r="GM126"/>
  <c r="GP126"/>
  <c r="AB134"/>
  <c r="GP171"/>
  <c r="GM171"/>
  <c r="GP175"/>
  <c r="GM175"/>
  <c r="F276"/>
  <c r="AP260"/>
  <c r="GX131"/>
  <c r="CJ134" s="1"/>
  <c r="T131"/>
  <c r="AG134" s="1"/>
  <c r="AX134"/>
  <c r="CG124"/>
  <c r="GP184"/>
  <c r="GM184"/>
  <c r="AC220"/>
  <c r="P226"/>
  <c r="CF226"/>
  <c r="CH226"/>
  <c r="CE226"/>
  <c r="S267"/>
  <c r="AF260"/>
  <c r="CI220"/>
  <c r="AZ226"/>
  <c r="AJ168"/>
  <c r="W186"/>
  <c r="AF220"/>
  <c r="S226"/>
  <c r="GM224"/>
  <c r="GP224"/>
  <c r="AE260"/>
  <c r="R267"/>
  <c r="U220"/>
  <c r="F248"/>
  <c r="AF134"/>
  <c r="CP131"/>
  <c r="O131" s="1"/>
  <c r="CP80"/>
  <c r="O80" s="1"/>
  <c r="Q82"/>
  <c r="AE41"/>
  <c r="V82"/>
  <c r="AI90" s="1"/>
  <c r="S82"/>
  <c r="CP129"/>
  <c r="O129" s="1"/>
  <c r="GM78"/>
  <c r="GP78"/>
  <c r="GP37"/>
  <c r="GM37"/>
  <c r="AX168"/>
  <c r="F193"/>
  <c r="CE134"/>
  <c r="CH134"/>
  <c r="P134"/>
  <c r="AC124"/>
  <c r="CF134"/>
  <c r="AE124"/>
  <c r="R134"/>
  <c r="GP87"/>
  <c r="GM87"/>
  <c r="AZ267"/>
  <c r="CI260"/>
  <c r="GP172"/>
  <c r="GM172"/>
  <c r="GM132"/>
  <c r="GP132"/>
  <c r="AQ220"/>
  <c r="F236"/>
  <c r="AC267"/>
  <c r="CP262"/>
  <c r="O262" s="1"/>
  <c r="AF26"/>
  <c r="S41"/>
  <c r="AK168"/>
  <c r="X186"/>
  <c r="GP222"/>
  <c r="AB226"/>
  <c r="GM222"/>
  <c r="CA226" s="1"/>
  <c r="AD168"/>
  <c r="Q186"/>
  <c r="AJ220"/>
  <c r="W226"/>
  <c r="AI260"/>
  <c r="V267"/>
  <c r="GM79"/>
  <c r="GP79"/>
  <c r="GM30"/>
  <c r="GP30"/>
  <c r="S186"/>
  <c r="AF168"/>
  <c r="CI75"/>
  <c r="AZ90"/>
  <c r="F144"/>
  <c r="AQ124"/>
  <c r="AT75"/>
  <c r="F108"/>
  <c r="GP176"/>
  <c r="GM176"/>
  <c r="F64"/>
  <c r="V26"/>
  <c r="BB75"/>
  <c r="F103"/>
  <c r="AC186"/>
  <c r="CP170"/>
  <c r="O170" s="1"/>
  <c r="GP174"/>
  <c r="GM174"/>
  <c r="GM127"/>
  <c r="GP127"/>
  <c r="GM181"/>
  <c r="GP181"/>
  <c r="GM183"/>
  <c r="GP183"/>
  <c r="GM263"/>
  <c r="GP263"/>
  <c r="GM265"/>
  <c r="GP265"/>
  <c r="F280"/>
  <c r="BB260"/>
  <c r="AQ75"/>
  <c r="F100"/>
  <c r="AQ299"/>
  <c r="GP178"/>
  <c r="GM178"/>
  <c r="AG168"/>
  <c r="T186"/>
  <c r="CJ260"/>
  <c r="BA267"/>
  <c r="AH260"/>
  <c r="U267"/>
  <c r="AP220"/>
  <c r="F235"/>
  <c r="F204"/>
  <c r="AT168"/>
  <c r="U186"/>
  <c r="AH168"/>
  <c r="F246"/>
  <c r="BA220"/>
  <c r="CP84"/>
  <c r="O84" s="1"/>
  <c r="U82"/>
  <c r="AL41"/>
  <c r="GP223"/>
  <c r="AL226"/>
  <c r="CZ84"/>
  <c r="Y84" s="1"/>
  <c r="CY84"/>
  <c r="X84" s="1"/>
  <c r="CZ80"/>
  <c r="Y80" s="1"/>
  <c r="CY80"/>
  <c r="X80" s="1"/>
  <c r="AD260"/>
  <c r="Q267"/>
  <c r="F59"/>
  <c r="AT26"/>
  <c r="AT299"/>
  <c r="BC22"/>
  <c r="BC328"/>
  <c r="F315"/>
  <c r="GP35"/>
  <c r="GM35"/>
  <c r="GM29"/>
  <c r="GP29"/>
  <c r="AC41"/>
  <c r="CP28"/>
  <c r="O28" s="1"/>
  <c r="GM39"/>
  <c r="GP39"/>
  <c r="GM85"/>
  <c r="GP85"/>
  <c r="GM36"/>
  <c r="GP36"/>
  <c r="F54"/>
  <c r="BB26"/>
  <c r="BB299"/>
  <c r="GP38"/>
  <c r="GM38"/>
  <c r="AZ41"/>
  <c r="CI26"/>
  <c r="CZ129"/>
  <c r="Y129" s="1"/>
  <c r="AL134" s="1"/>
  <c r="CY129"/>
  <c r="X129" s="1"/>
  <c r="F199"/>
  <c r="BB168"/>
  <c r="AP75"/>
  <c r="F99"/>
  <c r="AE186"/>
  <c r="GK170"/>
  <c r="GP173"/>
  <c r="GM173"/>
  <c r="CI134"/>
  <c r="AP134"/>
  <c r="BY124"/>
  <c r="GP177"/>
  <c r="GM177"/>
  <c r="CG75"/>
  <c r="AX90"/>
  <c r="GM130"/>
  <c r="GP130"/>
  <c r="AZ168"/>
  <c r="F197"/>
  <c r="F242"/>
  <c r="BC220"/>
  <c r="F274"/>
  <c r="AX260"/>
  <c r="CJ168"/>
  <c r="BA186"/>
  <c r="AG260"/>
  <c r="T267"/>
  <c r="AL260"/>
  <c r="Y267"/>
  <c r="AG220"/>
  <c r="T226"/>
  <c r="F238"/>
  <c r="Q220"/>
  <c r="AI168"/>
  <c r="V186"/>
  <c r="AJ260"/>
  <c r="W267"/>
  <c r="AE220"/>
  <c r="R226"/>
  <c r="F151"/>
  <c r="AS299"/>
  <c r="AS124"/>
  <c r="AH90"/>
  <c r="AK134"/>
  <c r="AK41"/>
  <c r="AE90"/>
  <c r="P92" i="5" l="1"/>
  <c r="I161"/>
  <c r="I313"/>
  <c r="I398"/>
  <c r="I103"/>
  <c r="I214"/>
  <c r="I391"/>
  <c r="AC75" i="1"/>
  <c r="P90"/>
  <c r="CF90"/>
  <c r="CE90"/>
  <c r="CH90"/>
  <c r="T134"/>
  <c r="AG124"/>
  <c r="AL124"/>
  <c r="Y134"/>
  <c r="AK124"/>
  <c r="X134"/>
  <c r="Y260"/>
  <c r="F293"/>
  <c r="CI124"/>
  <c r="AZ134"/>
  <c r="F52"/>
  <c r="AZ26"/>
  <c r="AZ299"/>
  <c r="GM262"/>
  <c r="CA267" s="1"/>
  <c r="GP262"/>
  <c r="CD267" s="1"/>
  <c r="AB267"/>
  <c r="AE26"/>
  <c r="R41"/>
  <c r="CJ75"/>
  <c r="BA90"/>
  <c r="X220"/>
  <c r="F251"/>
  <c r="T26"/>
  <c r="F62"/>
  <c r="T299"/>
  <c r="AD75"/>
  <c r="Q90"/>
  <c r="V124"/>
  <c r="F157"/>
  <c r="AF75"/>
  <c r="S90"/>
  <c r="AK26"/>
  <c r="X41"/>
  <c r="F143"/>
  <c r="AP124"/>
  <c r="BB22"/>
  <c r="F312"/>
  <c r="BB328"/>
  <c r="BC18"/>
  <c r="F344"/>
  <c r="BA260"/>
  <c r="F287"/>
  <c r="AC168"/>
  <c r="CH186"/>
  <c r="CE186"/>
  <c r="P186"/>
  <c r="CF186"/>
  <c r="AZ75"/>
  <c r="F101"/>
  <c r="F290"/>
  <c r="V260"/>
  <c r="Q168"/>
  <c r="F198"/>
  <c r="AI75"/>
  <c r="V90"/>
  <c r="GM131"/>
  <c r="GP131"/>
  <c r="R260"/>
  <c r="F281"/>
  <c r="S220"/>
  <c r="F241"/>
  <c r="F237"/>
  <c r="AZ220"/>
  <c r="AV226"/>
  <c r="CE220"/>
  <c r="AX124"/>
  <c r="F141"/>
  <c r="AX220"/>
  <c r="F233"/>
  <c r="U26"/>
  <c r="F63"/>
  <c r="U299"/>
  <c r="AO22"/>
  <c r="AO328"/>
  <c r="F303"/>
  <c r="GM77"/>
  <c r="GP77"/>
  <c r="T75"/>
  <c r="F111"/>
  <c r="F146"/>
  <c r="Q124"/>
  <c r="Y168"/>
  <c r="F212"/>
  <c r="CD226"/>
  <c r="AE168"/>
  <c r="R186"/>
  <c r="AL26"/>
  <c r="Y41"/>
  <c r="X168"/>
  <c r="F211"/>
  <c r="AF124"/>
  <c r="S134"/>
  <c r="CH220"/>
  <c r="AY226"/>
  <c r="AE75"/>
  <c r="R90"/>
  <c r="AH75"/>
  <c r="U90"/>
  <c r="R220"/>
  <c r="F240"/>
  <c r="V168"/>
  <c r="F209"/>
  <c r="T220"/>
  <c r="F247"/>
  <c r="T260"/>
  <c r="F288"/>
  <c r="AX75"/>
  <c r="F97"/>
  <c r="AL220"/>
  <c r="Y226"/>
  <c r="GP170"/>
  <c r="CD186" s="1"/>
  <c r="AB186"/>
  <c r="GM170"/>
  <c r="CA186" s="1"/>
  <c r="S168"/>
  <c r="F201"/>
  <c r="AB220"/>
  <c r="O226"/>
  <c r="F56"/>
  <c r="S26"/>
  <c r="S299"/>
  <c r="CF124"/>
  <c r="AW134"/>
  <c r="CE124"/>
  <c r="AV134"/>
  <c r="CZ82"/>
  <c r="Y82" s="1"/>
  <c r="AL90" s="1"/>
  <c r="CY82"/>
  <c r="X82" s="1"/>
  <c r="AK90" s="1"/>
  <c r="GM80"/>
  <c r="GP80"/>
  <c r="F282"/>
  <c r="S260"/>
  <c r="F229"/>
  <c r="P220"/>
  <c r="X260"/>
  <c r="F292"/>
  <c r="Q26"/>
  <c r="F53"/>
  <c r="Q299"/>
  <c r="W75"/>
  <c r="F114"/>
  <c r="F156"/>
  <c r="U124"/>
  <c r="AS22"/>
  <c r="AS328"/>
  <c r="F316"/>
  <c r="E16" i="2" s="1"/>
  <c r="W260" i="1"/>
  <c r="F291"/>
  <c r="BA168"/>
  <c r="F206"/>
  <c r="GM28"/>
  <c r="CA41" s="1"/>
  <c r="GP28"/>
  <c r="CD41" s="1"/>
  <c r="AB41"/>
  <c r="Q260"/>
  <c r="F279"/>
  <c r="GM84"/>
  <c r="GP84"/>
  <c r="U168"/>
  <c r="F208"/>
  <c r="F148"/>
  <c r="R124"/>
  <c r="P124"/>
  <c r="F137"/>
  <c r="AB124"/>
  <c r="O134"/>
  <c r="BA26"/>
  <c r="F61"/>
  <c r="AC26"/>
  <c r="P41"/>
  <c r="CF41"/>
  <c r="CE41"/>
  <c r="CH41"/>
  <c r="AT22"/>
  <c r="F317"/>
  <c r="F16" i="2" s="1"/>
  <c r="F18" s="1"/>
  <c r="AT328" i="1"/>
  <c r="U260"/>
  <c r="F289"/>
  <c r="F207"/>
  <c r="T168"/>
  <c r="AQ22"/>
  <c r="F309"/>
  <c r="AQ328"/>
  <c r="F250"/>
  <c r="W220"/>
  <c r="AR226"/>
  <c r="CA220"/>
  <c r="AC260"/>
  <c r="P267"/>
  <c r="CF267"/>
  <c r="CE267"/>
  <c r="CH267"/>
  <c r="F278"/>
  <c r="AZ260"/>
  <c r="AY134"/>
  <c r="CH124"/>
  <c r="GM129"/>
  <c r="CA134" s="1"/>
  <c r="GP129"/>
  <c r="W168"/>
  <c r="F210"/>
  <c r="AW226"/>
  <c r="CF220"/>
  <c r="CJ124"/>
  <c r="BA134"/>
  <c r="V220"/>
  <c r="F249"/>
  <c r="W26"/>
  <c r="F65"/>
  <c r="W299"/>
  <c r="W124"/>
  <c r="F158"/>
  <c r="CD134"/>
  <c r="AX299"/>
  <c r="CP82"/>
  <c r="O82" s="1"/>
  <c r="AB90" s="1"/>
  <c r="AP299"/>
  <c r="CA124" l="1"/>
  <c r="AR134"/>
  <c r="AB75"/>
  <c r="O90"/>
  <c r="AU41"/>
  <c r="CD26"/>
  <c r="CH168"/>
  <c r="AY186"/>
  <c r="BA75"/>
  <c r="F110"/>
  <c r="AB260"/>
  <c r="O267"/>
  <c r="F160"/>
  <c r="Y124"/>
  <c r="CH75"/>
  <c r="AY90"/>
  <c r="AU134"/>
  <c r="CD124"/>
  <c r="F154"/>
  <c r="BA124"/>
  <c r="CH260"/>
  <c r="AY267"/>
  <c r="AT18"/>
  <c r="F346"/>
  <c r="F231"/>
  <c r="AV220"/>
  <c r="W22"/>
  <c r="F323"/>
  <c r="W328"/>
  <c r="AW220"/>
  <c r="F232"/>
  <c r="F270"/>
  <c r="P260"/>
  <c r="AY41"/>
  <c r="CH26"/>
  <c r="F136"/>
  <c r="O124"/>
  <c r="AB26"/>
  <c r="O41"/>
  <c r="AS18"/>
  <c r="F345"/>
  <c r="AV124"/>
  <c r="F139"/>
  <c r="S22"/>
  <c r="F314"/>
  <c r="J16" i="2" s="1"/>
  <c r="J18" s="1"/>
  <c r="S328" i="1"/>
  <c r="AB168"/>
  <c r="O186"/>
  <c r="R75"/>
  <c r="F104"/>
  <c r="S124"/>
  <c r="F149"/>
  <c r="Y26"/>
  <c r="F67"/>
  <c r="CD220"/>
  <c r="AU226"/>
  <c r="CE168"/>
  <c r="AV186"/>
  <c r="X26"/>
  <c r="F66"/>
  <c r="T22"/>
  <c r="T328"/>
  <c r="F320"/>
  <c r="AZ22"/>
  <c r="F310"/>
  <c r="AZ328"/>
  <c r="T124"/>
  <c r="F155"/>
  <c r="P75"/>
  <c r="F93"/>
  <c r="BA299"/>
  <c r="AV41"/>
  <c r="CE26"/>
  <c r="AX22"/>
  <c r="F306"/>
  <c r="AX328"/>
  <c r="F44"/>
  <c r="P26"/>
  <c r="P299"/>
  <c r="Q22"/>
  <c r="Q328"/>
  <c r="F311"/>
  <c r="AL75"/>
  <c r="Y90"/>
  <c r="O220"/>
  <c r="F228"/>
  <c r="CA168"/>
  <c r="AR186"/>
  <c r="AO18"/>
  <c r="F332"/>
  <c r="P168"/>
  <c r="F189"/>
  <c r="BB18"/>
  <c r="F341"/>
  <c r="F55"/>
  <c r="R26"/>
  <c r="R299"/>
  <c r="AR267"/>
  <c r="CA260"/>
  <c r="AZ124"/>
  <c r="F145"/>
  <c r="X124"/>
  <c r="F159"/>
  <c r="CF75"/>
  <c r="AW90"/>
  <c r="CA90"/>
  <c r="AU186"/>
  <c r="CD168"/>
  <c r="U22"/>
  <c r="U328"/>
  <c r="F321"/>
  <c r="GM82"/>
  <c r="GP82"/>
  <c r="CD90" s="1"/>
  <c r="CF260"/>
  <c r="AW267"/>
  <c r="F253"/>
  <c r="F254" s="1"/>
  <c r="AR220"/>
  <c r="E18" i="2"/>
  <c r="AP22" i="1"/>
  <c r="F308"/>
  <c r="G16" i="2" s="1"/>
  <c r="G18" s="1"/>
  <c r="AP328" i="1"/>
  <c r="AY124"/>
  <c r="F142"/>
  <c r="AV267"/>
  <c r="CE260"/>
  <c r="AQ18"/>
  <c r="F338"/>
  <c r="CF26"/>
  <c r="AW41"/>
  <c r="AR41"/>
  <c r="CA26"/>
  <c r="X90"/>
  <c r="X299" s="1"/>
  <c r="AK75"/>
  <c r="F140"/>
  <c r="AW124"/>
  <c r="Y220"/>
  <c r="F252"/>
  <c r="U75"/>
  <c r="F112"/>
  <c r="F234"/>
  <c r="AY220"/>
  <c r="R168"/>
  <c r="F200"/>
  <c r="V75"/>
  <c r="F113"/>
  <c r="V299"/>
  <c r="AW186"/>
  <c r="CF168"/>
  <c r="S75"/>
  <c r="F105"/>
  <c r="Q75"/>
  <c r="F102"/>
  <c r="AU267"/>
  <c r="CD260"/>
  <c r="CE75"/>
  <c r="AV90"/>
  <c r="CD75" l="1"/>
  <c r="AU90"/>
  <c r="X22"/>
  <c r="X328"/>
  <c r="F324"/>
  <c r="CA75"/>
  <c r="AR90"/>
  <c r="W18"/>
  <c r="F352"/>
  <c r="AU124"/>
  <c r="F153"/>
  <c r="F60"/>
  <c r="AU26"/>
  <c r="AU299"/>
  <c r="V22"/>
  <c r="F322"/>
  <c r="V328"/>
  <c r="F68"/>
  <c r="F69" s="1"/>
  <c r="AR26"/>
  <c r="AR299"/>
  <c r="AW260"/>
  <c r="F273"/>
  <c r="AU168"/>
  <c r="F205"/>
  <c r="P22"/>
  <c r="F302"/>
  <c r="P328"/>
  <c r="S18"/>
  <c r="F343"/>
  <c r="AY26"/>
  <c r="F49"/>
  <c r="AY299"/>
  <c r="F275"/>
  <c r="AY260"/>
  <c r="AR124"/>
  <c r="F161"/>
  <c r="F162" s="1"/>
  <c r="F286"/>
  <c r="AU260"/>
  <c r="AW26"/>
  <c r="F47"/>
  <c r="AW299"/>
  <c r="AP18"/>
  <c r="F337"/>
  <c r="AW168"/>
  <c r="F192"/>
  <c r="F255"/>
  <c r="F256" s="1"/>
  <c r="AR168"/>
  <c r="F213"/>
  <c r="F214" s="1"/>
  <c r="F116"/>
  <c r="Y75"/>
  <c r="AX18"/>
  <c r="F335"/>
  <c r="AV26"/>
  <c r="F46"/>
  <c r="AV299"/>
  <c r="F191"/>
  <c r="AV168"/>
  <c r="F43"/>
  <c r="O26"/>
  <c r="O299"/>
  <c r="Y299"/>
  <c r="U18"/>
  <c r="F350"/>
  <c r="F294"/>
  <c r="F295" s="1"/>
  <c r="AR260"/>
  <c r="BA22"/>
  <c r="BA328"/>
  <c r="F319"/>
  <c r="F245"/>
  <c r="AU220"/>
  <c r="AV75"/>
  <c r="F95"/>
  <c r="X75"/>
  <c r="F115"/>
  <c r="AV260"/>
  <c r="F272"/>
  <c r="AW75"/>
  <c r="F96"/>
  <c r="R22"/>
  <c r="F313"/>
  <c r="R328"/>
  <c r="Q18"/>
  <c r="F340"/>
  <c r="AZ18"/>
  <c r="F339"/>
  <c r="T18"/>
  <c r="F349"/>
  <c r="O168"/>
  <c r="F188"/>
  <c r="AY75"/>
  <c r="F98"/>
  <c r="F269"/>
  <c r="O260"/>
  <c r="AY168"/>
  <c r="F194"/>
  <c r="O75"/>
  <c r="F92"/>
  <c r="F297" l="1"/>
  <c r="F296"/>
  <c r="AW22"/>
  <c r="F305"/>
  <c r="AW328"/>
  <c r="V18"/>
  <c r="F351"/>
  <c r="R18"/>
  <c r="F342"/>
  <c r="Y22"/>
  <c r="Y328"/>
  <c r="F325"/>
  <c r="F71"/>
  <c r="F70"/>
  <c r="AU22"/>
  <c r="F318"/>
  <c r="H16" i="2" s="1"/>
  <c r="AU328" i="1"/>
  <c r="AU75"/>
  <c r="F109"/>
  <c r="F215"/>
  <c r="F216"/>
  <c r="P18"/>
  <c r="F331"/>
  <c r="AR75"/>
  <c r="F117"/>
  <c r="F118" s="1"/>
  <c r="O22"/>
  <c r="F301"/>
  <c r="O328"/>
  <c r="BA18"/>
  <c r="F348"/>
  <c r="AV22"/>
  <c r="AV328"/>
  <c r="F304"/>
  <c r="F163"/>
  <c r="F164" s="1"/>
  <c r="AY22"/>
  <c r="F307"/>
  <c r="AY328"/>
  <c r="AR22"/>
  <c r="F326"/>
  <c r="AR328"/>
  <c r="X18"/>
  <c r="F353"/>
  <c r="AR18" l="1"/>
  <c r="F355"/>
  <c r="F356" s="1"/>
  <c r="AW18"/>
  <c r="F334"/>
  <c r="F119"/>
  <c r="F120" s="1"/>
  <c r="AY18"/>
  <c r="F336"/>
  <c r="Y18"/>
  <c r="F354"/>
  <c r="AU18"/>
  <c r="F347"/>
  <c r="AV18"/>
  <c r="F333"/>
  <c r="O18"/>
  <c r="F330"/>
  <c r="H18" i="2"/>
  <c r="I16"/>
  <c r="I18" s="1"/>
  <c r="F358" i="1" l="1"/>
  <c r="F357"/>
</calcChain>
</file>

<file path=xl/sharedStrings.xml><?xml version="1.0" encoding="utf-8"?>
<sst xmlns="http://schemas.openxmlformats.org/spreadsheetml/2006/main" count="4896" uniqueCount="446">
  <si>
    <t>Smeta.RU  (495) 974-1589</t>
  </si>
  <si>
    <t>_PS_</t>
  </si>
  <si>
    <t>Smeta.RU</t>
  </si>
  <si>
    <t/>
  </si>
  <si>
    <t>1</t>
  </si>
  <si>
    <t>Цветник № 11 Кировоградская 24-1_лот</t>
  </si>
  <si>
    <t>Сметные нормы списания</t>
  </si>
  <si>
    <t>Коды ОКП для СН-2012 - 2021 г.</t>
  </si>
  <si>
    <t>СН-2012 - 2021 г_глава_1-5,7</t>
  </si>
  <si>
    <t>Типовой расчет для СН-2012 - 2021 г</t>
  </si>
  <si>
    <t>СН-2012-2021 г. База данных "Сборник стоимостных нормативов"</t>
  </si>
  <si>
    <t>Поправки для СН-2012-2021 в ценах на 01.10.2020 г</t>
  </si>
  <si>
    <t>Новая локальная смета</t>
  </si>
  <si>
    <t>Новый раздел</t>
  </si>
  <si>
    <t>Устройство цветника - 58м2</t>
  </si>
  <si>
    <t>5.4-3203-7-1/1</t>
  </si>
  <si>
    <t>Устройство корыта под цветники глубиной 40 см механизированным способом</t>
  </si>
  <si>
    <t>100 м2</t>
  </si>
  <si>
    <t>СН-2012-2021.5. База. Сб.4-3203-7-1/1</t>
  </si>
  <si>
    <t>СН-2012</t>
  </si>
  <si>
    <t>Подрядные работы, гл. 1-5,7</t>
  </si>
  <si>
    <t>работа</t>
  </si>
  <si>
    <t>2</t>
  </si>
  <si>
    <t>5.4-3203-7-3/1</t>
  </si>
  <si>
    <t>Добавлять или исключать на каждые 10 см изменения глубины корыта под цветники механизированным способом к поз. 4-3203-7-1</t>
  </si>
  <si>
    <t>СН-2012-2021.5. База. Сб.4-3203-7-3/1</t>
  </si>
  <si>
    <t>3</t>
  </si>
  <si>
    <t>5.4-3203-7-2/1</t>
  </si>
  <si>
    <t>Устройство корыта под цветники глубиной 40 см вручную</t>
  </si>
  <si>
    <t>СН-2012-2021.5. База. Сб.4-3203-7-2/1</t>
  </si>
  <si>
    <t>4</t>
  </si>
  <si>
    <t>5.4-3203-7-4/1</t>
  </si>
  <si>
    <t>Добавлять или исключать на каждые 10 см изменения глубины корыта под цветники вручную к поз. 4-3203-7-2</t>
  </si>
  <si>
    <t>СН-2012-2021.5. База. Сб.4-3203-7-4/1</t>
  </si>
  <si>
    <t>5</t>
  </si>
  <si>
    <t>5.4-3203-6-1/1</t>
  </si>
  <si>
    <t>Подготовка почвы под цветники толщиной слоя насыпки 20 см</t>
  </si>
  <si>
    <t>СН-2012-2021.5. База. Сб.4-3203-6-1/1</t>
  </si>
  <si>
    <t>6</t>
  </si>
  <si>
    <t>5.4-3203-6-2/1</t>
  </si>
  <si>
    <t>Добавлять или исключать на каждые 5 см изменения толщины слоя почвы под цветники к поз. 4-3203-6-1</t>
  </si>
  <si>
    <t>СН-2012-2021.5. База. Сб.4-3203-6-2/1</t>
  </si>
  <si>
    <t>*2</t>
  </si>
  <si>
    <t>7</t>
  </si>
  <si>
    <t>5.4-3203-8-1/1</t>
  </si>
  <si>
    <t>Посадка многолетних цветников при густоте посадки 1,6 тыс.шт. цветов</t>
  </si>
  <si>
    <t>СН-2012-2021.5. Доп.1. Сб.4-3203-8-1/1</t>
  </si>
  <si>
    <t>7,1</t>
  </si>
  <si>
    <t>9763130000</t>
  </si>
  <si>
    <t>Посадочный материал цветочных культур</t>
  </si>
  <si>
    <t>шт.</t>
  </si>
  <si>
    <t>7,2</t>
  </si>
  <si>
    <t>21.4-3-218</t>
  </si>
  <si>
    <t>Посадочный материал многолетних культур: котовник фассена, С3</t>
  </si>
  <si>
    <t>СН-2012-2021.21. Доп.1. Р.4, о.3, поз.218</t>
  </si>
  <si>
    <t>7,3</t>
  </si>
  <si>
    <t>коммерческое предложение</t>
  </si>
  <si>
    <t>Посадочный материал многолетних культур: гейхера в ассортименте</t>
  </si>
  <si>
    <t>8</t>
  </si>
  <si>
    <t>5.4-3203-8-2/1</t>
  </si>
  <si>
    <t>Добавлять или исключать на каждые 1000 шт. высаживаемых цветов к поз. 4-3203-8-1</t>
  </si>
  <si>
    <t>СН-2012-2021.5. Доп.1. Сб.4-3203-8-2/1</t>
  </si>
  <si>
    <t>*0,571428571</t>
  </si>
  <si>
    <t>8,1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</si>
  <si>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</si>
  <si>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</si>
  <si>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</si>
  <si>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</si>
  <si>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</si>
  <si>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</si>
  <si>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</si>
  <si>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</si>
  <si>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</si>
  <si>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</si>
  <si>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</si>
  <si>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</si>
  <si>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</si>
  <si>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</si>
  <si>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</si>
  <si>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</si>
  <si>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</si>
  <si>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</si>
  <si>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</si>
  <si>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</si>
  <si>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</si>
  <si>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</si>
  <si>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</si>
  <si>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</si>
  <si>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</si>
  <si>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</si>
  <si>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</si>
  <si>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</si>
  <si>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</si>
  <si>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</si>
  <si>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</si>
  <si>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</si>
  <si>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</si>
  <si>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</si>
  <si>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</si>
  <si>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</si>
  <si>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</si>
  <si>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</si>
  <si>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</si>
  <si>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</si>
  <si>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</si>
  <si>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</si>
  <si>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</si>
  <si>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</si>
  <si>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</si>
  <si>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</si>
  <si>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</si>
  <si>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</si>
  <si>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</si>
  <si>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</si>
  <si>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</si>
  <si>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</si>
  <si>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Итого</t>
  </si>
  <si>
    <t>НДС 20%</t>
  </si>
  <si>
    <t>Всего с НДС</t>
  </si>
  <si>
    <t>Посадка кустарников - 50шт.</t>
  </si>
  <si>
    <t>9</t>
  </si>
  <si>
    <t>5.4-3103-1-10/1</t>
  </si>
  <si>
    <t>Подготовка стандартных посадочных мест для деревьев и кустарников механизированным способом, с круглым комом земли размером 0,3х0,3 м с добавлением растительной земли до 100%</t>
  </si>
  <si>
    <t>10 ям</t>
  </si>
  <si>
    <t>СН-2012-2021.5. Доп.1. Сб.4-3103-1-10/1</t>
  </si>
  <si>
    <t>10</t>
  </si>
  <si>
    <t>5.4-3103-3-10/1</t>
  </si>
  <si>
    <t>Подготовка стандартных посадочных мест вручную, с круглым комом земли размером 0,3х0,3 м с добавлением растительной земли до 100%</t>
  </si>
  <si>
    <t>СН-2012-2021.5. Доп.1. Сб.4-3103-3-10/1</t>
  </si>
  <si>
    <t>11</t>
  </si>
  <si>
    <t>5.4-3503-1-1/1</t>
  </si>
  <si>
    <t>СН-2012-2021.5. База. Сб.4-3503-1-1/1</t>
  </si>
  <si>
    <t>12</t>
  </si>
  <si>
    <t>5.4-3503-1-2/1</t>
  </si>
  <si>
    <t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14м3/0,2м х 0,25)</t>
  </si>
  <si>
    <t>СН-2012-2021.5. База. Сб.4-3503-1-2/1</t>
  </si>
  <si>
    <t>13</t>
  </si>
  <si>
    <t>5.4-3103-6-2/1</t>
  </si>
  <si>
    <t>Посадка деревьев и кустарников с комом земли, диаметром 0,3 м и высотой 0,3 м (без стоимости деревьев и кустарников)</t>
  </si>
  <si>
    <t>10 шт.</t>
  </si>
  <si>
    <t>СН-2012-2021.5. Доп.1. Сб.4-3103-6-2/1</t>
  </si>
  <si>
    <t>13,1</t>
  </si>
  <si>
    <t>21.4-2-22</t>
  </si>
  <si>
    <t>Кустарники декоративные с закрытой корневой системой: гортензия древовидная, С10 ( ком земли 0,3м * 0,3м)</t>
  </si>
  <si>
    <t>СН-2012-2021.21. Доп.1. Р.4, о.2, поз.22</t>
  </si>
  <si>
    <t>13,2</t>
  </si>
  <si>
    <t>Кустарники декоративные с комом земли: Бересклет крылатый, размер кома высота 0,3 м, диаметр 0,3 м</t>
  </si>
  <si>
    <t>13,3</t>
  </si>
  <si>
    <t>Кустарники декоративные с комом земли: Спирея Литл Принцесс, размер кома высота 0,3 м, диаметр 0,3 м</t>
  </si>
  <si>
    <t>13,4</t>
  </si>
  <si>
    <t>Кустарники декоративные с комом земли: Барбарис, размер кома высота 0,3 м, диаметр 0,3 м</t>
  </si>
  <si>
    <t>13,5</t>
  </si>
  <si>
    <t>Кустарники декоративные с комом земли: Можжевельник Олд Голд, размер кома высота 0,3 м, диаметр 0,3 м</t>
  </si>
  <si>
    <t>13,6</t>
  </si>
  <si>
    <t>Кустарники декоративные с комом земли: Можжевельник Блю Эрроу, размер кома высота 0,3 м, диаметр 0,3 м</t>
  </si>
  <si>
    <t>13,7</t>
  </si>
  <si>
    <t>Кустарники декоративные с комом земли: Можжевельник Минт Джулеп, размер кома высота 0,3 м, диаметр 0,3 м</t>
  </si>
  <si>
    <t>Посадка деревьев лиственных - 8шт.</t>
  </si>
  <si>
    <t>14</t>
  </si>
  <si>
    <t>5.4-3103-1-20/1</t>
  </si>
  <si>
    <t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100%</t>
  </si>
  <si>
    <t>СН-2012-2021.5. Доп.1. Сб.4-3103-1-20/1</t>
  </si>
  <si>
    <t>15</t>
  </si>
  <si>
    <t>5.4-3103-3-20/1</t>
  </si>
  <si>
    <t>Подготовка стандартных посадочных мест вручную, с круглым комом земли размером 0,8х0,6 м с добавлением растительной земли до 100%</t>
  </si>
  <si>
    <t>СН-2012-2021.5. Доп.1. Сб.4-3103-3-20/1</t>
  </si>
  <si>
    <t>16</t>
  </si>
  <si>
    <t>17</t>
  </si>
  <si>
    <t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9,04м3/0,2м х 0,25)</t>
  </si>
  <si>
    <t>18</t>
  </si>
  <si>
    <t>5.4-3103-6-4/1</t>
  </si>
  <si>
    <t>Посадка деревьев и кустарников с комом земли, диаметром 0,8 м и высотой 0,6 м (без стоимости деревьев и кустарников)</t>
  </si>
  <si>
    <t>СН-2012-2021.5. Доп.1. Сб.4-3103-6-4/1</t>
  </si>
  <si>
    <t>18,1</t>
  </si>
  <si>
    <t>21.4-1-2</t>
  </si>
  <si>
    <t>Деревья декоративные лиственных пород с комом земли, порода: Липа, размер кома: диаметр-0,8 м, высота-0,6 м</t>
  </si>
  <si>
    <t>СН-2012-2021.21. Доп.1. Р.4, о.1, поз.2</t>
  </si>
  <si>
    <t>18,2</t>
  </si>
  <si>
    <t>Деревья декоративные лиственных пород с комом земли, порода: Яблоня декоративная (шар), высота - 1,2 -1,4м, размер кома: диаметр-0,8 м, высота-0,6 м</t>
  </si>
  <si>
    <t>Посадка деревьев хвойных - 21шт.</t>
  </si>
  <si>
    <t>19</t>
  </si>
  <si>
    <t>20</t>
  </si>
  <si>
    <t>21</t>
  </si>
  <si>
    <t>22</t>
  </si>
  <si>
    <t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1,13м3/0,2м х 0,25)</t>
  </si>
  <si>
    <t>23</t>
  </si>
  <si>
    <t>23,1</t>
  </si>
  <si>
    <t>комерческое предложение</t>
  </si>
  <si>
    <t>Деревья хвойные садовых форм с комом земли, порода:  Сосна Нигра, высота - 1,8-2,2 м, размер кома 1,3х1,3х0,6 м</t>
  </si>
  <si>
    <t>24</t>
  </si>
  <si>
    <t>5.4-3103-3-15/1</t>
  </si>
  <si>
    <t>Подготовка стандартных посадочных мест вручную, с круглым комом земли размером 0,5х0,4 м с добавлением растительной земли до 100%</t>
  </si>
  <si>
    <t>СН-2012-2021.5. Доп.1. Сб.4-3103-3-15/1</t>
  </si>
  <si>
    <t>25</t>
  </si>
  <si>
    <t>5.4-3103-1-15/1</t>
  </si>
  <si>
    <t>Подготовка стандартных посадочных мест для деревьев и кустарников механизированным способом, с круглым комом земли размером 0,5х0,4 м с добавлением растительной земли до 100%</t>
  </si>
  <si>
    <t>СН-2012-2021.5. Доп.1. Сб.4-3103-1-15/1</t>
  </si>
  <si>
    <t>26</t>
  </si>
  <si>
    <t>27</t>
  </si>
  <si>
    <t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10,2м3/0,2м х 0,25)</t>
  </si>
  <si>
    <t>28</t>
  </si>
  <si>
    <t>5.4-3103-6-3/1</t>
  </si>
  <si>
    <t>Посадка деревьев и кустарников с комом земли, диаметром 0,5 м и высотой 0,4 м (без стоимости деревьев и кустарников)</t>
  </si>
  <si>
    <t>СН-2012-2021.5. Доп.1. Сб.4-3103-6-3/1</t>
  </si>
  <si>
    <t>28,1</t>
  </si>
  <si>
    <t>Деревья хвойные садовых форм с комом земли, порода:  Туя Вудварди, высота - 1,2-1,4 м, размер кома 0,5м*0,4м</t>
  </si>
  <si>
    <t>28,2</t>
  </si>
  <si>
    <t>Деревья хвойные садовых форм с комом земли, порода:  Туя Смарагд, высота - 0,6-0,8м, размер кома 0,5м*0,4м</t>
  </si>
  <si>
    <t>28,3</t>
  </si>
  <si>
    <t>Деревья хвойные садовых форм с комом земли, порода:  Туя Голден Смарагд, высота - 0,6-0,8м, размер кома 0,5м*0,4м</t>
  </si>
  <si>
    <t>28,4</t>
  </si>
  <si>
    <t>Деревья хвойные садовых форм с комом земли, порода:  Туя Глобоза (шар), высота - 1,2 м, размер кома 0,5м*0,4м</t>
  </si>
  <si>
    <t>Декоративное украшение территори озеленения</t>
  </si>
  <si>
    <t>29</t>
  </si>
  <si>
    <t>5.4-1201-2-1/1</t>
  </si>
  <si>
    <t>Укрытие цветников и газонов мульчирующими материалами вручную, толщина слоя 2 см</t>
  </si>
  <si>
    <t>СН-2012-2021.5. Доп.1. Сб.4-1201-2-1/1</t>
  </si>
  <si>
    <t>30</t>
  </si>
  <si>
    <t>5.4-1201-2-3/1</t>
  </si>
  <si>
    <t>Укрытие цветников и газонов мульчирующими материалами вручную, добавлять на каждый 1 см толщины слоя сверх 2 см</t>
  </si>
  <si>
    <t>СН-2012-2021.5. Доп.1. Сб.4-1201-2-3/1</t>
  </si>
  <si>
    <t>*3</t>
  </si>
  <si>
    <t>31</t>
  </si>
  <si>
    <t>5.3-3103-9-3/1</t>
  </si>
  <si>
    <t>Устройство бордюра из мелкоштучных камней, установленных на ребро, для клумб</t>
  </si>
  <si>
    <t>100 м</t>
  </si>
  <si>
    <t>СН-2012-2021.5. Доп.1. Сб.3-3103-9-3/1</t>
  </si>
  <si>
    <t>Ремонт газона (посевной) - 550м2 ( вокруг цветника с кустами и деревьями)</t>
  </si>
  <si>
    <t>32</t>
  </si>
  <si>
    <t>5.4-3203-3-3/1</t>
  </si>
  <si>
    <t>Подготовка почвы для устройства партерного и обыкновенного газонов с внесением растительной земли слоем 15 см механизированным способом</t>
  </si>
  <si>
    <t>СН-2012-2021.5. Доп.1. Сб.4-3203-3-3/1</t>
  </si>
  <si>
    <t>33</t>
  </si>
  <si>
    <t>5.4-3203-3-4/1</t>
  </si>
  <si>
    <t>Подготовка почвы для устройства партерного и обыкновенного газонов с внесением растительной земли слоем 15 см вручную</t>
  </si>
  <si>
    <t>СН-2012-2021.5. Доп.1. Сб.4-3203-3-4/1</t>
  </si>
  <si>
    <t>34</t>
  </si>
  <si>
    <t>5.4-3203-3-5/1</t>
  </si>
  <si>
    <t>Подготовка почвы для устройства партерного и обыкновенного газонов на каждые 5 см изменения толщины слоя добавлять или исключать</t>
  </si>
  <si>
    <t>СН-2012-2021.5. Доп.1. Сб.4-3203-3-5/1</t>
  </si>
  <si>
    <t>35</t>
  </si>
  <si>
    <t>5.4-3203-3-6/1</t>
  </si>
  <si>
    <t>Посев газонов партерных, мавританских, и обыкновенных вручную</t>
  </si>
  <si>
    <t>СН-2012-2021.5. Доп.1. Сб.4-3203-3-6/1</t>
  </si>
  <si>
    <t>Итого с коэффициентом оптимизации</t>
  </si>
  <si>
    <t>Уровень цен на 01.10.2020 г</t>
  </si>
  <si>
    <t>_OBSM_</t>
  </si>
  <si>
    <t>9999990008</t>
  </si>
  <si>
    <t>Трудозатраты рабочих</t>
  </si>
  <si>
    <t>чел.-ч.</t>
  </si>
  <si>
    <t>22.1-1-24</t>
  </si>
  <si>
    <t>СН-2012-2021.22. База. п.1-1-24 (010501)</t>
  </si>
  <si>
    <t>Экскаваторы на пневмоколесном тракторе гидравлические, объем ковша до 0,25 м3</t>
  </si>
  <si>
    <t>маш.-ч</t>
  </si>
  <si>
    <t>21.4-6-5</t>
  </si>
  <si>
    <t>СН-2012-2021.21. База. Р.4, о.6, поз.5</t>
  </si>
  <si>
    <t>Земля растительная</t>
  </si>
  <si>
    <t>м3</t>
  </si>
  <si>
    <t>21.1-20-54</t>
  </si>
  <si>
    <t>СН-2012-2021.21. Доп.1. Р.1, о.20, поз.54</t>
  </si>
  <si>
    <t>Шпагат пеньковый</t>
  </si>
  <si>
    <t>кг</t>
  </si>
  <si>
    <t>21.1-25-13</t>
  </si>
  <si>
    <t>СН-2012-2021.21. Доп.1. Р.1, о.25, поз.13</t>
  </si>
  <si>
    <t>Вода</t>
  </si>
  <si>
    <t>21.1-9-57</t>
  </si>
  <si>
    <t>СН-2012-2021.21. Доп.1. Р.1, о.9, поз.57</t>
  </si>
  <si>
    <t>Доски хвойных пород, обрезные, длина 2-6,5 м, сорт III, толщина 40-60 мм</t>
  </si>
  <si>
    <t>21.4-6-8</t>
  </si>
  <si>
    <t>СН-2012-2021.21. Доп.1. Р.4, о.6, поз.8</t>
  </si>
  <si>
    <t>Перегной</t>
  </si>
  <si>
    <t>22.1-17-52</t>
  </si>
  <si>
    <t>СН-2012-2021.22. Доп.1. п.1-17-52 (177001)</t>
  </si>
  <si>
    <t>Ямокопатели</t>
  </si>
  <si>
    <t>22.1-2-7</t>
  </si>
  <si>
    <t>СН-2012-2021.22. Доп.1. п.1-2-7 (021003)</t>
  </si>
  <si>
    <t>Тракторы на пневмоколесном ходу, мощность до 60 (81) кВт (л.с.)</t>
  </si>
  <si>
    <t>21.4-6-15</t>
  </si>
  <si>
    <t>СН-2012-2021.21. Доп.1. Р.4, о.6, поз.15</t>
  </si>
  <si>
    <t>Торф</t>
  </si>
  <si>
    <t>СН-2012-2021.21. Доп.1. Р.4, о.6, поз.5</t>
  </si>
  <si>
    <t>22.1-1-43</t>
  </si>
  <si>
    <t>СН-2012-2021.22. База. п.1-1-43 (012102)</t>
  </si>
  <si>
    <t>Бульдозеры гусеничные, мощность до 59 кВт (80 л.с.)</t>
  </si>
  <si>
    <t>22.1-5-18</t>
  </si>
  <si>
    <t>СН-2012-2021.22. Доп.1. п.1-5-18 (050902)</t>
  </si>
  <si>
    <t>Поливомоечные машины, емкость цистерны более 5000 л</t>
  </si>
  <si>
    <t>СН-2012-2021.22. Доп.1. п.1-1-24 (010501)</t>
  </si>
  <si>
    <t>21.1-20-17</t>
  </si>
  <si>
    <t>СН-2012-2021.21. Доп.1. Р.1, о.20, поз.17</t>
  </si>
  <si>
    <t>Мешковина</t>
  </si>
  <si>
    <t>м2</t>
  </si>
  <si>
    <t>21.4-6-7</t>
  </si>
  <si>
    <t>СН-2012-2021.21. Доп.1. Р.4, о.6, поз.7</t>
  </si>
  <si>
    <t>Колья деревянные для подвязки деревьев до 2,5м</t>
  </si>
  <si>
    <t>21.4-6-17</t>
  </si>
  <si>
    <t>СН-2012-2021.21. Доп.1. Р.4, о.6, поз.17</t>
  </si>
  <si>
    <t>Добавки мульчирующие - декоративная щепа (различная цветовая гамма)</t>
  </si>
  <si>
    <t>22.1-18-24</t>
  </si>
  <si>
    <t>СН-2012-2021.22. Доп.1. п.1-18-24 (183102)</t>
  </si>
  <si>
    <t>Автомобили полупассажирские типа ГАЗ, грузоподъемность до 2 т</t>
  </si>
  <si>
    <t>22.1-30-21</t>
  </si>
  <si>
    <t>СН-2012-2021.22. Доп.1. п.1-30-21 (305401)</t>
  </si>
  <si>
    <t>Машины для шлифовки камня электрические</t>
  </si>
  <si>
    <t>21.1-10-167</t>
  </si>
  <si>
    <t>СН-2012-2021.21. Доп.1. Р.1, о.10, поз.167</t>
  </si>
  <si>
    <t>Сталь листовая, оцинкованная, толщина 0,7-0,8 мм</t>
  </si>
  <si>
    <t>т</t>
  </si>
  <si>
    <t>21.1-12-11</t>
  </si>
  <si>
    <t>СН-2012-2021.21. Доп.1. Р.1, о.12, поз.11</t>
  </si>
  <si>
    <t>Песок для строительных работ, рядовой</t>
  </si>
  <si>
    <t>21.1-12-29</t>
  </si>
  <si>
    <t>СН-2012-2021.21. Доп.1. Р.1, о.12, поз.29</t>
  </si>
  <si>
    <t>Щебень из естественного камня для строительных работ, марка 600-400, фракция 5-10 мм</t>
  </si>
  <si>
    <t>21.1-12-61</t>
  </si>
  <si>
    <t>СН-2012-2021.21. Доп.1. Р.1, о.12, поз.61</t>
  </si>
  <si>
    <t>Камень природный окатанный (галька речная), размер 50-350 мм</t>
  </si>
  <si>
    <t>21.1-12-62</t>
  </si>
  <si>
    <t>СН-2012-2021.21. Доп.1. Р.1, о.12, поз.62</t>
  </si>
  <si>
    <t>Брусчатка из гранита серого цвета, пилено-колотая из пиленого полуфабриката, размер 100х100х100 мм</t>
  </si>
  <si>
    <t>21.1-2-13</t>
  </si>
  <si>
    <t>СН-2012-2021.21. Доп.1. Р.1, о.2, поз.13</t>
  </si>
  <si>
    <t>Цемент общестроительный, портландцемент общего назначения, марка 400</t>
  </si>
  <si>
    <t>21.3-4-17</t>
  </si>
  <si>
    <t>СН-2012-2021.21. Доп.1. Р.3, о.4, поз.17</t>
  </si>
  <si>
    <t>Арматурные заготовки (стержни, хомуты и т.п.), не собранные в каркасы или сетки, арматурная сталь периодического профиля, класс А-III, диаметр 12-14 мм</t>
  </si>
  <si>
    <t>22.1-17-39</t>
  </si>
  <si>
    <t>СН-2012-2021.22. Доп.1. п.1-17-39 (176001)</t>
  </si>
  <si>
    <t>Плуги выкопочные (без трактора)</t>
  </si>
  <si>
    <t>21.4-6-11</t>
  </si>
  <si>
    <t>СН-2012-2021.21. Доп.1. Р.4, о.6, поз.11</t>
  </si>
  <si>
    <t>Семена (смесь универсальная) газонных трав</t>
  </si>
  <si>
    <t>9797010000</t>
  </si>
  <si>
    <t>Деревья и кустарники с комом</t>
  </si>
  <si>
    <t>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Кировоградская, д.24, корп.1, со строны м. "Пражская"</t>
  </si>
  <si>
    <t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табл.1 - 0,28м3 * 50кустов =14м3 - при слое 20 см покрываемая площадь 14м3/0,2м х 0,75)</t>
  </si>
  <si>
    <t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табл.1 - 1,13м3 * 8дерева =9,04м3 - при слое 20 см покрываемая площадь 9,04м3/0,2м х 0,75)</t>
  </si>
  <si>
    <t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табл.1 - 1,13м3 * 1дерево =1,13м3 - при слое 20 см покрываемая площадь 1,13м3/0,2м х 0,75)</t>
  </si>
  <si>
    <t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табл.1 - 0,51м3 * 20 деревьев =10,2м3 - при слое 20 см покрываемая площадь 10,2м3/0,2м х 0,75)</t>
  </si>
  <si>
    <t>"СОГЛАСОВАНО"</t>
  </si>
  <si>
    <t>"УТВЕРЖДАЮ"</t>
  </si>
  <si>
    <t>Форма № 1а (глава 1-5)</t>
  </si>
  <si>
    <t>"_____"________________ 2021 г.</t>
  </si>
  <si>
    <t>(наименование работ и затрат, наименование объекта)</t>
  </si>
  <si>
    <t>Сметная стоимость</t>
  </si>
  <si>
    <t>тыс.руб</t>
  </si>
  <si>
    <t>Строительные работы</t>
  </si>
  <si>
    <t>Монтажные работы</t>
  </si>
  <si>
    <t>Оборудование</t>
  </si>
  <si>
    <t>Прочие работы</t>
  </si>
  <si>
    <t>Средства на оплату труда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</si>
  <si>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</si>
  <si>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</si>
  <si>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</si>
  <si>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</si>
  <si>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</si>
  <si>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</si>
  <si>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</si>
  <si>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</si>
  <si>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</t>
  </si>
  <si>
    <t>ВСЕГО затрат, руб.</t>
  </si>
  <si>
    <t>Справочно</t>
  </si>
  <si>
    <t>ЗТР, всего чел.-час</t>
  </si>
  <si>
    <t>Ст-ть ед. с начислен.</t>
  </si>
  <si>
    <t>Составлен(а) в уровне текущих (прогнозных) цен октябрь 2020 года</t>
  </si>
  <si>
    <t>ЗП</t>
  </si>
  <si>
    <t>ЭМ</t>
  </si>
  <si>
    <t>в т.ч. ЗПМ</t>
  </si>
  <si>
    <t>НР от ЗП</t>
  </si>
  <si>
    <t>%</t>
  </si>
  <si>
    <t>СП от ЗП</t>
  </si>
  <si>
    <t>НР и СП от ЗПМ</t>
  </si>
  <si>
    <t>ЗТР</t>
  </si>
  <si>
    <t>чел-ч</t>
  </si>
  <si>
    <t>МР</t>
  </si>
  <si>
    <t>к нр *0,571428571</t>
  </si>
  <si>
    <t xml:space="preserve">Составил   </t>
  </si>
  <si>
    <t>[должность,подпись(инициалы,фамилия)]</t>
  </si>
  <si>
    <t xml:space="preserve">Проверил   </t>
  </si>
  <si>
    <t>___________________________</t>
  </si>
  <si>
    <t>" ___ " ___________ 20 ___ г.</t>
  </si>
  <si>
    <t xml:space="preserve">Мы, нижеподписавшиеся, произвели осмотр объекта </t>
  </si>
  <si>
    <t xml:space="preserve">и постановили произвести ремонт объекта в </t>
  </si>
  <si>
    <t>следующем объеме:</t>
  </si>
  <si>
    <t>№ п/п</t>
  </si>
  <si>
    <t>Количество</t>
  </si>
  <si>
    <t>Примечание</t>
  </si>
  <si>
    <t>Заказчик _________________</t>
  </si>
  <si>
    <t>Подрядчик _________________</t>
  </si>
  <si>
    <t>TYPE</t>
  </si>
  <si>
    <t>LINK</t>
  </si>
  <si>
    <t>RABMAT_EX</t>
  </si>
  <si>
    <t>TIP_RAB</t>
  </si>
  <si>
    <t>TYPE_TRUD</t>
  </si>
  <si>
    <t>TAB</t>
  </si>
  <si>
    <t>NAME</t>
  </si>
  <si>
    <t>EDIZM</t>
  </si>
  <si>
    <t>KOLL</t>
  </si>
  <si>
    <t>UCH</t>
  </si>
  <si>
    <t>PRICE_B</t>
  </si>
  <si>
    <t>PRICE_ED</t>
  </si>
  <si>
    <t>STOIM_B</t>
  </si>
  <si>
    <t>PRICE_C</t>
  </si>
  <si>
    <t>STOIM_C</t>
  </si>
  <si>
    <t>ZPM_B</t>
  </si>
  <si>
    <t>ZPM_ED</t>
  </si>
  <si>
    <t>STOIM_ZPM_B</t>
  </si>
  <si>
    <t>ZPM_C</t>
  </si>
  <si>
    <t>STOIM_ZPM_C</t>
  </si>
  <si>
    <t>CRC_GR_RES</t>
  </si>
  <si>
    <t>CRC_B</t>
  </si>
  <si>
    <t>CRC_C</t>
  </si>
  <si>
    <t>BuildingFinished</t>
  </si>
  <si>
    <t>Trud</t>
  </si>
  <si>
    <t>Mash</t>
  </si>
  <si>
    <t>Mat</t>
  </si>
  <si>
    <t>MatZak</t>
  </si>
  <si>
    <t>Oborud</t>
  </si>
  <si>
    <t>OborudZak</t>
  </si>
  <si>
    <t>ZeroStoim</t>
  </si>
  <si>
    <t>NegativeKoll</t>
  </si>
  <si>
    <t>ReUnionKollResurcy</t>
  </si>
  <si>
    <t>Ресурсная ведомость на</t>
  </si>
  <si>
    <t>Обоснование</t>
  </si>
  <si>
    <t>Наименование</t>
  </si>
  <si>
    <t>Объем</t>
  </si>
  <si>
    <t>Текущая</t>
  </si>
  <si>
    <t>цена</t>
  </si>
  <si>
    <t>стоимость</t>
  </si>
  <si>
    <t xml:space="preserve">Материальные ресурсы </t>
  </si>
  <si>
    <t xml:space="preserve">Итого материальные ресурсы </t>
  </si>
  <si>
    <t>Раздел: Ремонт газона (посевной) - 550м2 ( вокруг цветника с кустами и деревьями)</t>
  </si>
  <si>
    <t>К=</t>
  </si>
  <si>
    <r>
      <t>Посадочный материал многолетних культур: гейхера в ассортименте</t>
    </r>
    <r>
      <rPr>
        <i/>
        <sz val="11"/>
        <rFont val="Arial"/>
        <family val="2"/>
        <charset val="204"/>
      </rPr>
      <t xml:space="preserve">
Базисная стоимость: 124,17 = [149 / 1,2]</t>
    </r>
  </si>
  <si>
    <r>
      <t>Кустарники декоративные с комом земли: Бересклет крылатый, размер кома высота 0,3 м, диаметр 0,3 м</t>
    </r>
    <r>
      <rPr>
        <i/>
        <sz val="11"/>
        <rFont val="Arial"/>
        <family val="2"/>
        <charset val="204"/>
      </rPr>
      <t xml:space="preserve">
Базисная стоимость: 875,00 = [1 050 / 1,2]</t>
    </r>
  </si>
  <si>
    <r>
      <t>Кустарники декоративные с комом земли: Спирея Литл Принцесс, размер кома высота 0,3 м, диаметр 0,3 м</t>
    </r>
    <r>
      <rPr>
        <i/>
        <sz val="11"/>
        <rFont val="Arial"/>
        <family val="2"/>
        <charset val="204"/>
      </rPr>
      <t xml:space="preserve">
Базисная стоимость: 1 150,00 = [1 380 / 1,2]</t>
    </r>
  </si>
  <si>
    <r>
      <t>Кустарники декоративные с комом земли: Барбарис, размер кома высота 0,3 м, диаметр 0,3 м</t>
    </r>
    <r>
      <rPr>
        <i/>
        <sz val="11"/>
        <rFont val="Arial"/>
        <family val="2"/>
        <charset val="204"/>
      </rPr>
      <t xml:space="preserve">
Базисная стоимость: 741,67 = [890 / 1,2]</t>
    </r>
  </si>
  <si>
    <r>
      <t>Кустарники декоративные с комом земли: Можжевельник Олд Голд, размер кома высота 0,3 м, диаметр 0,3 м</t>
    </r>
    <r>
      <rPr>
        <i/>
        <sz val="11"/>
        <rFont val="Arial"/>
        <family val="2"/>
        <charset val="204"/>
      </rPr>
      <t xml:space="preserve">
Базисная стоимость: 1 358,33 = [1 630 / 1,2]</t>
    </r>
  </si>
  <si>
    <r>
      <t>Кустарники декоративные с комом земли: Можжевельник Блю Эрроу, размер кома высота 0,3 м, диаметр 0,3 м</t>
    </r>
    <r>
      <rPr>
        <i/>
        <sz val="11"/>
        <rFont val="Arial"/>
        <family val="2"/>
        <charset val="204"/>
      </rPr>
      <t xml:space="preserve">
Базисная стоимость: 1 433,33 = [1 720 / 1,2]</t>
    </r>
  </si>
  <si>
    <r>
      <t>Кустарники декоративные с комом земли: Можжевельник Минт Джулеп, размер кома высота 0,3 м, диаметр 0,3 м</t>
    </r>
    <r>
      <rPr>
        <i/>
        <sz val="11"/>
        <rFont val="Arial"/>
        <family val="2"/>
        <charset val="204"/>
      </rPr>
      <t xml:space="preserve">
Базисная стоимость: 1 316,67 = [1 580 / 1,2]</t>
    </r>
  </si>
  <si>
    <r>
      <t>Деревья декоративные лиственных пород с комом земли, порода: Яблоня декоративная (шар), высота - 1,2 -1,4м, размер кома: диаметр-0,8 м, высота-0,6 м</t>
    </r>
    <r>
      <rPr>
        <i/>
        <sz val="11"/>
        <rFont val="Arial"/>
        <family val="2"/>
        <charset val="204"/>
      </rPr>
      <t xml:space="preserve">
Базисная стоимость: 2 833,33 = [3 400 / 1,2]</t>
    </r>
  </si>
  <si>
    <r>
      <t>Деревья хвойные садовых форм с комом земли, порода:  Сосна Нигра, высота - 1,8-2,2 м, размер кома 1,3х1,3х0,6 м</t>
    </r>
    <r>
      <rPr>
        <i/>
        <sz val="11"/>
        <rFont val="Arial"/>
        <family val="2"/>
        <charset val="204"/>
      </rPr>
      <t xml:space="preserve">
Базисная стоимость: 7 845,83 = [9 415 / 1,2]</t>
    </r>
  </si>
  <si>
    <r>
      <t>Деревья хвойные садовых форм с комом земли, порода:  Туя Вудварди, высота - 1,2-1,4 м, размер кома 0,5м*0,4м</t>
    </r>
    <r>
      <rPr>
        <i/>
        <sz val="11"/>
        <rFont val="Arial"/>
        <family val="2"/>
        <charset val="204"/>
      </rPr>
      <t xml:space="preserve">
Базисная стоимость: 4 250,00 = [5 100 / 1,2]</t>
    </r>
  </si>
  <si>
    <r>
      <t>Деревья хвойные садовых форм с комом земли, порода:  Туя Смарагд, высота - 0,6-0,8м, размер кома 0,5м*0,4м</t>
    </r>
    <r>
      <rPr>
        <i/>
        <sz val="11"/>
        <rFont val="Arial"/>
        <family val="2"/>
        <charset val="204"/>
      </rPr>
      <t xml:space="preserve">
Базисная стоимость: 2 250,00 = [2 700 / 1,2]</t>
    </r>
  </si>
  <si>
    <r>
      <t>Деревья хвойные садовых форм с комом земли, порода:  Туя Голден Смарагд, высота - 0,6-0,8м, размер кома 0,5м*0,4м</t>
    </r>
    <r>
      <rPr>
        <i/>
        <sz val="11"/>
        <rFont val="Arial"/>
        <family val="2"/>
        <charset val="204"/>
      </rPr>
      <t xml:space="preserve">
Базисная стоимость: 2 458,33 = [2 950 / 1,2]</t>
    </r>
  </si>
  <si>
    <r>
      <t>Деревья хвойные садовых форм с комом земли, порода:  Туя Глобоза (шар), высота - 1,2 м, размер кома 0,5м*0,4м</t>
    </r>
    <r>
      <rPr>
        <i/>
        <sz val="11"/>
        <rFont val="Arial"/>
        <family val="2"/>
        <charset val="204"/>
      </rPr>
      <t xml:space="preserve">
Базисная стоимость: 3 583,33 = [4 300 / 1,2]</t>
    </r>
  </si>
</sst>
</file>

<file path=xl/styles.xml><?xml version="1.0" encoding="utf-8"?>
<styleSheet xmlns="http://schemas.openxmlformats.org/spreadsheetml/2006/main">
  <numFmts count="4">
    <numFmt numFmtId="164" formatCode="mmmm"/>
    <numFmt numFmtId="165" formatCode="#,##0.00####;[Red]\-\ #,##0.00####"/>
    <numFmt numFmtId="166" formatCode="#,##0.00;[Red]\-\ #,##0.00"/>
    <numFmt numFmtId="167" formatCode="#,##0.00000000000"/>
  </numFmts>
  <fonts count="14">
    <font>
      <sz val="10"/>
      <name val="Arial"/>
      <charset val="204"/>
    </font>
    <font>
      <b/>
      <sz val="10"/>
      <color indexed="12"/>
      <name val="Arial"/>
      <charset val="204"/>
    </font>
    <font>
      <b/>
      <sz val="10"/>
      <color indexed="16"/>
      <name val="Arial"/>
      <charset val="204"/>
    </font>
    <font>
      <b/>
      <sz val="10"/>
      <color indexed="20"/>
      <name val="Arial"/>
      <charset val="204"/>
    </font>
    <font>
      <b/>
      <sz val="10"/>
      <color indexed="17"/>
      <name val="Arial"/>
      <charset val="204"/>
    </font>
    <font>
      <sz val="10"/>
      <color indexed="12"/>
      <name val="Arial"/>
      <charset val="204"/>
    </font>
    <font>
      <sz val="10"/>
      <color indexed="14"/>
      <name val="Arial"/>
      <charset val="204"/>
    </font>
    <font>
      <b/>
      <sz val="10"/>
      <color indexed="14"/>
      <name val="Arial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i/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9" fillId="0" borderId="0" xfId="0" applyFont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horizontal="right"/>
    </xf>
    <xf numFmtId="1" fontId="9" fillId="0" borderId="0" xfId="0" applyNumberFormat="1" applyFont="1"/>
    <xf numFmtId="0" fontId="10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right" wrapText="1"/>
    </xf>
    <xf numFmtId="0" fontId="9" fillId="0" borderId="0" xfId="0" applyFont="1" applyAlignment="1">
      <alignment horizontal="right" wrapText="1"/>
    </xf>
    <xf numFmtId="165" fontId="9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166" fontId="11" fillId="0" borderId="6" xfId="0" applyNumberFormat="1" applyFont="1" applyBorder="1" applyAlignment="1">
      <alignment horizontal="right"/>
    </xf>
    <xf numFmtId="0" fontId="9" fillId="0" borderId="0" xfId="0" quotePrefix="1" applyFont="1" applyAlignment="1">
      <alignment horizontal="right" wrapText="1"/>
    </xf>
    <xf numFmtId="0" fontId="11" fillId="0" borderId="0" xfId="0" applyFont="1"/>
    <xf numFmtId="0" fontId="11" fillId="0" borderId="0" xfId="0" applyFont="1" applyAlignment="1">
      <alignment horizontal="left" wrapText="1"/>
    </xf>
    <xf numFmtId="0" fontId="9" fillId="0" borderId="1" xfId="0" applyFont="1" applyBorder="1"/>
    <xf numFmtId="0" fontId="8" fillId="0" borderId="0" xfId="0" applyFont="1"/>
    <xf numFmtId="0" fontId="8" fillId="0" borderId="3" xfId="0" applyFont="1" applyBorder="1" applyAlignment="1">
      <alignment horizontal="center" vertical="center" wrapText="1"/>
    </xf>
    <xf numFmtId="0" fontId="12" fillId="0" borderId="3" xfId="0" quotePrefix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left" vertical="top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center" wrapText="1"/>
    </xf>
    <xf numFmtId="166" fontId="8" fillId="0" borderId="3" xfId="0" applyNumberFormat="1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left" vertical="top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 wrapText="1"/>
    </xf>
    <xf numFmtId="0" fontId="8" fillId="0" borderId="3" xfId="0" applyFont="1" applyBorder="1" applyAlignment="1">
      <alignment horizontal="left" vertical="top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11" fillId="0" borderId="0" xfId="0" applyFont="1" applyAlignment="1"/>
    <xf numFmtId="0" fontId="9" fillId="0" borderId="0" xfId="0" applyFont="1" applyAlignment="1">
      <alignment wrapText="1"/>
    </xf>
    <xf numFmtId="0" fontId="9" fillId="0" borderId="6" xfId="0" applyFont="1" applyBorder="1"/>
    <xf numFmtId="166" fontId="9" fillId="0" borderId="0" xfId="0" applyNumberFormat="1" applyFont="1"/>
    <xf numFmtId="0" fontId="9" fillId="0" borderId="0" xfId="0" applyFont="1" applyBorder="1" applyAlignment="1">
      <alignment horizontal="right"/>
    </xf>
    <xf numFmtId="164" fontId="9" fillId="0" borderId="0" xfId="0" applyNumberFormat="1" applyFont="1" applyAlignment="1">
      <alignment horizontal="right"/>
    </xf>
    <xf numFmtId="0" fontId="9" fillId="0" borderId="6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9" fillId="0" borderId="0" xfId="0" applyFont="1" applyAlignment="1">
      <alignment horizontal="right" vertical="center"/>
    </xf>
    <xf numFmtId="0" fontId="13" fillId="0" borderId="5" xfId="0" applyFont="1" applyBorder="1" applyAlignment="1">
      <alignment horizontal="center"/>
    </xf>
    <xf numFmtId="0" fontId="9" fillId="0" borderId="0" xfId="0" applyFont="1" applyAlignment="1">
      <alignment horizontal="left" wrapText="1"/>
    </xf>
    <xf numFmtId="166" fontId="9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167" fontId="11" fillId="0" borderId="0" xfId="0" applyNumberFormat="1" applyFont="1" applyAlignment="1">
      <alignment horizontal="left" wrapText="1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center" wrapText="1"/>
    </xf>
    <xf numFmtId="166" fontId="11" fillId="0" borderId="6" xfId="0" applyNumberFormat="1" applyFont="1" applyBorder="1" applyAlignment="1">
      <alignment horizontal="right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166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/>
    <xf numFmtId="0" fontId="9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2" xfId="0" applyFont="1" applyBorder="1" applyAlignment="1">
      <alignment horizontal="center" wrapText="1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3" xfId="0" applyFont="1" applyBorder="1" applyAlignment="1">
      <alignment horizontal="right"/>
    </xf>
    <xf numFmtId="166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409"/>
  <sheetViews>
    <sheetView tabSelected="1" zoomScaleNormal="100" workbookViewId="0">
      <selection activeCell="AQ406" sqref="AQ406"/>
    </sheetView>
  </sheetViews>
  <sheetFormatPr defaultRowHeight="14.25"/>
  <cols>
    <col min="1" max="1" width="5.7109375" style="8" customWidth="1"/>
    <col min="2" max="2" width="16.140625" style="8" customWidth="1"/>
    <col min="3" max="3" width="46.140625" style="8" customWidth="1"/>
    <col min="4" max="4" width="11.7109375" style="13" customWidth="1"/>
    <col min="5" max="6" width="11.7109375" style="8" customWidth="1"/>
    <col min="7" max="7" width="15.42578125" style="8" customWidth="1"/>
    <col min="8" max="8" width="9.140625" style="8"/>
    <col min="9" max="11" width="12.7109375" style="8" customWidth="1"/>
    <col min="12" max="30" width="0" style="8" hidden="1" customWidth="1"/>
    <col min="31" max="31" width="149.140625" style="8" hidden="1" customWidth="1"/>
    <col min="32" max="32" width="113.140625" style="8" hidden="1" customWidth="1"/>
    <col min="33" max="36" width="0" style="8" hidden="1" customWidth="1"/>
    <col min="37" max="16384" width="9.140625" style="8"/>
  </cols>
  <sheetData>
    <row r="1" spans="1:11">
      <c r="A1" s="8" t="str">
        <f>CONCATENATE(Source!B1, "     СН-2012 (© ОАО МЦЦС 'Мосстройцены', ", "2021", ")")</f>
        <v>Smeta.RU  (495) 974-1589     СН-2012 (© ОАО МЦЦС 'Мосстройцены', 2021)</v>
      </c>
      <c r="J1" s="71" t="s">
        <v>341</v>
      </c>
      <c r="K1" s="71"/>
    </row>
    <row r="2" spans="1:11">
      <c r="A2" s="13"/>
      <c r="B2" s="13"/>
      <c r="C2" s="13"/>
      <c r="E2" s="13"/>
      <c r="F2" s="13"/>
      <c r="G2" s="13"/>
      <c r="H2" s="13"/>
      <c r="I2" s="13"/>
    </row>
    <row r="3" spans="1:11" ht="15">
      <c r="A3" s="49"/>
      <c r="B3" s="80" t="s">
        <v>339</v>
      </c>
      <c r="C3" s="80"/>
      <c r="D3" s="80"/>
      <c r="E3" s="80"/>
      <c r="G3" s="80" t="s">
        <v>340</v>
      </c>
      <c r="H3" s="80"/>
      <c r="I3" s="80"/>
      <c r="J3" s="80"/>
      <c r="K3" s="80"/>
    </row>
    <row r="4" spans="1:11">
      <c r="B4" s="81"/>
      <c r="C4" s="81"/>
      <c r="D4" s="81"/>
      <c r="E4" s="81"/>
      <c r="G4" s="81"/>
      <c r="H4" s="81"/>
      <c r="I4" s="81"/>
      <c r="J4" s="81"/>
      <c r="K4" s="81"/>
    </row>
    <row r="5" spans="1:11">
      <c r="A5" s="9"/>
      <c r="B5" s="9"/>
      <c r="C5" s="10"/>
      <c r="D5" s="53"/>
      <c r="E5" s="10"/>
      <c r="G5" s="11"/>
      <c r="H5" s="10"/>
      <c r="I5" s="10"/>
      <c r="J5" s="10"/>
      <c r="K5" s="11"/>
    </row>
    <row r="6" spans="1:11">
      <c r="A6" s="11"/>
      <c r="B6" s="81" t="str">
        <f>CONCATENATE("______________________ ", IF(Source!AL12&lt;&gt;"", Source!AL12, ""))</f>
        <v xml:space="preserve">______________________ </v>
      </c>
      <c r="C6" s="81"/>
      <c r="D6" s="81"/>
      <c r="E6" s="81"/>
      <c r="G6" s="81" t="str">
        <f>CONCATENATE("______________________ ", IF(Source!AH12&lt;&gt;"", Source!AH12, ""))</f>
        <v xml:space="preserve">______________________ </v>
      </c>
      <c r="H6" s="81"/>
      <c r="I6" s="81"/>
      <c r="J6" s="81"/>
      <c r="K6" s="81"/>
    </row>
    <row r="7" spans="1:11">
      <c r="A7" s="12"/>
      <c r="B7" s="77" t="s">
        <v>342</v>
      </c>
      <c r="C7" s="77"/>
      <c r="D7" s="77"/>
      <c r="E7" s="77"/>
      <c r="G7" s="77" t="s">
        <v>342</v>
      </c>
      <c r="H7" s="77"/>
      <c r="I7" s="77"/>
      <c r="J7" s="77"/>
      <c r="K7" s="77"/>
    </row>
    <row r="10" spans="1:11" ht="15">
      <c r="A10" s="78" t="str">
        <f>CONCATENATE( "ЛОКАЛЬНАЯ СМЕТА № ",IF(Source!F12&lt;&gt;"Новый объект", Source!F12, ""))</f>
        <v xml:space="preserve">ЛОКАЛЬНАЯ СМЕТА № 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</row>
    <row r="12" spans="1:11" ht="15" hidden="1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</row>
    <row r="13" spans="1:11" hidden="1"/>
    <row r="14" spans="1:11" ht="37.5" customHeight="1">
      <c r="A14" s="74" t="str">
        <f>Source!G20</f>
        <v>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Кировоградская, д.24, корп.1, со строны м. "Пражская"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</row>
    <row r="15" spans="1:11">
      <c r="A15" s="75" t="s">
        <v>343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7" spans="1:22">
      <c r="A17" s="61" t="str">
        <f>CONCATENATE( "Основание: чертежи № ", Source!J12)</f>
        <v xml:space="preserve">Основание: чертежи № 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</row>
    <row r="19" spans="1:22">
      <c r="F19" s="71" t="s">
        <v>344</v>
      </c>
      <c r="G19" s="71"/>
      <c r="H19" s="71"/>
      <c r="I19" s="72">
        <f>(Source!F355/1000)</f>
        <v>626.94262000000003</v>
      </c>
      <c r="J19" s="73"/>
      <c r="K19" s="8" t="s">
        <v>345</v>
      </c>
    </row>
    <row r="20" spans="1:22" hidden="1">
      <c r="F20" s="71" t="s">
        <v>346</v>
      </c>
      <c r="G20" s="71"/>
      <c r="H20" s="71"/>
      <c r="I20" s="72">
        <f>(Source!F345)/1000</f>
        <v>0</v>
      </c>
      <c r="J20" s="73"/>
      <c r="K20" s="8" t="s">
        <v>345</v>
      </c>
    </row>
    <row r="21" spans="1:22" hidden="1">
      <c r="F21" s="71" t="s">
        <v>347</v>
      </c>
      <c r="G21" s="71"/>
      <c r="H21" s="71"/>
      <c r="I21" s="72">
        <f>(Source!F346)/1000</f>
        <v>0</v>
      </c>
      <c r="J21" s="73"/>
      <c r="K21" s="8" t="s">
        <v>345</v>
      </c>
    </row>
    <row r="22" spans="1:22" hidden="1">
      <c r="F22" s="71" t="s">
        <v>348</v>
      </c>
      <c r="G22" s="71"/>
      <c r="H22" s="71"/>
      <c r="I22" s="72">
        <f>(Source!F337)/1000</f>
        <v>0</v>
      </c>
      <c r="J22" s="73"/>
      <c r="K22" s="8" t="s">
        <v>345</v>
      </c>
    </row>
    <row r="23" spans="1:22" hidden="1">
      <c r="F23" s="71" t="s">
        <v>349</v>
      </c>
      <c r="G23" s="71"/>
      <c r="H23" s="71"/>
      <c r="I23" s="72">
        <f>(Source!F347+Source!F348)/1000</f>
        <v>626.94262000000003</v>
      </c>
      <c r="J23" s="73"/>
      <c r="K23" s="8" t="s">
        <v>345</v>
      </c>
    </row>
    <row r="24" spans="1:22">
      <c r="F24" s="71" t="s">
        <v>350</v>
      </c>
      <c r="G24" s="71"/>
      <c r="H24" s="71"/>
      <c r="I24" s="72">
        <f>(Source!F343+ Source!F342)/1000</f>
        <v>126.75027</v>
      </c>
      <c r="J24" s="73"/>
      <c r="K24" s="8" t="s">
        <v>345</v>
      </c>
    </row>
    <row r="25" spans="1:22">
      <c r="A25" s="8" t="s">
        <v>364</v>
      </c>
      <c r="D25" s="54"/>
      <c r="E25" s="14"/>
    </row>
    <row r="26" spans="1:22">
      <c r="A26" s="69" t="s">
        <v>351</v>
      </c>
      <c r="B26" s="69" t="s">
        <v>352</v>
      </c>
      <c r="C26" s="69" t="s">
        <v>353</v>
      </c>
      <c r="D26" s="69" t="s">
        <v>354</v>
      </c>
      <c r="E26" s="69" t="s">
        <v>355</v>
      </c>
      <c r="F26" s="69" t="s">
        <v>356</v>
      </c>
      <c r="G26" s="69" t="s">
        <v>357</v>
      </c>
      <c r="H26" s="69" t="s">
        <v>358</v>
      </c>
      <c r="I26" s="69" t="s">
        <v>359</v>
      </c>
      <c r="J26" s="69" t="s">
        <v>360</v>
      </c>
      <c r="K26" s="15" t="s">
        <v>361</v>
      </c>
    </row>
    <row r="27" spans="1:22" ht="28.5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16" t="s">
        <v>362</v>
      </c>
    </row>
    <row r="28" spans="1:22" ht="28.5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16" t="s">
        <v>363</v>
      </c>
    </row>
    <row r="29" spans="1:22">
      <c r="A29" s="16">
        <v>1</v>
      </c>
      <c r="B29" s="16">
        <v>2</v>
      </c>
      <c r="C29" s="16">
        <v>3</v>
      </c>
      <c r="D29" s="16">
        <v>4</v>
      </c>
      <c r="E29" s="16">
        <v>5</v>
      </c>
      <c r="F29" s="16">
        <v>6</v>
      </c>
      <c r="G29" s="16">
        <v>7</v>
      </c>
      <c r="H29" s="16">
        <v>8</v>
      </c>
      <c r="I29" s="16">
        <v>9</v>
      </c>
      <c r="J29" s="16">
        <v>10</v>
      </c>
      <c r="K29" s="16">
        <v>11</v>
      </c>
    </row>
    <row r="30" spans="1:22" hidden="1"/>
    <row r="31" spans="1:22" ht="15" hidden="1">
      <c r="A31" s="67" t="str">
        <f>CONCATENATE("Раздел: ",IF(Source!G24&lt;&gt;"Новый раздел", Source!G24, ""))</f>
        <v>Раздел: Устройство цветника - 58м2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</row>
    <row r="32" spans="1:22" ht="28.5">
      <c r="A32" s="17" t="str">
        <f>Source!E28</f>
        <v>1</v>
      </c>
      <c r="B32" s="18" t="str">
        <f>Source!F28</f>
        <v>5.4-3203-7-1/1</v>
      </c>
      <c r="C32" s="18" t="str">
        <f>Source!G28</f>
        <v>Устройство корыта под цветники глубиной 40 см механизированным способом</v>
      </c>
      <c r="D32" s="19" t="str">
        <f>Source!H28</f>
        <v>100 м2</v>
      </c>
      <c r="E32" s="13">
        <f>Source!I28</f>
        <v>0.435</v>
      </c>
      <c r="F32" s="21"/>
      <c r="G32" s="20"/>
      <c r="H32" s="13"/>
      <c r="I32" s="13"/>
      <c r="J32" s="23"/>
      <c r="K32" s="23"/>
      <c r="Q32" s="8">
        <f>ROUND((Source!BZ28/100)*ROUND((Source!AF28*Source!AV28)*Source!I28, 2), 2)</f>
        <v>1689.69</v>
      </c>
      <c r="R32" s="8">
        <f>Source!X28</f>
        <v>1689.69</v>
      </c>
      <c r="S32" s="8">
        <f>ROUND((Source!CA28/100)*ROUND((Source!AF28*Source!AV28)*Source!I28, 2), 2)</f>
        <v>241.38</v>
      </c>
      <c r="T32" s="8">
        <f>Source!Y28</f>
        <v>241.38</v>
      </c>
      <c r="U32" s="8">
        <f>ROUND((175/100)*ROUND((Source!AE28*Source!AV28)*Source!I28, 2), 2)</f>
        <v>628.17999999999995</v>
      </c>
      <c r="V32" s="8">
        <f>ROUND((108/100)*ROUND(Source!CS28*Source!I28, 2), 2)</f>
        <v>387.68</v>
      </c>
    </row>
    <row r="33" spans="1:22">
      <c r="C33" s="50" t="str">
        <f>"Объем: "&amp;Source!I28&amp;"=58*"&amp;"0,75/"&amp;"100"</f>
        <v>Объем: 0,435=58*0,75/100</v>
      </c>
    </row>
    <row r="34" spans="1:22">
      <c r="A34" s="17"/>
      <c r="B34" s="18"/>
      <c r="C34" s="18" t="s">
        <v>365</v>
      </c>
      <c r="D34" s="19"/>
      <c r="E34" s="13"/>
      <c r="F34" s="21">
        <f>Source!AO28</f>
        <v>5549.06</v>
      </c>
      <c r="G34" s="20" t="str">
        <f>Source!DG28</f>
        <v/>
      </c>
      <c r="H34" s="13">
        <f>Source!AV28</f>
        <v>1</v>
      </c>
      <c r="I34" s="13">
        <f>IF(Source!BA28&lt;&gt; 0, Source!BA28, 1)</f>
        <v>1</v>
      </c>
      <c r="J34" s="23">
        <f>Source!S28</f>
        <v>2413.84</v>
      </c>
      <c r="K34" s="23"/>
    </row>
    <row r="35" spans="1:22">
      <c r="A35" s="17"/>
      <c r="B35" s="18"/>
      <c r="C35" s="18" t="s">
        <v>366</v>
      </c>
      <c r="D35" s="19"/>
      <c r="E35" s="13"/>
      <c r="F35" s="21">
        <f>Source!AM28</f>
        <v>1494.37</v>
      </c>
      <c r="G35" s="20" t="str">
        <f>Source!DE28</f>
        <v/>
      </c>
      <c r="H35" s="13">
        <f>Source!AV28</f>
        <v>1</v>
      </c>
      <c r="I35" s="13">
        <f>IF(Source!BB28&lt;&gt; 0, Source!BB28, 1)</f>
        <v>1</v>
      </c>
      <c r="J35" s="23">
        <f>Source!Q28</f>
        <v>650.04999999999995</v>
      </c>
      <c r="K35" s="23"/>
    </row>
    <row r="36" spans="1:22">
      <c r="A36" s="17"/>
      <c r="B36" s="18"/>
      <c r="C36" s="18" t="s">
        <v>367</v>
      </c>
      <c r="D36" s="19"/>
      <c r="E36" s="13"/>
      <c r="F36" s="21">
        <f>Source!AN28</f>
        <v>825.2</v>
      </c>
      <c r="G36" s="20" t="str">
        <f>Source!DF28</f>
        <v/>
      </c>
      <c r="H36" s="13">
        <f>Source!AV28</f>
        <v>1</v>
      </c>
      <c r="I36" s="13">
        <f>IF(Source!BS28&lt;&gt; 0, Source!BS28, 1)</f>
        <v>1</v>
      </c>
      <c r="J36" s="22">
        <f>Source!R28</f>
        <v>358.96</v>
      </c>
      <c r="K36" s="23"/>
    </row>
    <row r="37" spans="1:22">
      <c r="A37" s="17"/>
      <c r="B37" s="18"/>
      <c r="C37" s="18" t="s">
        <v>368</v>
      </c>
      <c r="D37" s="19" t="s">
        <v>369</v>
      </c>
      <c r="E37" s="13">
        <f>Source!AT28</f>
        <v>70</v>
      </c>
      <c r="F37" s="21"/>
      <c r="G37" s="20"/>
      <c r="H37" s="13"/>
      <c r="I37" s="13"/>
      <c r="J37" s="23">
        <f>SUM(R32:R36)</f>
        <v>1689.69</v>
      </c>
      <c r="K37" s="23"/>
    </row>
    <row r="38" spans="1:22">
      <c r="A38" s="17"/>
      <c r="B38" s="18"/>
      <c r="C38" s="18" t="s">
        <v>370</v>
      </c>
      <c r="D38" s="19" t="s">
        <v>369</v>
      </c>
      <c r="E38" s="13">
        <f>Source!AU28</f>
        <v>10</v>
      </c>
      <c r="F38" s="21"/>
      <c r="G38" s="20"/>
      <c r="H38" s="13"/>
      <c r="I38" s="13"/>
      <c r="J38" s="23">
        <f>SUM(T32:T37)</f>
        <v>241.38</v>
      </c>
      <c r="K38" s="23"/>
    </row>
    <row r="39" spans="1:22">
      <c r="A39" s="17"/>
      <c r="B39" s="18"/>
      <c r="C39" s="18" t="s">
        <v>371</v>
      </c>
      <c r="D39" s="19" t="s">
        <v>369</v>
      </c>
      <c r="E39" s="13">
        <f>108</f>
        <v>108</v>
      </c>
      <c r="F39" s="21"/>
      <c r="G39" s="20"/>
      <c r="H39" s="13"/>
      <c r="I39" s="13"/>
      <c r="J39" s="23">
        <f>SUM(V32:V38)</f>
        <v>387.68</v>
      </c>
      <c r="K39" s="23"/>
    </row>
    <row r="40" spans="1:22">
      <c r="A40" s="17"/>
      <c r="B40" s="18"/>
      <c r="C40" s="18" t="s">
        <v>372</v>
      </c>
      <c r="D40" s="19" t="s">
        <v>373</v>
      </c>
      <c r="E40" s="13">
        <f>Source!AQ28</f>
        <v>41.38</v>
      </c>
      <c r="F40" s="21"/>
      <c r="G40" s="20" t="str">
        <f>Source!DI28</f>
        <v/>
      </c>
      <c r="H40" s="13">
        <f>Source!AV28</f>
        <v>1</v>
      </c>
      <c r="I40" s="13"/>
      <c r="J40" s="23"/>
      <c r="K40" s="23">
        <f>Source!U28</f>
        <v>18.000299999999999</v>
      </c>
    </row>
    <row r="41" spans="1:22" ht="15">
      <c r="A41" s="51"/>
      <c r="B41" s="51"/>
      <c r="C41" s="51"/>
      <c r="D41" s="55"/>
      <c r="E41" s="51"/>
      <c r="F41" s="51"/>
      <c r="G41" s="51"/>
      <c r="H41" s="51"/>
      <c r="I41" s="68">
        <f>J34+J35+J37+J38+J39</f>
        <v>5382.64</v>
      </c>
      <c r="J41" s="68"/>
      <c r="K41" s="24">
        <f>IF(Source!I28&lt;&gt;0, ROUND(I41/Source!I28, 2), 0)</f>
        <v>12373.89</v>
      </c>
      <c r="P41" s="52">
        <f>I41</f>
        <v>5382.64</v>
      </c>
    </row>
    <row r="42" spans="1:22" ht="57">
      <c r="A42" s="17" t="str">
        <f>Source!E29</f>
        <v>2</v>
      </c>
      <c r="B42" s="18" t="str">
        <f>Source!F29</f>
        <v>5.4-3203-7-3/1</v>
      </c>
      <c r="C42" s="18" t="str">
        <f>Source!G29</f>
        <v>Добавлять или исключать на каждые 10 см изменения глубины корыта под цветники механизированным способом к поз. 4-3203-7-1</v>
      </c>
      <c r="D42" s="19" t="str">
        <f>Source!H29</f>
        <v>100 м2</v>
      </c>
      <c r="E42" s="13">
        <f>Source!I29</f>
        <v>-0.435</v>
      </c>
      <c r="F42" s="21"/>
      <c r="G42" s="20"/>
      <c r="H42" s="13"/>
      <c r="I42" s="13"/>
      <c r="J42" s="23"/>
      <c r="K42" s="23"/>
      <c r="Q42" s="8">
        <f>ROUND((Source!BZ29/100)*ROUND((Source!AF29*Source!AV29)*Source!I29, 2), 2)</f>
        <v>-337.69</v>
      </c>
      <c r="R42" s="8">
        <f>Source!X29</f>
        <v>-337.69</v>
      </c>
      <c r="S42" s="8">
        <f>ROUND((Source!CA29/100)*ROUND((Source!AF29*Source!AV29)*Source!I29, 2), 2)</f>
        <v>-48.24</v>
      </c>
      <c r="T42" s="8">
        <f>Source!Y29</f>
        <v>-48.24</v>
      </c>
      <c r="U42" s="8">
        <f>ROUND((175/100)*ROUND((Source!AE29*Source!AV29)*Source!I29, 2), 2)</f>
        <v>-157.05000000000001</v>
      </c>
      <c r="V42" s="8">
        <f>ROUND((108/100)*ROUND(Source!CS29*Source!I29, 2), 2)</f>
        <v>-96.92</v>
      </c>
    </row>
    <row r="43" spans="1:22">
      <c r="C43" s="50" t="str">
        <f>"Объем: "&amp;Source!I29&amp;"=-"&amp;"58*"&amp;"0,75/"&amp;"100"</f>
        <v>Объем: -0,435=-58*0,75/100</v>
      </c>
    </row>
    <row r="44" spans="1:22">
      <c r="A44" s="17"/>
      <c r="B44" s="18"/>
      <c r="C44" s="18" t="s">
        <v>365</v>
      </c>
      <c r="D44" s="19"/>
      <c r="E44" s="13"/>
      <c r="F44" s="21">
        <f>Source!AO29</f>
        <v>1109.01</v>
      </c>
      <c r="G44" s="20" t="str">
        <f>Source!DG29</f>
        <v/>
      </c>
      <c r="H44" s="13">
        <f>Source!AV29</f>
        <v>1</v>
      </c>
      <c r="I44" s="13">
        <f>IF(Source!BA29&lt;&gt; 0, Source!BA29, 1)</f>
        <v>1</v>
      </c>
      <c r="J44" s="23">
        <f>Source!S29</f>
        <v>-482.42</v>
      </c>
      <c r="K44" s="23"/>
    </row>
    <row r="45" spans="1:22">
      <c r="A45" s="17"/>
      <c r="B45" s="18"/>
      <c r="C45" s="18" t="s">
        <v>366</v>
      </c>
      <c r="D45" s="19"/>
      <c r="E45" s="13"/>
      <c r="F45" s="21">
        <f>Source!AM29</f>
        <v>373.59</v>
      </c>
      <c r="G45" s="20" t="str">
        <f>Source!DE29</f>
        <v/>
      </c>
      <c r="H45" s="13">
        <f>Source!AV29</f>
        <v>1</v>
      </c>
      <c r="I45" s="13">
        <f>IF(Source!BB29&lt;&gt; 0, Source!BB29, 1)</f>
        <v>1</v>
      </c>
      <c r="J45" s="23">
        <f>Source!Q29</f>
        <v>-162.51</v>
      </c>
      <c r="K45" s="23"/>
    </row>
    <row r="46" spans="1:22">
      <c r="A46" s="17"/>
      <c r="B46" s="18"/>
      <c r="C46" s="18" t="s">
        <v>367</v>
      </c>
      <c r="D46" s="19"/>
      <c r="E46" s="13"/>
      <c r="F46" s="21">
        <f>Source!AN29</f>
        <v>206.3</v>
      </c>
      <c r="G46" s="20" t="str">
        <f>Source!DF29</f>
        <v/>
      </c>
      <c r="H46" s="13">
        <f>Source!AV29</f>
        <v>1</v>
      </c>
      <c r="I46" s="13">
        <f>IF(Source!BS29&lt;&gt; 0, Source!BS29, 1)</f>
        <v>1</v>
      </c>
      <c r="J46" s="22">
        <f>Source!R29</f>
        <v>-89.74</v>
      </c>
      <c r="K46" s="23"/>
    </row>
    <row r="47" spans="1:22">
      <c r="A47" s="17"/>
      <c r="B47" s="18"/>
      <c r="C47" s="18" t="s">
        <v>368</v>
      </c>
      <c r="D47" s="19" t="s">
        <v>369</v>
      </c>
      <c r="E47" s="13">
        <f>Source!AT29</f>
        <v>70</v>
      </c>
      <c r="F47" s="21"/>
      <c r="G47" s="20"/>
      <c r="H47" s="13"/>
      <c r="I47" s="13"/>
      <c r="J47" s="23">
        <f>SUM(R42:R46)</f>
        <v>-337.69</v>
      </c>
      <c r="K47" s="23"/>
    </row>
    <row r="48" spans="1:22">
      <c r="A48" s="17"/>
      <c r="B48" s="18"/>
      <c r="C48" s="18" t="s">
        <v>370</v>
      </c>
      <c r="D48" s="19" t="s">
        <v>369</v>
      </c>
      <c r="E48" s="13">
        <f>Source!AU29</f>
        <v>10</v>
      </c>
      <c r="F48" s="21"/>
      <c r="G48" s="20"/>
      <c r="H48" s="13"/>
      <c r="I48" s="13"/>
      <c r="J48" s="23">
        <f>SUM(T42:T47)</f>
        <v>-48.24</v>
      </c>
      <c r="K48" s="23"/>
    </row>
    <row r="49" spans="1:22">
      <c r="A49" s="17"/>
      <c r="B49" s="18"/>
      <c r="C49" s="18" t="s">
        <v>371</v>
      </c>
      <c r="D49" s="19" t="s">
        <v>369</v>
      </c>
      <c r="E49" s="13">
        <f>108</f>
        <v>108</v>
      </c>
      <c r="F49" s="21"/>
      <c r="G49" s="20"/>
      <c r="H49" s="13"/>
      <c r="I49" s="13"/>
      <c r="J49" s="23">
        <f>SUM(V42:V48)</f>
        <v>-96.92</v>
      </c>
      <c r="K49" s="23"/>
    </row>
    <row r="50" spans="1:22">
      <c r="A50" s="17"/>
      <c r="B50" s="18"/>
      <c r="C50" s="18" t="s">
        <v>372</v>
      </c>
      <c r="D50" s="19" t="s">
        <v>373</v>
      </c>
      <c r="E50" s="13">
        <f>Source!AQ29</f>
        <v>8.27</v>
      </c>
      <c r="F50" s="21"/>
      <c r="G50" s="20" t="str">
        <f>Source!DI29</f>
        <v/>
      </c>
      <c r="H50" s="13">
        <f>Source!AV29</f>
        <v>1</v>
      </c>
      <c r="I50" s="13"/>
      <c r="J50" s="23"/>
      <c r="K50" s="23">
        <f>Source!U29</f>
        <v>-3.5974499999999998</v>
      </c>
    </row>
    <row r="51" spans="1:22" ht="15">
      <c r="A51" s="51"/>
      <c r="B51" s="51"/>
      <c r="C51" s="51"/>
      <c r="D51" s="55"/>
      <c r="E51" s="51"/>
      <c r="F51" s="51"/>
      <c r="G51" s="51"/>
      <c r="H51" s="51"/>
      <c r="I51" s="68">
        <f>J44+J45+J47+J48+J49</f>
        <v>-1127.7800000000002</v>
      </c>
      <c r="J51" s="68"/>
      <c r="K51" s="24">
        <f>IF(Source!I29&lt;&gt;0, ROUND(I51/Source!I29, 2), 0)</f>
        <v>2592.6</v>
      </c>
      <c r="P51" s="52">
        <f>I51</f>
        <v>-1127.7800000000002</v>
      </c>
    </row>
    <row r="52" spans="1:22" ht="28.5">
      <c r="A52" s="17" t="str">
        <f>Source!E30</f>
        <v>3</v>
      </c>
      <c r="B52" s="18" t="str">
        <f>Source!F30</f>
        <v>5.4-3203-7-2/1</v>
      </c>
      <c r="C52" s="18" t="str">
        <f>Source!G30</f>
        <v>Устройство корыта под цветники глубиной 40 см вручную</v>
      </c>
      <c r="D52" s="19" t="str">
        <f>Source!H30</f>
        <v>100 м2</v>
      </c>
      <c r="E52" s="13">
        <f>Source!I30</f>
        <v>0.14499999999999999</v>
      </c>
      <c r="F52" s="21"/>
      <c r="G52" s="20"/>
      <c r="H52" s="13"/>
      <c r="I52" s="13"/>
      <c r="J52" s="23"/>
      <c r="K52" s="23"/>
      <c r="Q52" s="8">
        <f>ROUND((Source!BZ30/100)*ROUND((Source!AF30*Source!AV30)*Source!I30, 2), 2)</f>
        <v>1372.99</v>
      </c>
      <c r="R52" s="8">
        <f>Source!X30</f>
        <v>1372.99</v>
      </c>
      <c r="S52" s="8">
        <f>ROUND((Source!CA30/100)*ROUND((Source!AF30*Source!AV30)*Source!I30, 2), 2)</f>
        <v>196.14</v>
      </c>
      <c r="T52" s="8">
        <f>Source!Y30</f>
        <v>196.14</v>
      </c>
      <c r="U52" s="8">
        <f>ROUND((175/100)*ROUND((Source!AE30*Source!AV30)*Source!I30, 2), 2)</f>
        <v>0</v>
      </c>
      <c r="V52" s="8">
        <f>ROUND((108/100)*ROUND(Source!CS30*Source!I30, 2), 2)</f>
        <v>0</v>
      </c>
    </row>
    <row r="53" spans="1:22">
      <c r="C53" s="50" t="str">
        <f>"Объем: "&amp;Source!I30&amp;"=58*"&amp;"0,25/"&amp;"100"</f>
        <v>Объем: 0,145=58*0,25/100</v>
      </c>
    </row>
    <row r="54" spans="1:22">
      <c r="A54" s="17"/>
      <c r="B54" s="18"/>
      <c r="C54" s="18" t="s">
        <v>365</v>
      </c>
      <c r="D54" s="19"/>
      <c r="E54" s="13"/>
      <c r="F54" s="21">
        <f>Source!AO30</f>
        <v>13526.96</v>
      </c>
      <c r="G54" s="20" t="str">
        <f>Source!DG30</f>
        <v/>
      </c>
      <c r="H54" s="13">
        <f>Source!AV30</f>
        <v>1</v>
      </c>
      <c r="I54" s="13">
        <f>IF(Source!BA30&lt;&gt; 0, Source!BA30, 1)</f>
        <v>1</v>
      </c>
      <c r="J54" s="23">
        <f>Source!S30</f>
        <v>1961.41</v>
      </c>
      <c r="K54" s="23"/>
    </row>
    <row r="55" spans="1:22">
      <c r="A55" s="17"/>
      <c r="B55" s="18"/>
      <c r="C55" s="18" t="s">
        <v>368</v>
      </c>
      <c r="D55" s="19" t="s">
        <v>369</v>
      </c>
      <c r="E55" s="13">
        <f>Source!AT30</f>
        <v>70</v>
      </c>
      <c r="F55" s="21"/>
      <c r="G55" s="20"/>
      <c r="H55" s="13"/>
      <c r="I55" s="13"/>
      <c r="J55" s="23">
        <f>SUM(R52:R54)</f>
        <v>1372.99</v>
      </c>
      <c r="K55" s="23"/>
    </row>
    <row r="56" spans="1:22">
      <c r="A56" s="17"/>
      <c r="B56" s="18"/>
      <c r="C56" s="18" t="s">
        <v>370</v>
      </c>
      <c r="D56" s="19" t="s">
        <v>369</v>
      </c>
      <c r="E56" s="13">
        <f>Source!AU30</f>
        <v>10</v>
      </c>
      <c r="F56" s="21"/>
      <c r="G56" s="20"/>
      <c r="H56" s="13"/>
      <c r="I56" s="13"/>
      <c r="J56" s="23">
        <f>SUM(T52:T55)</f>
        <v>196.14</v>
      </c>
      <c r="K56" s="23"/>
    </row>
    <row r="57" spans="1:22">
      <c r="A57" s="17"/>
      <c r="B57" s="18"/>
      <c r="C57" s="18" t="s">
        <v>372</v>
      </c>
      <c r="D57" s="19" t="s">
        <v>373</v>
      </c>
      <c r="E57" s="13">
        <f>Source!AQ30</f>
        <v>85.94</v>
      </c>
      <c r="F57" s="21"/>
      <c r="G57" s="20" t="str">
        <f>Source!DI30</f>
        <v/>
      </c>
      <c r="H57" s="13">
        <f>Source!AV30</f>
        <v>1</v>
      </c>
      <c r="I57" s="13"/>
      <c r="J57" s="23"/>
      <c r="K57" s="23">
        <f>Source!U30</f>
        <v>12.4613</v>
      </c>
    </row>
    <row r="58" spans="1:22" ht="15">
      <c r="A58" s="51"/>
      <c r="B58" s="51"/>
      <c r="C58" s="51"/>
      <c r="D58" s="55"/>
      <c r="E58" s="51"/>
      <c r="F58" s="51"/>
      <c r="G58" s="51"/>
      <c r="H58" s="51"/>
      <c r="I58" s="68">
        <f>J54+J55+J56</f>
        <v>3530.54</v>
      </c>
      <c r="J58" s="68"/>
      <c r="K58" s="24">
        <f>IF(Source!I30&lt;&gt;0, ROUND(I58/Source!I30, 2), 0)</f>
        <v>24348.55</v>
      </c>
      <c r="P58" s="52">
        <f>I58</f>
        <v>3530.54</v>
      </c>
    </row>
    <row r="59" spans="1:22" ht="42.75">
      <c r="A59" s="17" t="str">
        <f>Source!E31</f>
        <v>4</v>
      </c>
      <c r="B59" s="18" t="str">
        <f>Source!F31</f>
        <v>5.4-3203-7-4/1</v>
      </c>
      <c r="C59" s="18" t="str">
        <f>Source!G31</f>
        <v>Добавлять или исключать на каждые 10 см изменения глубины корыта под цветники вручную к поз. 4-3203-7-2</v>
      </c>
      <c r="D59" s="19" t="str">
        <f>Source!H31</f>
        <v>100 м2</v>
      </c>
      <c r="E59" s="13">
        <f>Source!I31</f>
        <v>-0.14499999999999999</v>
      </c>
      <c r="F59" s="21"/>
      <c r="G59" s="20"/>
      <c r="H59" s="13"/>
      <c r="I59" s="13"/>
      <c r="J59" s="23"/>
      <c r="K59" s="23"/>
      <c r="Q59" s="8">
        <f>ROUND((Source!BZ31/100)*ROUND((Source!AF31*Source!AV31)*Source!I31, 2), 2)</f>
        <v>-343.17</v>
      </c>
      <c r="R59" s="8">
        <f>Source!X31</f>
        <v>-343.17</v>
      </c>
      <c r="S59" s="8">
        <f>ROUND((Source!CA31/100)*ROUND((Source!AF31*Source!AV31)*Source!I31, 2), 2)</f>
        <v>-49.02</v>
      </c>
      <c r="T59" s="8">
        <f>Source!Y31</f>
        <v>-49.02</v>
      </c>
      <c r="U59" s="8">
        <f>ROUND((175/100)*ROUND((Source!AE31*Source!AV31)*Source!I31, 2), 2)</f>
        <v>0</v>
      </c>
      <c r="V59" s="8">
        <f>ROUND((108/100)*ROUND(Source!CS31*Source!I31, 2), 2)</f>
        <v>0</v>
      </c>
    </row>
    <row r="60" spans="1:22">
      <c r="C60" s="50" t="str">
        <f>"Объем: "&amp;Source!I31&amp;"=-"&amp;"58*"&amp;"0,25/"&amp;"100"</f>
        <v>Объем: -0,145=-58*0,25/100</v>
      </c>
    </row>
    <row r="61" spans="1:22">
      <c r="A61" s="17"/>
      <c r="B61" s="18"/>
      <c r="C61" s="18" t="s">
        <v>365</v>
      </c>
      <c r="D61" s="19"/>
      <c r="E61" s="13"/>
      <c r="F61" s="21">
        <f>Source!AO31</f>
        <v>3380.95</v>
      </c>
      <c r="G61" s="20" t="str">
        <f>Source!DG31</f>
        <v/>
      </c>
      <c r="H61" s="13">
        <f>Source!AV31</f>
        <v>1</v>
      </c>
      <c r="I61" s="13">
        <f>IF(Source!BA31&lt;&gt; 0, Source!BA31, 1)</f>
        <v>1</v>
      </c>
      <c r="J61" s="23">
        <f>Source!S31</f>
        <v>-490.24</v>
      </c>
      <c r="K61" s="23"/>
    </row>
    <row r="62" spans="1:22">
      <c r="A62" s="17"/>
      <c r="B62" s="18"/>
      <c r="C62" s="18" t="s">
        <v>368</v>
      </c>
      <c r="D62" s="19" t="s">
        <v>369</v>
      </c>
      <c r="E62" s="13">
        <f>Source!AT31</f>
        <v>70</v>
      </c>
      <c r="F62" s="21"/>
      <c r="G62" s="20"/>
      <c r="H62" s="13"/>
      <c r="I62" s="13"/>
      <c r="J62" s="23">
        <f>SUM(R59:R61)</f>
        <v>-343.17</v>
      </c>
      <c r="K62" s="23"/>
    </row>
    <row r="63" spans="1:22">
      <c r="A63" s="17"/>
      <c r="B63" s="18"/>
      <c r="C63" s="18" t="s">
        <v>370</v>
      </c>
      <c r="D63" s="19" t="s">
        <v>369</v>
      </c>
      <c r="E63" s="13">
        <f>Source!AU31</f>
        <v>10</v>
      </c>
      <c r="F63" s="21"/>
      <c r="G63" s="20"/>
      <c r="H63" s="13"/>
      <c r="I63" s="13"/>
      <c r="J63" s="23">
        <f>SUM(T59:T62)</f>
        <v>-49.02</v>
      </c>
      <c r="K63" s="23"/>
    </row>
    <row r="64" spans="1:22">
      <c r="A64" s="17"/>
      <c r="B64" s="18"/>
      <c r="C64" s="18" t="s">
        <v>372</v>
      </c>
      <c r="D64" s="19" t="s">
        <v>373</v>
      </c>
      <c r="E64" s="13">
        <f>Source!AQ31</f>
        <v>21.48</v>
      </c>
      <c r="F64" s="21"/>
      <c r="G64" s="20" t="str">
        <f>Source!DI31</f>
        <v/>
      </c>
      <c r="H64" s="13">
        <f>Source!AV31</f>
        <v>1</v>
      </c>
      <c r="I64" s="13"/>
      <c r="J64" s="23"/>
      <c r="K64" s="23">
        <f>Source!U31</f>
        <v>-3.1145999999999998</v>
      </c>
    </row>
    <row r="65" spans="1:22" ht="15">
      <c r="A65" s="51"/>
      <c r="B65" s="51"/>
      <c r="C65" s="51"/>
      <c r="D65" s="55"/>
      <c r="E65" s="51"/>
      <c r="F65" s="51"/>
      <c r="G65" s="51"/>
      <c r="H65" s="51"/>
      <c r="I65" s="68">
        <f>J61+J62+J63</f>
        <v>-882.43000000000006</v>
      </c>
      <c r="J65" s="68"/>
      <c r="K65" s="24">
        <f>IF(Source!I31&lt;&gt;0, ROUND(I65/Source!I31, 2), 0)</f>
        <v>6085.72</v>
      </c>
      <c r="P65" s="52">
        <f>I65</f>
        <v>-882.43000000000006</v>
      </c>
    </row>
    <row r="66" spans="1:22" ht="28.5">
      <c r="A66" s="17" t="str">
        <f>Source!E32</f>
        <v>5</v>
      </c>
      <c r="B66" s="18" t="str">
        <f>Source!F32</f>
        <v>5.4-3203-6-1/1</v>
      </c>
      <c r="C66" s="18" t="str">
        <f>Source!G32</f>
        <v>Подготовка почвы под цветники толщиной слоя насыпки 20 см</v>
      </c>
      <c r="D66" s="19" t="str">
        <f>Source!H32</f>
        <v>100 м2</v>
      </c>
      <c r="E66" s="13">
        <f>Source!I32</f>
        <v>0.57999999999999996</v>
      </c>
      <c r="F66" s="21"/>
      <c r="G66" s="20"/>
      <c r="H66" s="13"/>
      <c r="I66" s="13"/>
      <c r="J66" s="23"/>
      <c r="K66" s="23"/>
      <c r="Q66" s="8">
        <f>ROUND((Source!BZ32/100)*ROUND((Source!AF32*Source!AV32)*Source!I32, 2), 2)</f>
        <v>4033.84</v>
      </c>
      <c r="R66" s="8">
        <f>Source!X32</f>
        <v>4033.84</v>
      </c>
      <c r="S66" s="8">
        <f>ROUND((Source!CA32/100)*ROUND((Source!AF32*Source!AV32)*Source!I32, 2), 2)</f>
        <v>576.26</v>
      </c>
      <c r="T66" s="8">
        <f>Source!Y32</f>
        <v>576.26</v>
      </c>
      <c r="U66" s="8">
        <f>ROUND((175/100)*ROUND((Source!AE32*Source!AV32)*Source!I32, 2), 2)</f>
        <v>0</v>
      </c>
      <c r="V66" s="8">
        <f>ROUND((108/100)*ROUND(Source!CS32*Source!I32, 2), 2)</f>
        <v>0</v>
      </c>
    </row>
    <row r="67" spans="1:22">
      <c r="C67" s="50" t="str">
        <f>"Объем: "&amp;Source!I32&amp;"=58/"&amp;"100"</f>
        <v>Объем: 0,58=58/100</v>
      </c>
    </row>
    <row r="68" spans="1:22">
      <c r="A68" s="17"/>
      <c r="B68" s="18"/>
      <c r="C68" s="18" t="s">
        <v>365</v>
      </c>
      <c r="D68" s="19"/>
      <c r="E68" s="13"/>
      <c r="F68" s="21">
        <f>Source!AO32</f>
        <v>9935.57</v>
      </c>
      <c r="G68" s="20" t="str">
        <f>Source!DG32</f>
        <v/>
      </c>
      <c r="H68" s="13">
        <f>Source!AV32</f>
        <v>1</v>
      </c>
      <c r="I68" s="13">
        <f>IF(Source!BA32&lt;&gt; 0, Source!BA32, 1)</f>
        <v>1</v>
      </c>
      <c r="J68" s="23">
        <f>Source!S32</f>
        <v>5762.63</v>
      </c>
      <c r="K68" s="23"/>
    </row>
    <row r="69" spans="1:22">
      <c r="A69" s="17"/>
      <c r="B69" s="18"/>
      <c r="C69" s="18" t="s">
        <v>374</v>
      </c>
      <c r="D69" s="19"/>
      <c r="E69" s="13"/>
      <c r="F69" s="21">
        <f>Source!AL32</f>
        <v>15073.4</v>
      </c>
      <c r="G69" s="20" t="str">
        <f>Source!DD32</f>
        <v/>
      </c>
      <c r="H69" s="13">
        <f>Source!AW32</f>
        <v>1</v>
      </c>
      <c r="I69" s="13">
        <f>IF(Source!BC32&lt;&gt; 0, Source!BC32, 1)</f>
        <v>1</v>
      </c>
      <c r="J69" s="23">
        <f>Source!P32</f>
        <v>8742.57</v>
      </c>
      <c r="K69" s="23"/>
    </row>
    <row r="70" spans="1:22">
      <c r="A70" s="17"/>
      <c r="B70" s="18"/>
      <c r="C70" s="18" t="s">
        <v>368</v>
      </c>
      <c r="D70" s="19" t="s">
        <v>369</v>
      </c>
      <c r="E70" s="13">
        <f>Source!AT32</f>
        <v>70</v>
      </c>
      <c r="F70" s="21"/>
      <c r="G70" s="20"/>
      <c r="H70" s="13"/>
      <c r="I70" s="13"/>
      <c r="J70" s="23">
        <f>SUM(R66:R69)</f>
        <v>4033.84</v>
      </c>
      <c r="K70" s="23"/>
    </row>
    <row r="71" spans="1:22">
      <c r="A71" s="17"/>
      <c r="B71" s="18"/>
      <c r="C71" s="18" t="s">
        <v>370</v>
      </c>
      <c r="D71" s="19" t="s">
        <v>369</v>
      </c>
      <c r="E71" s="13">
        <f>Source!AU32</f>
        <v>10</v>
      </c>
      <c r="F71" s="21"/>
      <c r="G71" s="20"/>
      <c r="H71" s="13"/>
      <c r="I71" s="13"/>
      <c r="J71" s="23">
        <f>SUM(T66:T70)</f>
        <v>576.26</v>
      </c>
      <c r="K71" s="23"/>
    </row>
    <row r="72" spans="1:22">
      <c r="A72" s="17"/>
      <c r="B72" s="18"/>
      <c r="C72" s="18" t="s">
        <v>372</v>
      </c>
      <c r="D72" s="19" t="s">
        <v>373</v>
      </c>
      <c r="E72" s="13">
        <f>Source!AQ32</f>
        <v>53.7</v>
      </c>
      <c r="F72" s="21"/>
      <c r="G72" s="20" t="str">
        <f>Source!DI32</f>
        <v/>
      </c>
      <c r="H72" s="13">
        <f>Source!AV32</f>
        <v>1</v>
      </c>
      <c r="I72" s="13"/>
      <c r="J72" s="23"/>
      <c r="K72" s="23">
        <f>Source!U32</f>
        <v>31.146000000000001</v>
      </c>
    </row>
    <row r="73" spans="1:22" ht="15">
      <c r="A73" s="51"/>
      <c r="B73" s="51"/>
      <c r="C73" s="51"/>
      <c r="D73" s="55"/>
      <c r="E73" s="51"/>
      <c r="F73" s="51"/>
      <c r="G73" s="51"/>
      <c r="H73" s="51"/>
      <c r="I73" s="68">
        <f>J68+J69+J70+J71</f>
        <v>19115.3</v>
      </c>
      <c r="J73" s="68"/>
      <c r="K73" s="24">
        <f>IF(Source!I32&lt;&gt;0, ROUND(I73/Source!I32, 2), 0)</f>
        <v>32957.410000000003</v>
      </c>
      <c r="P73" s="52">
        <f>I73</f>
        <v>19115.3</v>
      </c>
    </row>
    <row r="74" spans="1:22" ht="42.75">
      <c r="A74" s="17" t="str">
        <f>Source!E33</f>
        <v>6</v>
      </c>
      <c r="B74" s="18" t="str">
        <f>Source!F33</f>
        <v>5.4-3203-6-2/1</v>
      </c>
      <c r="C74" s="18" t="str">
        <f>Source!G33</f>
        <v>Добавлять или исключать на каждые 5 см изменения толщины слоя почвы под цветники к поз. 4-3203-6-1</v>
      </c>
      <c r="D74" s="19" t="str">
        <f>Source!H33</f>
        <v>100 м2</v>
      </c>
      <c r="E74" s="13">
        <f>Source!I33</f>
        <v>0.57999999999999996</v>
      </c>
      <c r="F74" s="21"/>
      <c r="G74" s="20"/>
      <c r="H74" s="13"/>
      <c r="I74" s="13"/>
      <c r="J74" s="23"/>
      <c r="K74" s="23"/>
      <c r="Q74" s="8">
        <f>ROUND((Source!BZ33/100)*ROUND((Source!AF33*Source!AV33)*Source!I33, 2), 2)</f>
        <v>935.97</v>
      </c>
      <c r="R74" s="8">
        <f>Source!X33</f>
        <v>935.97</v>
      </c>
      <c r="S74" s="8">
        <f>ROUND((Source!CA33/100)*ROUND((Source!AF33*Source!AV33)*Source!I33, 2), 2)</f>
        <v>133.71</v>
      </c>
      <c r="T74" s="8">
        <f>Source!Y33</f>
        <v>133.71</v>
      </c>
      <c r="U74" s="8">
        <f>ROUND((175/100)*ROUND((Source!AE33*Source!AV33)*Source!I33, 2), 2)</f>
        <v>0</v>
      </c>
      <c r="V74" s="8">
        <f>ROUND((108/100)*ROUND(Source!CS33*Source!I33, 2), 2)</f>
        <v>0</v>
      </c>
    </row>
    <row r="75" spans="1:22">
      <c r="C75" s="50" t="str">
        <f>"Объем: "&amp;Source!I33&amp;"=58/"&amp;"100"</f>
        <v>Объем: 0,58=58/100</v>
      </c>
    </row>
    <row r="76" spans="1:22">
      <c r="A76" s="17"/>
      <c r="B76" s="18"/>
      <c r="C76" s="18" t="s">
        <v>365</v>
      </c>
      <c r="D76" s="19"/>
      <c r="E76" s="13"/>
      <c r="F76" s="21">
        <f>Source!AO33</f>
        <v>1152.67</v>
      </c>
      <c r="G76" s="20" t="str">
        <f>Source!DG33</f>
        <v>*2</v>
      </c>
      <c r="H76" s="13">
        <f>Source!AV33</f>
        <v>1</v>
      </c>
      <c r="I76" s="13">
        <f>IF(Source!BA33&lt;&gt; 0, Source!BA33, 1)</f>
        <v>1</v>
      </c>
      <c r="J76" s="23">
        <f>Source!S33</f>
        <v>1337.1</v>
      </c>
      <c r="K76" s="23"/>
    </row>
    <row r="77" spans="1:22">
      <c r="A77" s="17"/>
      <c r="B77" s="18"/>
      <c r="C77" s="18" t="s">
        <v>374</v>
      </c>
      <c r="D77" s="19"/>
      <c r="E77" s="13"/>
      <c r="F77" s="21">
        <f>Source!AL33</f>
        <v>3768.35</v>
      </c>
      <c r="G77" s="20" t="str">
        <f>Source!DD33</f>
        <v>*2</v>
      </c>
      <c r="H77" s="13">
        <f>Source!AW33</f>
        <v>1</v>
      </c>
      <c r="I77" s="13">
        <f>IF(Source!BC33&lt;&gt; 0, Source!BC33, 1)</f>
        <v>1</v>
      </c>
      <c r="J77" s="23">
        <f>Source!P33</f>
        <v>4371.29</v>
      </c>
      <c r="K77" s="23"/>
    </row>
    <row r="78" spans="1:22">
      <c r="A78" s="17"/>
      <c r="B78" s="18"/>
      <c r="C78" s="18" t="s">
        <v>368</v>
      </c>
      <c r="D78" s="19" t="s">
        <v>369</v>
      </c>
      <c r="E78" s="13">
        <f>Source!AT33</f>
        <v>70</v>
      </c>
      <c r="F78" s="21"/>
      <c r="G78" s="20"/>
      <c r="H78" s="13"/>
      <c r="I78" s="13"/>
      <c r="J78" s="23">
        <f>SUM(R74:R77)</f>
        <v>935.97</v>
      </c>
      <c r="K78" s="23"/>
    </row>
    <row r="79" spans="1:22">
      <c r="A79" s="17"/>
      <c r="B79" s="18"/>
      <c r="C79" s="18" t="s">
        <v>370</v>
      </c>
      <c r="D79" s="19" t="s">
        <v>369</v>
      </c>
      <c r="E79" s="13">
        <f>Source!AU33</f>
        <v>10</v>
      </c>
      <c r="F79" s="21"/>
      <c r="G79" s="20"/>
      <c r="H79" s="13"/>
      <c r="I79" s="13"/>
      <c r="J79" s="23">
        <f>SUM(T74:T78)</f>
        <v>133.71</v>
      </c>
      <c r="K79" s="23"/>
    </row>
    <row r="80" spans="1:22">
      <c r="A80" s="17"/>
      <c r="B80" s="18"/>
      <c r="C80" s="18" t="s">
        <v>372</v>
      </c>
      <c r="D80" s="19" t="s">
        <v>373</v>
      </c>
      <c r="E80" s="13">
        <f>Source!AQ33</f>
        <v>6.23</v>
      </c>
      <c r="F80" s="21"/>
      <c r="G80" s="20" t="str">
        <f>Source!DI33</f>
        <v>*2</v>
      </c>
      <c r="H80" s="13">
        <f>Source!AV33</f>
        <v>1</v>
      </c>
      <c r="I80" s="13"/>
      <c r="J80" s="23"/>
      <c r="K80" s="23">
        <f>Source!U33</f>
        <v>7.2267999999999999</v>
      </c>
    </row>
    <row r="81" spans="1:22" ht="15">
      <c r="A81" s="51"/>
      <c r="B81" s="51"/>
      <c r="C81" s="51"/>
      <c r="D81" s="55"/>
      <c r="E81" s="51"/>
      <c r="F81" s="51"/>
      <c r="G81" s="51"/>
      <c r="H81" s="51"/>
      <c r="I81" s="68">
        <f>J76+J77+J78+J79</f>
        <v>6778.07</v>
      </c>
      <c r="J81" s="68"/>
      <c r="K81" s="24">
        <f>IF(Source!I33&lt;&gt;0, ROUND(I81/Source!I33, 2), 0)</f>
        <v>11686.33</v>
      </c>
      <c r="P81" s="52">
        <f>I81</f>
        <v>6778.07</v>
      </c>
    </row>
    <row r="82" spans="1:22" ht="28.5">
      <c r="A82" s="17" t="str">
        <f>Source!E34</f>
        <v>7</v>
      </c>
      <c r="B82" s="18" t="str">
        <f>Source!F34</f>
        <v>5.4-3203-8-1/1</v>
      </c>
      <c r="C82" s="18" t="str">
        <f>Source!G34</f>
        <v>Посадка многолетних цветников при густоте посадки 1,6 тыс.шт. цветов</v>
      </c>
      <c r="D82" s="19" t="str">
        <f>Source!H34</f>
        <v>100 м2</v>
      </c>
      <c r="E82" s="13">
        <f>Source!I34</f>
        <v>0.57999999999999996</v>
      </c>
      <c r="F82" s="21"/>
      <c r="G82" s="20"/>
      <c r="H82" s="13"/>
      <c r="I82" s="13"/>
      <c r="J82" s="23"/>
      <c r="K82" s="23"/>
      <c r="Q82" s="8">
        <f>ROUND((Source!BZ34/100)*ROUND((Source!AF34*Source!AV34)*Source!I34, 2), 2)</f>
        <v>12473.48</v>
      </c>
      <c r="R82" s="8">
        <f>Source!X34</f>
        <v>12473.48</v>
      </c>
      <c r="S82" s="8">
        <f>ROUND((Source!CA34/100)*ROUND((Source!AF34*Source!AV34)*Source!I34, 2), 2)</f>
        <v>1781.93</v>
      </c>
      <c r="T82" s="8">
        <f>Source!Y34</f>
        <v>1781.93</v>
      </c>
      <c r="U82" s="8">
        <f>ROUND((175/100)*ROUND((Source!AE34*Source!AV34)*Source!I34, 2), 2)</f>
        <v>0</v>
      </c>
      <c r="V82" s="8">
        <f>ROUND((108/100)*ROUND(Source!CS34*Source!I34, 2), 2)</f>
        <v>0</v>
      </c>
    </row>
    <row r="83" spans="1:22">
      <c r="C83" s="50" t="str">
        <f>"Объем: "&amp;Source!I34&amp;"=58/"&amp;"100"</f>
        <v>Объем: 0,58=58/100</v>
      </c>
    </row>
    <row r="84" spans="1:22">
      <c r="A84" s="17"/>
      <c r="B84" s="18"/>
      <c r="C84" s="18" t="s">
        <v>365</v>
      </c>
      <c r="D84" s="19"/>
      <c r="E84" s="13"/>
      <c r="F84" s="21">
        <f>Source!AO34</f>
        <v>30722.85</v>
      </c>
      <c r="G84" s="20" t="str">
        <f>Source!DG34</f>
        <v/>
      </c>
      <c r="H84" s="13">
        <f>Source!AV34</f>
        <v>1</v>
      </c>
      <c r="I84" s="13">
        <f>IF(Source!BA34&lt;&gt; 0, Source!BA34, 1)</f>
        <v>1</v>
      </c>
      <c r="J84" s="23">
        <f>Source!S34</f>
        <v>17819.25</v>
      </c>
      <c r="K84" s="23"/>
    </row>
    <row r="85" spans="1:22">
      <c r="A85" s="17"/>
      <c r="B85" s="18"/>
      <c r="C85" s="18" t="s">
        <v>374</v>
      </c>
      <c r="D85" s="19"/>
      <c r="E85" s="13"/>
      <c r="F85" s="21">
        <f>Source!AL34</f>
        <v>3461.26</v>
      </c>
      <c r="G85" s="20" t="str">
        <f>Source!DD34</f>
        <v/>
      </c>
      <c r="H85" s="13">
        <f>Source!AW34</f>
        <v>1</v>
      </c>
      <c r="I85" s="13">
        <f>IF(Source!BC34&lt;&gt; 0, Source!BC34, 1)</f>
        <v>1</v>
      </c>
      <c r="J85" s="23">
        <f>Source!P34</f>
        <v>2007.53</v>
      </c>
      <c r="K85" s="23"/>
    </row>
    <row r="86" spans="1:22">
      <c r="A86" s="17" t="str">
        <f>Source!E35</f>
        <v>7,1</v>
      </c>
      <c r="B86" s="18" t="str">
        <f>Source!F35</f>
        <v>9763130000</v>
      </c>
      <c r="C86" s="18" t="str">
        <f>Source!G35</f>
        <v>Посадочный материал цветочных культур</v>
      </c>
      <c r="D86" s="19" t="str">
        <f>Source!H35</f>
        <v>шт.</v>
      </c>
      <c r="E86" s="13">
        <f>Source!I35</f>
        <v>974.4</v>
      </c>
      <c r="F86" s="21">
        <f>Source!AK35</f>
        <v>0</v>
      </c>
      <c r="G86" s="25" t="s">
        <v>3</v>
      </c>
      <c r="H86" s="13">
        <f>Source!AW35</f>
        <v>1</v>
      </c>
      <c r="I86" s="13">
        <f>IF(Source!BC35&lt;&gt; 0, Source!BC35, 1)</f>
        <v>1</v>
      </c>
      <c r="J86" s="23">
        <f>Source!O35</f>
        <v>0</v>
      </c>
      <c r="K86" s="23"/>
      <c r="Q86" s="8">
        <f>ROUND((Source!BZ35/100)*ROUND((Source!AF35*Source!AV35)*Source!I35, 2), 2)</f>
        <v>0</v>
      </c>
      <c r="R86" s="8">
        <f>Source!X35</f>
        <v>0</v>
      </c>
      <c r="S86" s="8">
        <f>ROUND((Source!CA35/100)*ROUND((Source!AF35*Source!AV35)*Source!I35, 2), 2)</f>
        <v>0</v>
      </c>
      <c r="T86" s="8">
        <f>Source!Y35</f>
        <v>0</v>
      </c>
      <c r="U86" s="8">
        <f>ROUND((175/100)*ROUND((Source!AE35*Source!AV35)*Source!I35, 2), 2)</f>
        <v>0</v>
      </c>
      <c r="V86" s="8">
        <f>ROUND((108/100)*ROUND(Source!CS35*Source!I35, 2), 2)</f>
        <v>0</v>
      </c>
    </row>
    <row r="87" spans="1:22" ht="28.5">
      <c r="A87" s="17" t="str">
        <f>Source!E36</f>
        <v>7,2</v>
      </c>
      <c r="B87" s="18" t="str">
        <f>Source!F36</f>
        <v>21.4-3-218</v>
      </c>
      <c r="C87" s="18" t="str">
        <f>Source!G36</f>
        <v>Посадочный материал многолетних культур: котовник фассена, С3</v>
      </c>
      <c r="D87" s="19" t="str">
        <f>Source!H36</f>
        <v>шт.</v>
      </c>
      <c r="E87" s="13">
        <f>Source!I36</f>
        <v>207</v>
      </c>
      <c r="F87" s="21">
        <f>Source!AK36</f>
        <v>189</v>
      </c>
      <c r="G87" s="25" t="s">
        <v>3</v>
      </c>
      <c r="H87" s="13">
        <f>Source!AW36</f>
        <v>1</v>
      </c>
      <c r="I87" s="13">
        <f>IF(Source!BC36&lt;&gt; 0, Source!BC36, 1)</f>
        <v>1</v>
      </c>
      <c r="J87" s="23">
        <f>Source!O36</f>
        <v>39123</v>
      </c>
      <c r="K87" s="23"/>
      <c r="Q87" s="8">
        <f>ROUND((Source!BZ36/100)*ROUND((Source!AF36*Source!AV36)*Source!I36, 2), 2)</f>
        <v>0</v>
      </c>
      <c r="R87" s="8">
        <f>Source!X36</f>
        <v>0</v>
      </c>
      <c r="S87" s="8">
        <f>ROUND((Source!CA36/100)*ROUND((Source!AF36*Source!AV36)*Source!I36, 2), 2)</f>
        <v>0</v>
      </c>
      <c r="T87" s="8">
        <f>Source!Y36</f>
        <v>0</v>
      </c>
      <c r="U87" s="8">
        <f>ROUND((175/100)*ROUND((Source!AE36*Source!AV36)*Source!I36, 2), 2)</f>
        <v>0</v>
      </c>
      <c r="V87" s="8">
        <f>ROUND((108/100)*ROUND(Source!CS36*Source!I36, 2), 2)</f>
        <v>0</v>
      </c>
    </row>
    <row r="88" spans="1:22" ht="42.75">
      <c r="A88" s="17" t="str">
        <f>Source!E37</f>
        <v>7,3</v>
      </c>
      <c r="B88" s="18" t="str">
        <f>Source!F37</f>
        <v>коммерческое предложение</v>
      </c>
      <c r="C88" s="18" t="s">
        <v>433</v>
      </c>
      <c r="D88" s="19" t="str">
        <f>Source!H37</f>
        <v>шт.</v>
      </c>
      <c r="E88" s="13">
        <f>Source!I37</f>
        <v>420</v>
      </c>
      <c r="F88" s="21">
        <f>Source!AK37</f>
        <v>124.17</v>
      </c>
      <c r="G88" s="25" t="s">
        <v>3</v>
      </c>
      <c r="H88" s="13">
        <f>Source!AW37</f>
        <v>1</v>
      </c>
      <c r="I88" s="13">
        <f>IF(Source!BC37&lt;&gt; 0, Source!BC37, 1)</f>
        <v>1</v>
      </c>
      <c r="J88" s="23">
        <f>Source!O37</f>
        <v>52151.4</v>
      </c>
      <c r="K88" s="23"/>
      <c r="Q88" s="8">
        <f>ROUND((Source!BZ37/100)*ROUND((Source!AF37*Source!AV37)*Source!I37, 2), 2)</f>
        <v>0</v>
      </c>
      <c r="R88" s="8">
        <f>Source!X37</f>
        <v>0</v>
      </c>
      <c r="S88" s="8">
        <f>ROUND((Source!CA37/100)*ROUND((Source!AF37*Source!AV37)*Source!I37, 2), 2)</f>
        <v>0</v>
      </c>
      <c r="T88" s="8">
        <f>Source!Y37</f>
        <v>0</v>
      </c>
      <c r="U88" s="8">
        <f>ROUND((175/100)*ROUND((Source!AE37*Source!AV37)*Source!I37, 2), 2)</f>
        <v>0</v>
      </c>
      <c r="V88" s="8">
        <f>ROUND((108/100)*ROUND(Source!CS37*Source!I37, 2), 2)</f>
        <v>0</v>
      </c>
    </row>
    <row r="89" spans="1:22">
      <c r="A89" s="17"/>
      <c r="B89" s="18"/>
      <c r="C89" s="18" t="s">
        <v>368</v>
      </c>
      <c r="D89" s="19" t="s">
        <v>369</v>
      </c>
      <c r="E89" s="13">
        <f>Source!AT34</f>
        <v>70</v>
      </c>
      <c r="F89" s="21"/>
      <c r="G89" s="20"/>
      <c r="H89" s="13"/>
      <c r="I89" s="13"/>
      <c r="J89" s="23">
        <f>SUM(R82:R88)</f>
        <v>12473.48</v>
      </c>
      <c r="K89" s="23"/>
    </row>
    <row r="90" spans="1:22">
      <c r="A90" s="17"/>
      <c r="B90" s="18"/>
      <c r="C90" s="18" t="s">
        <v>370</v>
      </c>
      <c r="D90" s="19" t="s">
        <v>369</v>
      </c>
      <c r="E90" s="13">
        <f>Source!AU34</f>
        <v>10</v>
      </c>
      <c r="F90" s="21"/>
      <c r="G90" s="20"/>
      <c r="H90" s="13"/>
      <c r="I90" s="13"/>
      <c r="J90" s="23">
        <f>SUM(T82:T89)</f>
        <v>1781.93</v>
      </c>
      <c r="K90" s="23"/>
    </row>
    <row r="91" spans="1:22">
      <c r="A91" s="17"/>
      <c r="B91" s="18"/>
      <c r="C91" s="18" t="s">
        <v>372</v>
      </c>
      <c r="D91" s="19" t="s">
        <v>373</v>
      </c>
      <c r="E91" s="13">
        <f>Source!AQ34</f>
        <v>155.26</v>
      </c>
      <c r="F91" s="21"/>
      <c r="G91" s="20" t="str">
        <f>Source!DI34</f>
        <v/>
      </c>
      <c r="H91" s="13">
        <f>Source!AV34</f>
        <v>1</v>
      </c>
      <c r="I91" s="13"/>
      <c r="J91" s="23"/>
      <c r="K91" s="23">
        <f>Source!U34</f>
        <v>90.050799999999995</v>
      </c>
    </row>
    <row r="92" spans="1:22" ht="15">
      <c r="A92" s="51"/>
      <c r="B92" s="51"/>
      <c r="C92" s="51"/>
      <c r="D92" s="55"/>
      <c r="E92" s="51"/>
      <c r="F92" s="51"/>
      <c r="G92" s="51"/>
      <c r="H92" s="51"/>
      <c r="I92" s="68">
        <f>J84+J85+J89+J90+SUM(J86:J88)</f>
        <v>125356.59</v>
      </c>
      <c r="J92" s="68"/>
      <c r="K92" s="24">
        <f>IF(Source!I34&lt;&gt;0, ROUND(I92/Source!I34, 2), 0)</f>
        <v>216132.05</v>
      </c>
      <c r="P92" s="52">
        <f>I92</f>
        <v>125356.59</v>
      </c>
    </row>
    <row r="93" spans="1:22" ht="28.5">
      <c r="A93" s="17" t="str">
        <f>Source!E38</f>
        <v>8</v>
      </c>
      <c r="B93" s="18" t="str">
        <f>Source!F38</f>
        <v>5.4-3203-8-2/1</v>
      </c>
      <c r="C93" s="18" t="str">
        <f>Source!G38</f>
        <v>Добавлять или исключать на каждые 1000 шт. высаживаемых цветов к поз. 4-3203-8-1</v>
      </c>
      <c r="D93" s="19" t="str">
        <f>Source!H38</f>
        <v>100 м2</v>
      </c>
      <c r="E93" s="13">
        <f>Source!I38</f>
        <v>-0.57999999999999996</v>
      </c>
      <c r="F93" s="21"/>
      <c r="G93" s="20"/>
      <c r="H93" s="13"/>
      <c r="I93" s="13"/>
      <c r="J93" s="23"/>
      <c r="K93" s="23"/>
      <c r="Q93" s="8">
        <f>ROUND((Source!BZ38/100)*ROUND((Source!AF38*Source!AV38)*Source!I38, 2), 2)</f>
        <v>-267.56</v>
      </c>
      <c r="R93" s="8">
        <f>Source!X38</f>
        <v>-267.56</v>
      </c>
      <c r="S93" s="8">
        <f>ROUND((Source!CA38/100)*ROUND((Source!AF38*Source!AV38)*Source!I38, 2), 2)</f>
        <v>-38.22</v>
      </c>
      <c r="T93" s="8">
        <f>Source!Y38</f>
        <v>-38.22</v>
      </c>
      <c r="U93" s="8">
        <f>ROUND((175/100)*ROUND((Source!AE38*Source!AV38)*Source!I38, 2), 2)</f>
        <v>0</v>
      </c>
      <c r="V93" s="8">
        <f>ROUND((108/100)*ROUND(Source!CS38*Source!I38, 2), 2)</f>
        <v>0</v>
      </c>
    </row>
    <row r="94" spans="1:22">
      <c r="C94" s="50" t="str">
        <f>"Объем: "&amp;Source!I38&amp;"=-"&amp;"58/"&amp;"100"</f>
        <v>Объем: -0,58=-58/100</v>
      </c>
    </row>
    <row r="95" spans="1:22">
      <c r="A95" s="17"/>
      <c r="B95" s="18"/>
      <c r="C95" s="18" t="s">
        <v>365</v>
      </c>
      <c r="D95" s="19"/>
      <c r="E95" s="13"/>
      <c r="F95" s="21">
        <f>Source!AO38</f>
        <v>1153.28</v>
      </c>
      <c r="G95" s="20" t="str">
        <f>Source!DG38</f>
        <v>*0,571428571</v>
      </c>
      <c r="H95" s="13">
        <f>Source!AV38</f>
        <v>1</v>
      </c>
      <c r="I95" s="13">
        <f>IF(Source!BA38&lt;&gt; 0, Source!BA38, 1)</f>
        <v>1</v>
      </c>
      <c r="J95" s="23">
        <f>Source!S38</f>
        <v>-382.23</v>
      </c>
      <c r="K95" s="23"/>
    </row>
    <row r="96" spans="1:22">
      <c r="A96" s="17"/>
      <c r="B96" s="18"/>
      <c r="C96" s="18" t="s">
        <v>374</v>
      </c>
      <c r="D96" s="19"/>
      <c r="E96" s="13"/>
      <c r="F96" s="21">
        <f>Source!AL38</f>
        <v>121.1</v>
      </c>
      <c r="G96" s="20" t="str">
        <f>Source!DD38</f>
        <v>*0,571428571</v>
      </c>
      <c r="H96" s="13">
        <f>Source!AW38</f>
        <v>1</v>
      </c>
      <c r="I96" s="13">
        <f>IF(Source!BC38&lt;&gt; 0, Source!BC38, 1)</f>
        <v>1</v>
      </c>
      <c r="J96" s="23">
        <f>Source!P38</f>
        <v>-40.14</v>
      </c>
      <c r="K96" s="23"/>
    </row>
    <row r="97" spans="1:22" ht="28.5">
      <c r="A97" s="17" t="str">
        <f>Source!E39</f>
        <v>8,1</v>
      </c>
      <c r="B97" s="18" t="str">
        <f>Source!F39</f>
        <v>9763130000</v>
      </c>
      <c r="C97" s="18" t="str">
        <f>Source!G39</f>
        <v>Посадочный материал цветочных культур</v>
      </c>
      <c r="D97" s="19" t="str">
        <f>Source!H39</f>
        <v>шт.</v>
      </c>
      <c r="E97" s="13">
        <f>Source!I39</f>
        <v>-348</v>
      </c>
      <c r="F97" s="21">
        <f>Source!AK39</f>
        <v>0</v>
      </c>
      <c r="G97" s="25" t="s">
        <v>375</v>
      </c>
      <c r="H97" s="13">
        <f>Source!AW39</f>
        <v>1</v>
      </c>
      <c r="I97" s="13">
        <f>IF(Source!BC39&lt;&gt; 0, Source!BC39, 1)</f>
        <v>1</v>
      </c>
      <c r="J97" s="23">
        <f>Source!O39</f>
        <v>0</v>
      </c>
      <c r="K97" s="23"/>
      <c r="Q97" s="8">
        <f>ROUND((Source!BZ39/100)*ROUND((Source!AF39*Source!AV39)*Source!I39, 2), 2)</f>
        <v>0</v>
      </c>
      <c r="R97" s="8">
        <f>Source!X39</f>
        <v>0</v>
      </c>
      <c r="S97" s="8">
        <f>ROUND((Source!CA39/100)*ROUND((Source!AF39*Source!AV39)*Source!I39, 2), 2)</f>
        <v>0</v>
      </c>
      <c r="T97" s="8">
        <f>Source!Y39</f>
        <v>0</v>
      </c>
      <c r="U97" s="8">
        <f>ROUND((175/100)*ROUND((Source!AE39*Source!AV39)*Source!I39, 2), 2)</f>
        <v>0</v>
      </c>
      <c r="V97" s="8">
        <f>ROUND((108/100)*ROUND(Source!CS39*Source!I39, 2), 2)</f>
        <v>0</v>
      </c>
    </row>
    <row r="98" spans="1:22">
      <c r="A98" s="17"/>
      <c r="B98" s="18"/>
      <c r="C98" s="18" t="s">
        <v>368</v>
      </c>
      <c r="D98" s="19" t="s">
        <v>369</v>
      </c>
      <c r="E98" s="13">
        <f>Source!AT38</f>
        <v>70</v>
      </c>
      <c r="F98" s="21"/>
      <c r="G98" s="20"/>
      <c r="H98" s="13"/>
      <c r="I98" s="13"/>
      <c r="J98" s="23">
        <f>SUM(R93:R97)</f>
        <v>-267.56</v>
      </c>
      <c r="K98" s="23"/>
    </row>
    <row r="99" spans="1:22">
      <c r="A99" s="17"/>
      <c r="B99" s="18"/>
      <c r="C99" s="18" t="s">
        <v>370</v>
      </c>
      <c r="D99" s="19" t="s">
        <v>369</v>
      </c>
      <c r="E99" s="13">
        <f>Source!AU38</f>
        <v>10</v>
      </c>
      <c r="F99" s="21"/>
      <c r="G99" s="20"/>
      <c r="H99" s="13"/>
      <c r="I99" s="13"/>
      <c r="J99" s="23">
        <f>SUM(T93:T98)</f>
        <v>-38.22</v>
      </c>
      <c r="K99" s="23"/>
    </row>
    <row r="100" spans="1:22">
      <c r="A100" s="17"/>
      <c r="B100" s="18"/>
      <c r="C100" s="18" t="s">
        <v>372</v>
      </c>
      <c r="D100" s="19" t="s">
        <v>373</v>
      </c>
      <c r="E100" s="13">
        <f>Source!AQ38</f>
        <v>7.91</v>
      </c>
      <c r="F100" s="21"/>
      <c r="G100" s="20" t="str">
        <f>Source!DI38</f>
        <v>*0,571428571</v>
      </c>
      <c r="H100" s="13">
        <f>Source!AV38</f>
        <v>1</v>
      </c>
      <c r="I100" s="13"/>
      <c r="J100" s="23"/>
      <c r="K100" s="23">
        <f>Source!U38</f>
        <v>-2.6215999980337998</v>
      </c>
    </row>
    <row r="101" spans="1:22" ht="15">
      <c r="A101" s="51"/>
      <c r="B101" s="51"/>
      <c r="C101" s="51"/>
      <c r="D101" s="55"/>
      <c r="E101" s="51"/>
      <c r="F101" s="51"/>
      <c r="G101" s="51"/>
      <c r="H101" s="51"/>
      <c r="I101" s="68">
        <f>J95+J96+J98+J99+SUM(J97:J97)</f>
        <v>-728.15000000000009</v>
      </c>
      <c r="J101" s="68"/>
      <c r="K101" s="24">
        <f>IF(Source!I38&lt;&gt;0, ROUND(I101/Source!I38, 2), 0)</f>
        <v>1255.43</v>
      </c>
      <c r="P101" s="52">
        <f>I101</f>
        <v>-728.15000000000009</v>
      </c>
    </row>
    <row r="102" spans="1:22" hidden="1"/>
    <row r="103" spans="1:22" ht="15" hidden="1">
      <c r="A103" s="66" t="str">
        <f>CONCATENATE("Итого по разделу: ",IF(Source!G41&lt;&gt;"Новый раздел", Source!G41, ""))</f>
        <v>Итого по разделу: Устройство цветника - 58м2</v>
      </c>
      <c r="B103" s="66"/>
      <c r="C103" s="66"/>
      <c r="D103" s="66"/>
      <c r="E103" s="66"/>
      <c r="F103" s="66"/>
      <c r="G103" s="66"/>
      <c r="H103" s="66"/>
      <c r="I103" s="63">
        <f>SUM(P31:P102)</f>
        <v>157424.78</v>
      </c>
      <c r="J103" s="65"/>
      <c r="K103" s="26"/>
    </row>
    <row r="104" spans="1:22" hidden="1"/>
    <row r="105" spans="1:22" hidden="1">
      <c r="C105" s="61" t="str">
        <f>Source!H69</f>
        <v>Итого</v>
      </c>
      <c r="D105" s="61"/>
      <c r="E105" s="61"/>
      <c r="F105" s="61"/>
      <c r="G105" s="61"/>
      <c r="H105" s="61"/>
      <c r="I105" s="62">
        <f>IF(Source!F69=0, "", Source!F69)</f>
        <v>157424.78</v>
      </c>
      <c r="J105" s="62"/>
    </row>
    <row r="106" spans="1:22" hidden="1">
      <c r="C106" s="61" t="str">
        <f>Source!H70</f>
        <v>НДС 20%</v>
      </c>
      <c r="D106" s="61"/>
      <c r="E106" s="61"/>
      <c r="F106" s="61"/>
      <c r="G106" s="61"/>
      <c r="H106" s="61"/>
      <c r="I106" s="62">
        <f>IF(Source!F70=0, "", Source!F70)</f>
        <v>31484.959999999999</v>
      </c>
      <c r="J106" s="62"/>
    </row>
    <row r="107" spans="1:22" hidden="1">
      <c r="C107" s="61" t="str">
        <f>Source!H71</f>
        <v>Всего с НДС</v>
      </c>
      <c r="D107" s="61"/>
      <c r="E107" s="61"/>
      <c r="F107" s="61"/>
      <c r="G107" s="61"/>
      <c r="H107" s="61"/>
      <c r="I107" s="62">
        <f>IF(Source!F71=0, "", Source!F71)</f>
        <v>188909.74</v>
      </c>
      <c r="J107" s="62"/>
    </row>
    <row r="108" spans="1:22" hidden="1"/>
    <row r="109" spans="1:22" ht="15" hidden="1">
      <c r="A109" s="67" t="str">
        <f>CONCATENATE("Раздел: ",IF(Source!G73&lt;&gt;"Новый раздел", Source!G73, ""))</f>
        <v>Раздел: Посадка кустарников - 50шт.</v>
      </c>
      <c r="B109" s="67"/>
      <c r="C109" s="67"/>
      <c r="D109" s="67"/>
      <c r="E109" s="67"/>
      <c r="F109" s="67"/>
      <c r="G109" s="67"/>
      <c r="H109" s="67"/>
      <c r="I109" s="67"/>
      <c r="J109" s="67"/>
      <c r="K109" s="67"/>
    </row>
    <row r="110" spans="1:22" ht="71.25">
      <c r="A110" s="17" t="str">
        <f>Source!E77</f>
        <v>9</v>
      </c>
      <c r="B110" s="18" t="str">
        <f>Source!F77</f>
        <v>5.4-3103-1-10/1</v>
      </c>
      <c r="C110" s="18" t="str">
        <f>Source!G77</f>
        <v>Подготовка стандартных посадочных мест для деревьев и кустарников механизированным способом, с круглым комом земли размером 0,3х0,3 м с добавлением растительной земли до 100%</v>
      </c>
      <c r="D110" s="19" t="str">
        <f>Source!H77</f>
        <v>10 ям</v>
      </c>
      <c r="E110" s="13">
        <f>Source!I77</f>
        <v>2</v>
      </c>
      <c r="F110" s="21"/>
      <c r="G110" s="20"/>
      <c r="H110" s="13"/>
      <c r="I110" s="13"/>
      <c r="J110" s="23"/>
      <c r="K110" s="23"/>
      <c r="Q110" s="8">
        <f>ROUND((Source!BZ77/100)*ROUND((Source!AF77*Source!AV77)*Source!I77, 2), 2)</f>
        <v>2630.18</v>
      </c>
      <c r="R110" s="8">
        <f>Source!X77</f>
        <v>2630.18</v>
      </c>
      <c r="S110" s="8">
        <f>ROUND((Source!CA77/100)*ROUND((Source!AF77*Source!AV77)*Source!I77, 2), 2)</f>
        <v>375.74</v>
      </c>
      <c r="T110" s="8">
        <f>Source!Y77</f>
        <v>375.74</v>
      </c>
      <c r="U110" s="8">
        <f>ROUND((175/100)*ROUND((Source!AE77*Source!AV77)*Source!I77, 2), 2)</f>
        <v>326.27</v>
      </c>
      <c r="V110" s="8">
        <f>ROUND((108/100)*ROUND(Source!CS77*Source!I77, 2), 2)</f>
        <v>201.36</v>
      </c>
    </row>
    <row r="111" spans="1:22">
      <c r="C111" s="50" t="str">
        <f>"Объем: "&amp;Source!I77&amp;"=(50*"&amp;"0,4)/"&amp;"10"</f>
        <v>Объем: 2=(50*0,4)/10</v>
      </c>
    </row>
    <row r="112" spans="1:22">
      <c r="A112" s="17"/>
      <c r="B112" s="18"/>
      <c r="C112" s="18" t="s">
        <v>365</v>
      </c>
      <c r="D112" s="19"/>
      <c r="E112" s="13"/>
      <c r="F112" s="21">
        <f>Source!AO77</f>
        <v>1878.7</v>
      </c>
      <c r="G112" s="20" t="str">
        <f>Source!DG77</f>
        <v/>
      </c>
      <c r="H112" s="13">
        <f>Source!AV77</f>
        <v>1</v>
      </c>
      <c r="I112" s="13">
        <f>IF(Source!BA77&lt;&gt; 0, Source!BA77, 1)</f>
        <v>1</v>
      </c>
      <c r="J112" s="23">
        <f>Source!S77</f>
        <v>3757.4</v>
      </c>
      <c r="K112" s="23"/>
    </row>
    <row r="113" spans="1:22">
      <c r="A113" s="17"/>
      <c r="B113" s="18"/>
      <c r="C113" s="18" t="s">
        <v>366</v>
      </c>
      <c r="D113" s="19"/>
      <c r="E113" s="13"/>
      <c r="F113" s="21">
        <f>Source!AM77</f>
        <v>254.87</v>
      </c>
      <c r="G113" s="20" t="str">
        <f>Source!DE77</f>
        <v/>
      </c>
      <c r="H113" s="13">
        <f>Source!AV77</f>
        <v>1</v>
      </c>
      <c r="I113" s="13">
        <f>IF(Source!BB77&lt;&gt; 0, Source!BB77, 1)</f>
        <v>1</v>
      </c>
      <c r="J113" s="23">
        <f>Source!Q77</f>
        <v>509.74</v>
      </c>
      <c r="K113" s="23"/>
    </row>
    <row r="114" spans="1:22">
      <c r="A114" s="17"/>
      <c r="B114" s="18"/>
      <c r="C114" s="18" t="s">
        <v>367</v>
      </c>
      <c r="D114" s="19"/>
      <c r="E114" s="13"/>
      <c r="F114" s="21">
        <f>Source!AN77</f>
        <v>93.22</v>
      </c>
      <c r="G114" s="20" t="str">
        <f>Source!DF77</f>
        <v/>
      </c>
      <c r="H114" s="13">
        <f>Source!AV77</f>
        <v>1</v>
      </c>
      <c r="I114" s="13">
        <f>IF(Source!BS77&lt;&gt; 0, Source!BS77, 1)</f>
        <v>1</v>
      </c>
      <c r="J114" s="22">
        <f>Source!R77</f>
        <v>186.44</v>
      </c>
      <c r="K114" s="23"/>
    </row>
    <row r="115" spans="1:22">
      <c r="A115" s="17"/>
      <c r="B115" s="18"/>
      <c r="C115" s="18" t="s">
        <v>374</v>
      </c>
      <c r="D115" s="19"/>
      <c r="E115" s="13"/>
      <c r="F115" s="21">
        <f>Source!AL77</f>
        <v>2074.5700000000002</v>
      </c>
      <c r="G115" s="20" t="str">
        <f>Source!DD77</f>
        <v/>
      </c>
      <c r="H115" s="13">
        <f>Source!AW77</f>
        <v>1</v>
      </c>
      <c r="I115" s="13">
        <f>IF(Source!BC77&lt;&gt; 0, Source!BC77, 1)</f>
        <v>1</v>
      </c>
      <c r="J115" s="23">
        <f>Source!P77</f>
        <v>4149.1400000000003</v>
      </c>
      <c r="K115" s="23"/>
    </row>
    <row r="116" spans="1:22">
      <c r="A116" s="17"/>
      <c r="B116" s="18"/>
      <c r="C116" s="18" t="s">
        <v>368</v>
      </c>
      <c r="D116" s="19" t="s">
        <v>369</v>
      </c>
      <c r="E116" s="13">
        <f>Source!AT77</f>
        <v>70</v>
      </c>
      <c r="F116" s="21"/>
      <c r="G116" s="20"/>
      <c r="H116" s="13"/>
      <c r="I116" s="13"/>
      <c r="J116" s="23">
        <f>SUM(R110:R115)</f>
        <v>2630.18</v>
      </c>
      <c r="K116" s="23"/>
    </row>
    <row r="117" spans="1:22">
      <c r="A117" s="17"/>
      <c r="B117" s="18"/>
      <c r="C117" s="18" t="s">
        <v>370</v>
      </c>
      <c r="D117" s="19" t="s">
        <v>369</v>
      </c>
      <c r="E117" s="13">
        <f>Source!AU77</f>
        <v>10</v>
      </c>
      <c r="F117" s="21"/>
      <c r="G117" s="20"/>
      <c r="H117" s="13"/>
      <c r="I117" s="13"/>
      <c r="J117" s="23">
        <f>SUM(T110:T116)</f>
        <v>375.74</v>
      </c>
      <c r="K117" s="23"/>
    </row>
    <row r="118" spans="1:22">
      <c r="A118" s="17"/>
      <c r="B118" s="18"/>
      <c r="C118" s="18" t="s">
        <v>371</v>
      </c>
      <c r="D118" s="19" t="s">
        <v>369</v>
      </c>
      <c r="E118" s="13">
        <f>108</f>
        <v>108</v>
      </c>
      <c r="F118" s="21"/>
      <c r="G118" s="20"/>
      <c r="H118" s="13"/>
      <c r="I118" s="13"/>
      <c r="J118" s="23">
        <f>SUM(V110:V117)</f>
        <v>201.36</v>
      </c>
      <c r="K118" s="23"/>
    </row>
    <row r="119" spans="1:22">
      <c r="A119" s="17"/>
      <c r="B119" s="18"/>
      <c r="C119" s="18" t="s">
        <v>372</v>
      </c>
      <c r="D119" s="19" t="s">
        <v>373</v>
      </c>
      <c r="E119" s="13">
        <f>Source!AQ77</f>
        <v>11.11</v>
      </c>
      <c r="F119" s="21"/>
      <c r="G119" s="20" t="str">
        <f>Source!DI77</f>
        <v/>
      </c>
      <c r="H119" s="13">
        <f>Source!AV77</f>
        <v>1</v>
      </c>
      <c r="I119" s="13"/>
      <c r="J119" s="23"/>
      <c r="K119" s="23">
        <f>Source!U77</f>
        <v>22.22</v>
      </c>
    </row>
    <row r="120" spans="1:22" ht="15">
      <c r="A120" s="51"/>
      <c r="B120" s="51"/>
      <c r="C120" s="51"/>
      <c r="D120" s="55"/>
      <c r="E120" s="51"/>
      <c r="F120" s="51"/>
      <c r="G120" s="51"/>
      <c r="H120" s="51"/>
      <c r="I120" s="68">
        <f>J112+J113+J115+J116+J117+J118</f>
        <v>11623.560000000001</v>
      </c>
      <c r="J120" s="68"/>
      <c r="K120" s="24">
        <f>IF(Source!I77&lt;&gt;0, ROUND(I120/Source!I77, 2), 0)</f>
        <v>5811.78</v>
      </c>
      <c r="P120" s="52">
        <f>I120</f>
        <v>11623.560000000001</v>
      </c>
    </row>
    <row r="121" spans="1:22" ht="57">
      <c r="A121" s="17" t="str">
        <f>Source!E78</f>
        <v>10</v>
      </c>
      <c r="B121" s="18" t="str">
        <f>Source!F78</f>
        <v>5.4-3103-3-10/1</v>
      </c>
      <c r="C121" s="18" t="str">
        <f>Source!G78</f>
        <v>Подготовка стандартных посадочных мест вручную, с круглым комом земли размером 0,3х0,3 м с добавлением растительной земли до 100%</v>
      </c>
      <c r="D121" s="19" t="str">
        <f>Source!H78</f>
        <v>10 ям</v>
      </c>
      <c r="E121" s="13">
        <f>Source!I78</f>
        <v>3</v>
      </c>
      <c r="F121" s="21"/>
      <c r="G121" s="20"/>
      <c r="H121" s="13"/>
      <c r="I121" s="13"/>
      <c r="J121" s="23"/>
      <c r="K121" s="23"/>
      <c r="Q121" s="8">
        <f>ROUND((Source!BZ78/100)*ROUND((Source!AF78*Source!AV78)*Source!I78, 2), 2)</f>
        <v>6372.7</v>
      </c>
      <c r="R121" s="8">
        <f>Source!X78</f>
        <v>6372.7</v>
      </c>
      <c r="S121" s="8">
        <f>ROUND((Source!CA78/100)*ROUND((Source!AF78*Source!AV78)*Source!I78, 2), 2)</f>
        <v>910.39</v>
      </c>
      <c r="T121" s="8">
        <f>Source!Y78</f>
        <v>910.39</v>
      </c>
      <c r="U121" s="8">
        <f>ROUND((175/100)*ROUND((Source!AE78*Source!AV78)*Source!I78, 2), 2)</f>
        <v>0</v>
      </c>
      <c r="V121" s="8">
        <f>ROUND((108/100)*ROUND(Source!CS78*Source!I78, 2), 2)</f>
        <v>0</v>
      </c>
    </row>
    <row r="122" spans="1:22">
      <c r="C122" s="50" t="str">
        <f>"Объем: "&amp;Source!I78&amp;"=(50*"&amp;"0,6)/"&amp;"10"</f>
        <v>Объем: 3=(50*0,6)/10</v>
      </c>
    </row>
    <row r="123" spans="1:22">
      <c r="A123" s="17"/>
      <c r="B123" s="18"/>
      <c r="C123" s="18" t="s">
        <v>365</v>
      </c>
      <c r="D123" s="19"/>
      <c r="E123" s="13"/>
      <c r="F123" s="21">
        <f>Source!AO78</f>
        <v>3034.62</v>
      </c>
      <c r="G123" s="20" t="str">
        <f>Source!DG78</f>
        <v/>
      </c>
      <c r="H123" s="13">
        <f>Source!AV78</f>
        <v>1</v>
      </c>
      <c r="I123" s="13">
        <f>IF(Source!BA78&lt;&gt; 0, Source!BA78, 1)</f>
        <v>1</v>
      </c>
      <c r="J123" s="23">
        <f>Source!S78</f>
        <v>9103.86</v>
      </c>
      <c r="K123" s="23"/>
    </row>
    <row r="124" spans="1:22">
      <c r="A124" s="17"/>
      <c r="B124" s="18"/>
      <c r="C124" s="18" t="s">
        <v>374</v>
      </c>
      <c r="D124" s="19"/>
      <c r="E124" s="13"/>
      <c r="F124" s="21">
        <f>Source!AL78</f>
        <v>2074.5700000000002</v>
      </c>
      <c r="G124" s="20" t="str">
        <f>Source!DD78</f>
        <v/>
      </c>
      <c r="H124" s="13">
        <f>Source!AW78</f>
        <v>1</v>
      </c>
      <c r="I124" s="13">
        <f>IF(Source!BC78&lt;&gt; 0, Source!BC78, 1)</f>
        <v>1</v>
      </c>
      <c r="J124" s="23">
        <f>Source!P78</f>
        <v>6223.71</v>
      </c>
      <c r="K124" s="23"/>
    </row>
    <row r="125" spans="1:22">
      <c r="A125" s="17"/>
      <c r="B125" s="18"/>
      <c r="C125" s="18" t="s">
        <v>368</v>
      </c>
      <c r="D125" s="19" t="s">
        <v>369</v>
      </c>
      <c r="E125" s="13">
        <f>Source!AT78</f>
        <v>70</v>
      </c>
      <c r="F125" s="21"/>
      <c r="G125" s="20"/>
      <c r="H125" s="13"/>
      <c r="I125" s="13"/>
      <c r="J125" s="23">
        <f>SUM(R121:R124)</f>
        <v>6372.7</v>
      </c>
      <c r="K125" s="23"/>
    </row>
    <row r="126" spans="1:22">
      <c r="A126" s="17"/>
      <c r="B126" s="18"/>
      <c r="C126" s="18" t="s">
        <v>370</v>
      </c>
      <c r="D126" s="19" t="s">
        <v>369</v>
      </c>
      <c r="E126" s="13">
        <f>Source!AU78</f>
        <v>10</v>
      </c>
      <c r="F126" s="21"/>
      <c r="G126" s="20"/>
      <c r="H126" s="13"/>
      <c r="I126" s="13"/>
      <c r="J126" s="23">
        <f>SUM(T121:T125)</f>
        <v>910.39</v>
      </c>
      <c r="K126" s="23"/>
    </row>
    <row r="127" spans="1:22">
      <c r="A127" s="17"/>
      <c r="B127" s="18"/>
      <c r="C127" s="18" t="s">
        <v>372</v>
      </c>
      <c r="D127" s="19" t="s">
        <v>373</v>
      </c>
      <c r="E127" s="13">
        <f>Source!AQ78</f>
        <v>16.79</v>
      </c>
      <c r="F127" s="21"/>
      <c r="G127" s="20" t="str">
        <f>Source!DI78</f>
        <v/>
      </c>
      <c r="H127" s="13">
        <f>Source!AV78</f>
        <v>1</v>
      </c>
      <c r="I127" s="13"/>
      <c r="J127" s="23"/>
      <c r="K127" s="23">
        <f>Source!U78</f>
        <v>50.37</v>
      </c>
    </row>
    <row r="128" spans="1:22" ht="15">
      <c r="A128" s="51"/>
      <c r="B128" s="51"/>
      <c r="C128" s="51"/>
      <c r="D128" s="55"/>
      <c r="E128" s="51"/>
      <c r="F128" s="51"/>
      <c r="G128" s="51"/>
      <c r="H128" s="51"/>
      <c r="I128" s="68">
        <f>J123+J124+J125+J126</f>
        <v>22610.66</v>
      </c>
      <c r="J128" s="68"/>
      <c r="K128" s="24">
        <f>IF(Source!I78&lt;&gt;0, ROUND(I128/Source!I78, 2), 0)</f>
        <v>7536.89</v>
      </c>
      <c r="P128" s="52">
        <f>I128</f>
        <v>22610.66</v>
      </c>
    </row>
    <row r="129" spans="1:22" ht="114">
      <c r="A129" s="17" t="str">
        <f>Source!E79</f>
        <v>11</v>
      </c>
      <c r="B129" s="18" t="str">
        <f>Source!F79</f>
        <v>5.4-3503-1-1/1</v>
      </c>
      <c r="C129" s="18" t="str">
        <f>Source!G79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табл.1 - 0,28м3 * 50кустов =14м3 - при слое 20 см покрываемая площадь 14м3/0,2м х 0,75)</v>
      </c>
      <c r="D129" s="19" t="str">
        <f>Source!H79</f>
        <v>100 м2</v>
      </c>
      <c r="E129" s="13">
        <f>Source!I79</f>
        <v>0.52500000000000002</v>
      </c>
      <c r="F129" s="21"/>
      <c r="G129" s="20"/>
      <c r="H129" s="13"/>
      <c r="I129" s="13"/>
      <c r="J129" s="23"/>
      <c r="K129" s="23"/>
      <c r="Q129" s="8">
        <f>ROUND((Source!BZ79/100)*ROUND((Source!AF79*Source!AV79)*Source!I79, 2), 2)</f>
        <v>0</v>
      </c>
      <c r="R129" s="8">
        <f>Source!X79</f>
        <v>0</v>
      </c>
      <c r="S129" s="8">
        <f>ROUND((Source!CA79/100)*ROUND((Source!AF79*Source!AV79)*Source!I79, 2), 2)</f>
        <v>0</v>
      </c>
      <c r="T129" s="8">
        <f>Source!Y79</f>
        <v>0</v>
      </c>
      <c r="U129" s="8">
        <f>ROUND((175/100)*ROUND((Source!AE79*Source!AV79)*Source!I79, 2), 2)</f>
        <v>102.38</v>
      </c>
      <c r="V129" s="8">
        <f>ROUND((108/100)*ROUND(Source!CS79*Source!I79, 2), 2)</f>
        <v>63.18</v>
      </c>
    </row>
    <row r="130" spans="1:22">
      <c r="C130" s="50" t="str">
        <f>"Объем: "&amp;Source!I79&amp;"=52,5/"&amp;"100"</f>
        <v>Объем: 0,525=52,5/100</v>
      </c>
    </row>
    <row r="131" spans="1:22">
      <c r="A131" s="17"/>
      <c r="B131" s="18"/>
      <c r="C131" s="18" t="s">
        <v>366</v>
      </c>
      <c r="D131" s="19"/>
      <c r="E131" s="13"/>
      <c r="F131" s="21">
        <f>Source!AM79</f>
        <v>296.60000000000002</v>
      </c>
      <c r="G131" s="20" t="str">
        <f>Source!DE79</f>
        <v/>
      </c>
      <c r="H131" s="13">
        <f>Source!AV79</f>
        <v>1</v>
      </c>
      <c r="I131" s="13">
        <f>IF(Source!BB79&lt;&gt; 0, Source!BB79, 1)</f>
        <v>1</v>
      </c>
      <c r="J131" s="23">
        <f>Source!Q79</f>
        <v>155.72</v>
      </c>
      <c r="K131" s="23"/>
    </row>
    <row r="132" spans="1:22">
      <c r="A132" s="17"/>
      <c r="B132" s="18"/>
      <c r="C132" s="18" t="s">
        <v>367</v>
      </c>
      <c r="D132" s="19"/>
      <c r="E132" s="13"/>
      <c r="F132" s="21">
        <f>Source!AN79</f>
        <v>111.43</v>
      </c>
      <c r="G132" s="20" t="str">
        <f>Source!DF79</f>
        <v/>
      </c>
      <c r="H132" s="13">
        <f>Source!AV79</f>
        <v>1</v>
      </c>
      <c r="I132" s="13">
        <f>IF(Source!BS79&lt;&gt; 0, Source!BS79, 1)</f>
        <v>1</v>
      </c>
      <c r="J132" s="22">
        <f>Source!R79</f>
        <v>58.5</v>
      </c>
      <c r="K132" s="23"/>
    </row>
    <row r="133" spans="1:22">
      <c r="A133" s="17"/>
      <c r="B133" s="18"/>
      <c r="C133" s="18" t="s">
        <v>371</v>
      </c>
      <c r="D133" s="19" t="s">
        <v>369</v>
      </c>
      <c r="E133" s="13">
        <f>108</f>
        <v>108</v>
      </c>
      <c r="F133" s="21"/>
      <c r="G133" s="20"/>
      <c r="H133" s="13"/>
      <c r="I133" s="13"/>
      <c r="J133" s="23">
        <f>SUM(V129:V132)</f>
        <v>63.18</v>
      </c>
      <c r="K133" s="23"/>
    </row>
    <row r="134" spans="1:22" ht="15">
      <c r="A134" s="51"/>
      <c r="B134" s="51"/>
      <c r="C134" s="51"/>
      <c r="D134" s="55"/>
      <c r="E134" s="51"/>
      <c r="F134" s="51"/>
      <c r="G134" s="51"/>
      <c r="H134" s="51"/>
      <c r="I134" s="68">
        <f>J131+J133</f>
        <v>218.9</v>
      </c>
      <c r="J134" s="68"/>
      <c r="K134" s="24">
        <f>IF(Source!I79&lt;&gt;0, ROUND(I134/Source!I79, 2), 0)</f>
        <v>416.95</v>
      </c>
      <c r="P134" s="52">
        <f>I134</f>
        <v>218.9</v>
      </c>
    </row>
    <row r="135" spans="1:22" ht="71.25">
      <c r="A135" s="17" t="str">
        <f>Source!E80</f>
        <v>12</v>
      </c>
      <c r="B135" s="18" t="str">
        <f>Source!F80</f>
        <v>5.4-3503-1-2/1</v>
      </c>
      <c r="C135" s="18" t="str">
        <f>Source!G80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14м3/0,2м х 0,25)</v>
      </c>
      <c r="D135" s="19" t="str">
        <f>Source!H80</f>
        <v>100 м2</v>
      </c>
      <c r="E135" s="13">
        <f>Source!I80</f>
        <v>0.17499999999999999</v>
      </c>
      <c r="F135" s="21"/>
      <c r="G135" s="20"/>
      <c r="H135" s="13"/>
      <c r="I135" s="13"/>
      <c r="J135" s="23"/>
      <c r="K135" s="23"/>
      <c r="Q135" s="8">
        <f>ROUND((Source!BZ80/100)*ROUND((Source!AF80*Source!AV80)*Source!I80, 2), 2)</f>
        <v>259.70999999999998</v>
      </c>
      <c r="R135" s="8">
        <f>Source!X80</f>
        <v>259.70999999999998</v>
      </c>
      <c r="S135" s="8">
        <f>ROUND((Source!CA80/100)*ROUND((Source!AF80*Source!AV80)*Source!I80, 2), 2)</f>
        <v>37.1</v>
      </c>
      <c r="T135" s="8">
        <f>Source!Y80</f>
        <v>37.1</v>
      </c>
      <c r="U135" s="8">
        <f>ROUND((175/100)*ROUND((Source!AE80*Source!AV80)*Source!I80, 2), 2)</f>
        <v>0</v>
      </c>
      <c r="V135" s="8">
        <f>ROUND((108/100)*ROUND(Source!CS80*Source!I80, 2), 2)</f>
        <v>0</v>
      </c>
    </row>
    <row r="136" spans="1:22">
      <c r="C136" s="50" t="str">
        <f>"Объем: "&amp;Source!I80&amp;"=17,5/"&amp;"100"</f>
        <v>Объем: 0,175=17,5/100</v>
      </c>
    </row>
    <row r="137" spans="1:22">
      <c r="A137" s="17"/>
      <c r="B137" s="18"/>
      <c r="C137" s="18" t="s">
        <v>365</v>
      </c>
      <c r="D137" s="19"/>
      <c r="E137" s="13"/>
      <c r="F137" s="21">
        <f>Source!AO80</f>
        <v>2120.08</v>
      </c>
      <c r="G137" s="20" t="str">
        <f>Source!DG80</f>
        <v/>
      </c>
      <c r="H137" s="13">
        <f>Source!AV80</f>
        <v>1</v>
      </c>
      <c r="I137" s="13">
        <f>IF(Source!BA80&lt;&gt; 0, Source!BA80, 1)</f>
        <v>1</v>
      </c>
      <c r="J137" s="23">
        <f>Source!S80</f>
        <v>371.01</v>
      </c>
      <c r="K137" s="23"/>
    </row>
    <row r="138" spans="1:22">
      <c r="A138" s="17"/>
      <c r="B138" s="18"/>
      <c r="C138" s="18" t="s">
        <v>368</v>
      </c>
      <c r="D138" s="19" t="s">
        <v>369</v>
      </c>
      <c r="E138" s="13">
        <f>Source!AT80</f>
        <v>70</v>
      </c>
      <c r="F138" s="21"/>
      <c r="G138" s="20"/>
      <c r="H138" s="13"/>
      <c r="I138" s="13"/>
      <c r="J138" s="23">
        <f>SUM(R135:R137)</f>
        <v>259.70999999999998</v>
      </c>
      <c r="K138" s="23"/>
    </row>
    <row r="139" spans="1:22">
      <c r="A139" s="17"/>
      <c r="B139" s="18"/>
      <c r="C139" s="18" t="s">
        <v>370</v>
      </c>
      <c r="D139" s="19" t="s">
        <v>369</v>
      </c>
      <c r="E139" s="13">
        <f>Source!AU80</f>
        <v>10</v>
      </c>
      <c r="F139" s="21"/>
      <c r="G139" s="20"/>
      <c r="H139" s="13"/>
      <c r="I139" s="13"/>
      <c r="J139" s="23">
        <f>SUM(T135:T138)</f>
        <v>37.1</v>
      </c>
      <c r="K139" s="23"/>
    </row>
    <row r="140" spans="1:22">
      <c r="A140" s="17"/>
      <c r="B140" s="18"/>
      <c r="C140" s="18" t="s">
        <v>372</v>
      </c>
      <c r="D140" s="19" t="s">
        <v>373</v>
      </c>
      <c r="E140" s="13">
        <f>Source!AQ80</f>
        <v>11.73</v>
      </c>
      <c r="F140" s="21"/>
      <c r="G140" s="20" t="str">
        <f>Source!DI80</f>
        <v/>
      </c>
      <c r="H140" s="13">
        <f>Source!AV80</f>
        <v>1</v>
      </c>
      <c r="I140" s="13"/>
      <c r="J140" s="23"/>
      <c r="K140" s="23">
        <f>Source!U80</f>
        <v>2.0527500000000001</v>
      </c>
    </row>
    <row r="141" spans="1:22" ht="15">
      <c r="A141" s="51"/>
      <c r="B141" s="51"/>
      <c r="C141" s="51"/>
      <c r="D141" s="55"/>
      <c r="E141" s="51"/>
      <c r="F141" s="51"/>
      <c r="G141" s="51"/>
      <c r="H141" s="51"/>
      <c r="I141" s="68">
        <f>J137+J138+J139</f>
        <v>667.82</v>
      </c>
      <c r="J141" s="68"/>
      <c r="K141" s="24">
        <f>IF(Source!I80&lt;&gt;0, ROUND(I141/Source!I80, 2), 0)</f>
        <v>3816.11</v>
      </c>
      <c r="P141" s="52">
        <f>I141</f>
        <v>667.82</v>
      </c>
    </row>
    <row r="142" spans="1:22" ht="42.75">
      <c r="A142" s="17" t="str">
        <f>Source!E81</f>
        <v>13</v>
      </c>
      <c r="B142" s="18" t="str">
        <f>Source!F81</f>
        <v>5.4-3103-6-2/1</v>
      </c>
      <c r="C142" s="18" t="str">
        <f>Source!G81</f>
        <v>Посадка деревьев и кустарников с комом земли, диаметром 0,3 м и высотой 0,3 м (без стоимости деревьев и кустарников)</v>
      </c>
      <c r="D142" s="19" t="str">
        <f>Source!H81</f>
        <v>10 шт.</v>
      </c>
      <c r="E142" s="13">
        <f>Source!I81</f>
        <v>5</v>
      </c>
      <c r="F142" s="21"/>
      <c r="G142" s="20"/>
      <c r="H142" s="13"/>
      <c r="I142" s="13"/>
      <c r="J142" s="23"/>
      <c r="K142" s="23"/>
      <c r="Q142" s="8">
        <f>ROUND((Source!BZ81/100)*ROUND((Source!AF81*Source!AV81)*Source!I81, 2), 2)</f>
        <v>5994.03</v>
      </c>
      <c r="R142" s="8">
        <f>Source!X81</f>
        <v>5994.03</v>
      </c>
      <c r="S142" s="8">
        <f>ROUND((Source!CA81/100)*ROUND((Source!AF81*Source!AV81)*Source!I81, 2), 2)</f>
        <v>856.29</v>
      </c>
      <c r="T142" s="8">
        <f>Source!Y81</f>
        <v>856.29</v>
      </c>
      <c r="U142" s="8">
        <f>ROUND((175/100)*ROUND((Source!AE81*Source!AV81)*Source!I81, 2), 2)</f>
        <v>1283.98</v>
      </c>
      <c r="V142" s="8">
        <f>ROUND((108/100)*ROUND(Source!CS81*Source!I81, 2), 2)</f>
        <v>792.4</v>
      </c>
    </row>
    <row r="143" spans="1:22">
      <c r="C143" s="50" t="str">
        <f>"Объем: "&amp;Source!I81&amp;"=50/"&amp;"10"</f>
        <v>Объем: 5=50/10</v>
      </c>
    </row>
    <row r="144" spans="1:22">
      <c r="A144" s="17"/>
      <c r="B144" s="18"/>
      <c r="C144" s="18" t="s">
        <v>365</v>
      </c>
      <c r="D144" s="19"/>
      <c r="E144" s="13"/>
      <c r="F144" s="21">
        <f>Source!AO81</f>
        <v>1712.58</v>
      </c>
      <c r="G144" s="20" t="str">
        <f>Source!DG81</f>
        <v/>
      </c>
      <c r="H144" s="13">
        <f>Source!AV81</f>
        <v>1</v>
      </c>
      <c r="I144" s="13">
        <f>IF(Source!BA81&lt;&gt; 0, Source!BA81, 1)</f>
        <v>1</v>
      </c>
      <c r="J144" s="23">
        <f>Source!S81</f>
        <v>8562.9</v>
      </c>
      <c r="K144" s="23"/>
    </row>
    <row r="145" spans="1:22">
      <c r="A145" s="17"/>
      <c r="B145" s="18"/>
      <c r="C145" s="18" t="s">
        <v>366</v>
      </c>
      <c r="D145" s="19"/>
      <c r="E145" s="13"/>
      <c r="F145" s="21">
        <f>Source!AM81</f>
        <v>646.59</v>
      </c>
      <c r="G145" s="20" t="str">
        <f>Source!DE81</f>
        <v/>
      </c>
      <c r="H145" s="13">
        <f>Source!AV81</f>
        <v>1</v>
      </c>
      <c r="I145" s="13">
        <f>IF(Source!BB81&lt;&gt; 0, Source!BB81, 1)</f>
        <v>1</v>
      </c>
      <c r="J145" s="23">
        <f>Source!Q81</f>
        <v>3232.95</v>
      </c>
      <c r="K145" s="23"/>
    </row>
    <row r="146" spans="1:22">
      <c r="A146" s="17"/>
      <c r="B146" s="18"/>
      <c r="C146" s="18" t="s">
        <v>367</v>
      </c>
      <c r="D146" s="19"/>
      <c r="E146" s="13"/>
      <c r="F146" s="21">
        <f>Source!AN81</f>
        <v>146.74</v>
      </c>
      <c r="G146" s="20" t="str">
        <f>Source!DF81</f>
        <v/>
      </c>
      <c r="H146" s="13">
        <f>Source!AV81</f>
        <v>1</v>
      </c>
      <c r="I146" s="13">
        <f>IF(Source!BS81&lt;&gt; 0, Source!BS81, 1)</f>
        <v>1</v>
      </c>
      <c r="J146" s="22">
        <f>Source!R81</f>
        <v>733.7</v>
      </c>
      <c r="K146" s="23"/>
    </row>
    <row r="147" spans="1:22">
      <c r="A147" s="17"/>
      <c r="B147" s="18"/>
      <c r="C147" s="18" t="s">
        <v>374</v>
      </c>
      <c r="D147" s="19"/>
      <c r="E147" s="13"/>
      <c r="F147" s="21">
        <f>Source!AL81</f>
        <v>37.72</v>
      </c>
      <c r="G147" s="20" t="str">
        <f>Source!DD81</f>
        <v/>
      </c>
      <c r="H147" s="13">
        <f>Source!AW81</f>
        <v>1</v>
      </c>
      <c r="I147" s="13">
        <f>IF(Source!BC81&lt;&gt; 0, Source!BC81, 1)</f>
        <v>1</v>
      </c>
      <c r="J147" s="23">
        <f>Source!P81</f>
        <v>188.6</v>
      </c>
      <c r="K147" s="23"/>
    </row>
    <row r="148" spans="1:22" ht="42.75">
      <c r="A148" s="17" t="str">
        <f>Source!E82</f>
        <v>13,1</v>
      </c>
      <c r="B148" s="18" t="str">
        <f>Source!F82</f>
        <v>21.4-2-22</v>
      </c>
      <c r="C148" s="18" t="str">
        <f>Source!G82</f>
        <v>Кустарники декоративные с закрытой корневой системой: гортензия древовидная, С10 ( ком земли 0,3м * 0,3м)</v>
      </c>
      <c r="D148" s="19" t="str">
        <f>Source!H82</f>
        <v>шт.</v>
      </c>
      <c r="E148" s="13">
        <f>Source!I82</f>
        <v>26</v>
      </c>
      <c r="F148" s="21">
        <f>Source!AK82</f>
        <v>1409.36</v>
      </c>
      <c r="G148" s="25" t="s">
        <v>3</v>
      </c>
      <c r="H148" s="13">
        <f>Source!AW82</f>
        <v>1</v>
      </c>
      <c r="I148" s="13">
        <f>IF(Source!BC82&lt;&gt; 0, Source!BC82, 1)</f>
        <v>1</v>
      </c>
      <c r="J148" s="23">
        <f>Source!O82</f>
        <v>36643.360000000001</v>
      </c>
      <c r="K148" s="23"/>
      <c r="Q148" s="8">
        <f>ROUND((Source!BZ82/100)*ROUND((Source!AF82*Source!AV82)*Source!I82, 2), 2)</f>
        <v>0</v>
      </c>
      <c r="R148" s="8">
        <f>Source!X82</f>
        <v>0</v>
      </c>
      <c r="S148" s="8">
        <f>ROUND((Source!CA82/100)*ROUND((Source!AF82*Source!AV82)*Source!I82, 2), 2)</f>
        <v>0</v>
      </c>
      <c r="T148" s="8">
        <f>Source!Y82</f>
        <v>0</v>
      </c>
      <c r="U148" s="8">
        <f>ROUND((175/100)*ROUND((Source!AE82*Source!AV82)*Source!I82, 2), 2)</f>
        <v>0</v>
      </c>
      <c r="V148" s="8">
        <f>ROUND((108/100)*ROUND(Source!CS82*Source!I82, 2), 2)</f>
        <v>0</v>
      </c>
    </row>
    <row r="149" spans="1:22" ht="57">
      <c r="A149" s="17" t="str">
        <f>Source!E83</f>
        <v>13,2</v>
      </c>
      <c r="B149" s="18" t="str">
        <f>Source!F83</f>
        <v>коммерческое предложение</v>
      </c>
      <c r="C149" s="18" t="s">
        <v>434</v>
      </c>
      <c r="D149" s="19" t="str">
        <f>Source!H83</f>
        <v>шт.</v>
      </c>
      <c r="E149" s="13">
        <f>Source!I83</f>
        <v>6</v>
      </c>
      <c r="F149" s="21">
        <f>Source!AK83</f>
        <v>875</v>
      </c>
      <c r="G149" s="25" t="s">
        <v>3</v>
      </c>
      <c r="H149" s="13">
        <f>Source!AW83</f>
        <v>1</v>
      </c>
      <c r="I149" s="13">
        <f>IF(Source!BC83&lt;&gt; 0, Source!BC83, 1)</f>
        <v>1</v>
      </c>
      <c r="J149" s="23">
        <f>Source!O83</f>
        <v>5250</v>
      </c>
      <c r="K149" s="23"/>
      <c r="Q149" s="8">
        <f>ROUND((Source!BZ83/100)*ROUND((Source!AF83*Source!AV83)*Source!I83, 2), 2)</f>
        <v>0</v>
      </c>
      <c r="R149" s="8">
        <f>Source!X83</f>
        <v>0</v>
      </c>
      <c r="S149" s="8">
        <f>ROUND((Source!CA83/100)*ROUND((Source!AF83*Source!AV83)*Source!I83, 2), 2)</f>
        <v>0</v>
      </c>
      <c r="T149" s="8">
        <f>Source!Y83</f>
        <v>0</v>
      </c>
      <c r="U149" s="8">
        <f>ROUND((175/100)*ROUND((Source!AE83*Source!AV83)*Source!I83, 2), 2)</f>
        <v>0</v>
      </c>
      <c r="V149" s="8">
        <f>ROUND((108/100)*ROUND(Source!CS83*Source!I83, 2), 2)</f>
        <v>0</v>
      </c>
    </row>
    <row r="150" spans="1:22" ht="71.25">
      <c r="A150" s="17" t="str">
        <f>Source!E84</f>
        <v>13,3</v>
      </c>
      <c r="B150" s="18" t="str">
        <f>Source!F84</f>
        <v>коммерческое предложение</v>
      </c>
      <c r="C150" s="18" t="s">
        <v>435</v>
      </c>
      <c r="D150" s="19" t="str">
        <f>Source!H84</f>
        <v>шт.</v>
      </c>
      <c r="E150" s="13">
        <f>Source!I84</f>
        <v>3</v>
      </c>
      <c r="F150" s="21">
        <f>Source!AK84</f>
        <v>1150</v>
      </c>
      <c r="G150" s="25" t="s">
        <v>3</v>
      </c>
      <c r="H150" s="13">
        <f>Source!AW84</f>
        <v>1</v>
      </c>
      <c r="I150" s="13">
        <f>IF(Source!BC84&lt;&gt; 0, Source!BC84, 1)</f>
        <v>1</v>
      </c>
      <c r="J150" s="23">
        <f>Source!O84</f>
        <v>3450</v>
      </c>
      <c r="K150" s="23"/>
      <c r="Q150" s="8">
        <f>ROUND((Source!BZ84/100)*ROUND((Source!AF84*Source!AV84)*Source!I84, 2), 2)</f>
        <v>0</v>
      </c>
      <c r="R150" s="8">
        <f>Source!X84</f>
        <v>0</v>
      </c>
      <c r="S150" s="8">
        <f>ROUND((Source!CA84/100)*ROUND((Source!AF84*Source!AV84)*Source!I84, 2), 2)</f>
        <v>0</v>
      </c>
      <c r="T150" s="8">
        <f>Source!Y84</f>
        <v>0</v>
      </c>
      <c r="U150" s="8">
        <f>ROUND((175/100)*ROUND((Source!AE84*Source!AV84)*Source!I84, 2), 2)</f>
        <v>0</v>
      </c>
      <c r="V150" s="8">
        <f>ROUND((108/100)*ROUND(Source!CS84*Source!I84, 2), 2)</f>
        <v>0</v>
      </c>
    </row>
    <row r="151" spans="1:22" ht="57">
      <c r="A151" s="17" t="str">
        <f>Source!E85</f>
        <v>13,4</v>
      </c>
      <c r="B151" s="18" t="str">
        <f>Source!F85</f>
        <v>коммерческое предложение</v>
      </c>
      <c r="C151" s="18" t="s">
        <v>436</v>
      </c>
      <c r="D151" s="19" t="str">
        <f>Source!H85</f>
        <v>шт.</v>
      </c>
      <c r="E151" s="13">
        <f>Source!I85</f>
        <v>6</v>
      </c>
      <c r="F151" s="21">
        <f>Source!AK85</f>
        <v>741.67</v>
      </c>
      <c r="G151" s="25" t="s">
        <v>3</v>
      </c>
      <c r="H151" s="13">
        <f>Source!AW85</f>
        <v>1</v>
      </c>
      <c r="I151" s="13">
        <f>IF(Source!BC85&lt;&gt; 0, Source!BC85, 1)</f>
        <v>1</v>
      </c>
      <c r="J151" s="23">
        <f>Source!O85</f>
        <v>4450.0200000000004</v>
      </c>
      <c r="K151" s="23"/>
      <c r="Q151" s="8">
        <f>ROUND((Source!BZ85/100)*ROUND((Source!AF85*Source!AV85)*Source!I85, 2), 2)</f>
        <v>0</v>
      </c>
      <c r="R151" s="8">
        <f>Source!X85</f>
        <v>0</v>
      </c>
      <c r="S151" s="8">
        <f>ROUND((Source!CA85/100)*ROUND((Source!AF85*Source!AV85)*Source!I85, 2), 2)</f>
        <v>0</v>
      </c>
      <c r="T151" s="8">
        <f>Source!Y85</f>
        <v>0</v>
      </c>
      <c r="U151" s="8">
        <f>ROUND((175/100)*ROUND((Source!AE85*Source!AV85)*Source!I85, 2), 2)</f>
        <v>0</v>
      </c>
      <c r="V151" s="8">
        <f>ROUND((108/100)*ROUND(Source!CS85*Source!I85, 2), 2)</f>
        <v>0</v>
      </c>
    </row>
    <row r="152" spans="1:22" ht="71.25">
      <c r="A152" s="17" t="str">
        <f>Source!E86</f>
        <v>13,5</v>
      </c>
      <c r="B152" s="18" t="str">
        <f>Source!F86</f>
        <v>коммерческое предложение</v>
      </c>
      <c r="C152" s="18" t="s">
        <v>437</v>
      </c>
      <c r="D152" s="19" t="str">
        <f>Source!H86</f>
        <v>шт.</v>
      </c>
      <c r="E152" s="13">
        <f>Source!I86</f>
        <v>3</v>
      </c>
      <c r="F152" s="21">
        <f>Source!AK86</f>
        <v>1358.33</v>
      </c>
      <c r="G152" s="25" t="s">
        <v>3</v>
      </c>
      <c r="H152" s="13">
        <f>Source!AW86</f>
        <v>1</v>
      </c>
      <c r="I152" s="13">
        <f>IF(Source!BC86&lt;&gt; 0, Source!BC86, 1)</f>
        <v>1</v>
      </c>
      <c r="J152" s="23">
        <f>Source!O86</f>
        <v>4074.99</v>
      </c>
      <c r="K152" s="23"/>
      <c r="Q152" s="8">
        <f>ROUND((Source!BZ86/100)*ROUND((Source!AF86*Source!AV86)*Source!I86, 2), 2)</f>
        <v>0</v>
      </c>
      <c r="R152" s="8">
        <f>Source!X86</f>
        <v>0</v>
      </c>
      <c r="S152" s="8">
        <f>ROUND((Source!CA86/100)*ROUND((Source!AF86*Source!AV86)*Source!I86, 2), 2)</f>
        <v>0</v>
      </c>
      <c r="T152" s="8">
        <f>Source!Y86</f>
        <v>0</v>
      </c>
      <c r="U152" s="8">
        <f>ROUND((175/100)*ROUND((Source!AE86*Source!AV86)*Source!I86, 2), 2)</f>
        <v>0</v>
      </c>
      <c r="V152" s="8">
        <f>ROUND((108/100)*ROUND(Source!CS86*Source!I86, 2), 2)</f>
        <v>0</v>
      </c>
    </row>
    <row r="153" spans="1:22" ht="71.25">
      <c r="A153" s="17" t="str">
        <f>Source!E87</f>
        <v>13,6</v>
      </c>
      <c r="B153" s="18" t="str">
        <f>Source!F87</f>
        <v>коммерческое предложение</v>
      </c>
      <c r="C153" s="18" t="s">
        <v>438</v>
      </c>
      <c r="D153" s="19" t="str">
        <f>Source!H87</f>
        <v>шт.</v>
      </c>
      <c r="E153" s="13">
        <f>Source!I87</f>
        <v>3</v>
      </c>
      <c r="F153" s="21">
        <f>Source!AK87</f>
        <v>1433.33</v>
      </c>
      <c r="G153" s="25" t="s">
        <v>3</v>
      </c>
      <c r="H153" s="13">
        <f>Source!AW87</f>
        <v>1</v>
      </c>
      <c r="I153" s="13">
        <f>IF(Source!BC87&lt;&gt; 0, Source!BC87, 1)</f>
        <v>1</v>
      </c>
      <c r="J153" s="23">
        <f>Source!O87</f>
        <v>4299.99</v>
      </c>
      <c r="K153" s="23"/>
      <c r="Q153" s="8">
        <f>ROUND((Source!BZ87/100)*ROUND((Source!AF87*Source!AV87)*Source!I87, 2), 2)</f>
        <v>0</v>
      </c>
      <c r="R153" s="8">
        <f>Source!X87</f>
        <v>0</v>
      </c>
      <c r="S153" s="8">
        <f>ROUND((Source!CA87/100)*ROUND((Source!AF87*Source!AV87)*Source!I87, 2), 2)</f>
        <v>0</v>
      </c>
      <c r="T153" s="8">
        <f>Source!Y87</f>
        <v>0</v>
      </c>
      <c r="U153" s="8">
        <f>ROUND((175/100)*ROUND((Source!AE87*Source!AV87)*Source!I87, 2), 2)</f>
        <v>0</v>
      </c>
      <c r="V153" s="8">
        <f>ROUND((108/100)*ROUND(Source!CS87*Source!I87, 2), 2)</f>
        <v>0</v>
      </c>
    </row>
    <row r="154" spans="1:22" ht="71.25">
      <c r="A154" s="17" t="str">
        <f>Source!E88</f>
        <v>13,7</v>
      </c>
      <c r="B154" s="18" t="str">
        <f>Source!F88</f>
        <v>коммерческое предложение</v>
      </c>
      <c r="C154" s="18" t="s">
        <v>439</v>
      </c>
      <c r="D154" s="19" t="str">
        <f>Source!H88</f>
        <v>шт.</v>
      </c>
      <c r="E154" s="13">
        <f>Source!I88</f>
        <v>3</v>
      </c>
      <c r="F154" s="21">
        <f>Source!AK88</f>
        <v>1316.67</v>
      </c>
      <c r="G154" s="25" t="s">
        <v>3</v>
      </c>
      <c r="H154" s="13">
        <f>Source!AW88</f>
        <v>1</v>
      </c>
      <c r="I154" s="13">
        <f>IF(Source!BC88&lt;&gt; 0, Source!BC88, 1)</f>
        <v>1</v>
      </c>
      <c r="J154" s="23">
        <f>Source!O88</f>
        <v>3950.01</v>
      </c>
      <c r="K154" s="23"/>
      <c r="Q154" s="8">
        <f>ROUND((Source!BZ88/100)*ROUND((Source!AF88*Source!AV88)*Source!I88, 2), 2)</f>
        <v>0</v>
      </c>
      <c r="R154" s="8">
        <f>Source!X88</f>
        <v>0</v>
      </c>
      <c r="S154" s="8">
        <f>ROUND((Source!CA88/100)*ROUND((Source!AF88*Source!AV88)*Source!I88, 2), 2)</f>
        <v>0</v>
      </c>
      <c r="T154" s="8">
        <f>Source!Y88</f>
        <v>0</v>
      </c>
      <c r="U154" s="8">
        <f>ROUND((175/100)*ROUND((Source!AE88*Source!AV88)*Source!I88, 2), 2)</f>
        <v>0</v>
      </c>
      <c r="V154" s="8">
        <f>ROUND((108/100)*ROUND(Source!CS88*Source!I88, 2), 2)</f>
        <v>0</v>
      </c>
    </row>
    <row r="155" spans="1:22">
      <c r="A155" s="17"/>
      <c r="B155" s="18"/>
      <c r="C155" s="18" t="s">
        <v>368</v>
      </c>
      <c r="D155" s="19" t="s">
        <v>369</v>
      </c>
      <c r="E155" s="13">
        <f>Source!AT81</f>
        <v>70</v>
      </c>
      <c r="F155" s="21"/>
      <c r="G155" s="20"/>
      <c r="H155" s="13"/>
      <c r="I155" s="13"/>
      <c r="J155" s="23">
        <f>SUM(R142:R154)</f>
        <v>5994.03</v>
      </c>
      <c r="K155" s="23"/>
    </row>
    <row r="156" spans="1:22">
      <c r="A156" s="17"/>
      <c r="B156" s="18"/>
      <c r="C156" s="18" t="s">
        <v>370</v>
      </c>
      <c r="D156" s="19" t="s">
        <v>369</v>
      </c>
      <c r="E156" s="13">
        <f>Source!AU81</f>
        <v>10</v>
      </c>
      <c r="F156" s="21"/>
      <c r="G156" s="20"/>
      <c r="H156" s="13"/>
      <c r="I156" s="13"/>
      <c r="J156" s="23">
        <f>SUM(T142:T155)</f>
        <v>856.29</v>
      </c>
      <c r="K156" s="23"/>
    </row>
    <row r="157" spans="1:22">
      <c r="A157" s="17"/>
      <c r="B157" s="18"/>
      <c r="C157" s="18" t="s">
        <v>371</v>
      </c>
      <c r="D157" s="19" t="s">
        <v>369</v>
      </c>
      <c r="E157" s="13">
        <f>108</f>
        <v>108</v>
      </c>
      <c r="F157" s="21"/>
      <c r="G157" s="20"/>
      <c r="H157" s="13"/>
      <c r="I157" s="13"/>
      <c r="J157" s="23">
        <f>SUM(V142:V156)</f>
        <v>792.4</v>
      </c>
      <c r="K157" s="23"/>
    </row>
    <row r="158" spans="1:22">
      <c r="A158" s="17"/>
      <c r="B158" s="18"/>
      <c r="C158" s="18" t="s">
        <v>372</v>
      </c>
      <c r="D158" s="19" t="s">
        <v>373</v>
      </c>
      <c r="E158" s="13">
        <f>Source!AQ81</f>
        <v>7.08</v>
      </c>
      <c r="F158" s="21"/>
      <c r="G158" s="20" t="str">
        <f>Source!DI81</f>
        <v/>
      </c>
      <c r="H158" s="13">
        <f>Source!AV81</f>
        <v>1</v>
      </c>
      <c r="I158" s="13"/>
      <c r="J158" s="23"/>
      <c r="K158" s="23">
        <f>Source!U81</f>
        <v>35.4</v>
      </c>
    </row>
    <row r="159" spans="1:22" ht="15">
      <c r="A159" s="51"/>
      <c r="B159" s="51"/>
      <c r="C159" s="51"/>
      <c r="D159" s="55"/>
      <c r="E159" s="51"/>
      <c r="F159" s="51"/>
      <c r="G159" s="51"/>
      <c r="H159" s="51"/>
      <c r="I159" s="68">
        <f>J144+J145+J147+J155+J156+J157+SUM(J148:J154)</f>
        <v>81745.540000000008</v>
      </c>
      <c r="J159" s="68"/>
      <c r="K159" s="24">
        <f>IF(Source!I81&lt;&gt;0, ROUND(I159/Source!I81, 2), 0)</f>
        <v>16349.11</v>
      </c>
      <c r="P159" s="52">
        <f>I159</f>
        <v>81745.540000000008</v>
      </c>
    </row>
    <row r="160" spans="1:22" hidden="1"/>
    <row r="161" spans="1:22" ht="15" hidden="1">
      <c r="A161" s="66" t="str">
        <f>CONCATENATE("Итого по разделу: ",IF(Source!G90&lt;&gt;"Новый раздел", Source!G90, ""))</f>
        <v>Итого по разделу: Посадка кустарников - 50шт.</v>
      </c>
      <c r="B161" s="66"/>
      <c r="C161" s="66"/>
      <c r="D161" s="66"/>
      <c r="E161" s="66"/>
      <c r="F161" s="66"/>
      <c r="G161" s="66"/>
      <c r="H161" s="66"/>
      <c r="I161" s="63">
        <f>SUM(P109:P160)</f>
        <v>116866.48000000001</v>
      </c>
      <c r="J161" s="65"/>
      <c r="K161" s="26"/>
    </row>
    <row r="162" spans="1:22" hidden="1"/>
    <row r="163" spans="1:22" hidden="1">
      <c r="C163" s="61" t="str">
        <f>Source!H118</f>
        <v>Итого</v>
      </c>
      <c r="D163" s="61"/>
      <c r="E163" s="61"/>
      <c r="F163" s="61"/>
      <c r="G163" s="61"/>
      <c r="H163" s="61"/>
      <c r="I163" s="62">
        <f>IF(Source!F118=0, "", Source!F118)</f>
        <v>116866.48</v>
      </c>
      <c r="J163" s="62"/>
    </row>
    <row r="164" spans="1:22" hidden="1">
      <c r="C164" s="61" t="str">
        <f>Source!H119</f>
        <v>НДС 20%</v>
      </c>
      <c r="D164" s="61"/>
      <c r="E164" s="61"/>
      <c r="F164" s="61"/>
      <c r="G164" s="61"/>
      <c r="H164" s="61"/>
      <c r="I164" s="62">
        <f>IF(Source!F119=0, "", Source!F119)</f>
        <v>23373.3</v>
      </c>
      <c r="J164" s="62"/>
    </row>
    <row r="165" spans="1:22" hidden="1">
      <c r="C165" s="61" t="str">
        <f>Source!H120</f>
        <v>Всего с НДС</v>
      </c>
      <c r="D165" s="61"/>
      <c r="E165" s="61"/>
      <c r="F165" s="61"/>
      <c r="G165" s="61"/>
      <c r="H165" s="61"/>
      <c r="I165" s="62">
        <f>IF(Source!F120=0, "", Source!F120)</f>
        <v>140239.78</v>
      </c>
      <c r="J165" s="62"/>
    </row>
    <row r="166" spans="1:22" hidden="1"/>
    <row r="167" spans="1:22" ht="15" hidden="1">
      <c r="A167" s="67" t="str">
        <f>CONCATENATE("Раздел: ",IF(Source!G122&lt;&gt;"Новый раздел", Source!G122, ""))</f>
        <v>Раздел: Посадка деревьев лиственных - 8шт.</v>
      </c>
      <c r="B167" s="67"/>
      <c r="C167" s="67"/>
      <c r="D167" s="67"/>
      <c r="E167" s="67"/>
      <c r="F167" s="67"/>
      <c r="G167" s="67"/>
      <c r="H167" s="67"/>
      <c r="I167" s="67"/>
      <c r="J167" s="67"/>
      <c r="K167" s="67"/>
    </row>
    <row r="168" spans="1:22" ht="71.25">
      <c r="A168" s="17" t="str">
        <f>Source!E126</f>
        <v>14</v>
      </c>
      <c r="B168" s="18" t="str">
        <f>Source!F126</f>
        <v>5.4-3103-1-20/1</v>
      </c>
      <c r="C168" s="18" t="str">
        <f>Source!G126</f>
        <v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100%</v>
      </c>
      <c r="D168" s="19" t="str">
        <f>Source!H126</f>
        <v>10 ям</v>
      </c>
      <c r="E168" s="13">
        <f>Source!I126</f>
        <v>0.48</v>
      </c>
      <c r="F168" s="21"/>
      <c r="G168" s="20"/>
      <c r="H168" s="13"/>
      <c r="I168" s="13"/>
      <c r="J168" s="23"/>
      <c r="K168" s="23"/>
      <c r="Q168" s="8">
        <f>ROUND((Source!BZ126/100)*ROUND((Source!AF126*Source!AV126)*Source!I126, 2), 2)</f>
        <v>2091.5</v>
      </c>
      <c r="R168" s="8">
        <f>Source!X126</f>
        <v>2091.5</v>
      </c>
      <c r="S168" s="8">
        <f>ROUND((Source!CA126/100)*ROUND((Source!AF126*Source!AV126)*Source!I126, 2), 2)</f>
        <v>298.79000000000002</v>
      </c>
      <c r="T168" s="8">
        <f>Source!Y126</f>
        <v>298.79000000000002</v>
      </c>
      <c r="U168" s="8">
        <f>ROUND((175/100)*ROUND((Source!AE126*Source!AV126)*Source!I126, 2), 2)</f>
        <v>256.18</v>
      </c>
      <c r="V168" s="8">
        <f>ROUND((108/100)*ROUND(Source!CS126*Source!I126, 2), 2)</f>
        <v>158.1</v>
      </c>
    </row>
    <row r="169" spans="1:22">
      <c r="C169" s="50" t="str">
        <f>"Объем: "&amp;Source!I126&amp;"=(8*"&amp;"0,6)/"&amp;"10"</f>
        <v>Объем: 0,48=(8*0,6)/10</v>
      </c>
    </row>
    <row r="170" spans="1:22">
      <c r="A170" s="17"/>
      <c r="B170" s="18"/>
      <c r="C170" s="18" t="s">
        <v>365</v>
      </c>
      <c r="D170" s="19"/>
      <c r="E170" s="13"/>
      <c r="F170" s="21">
        <f>Source!AO126</f>
        <v>6224.69</v>
      </c>
      <c r="G170" s="20" t="str">
        <f>Source!DG126</f>
        <v/>
      </c>
      <c r="H170" s="13">
        <f>Source!AV126</f>
        <v>1</v>
      </c>
      <c r="I170" s="13">
        <f>IF(Source!BA126&lt;&gt; 0, Source!BA126, 1)</f>
        <v>1</v>
      </c>
      <c r="J170" s="23">
        <f>Source!S126</f>
        <v>2987.85</v>
      </c>
      <c r="K170" s="23"/>
    </row>
    <row r="171" spans="1:22">
      <c r="A171" s="17"/>
      <c r="B171" s="18"/>
      <c r="C171" s="18" t="s">
        <v>366</v>
      </c>
      <c r="D171" s="19"/>
      <c r="E171" s="13"/>
      <c r="F171" s="21">
        <f>Source!AM126</f>
        <v>552.27</v>
      </c>
      <c r="G171" s="20" t="str">
        <f>Source!DE126</f>
        <v/>
      </c>
      <c r="H171" s="13">
        <f>Source!AV126</f>
        <v>1</v>
      </c>
      <c r="I171" s="13">
        <f>IF(Source!BB126&lt;&gt; 0, Source!BB126, 1)</f>
        <v>1</v>
      </c>
      <c r="J171" s="23">
        <f>Source!Q126</f>
        <v>265.08999999999997</v>
      </c>
      <c r="K171" s="23"/>
    </row>
    <row r="172" spans="1:22">
      <c r="A172" s="17"/>
      <c r="B172" s="18"/>
      <c r="C172" s="18" t="s">
        <v>367</v>
      </c>
      <c r="D172" s="19"/>
      <c r="E172" s="13"/>
      <c r="F172" s="21">
        <f>Source!AN126</f>
        <v>304.97000000000003</v>
      </c>
      <c r="G172" s="20" t="str">
        <f>Source!DF126</f>
        <v/>
      </c>
      <c r="H172" s="13">
        <f>Source!AV126</f>
        <v>1</v>
      </c>
      <c r="I172" s="13">
        <f>IF(Source!BS126&lt;&gt; 0, Source!BS126, 1)</f>
        <v>1</v>
      </c>
      <c r="J172" s="22">
        <f>Source!R126</f>
        <v>146.38999999999999</v>
      </c>
      <c r="K172" s="23"/>
    </row>
    <row r="173" spans="1:22">
      <c r="A173" s="17"/>
      <c r="B173" s="18"/>
      <c r="C173" s="18" t="s">
        <v>374</v>
      </c>
      <c r="D173" s="19"/>
      <c r="E173" s="13"/>
      <c r="F173" s="21">
        <f>Source!AL126</f>
        <v>6374.45</v>
      </c>
      <c r="G173" s="20" t="str">
        <f>Source!DD126</f>
        <v/>
      </c>
      <c r="H173" s="13">
        <f>Source!AW126</f>
        <v>1</v>
      </c>
      <c r="I173" s="13">
        <f>IF(Source!BC126&lt;&gt; 0, Source!BC126, 1)</f>
        <v>1</v>
      </c>
      <c r="J173" s="23">
        <f>Source!P126</f>
        <v>3059.74</v>
      </c>
      <c r="K173" s="23"/>
    </row>
    <row r="174" spans="1:22">
      <c r="A174" s="17"/>
      <c r="B174" s="18"/>
      <c r="C174" s="18" t="s">
        <v>368</v>
      </c>
      <c r="D174" s="19" t="s">
        <v>369</v>
      </c>
      <c r="E174" s="13">
        <f>Source!AT126</f>
        <v>70</v>
      </c>
      <c r="F174" s="21"/>
      <c r="G174" s="20"/>
      <c r="H174" s="13"/>
      <c r="I174" s="13"/>
      <c r="J174" s="23">
        <f>SUM(R168:R173)</f>
        <v>2091.5</v>
      </c>
      <c r="K174" s="23"/>
    </row>
    <row r="175" spans="1:22">
      <c r="A175" s="17"/>
      <c r="B175" s="18"/>
      <c r="C175" s="18" t="s">
        <v>370</v>
      </c>
      <c r="D175" s="19" t="s">
        <v>369</v>
      </c>
      <c r="E175" s="13">
        <f>Source!AU126</f>
        <v>10</v>
      </c>
      <c r="F175" s="21"/>
      <c r="G175" s="20"/>
      <c r="H175" s="13"/>
      <c r="I175" s="13"/>
      <c r="J175" s="23">
        <f>SUM(T168:T174)</f>
        <v>298.79000000000002</v>
      </c>
      <c r="K175" s="23"/>
    </row>
    <row r="176" spans="1:22">
      <c r="A176" s="17"/>
      <c r="B176" s="18"/>
      <c r="C176" s="18" t="s">
        <v>371</v>
      </c>
      <c r="D176" s="19" t="s">
        <v>369</v>
      </c>
      <c r="E176" s="13">
        <f>108</f>
        <v>108</v>
      </c>
      <c r="F176" s="21"/>
      <c r="G176" s="20"/>
      <c r="H176" s="13"/>
      <c r="I176" s="13"/>
      <c r="J176" s="23">
        <f>SUM(V168:V175)</f>
        <v>158.1</v>
      </c>
      <c r="K176" s="23"/>
    </row>
    <row r="177" spans="1:22">
      <c r="A177" s="17"/>
      <c r="B177" s="18"/>
      <c r="C177" s="18" t="s">
        <v>372</v>
      </c>
      <c r="D177" s="19" t="s">
        <v>373</v>
      </c>
      <c r="E177" s="13">
        <f>Source!AQ126</f>
        <v>34.44</v>
      </c>
      <c r="F177" s="21"/>
      <c r="G177" s="20" t="str">
        <f>Source!DI126</f>
        <v/>
      </c>
      <c r="H177" s="13">
        <f>Source!AV126</f>
        <v>1</v>
      </c>
      <c r="I177" s="13"/>
      <c r="J177" s="23"/>
      <c r="K177" s="23">
        <f>Source!U126</f>
        <v>16.531199999999998</v>
      </c>
    </row>
    <row r="178" spans="1:22" ht="15">
      <c r="A178" s="51"/>
      <c r="B178" s="51"/>
      <c r="C178" s="51"/>
      <c r="D178" s="55"/>
      <c r="E178" s="51"/>
      <c r="F178" s="51"/>
      <c r="G178" s="51"/>
      <c r="H178" s="51"/>
      <c r="I178" s="68">
        <f>J170+J171+J173+J174+J175+J176</f>
        <v>8861.0700000000015</v>
      </c>
      <c r="J178" s="68"/>
      <c r="K178" s="24">
        <f>IF(Source!I126&lt;&gt;0, ROUND(I178/Source!I126, 2), 0)</f>
        <v>18460.560000000001</v>
      </c>
      <c r="P178" s="52">
        <f>I178</f>
        <v>8861.0700000000015</v>
      </c>
    </row>
    <row r="179" spans="1:22" ht="57">
      <c r="A179" s="17" t="str">
        <f>Source!E127</f>
        <v>15</v>
      </c>
      <c r="B179" s="18" t="str">
        <f>Source!F127</f>
        <v>5.4-3103-3-20/1</v>
      </c>
      <c r="C179" s="18" t="str">
        <f>Source!G127</f>
        <v>Подготовка стандартных посадочных мест вручную, с круглым комом земли размером 0,8х0,6 м с добавлением растительной земли до 100%</v>
      </c>
      <c r="D179" s="19" t="str">
        <f>Source!H127</f>
        <v>10 ям</v>
      </c>
      <c r="E179" s="13">
        <f>Source!I127</f>
        <v>0.32</v>
      </c>
      <c r="F179" s="21"/>
      <c r="G179" s="20"/>
      <c r="H179" s="13"/>
      <c r="I179" s="13"/>
      <c r="J179" s="23"/>
      <c r="K179" s="23"/>
      <c r="Q179" s="8">
        <f>ROUND((Source!BZ127/100)*ROUND((Source!AF127*Source!AV127)*Source!I127, 2), 2)</f>
        <v>2378.54</v>
      </c>
      <c r="R179" s="8">
        <f>Source!X127</f>
        <v>2378.54</v>
      </c>
      <c r="S179" s="8">
        <f>ROUND((Source!CA127/100)*ROUND((Source!AF127*Source!AV127)*Source!I127, 2), 2)</f>
        <v>339.79</v>
      </c>
      <c r="T179" s="8">
        <f>Source!Y127</f>
        <v>339.79</v>
      </c>
      <c r="U179" s="8">
        <f>ROUND((175/100)*ROUND((Source!AE127*Source!AV127)*Source!I127, 2), 2)</f>
        <v>0</v>
      </c>
      <c r="V179" s="8">
        <f>ROUND((108/100)*ROUND(Source!CS127*Source!I127, 2), 2)</f>
        <v>0</v>
      </c>
    </row>
    <row r="180" spans="1:22">
      <c r="C180" s="50" t="str">
        <f>"Объем: "&amp;Source!I127&amp;"=(8*"&amp;"0,4)/"&amp;"10"</f>
        <v>Объем: 0,32=(8*0,4)/10</v>
      </c>
    </row>
    <row r="181" spans="1:22">
      <c r="A181" s="17"/>
      <c r="B181" s="18"/>
      <c r="C181" s="18" t="s">
        <v>365</v>
      </c>
      <c r="D181" s="19"/>
      <c r="E181" s="13"/>
      <c r="F181" s="21">
        <f>Source!AO127</f>
        <v>10618.48</v>
      </c>
      <c r="G181" s="20" t="str">
        <f>Source!DG127</f>
        <v/>
      </c>
      <c r="H181" s="13">
        <f>Source!AV127</f>
        <v>1</v>
      </c>
      <c r="I181" s="13">
        <f>IF(Source!BA127&lt;&gt; 0, Source!BA127, 1)</f>
        <v>1</v>
      </c>
      <c r="J181" s="23">
        <f>Source!S127</f>
        <v>3397.91</v>
      </c>
      <c r="K181" s="23"/>
    </row>
    <row r="182" spans="1:22">
      <c r="A182" s="17"/>
      <c r="B182" s="18"/>
      <c r="C182" s="18" t="s">
        <v>374</v>
      </c>
      <c r="D182" s="19"/>
      <c r="E182" s="13"/>
      <c r="F182" s="21">
        <f>Source!AL127</f>
        <v>6374.45</v>
      </c>
      <c r="G182" s="20" t="str">
        <f>Source!DD127</f>
        <v/>
      </c>
      <c r="H182" s="13">
        <f>Source!AW127</f>
        <v>1</v>
      </c>
      <c r="I182" s="13">
        <f>IF(Source!BC127&lt;&gt; 0, Source!BC127, 1)</f>
        <v>1</v>
      </c>
      <c r="J182" s="23">
        <f>Source!P127</f>
        <v>2039.82</v>
      </c>
      <c r="K182" s="23"/>
    </row>
    <row r="183" spans="1:22">
      <c r="A183" s="17"/>
      <c r="B183" s="18"/>
      <c r="C183" s="18" t="s">
        <v>368</v>
      </c>
      <c r="D183" s="19" t="s">
        <v>369</v>
      </c>
      <c r="E183" s="13">
        <f>Source!AT127</f>
        <v>70</v>
      </c>
      <c r="F183" s="21"/>
      <c r="G183" s="20"/>
      <c r="H183" s="13"/>
      <c r="I183" s="13"/>
      <c r="J183" s="23">
        <f>SUM(R179:R182)</f>
        <v>2378.54</v>
      </c>
      <c r="K183" s="23"/>
    </row>
    <row r="184" spans="1:22">
      <c r="A184" s="17"/>
      <c r="B184" s="18"/>
      <c r="C184" s="18" t="s">
        <v>370</v>
      </c>
      <c r="D184" s="19" t="s">
        <v>369</v>
      </c>
      <c r="E184" s="13">
        <f>Source!AU127</f>
        <v>10</v>
      </c>
      <c r="F184" s="21"/>
      <c r="G184" s="20"/>
      <c r="H184" s="13"/>
      <c r="I184" s="13"/>
      <c r="J184" s="23">
        <f>SUM(T179:T183)</f>
        <v>339.79</v>
      </c>
      <c r="K184" s="23"/>
    </row>
    <row r="185" spans="1:22">
      <c r="A185" s="17"/>
      <c r="B185" s="18"/>
      <c r="C185" s="18" t="s">
        <v>372</v>
      </c>
      <c r="D185" s="19" t="s">
        <v>373</v>
      </c>
      <c r="E185" s="13">
        <f>Source!AQ127</f>
        <v>58.75</v>
      </c>
      <c r="F185" s="21"/>
      <c r="G185" s="20" t="str">
        <f>Source!DI127</f>
        <v/>
      </c>
      <c r="H185" s="13">
        <f>Source!AV127</f>
        <v>1</v>
      </c>
      <c r="I185" s="13"/>
      <c r="J185" s="23"/>
      <c r="K185" s="23">
        <f>Source!U127</f>
        <v>18.8</v>
      </c>
    </row>
    <row r="186" spans="1:22" ht="15">
      <c r="A186" s="51"/>
      <c r="B186" s="51"/>
      <c r="C186" s="51"/>
      <c r="D186" s="55"/>
      <c r="E186" s="51"/>
      <c r="F186" s="51"/>
      <c r="G186" s="51"/>
      <c r="H186" s="51"/>
      <c r="I186" s="68">
        <f>J181+J182+J183+J184</f>
        <v>8156.0599999999995</v>
      </c>
      <c r="J186" s="68"/>
      <c r="K186" s="24">
        <f>IF(Source!I127&lt;&gt;0, ROUND(I186/Source!I127, 2), 0)</f>
        <v>25487.69</v>
      </c>
      <c r="P186" s="52">
        <f>I186</f>
        <v>8156.0599999999995</v>
      </c>
    </row>
    <row r="187" spans="1:22" ht="114">
      <c r="A187" s="17" t="str">
        <f>Source!E128</f>
        <v>16</v>
      </c>
      <c r="B187" s="18" t="str">
        <f>Source!F128</f>
        <v>5.4-3503-1-1/1</v>
      </c>
      <c r="C187" s="18" t="str">
        <f>Source!G128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табл.1 - 1,13м3 * 8дерева =9,04м3 - при слое 20 см покрываемая площадь 9,04м3/0,2м х 0,75)</v>
      </c>
      <c r="D187" s="19" t="str">
        <f>Source!H128</f>
        <v>100 м2</v>
      </c>
      <c r="E187" s="13">
        <f>Source!I128</f>
        <v>0.33900000000000002</v>
      </c>
      <c r="F187" s="21"/>
      <c r="G187" s="20"/>
      <c r="H187" s="13"/>
      <c r="I187" s="13"/>
      <c r="J187" s="23"/>
      <c r="K187" s="23"/>
      <c r="Q187" s="8">
        <f>ROUND((Source!BZ128/100)*ROUND((Source!AF128*Source!AV128)*Source!I128, 2), 2)</f>
        <v>0</v>
      </c>
      <c r="R187" s="8">
        <f>Source!X128</f>
        <v>0</v>
      </c>
      <c r="S187" s="8">
        <f>ROUND((Source!CA128/100)*ROUND((Source!AF128*Source!AV128)*Source!I128, 2), 2)</f>
        <v>0</v>
      </c>
      <c r="T187" s="8">
        <f>Source!Y128</f>
        <v>0</v>
      </c>
      <c r="U187" s="8">
        <f>ROUND((175/100)*ROUND((Source!AE128*Source!AV128)*Source!I128, 2), 2)</f>
        <v>66.099999999999994</v>
      </c>
      <c r="V187" s="8">
        <f>ROUND((108/100)*ROUND(Source!CS128*Source!I128, 2), 2)</f>
        <v>40.79</v>
      </c>
    </row>
    <row r="188" spans="1:22">
      <c r="C188" s="50" t="str">
        <f>"Объем: "&amp;Source!I128&amp;"=33,9/"&amp;"100"</f>
        <v>Объем: 0,339=33,9/100</v>
      </c>
    </row>
    <row r="189" spans="1:22">
      <c r="A189" s="17"/>
      <c r="B189" s="18"/>
      <c r="C189" s="18" t="s">
        <v>366</v>
      </c>
      <c r="D189" s="19"/>
      <c r="E189" s="13"/>
      <c r="F189" s="21">
        <f>Source!AM128</f>
        <v>296.60000000000002</v>
      </c>
      <c r="G189" s="20" t="str">
        <f>Source!DE128</f>
        <v/>
      </c>
      <c r="H189" s="13">
        <f>Source!AV128</f>
        <v>1</v>
      </c>
      <c r="I189" s="13">
        <f>IF(Source!BB128&lt;&gt; 0, Source!BB128, 1)</f>
        <v>1</v>
      </c>
      <c r="J189" s="23">
        <f>Source!Q128</f>
        <v>100.55</v>
      </c>
      <c r="K189" s="23"/>
    </row>
    <row r="190" spans="1:22">
      <c r="A190" s="17"/>
      <c r="B190" s="18"/>
      <c r="C190" s="18" t="s">
        <v>367</v>
      </c>
      <c r="D190" s="19"/>
      <c r="E190" s="13"/>
      <c r="F190" s="21">
        <f>Source!AN128</f>
        <v>111.43</v>
      </c>
      <c r="G190" s="20" t="str">
        <f>Source!DF128</f>
        <v/>
      </c>
      <c r="H190" s="13">
        <f>Source!AV128</f>
        <v>1</v>
      </c>
      <c r="I190" s="13">
        <f>IF(Source!BS128&lt;&gt; 0, Source!BS128, 1)</f>
        <v>1</v>
      </c>
      <c r="J190" s="22">
        <f>Source!R128</f>
        <v>37.770000000000003</v>
      </c>
      <c r="K190" s="23"/>
    </row>
    <row r="191" spans="1:22">
      <c r="A191" s="17"/>
      <c r="B191" s="18"/>
      <c r="C191" s="18" t="s">
        <v>371</v>
      </c>
      <c r="D191" s="19" t="s">
        <v>369</v>
      </c>
      <c r="E191" s="13">
        <f>108</f>
        <v>108</v>
      </c>
      <c r="F191" s="21"/>
      <c r="G191" s="20"/>
      <c r="H191" s="13"/>
      <c r="I191" s="13"/>
      <c r="J191" s="23">
        <f>SUM(V187:V190)</f>
        <v>40.79</v>
      </c>
      <c r="K191" s="23"/>
    </row>
    <row r="192" spans="1:22" ht="15">
      <c r="A192" s="51"/>
      <c r="B192" s="51"/>
      <c r="C192" s="51"/>
      <c r="D192" s="55"/>
      <c r="E192" s="51"/>
      <c r="F192" s="51"/>
      <c r="G192" s="51"/>
      <c r="H192" s="51"/>
      <c r="I192" s="68">
        <f>J189+J191</f>
        <v>141.34</v>
      </c>
      <c r="J192" s="68"/>
      <c r="K192" s="24">
        <f>IF(Source!I128&lt;&gt;0, ROUND(I192/Source!I128, 2), 0)</f>
        <v>416.93</v>
      </c>
      <c r="P192" s="52">
        <f>I192</f>
        <v>141.34</v>
      </c>
    </row>
    <row r="193" spans="1:22" ht="85.5">
      <c r="A193" s="17" t="str">
        <f>Source!E129</f>
        <v>17</v>
      </c>
      <c r="B193" s="18" t="str">
        <f>Source!F129</f>
        <v>5.4-3503-1-2/1</v>
      </c>
      <c r="C193" s="18" t="str">
        <f>Source!G129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9,04м3/0,2м х 0,25)</v>
      </c>
      <c r="D193" s="19" t="str">
        <f>Source!H129</f>
        <v>100 м2</v>
      </c>
      <c r="E193" s="13">
        <f>Source!I129</f>
        <v>0.113</v>
      </c>
      <c r="F193" s="21"/>
      <c r="G193" s="20"/>
      <c r="H193" s="13"/>
      <c r="I193" s="13"/>
      <c r="J193" s="23"/>
      <c r="K193" s="23"/>
      <c r="Q193" s="8">
        <f>ROUND((Source!BZ129/100)*ROUND((Source!AF129*Source!AV129)*Source!I129, 2), 2)</f>
        <v>167.7</v>
      </c>
      <c r="R193" s="8">
        <f>Source!X129</f>
        <v>167.7</v>
      </c>
      <c r="S193" s="8">
        <f>ROUND((Source!CA129/100)*ROUND((Source!AF129*Source!AV129)*Source!I129, 2), 2)</f>
        <v>23.96</v>
      </c>
      <c r="T193" s="8">
        <f>Source!Y129</f>
        <v>23.96</v>
      </c>
      <c r="U193" s="8">
        <f>ROUND((175/100)*ROUND((Source!AE129*Source!AV129)*Source!I129, 2), 2)</f>
        <v>0</v>
      </c>
      <c r="V193" s="8">
        <f>ROUND((108/100)*ROUND(Source!CS129*Source!I129, 2), 2)</f>
        <v>0</v>
      </c>
    </row>
    <row r="194" spans="1:22">
      <c r="C194" s="50" t="str">
        <f>"Объем: "&amp;Source!I129&amp;"=11,3/"&amp;"100"</f>
        <v>Объем: 0,113=11,3/100</v>
      </c>
    </row>
    <row r="195" spans="1:22">
      <c r="A195" s="17"/>
      <c r="B195" s="18"/>
      <c r="C195" s="18" t="s">
        <v>365</v>
      </c>
      <c r="D195" s="19"/>
      <c r="E195" s="13"/>
      <c r="F195" s="21">
        <f>Source!AO129</f>
        <v>2120.08</v>
      </c>
      <c r="G195" s="20" t="str">
        <f>Source!DG129</f>
        <v/>
      </c>
      <c r="H195" s="13">
        <f>Source!AV129</f>
        <v>1</v>
      </c>
      <c r="I195" s="13">
        <f>IF(Source!BA129&lt;&gt; 0, Source!BA129, 1)</f>
        <v>1</v>
      </c>
      <c r="J195" s="23">
        <f>Source!S129</f>
        <v>239.57</v>
      </c>
      <c r="K195" s="23"/>
    </row>
    <row r="196" spans="1:22">
      <c r="A196" s="17"/>
      <c r="B196" s="18"/>
      <c r="C196" s="18" t="s">
        <v>368</v>
      </c>
      <c r="D196" s="19" t="s">
        <v>369</v>
      </c>
      <c r="E196" s="13">
        <f>Source!AT129</f>
        <v>70</v>
      </c>
      <c r="F196" s="21"/>
      <c r="G196" s="20"/>
      <c r="H196" s="13"/>
      <c r="I196" s="13"/>
      <c r="J196" s="23">
        <f>SUM(R193:R195)</f>
        <v>167.7</v>
      </c>
      <c r="K196" s="23"/>
    </row>
    <row r="197" spans="1:22">
      <c r="A197" s="17"/>
      <c r="B197" s="18"/>
      <c r="C197" s="18" t="s">
        <v>370</v>
      </c>
      <c r="D197" s="19" t="s">
        <v>369</v>
      </c>
      <c r="E197" s="13">
        <f>Source!AU129</f>
        <v>10</v>
      </c>
      <c r="F197" s="21"/>
      <c r="G197" s="20"/>
      <c r="H197" s="13"/>
      <c r="I197" s="13"/>
      <c r="J197" s="23">
        <f>SUM(T193:T196)</f>
        <v>23.96</v>
      </c>
      <c r="K197" s="23"/>
    </row>
    <row r="198" spans="1:22">
      <c r="A198" s="17"/>
      <c r="B198" s="18"/>
      <c r="C198" s="18" t="s">
        <v>372</v>
      </c>
      <c r="D198" s="19" t="s">
        <v>373</v>
      </c>
      <c r="E198" s="13">
        <f>Source!AQ129</f>
        <v>11.73</v>
      </c>
      <c r="F198" s="21"/>
      <c r="G198" s="20" t="str">
        <f>Source!DI129</f>
        <v/>
      </c>
      <c r="H198" s="13">
        <f>Source!AV129</f>
        <v>1</v>
      </c>
      <c r="I198" s="13"/>
      <c r="J198" s="23"/>
      <c r="K198" s="23">
        <f>Source!U129</f>
        <v>1.3254900000000001</v>
      </c>
    </row>
    <row r="199" spans="1:22" ht="15">
      <c r="A199" s="51"/>
      <c r="B199" s="51"/>
      <c r="C199" s="51"/>
      <c r="D199" s="55"/>
      <c r="E199" s="51"/>
      <c r="F199" s="51"/>
      <c r="G199" s="51"/>
      <c r="H199" s="51"/>
      <c r="I199" s="68">
        <f>J195+J196+J197</f>
        <v>431.22999999999996</v>
      </c>
      <c r="J199" s="68"/>
      <c r="K199" s="24">
        <f>IF(Source!I129&lt;&gt;0, ROUND(I199/Source!I129, 2), 0)</f>
        <v>3816.19</v>
      </c>
      <c r="P199" s="52">
        <f>I199</f>
        <v>431.22999999999996</v>
      </c>
    </row>
    <row r="200" spans="1:22" ht="42.75">
      <c r="A200" s="17" t="str">
        <f>Source!E130</f>
        <v>18</v>
      </c>
      <c r="B200" s="18" t="str">
        <f>Source!F130</f>
        <v>5.4-3103-6-4/1</v>
      </c>
      <c r="C200" s="18" t="str">
        <f>Source!G130</f>
        <v>Посадка деревьев и кустарников с комом земли, диаметром 0,8 м и высотой 0,6 м (без стоимости деревьев и кустарников)</v>
      </c>
      <c r="D200" s="19" t="str">
        <f>Source!H130</f>
        <v>10 шт.</v>
      </c>
      <c r="E200" s="13">
        <f>Source!I130</f>
        <v>0.8</v>
      </c>
      <c r="F200" s="21"/>
      <c r="G200" s="20"/>
      <c r="H200" s="13"/>
      <c r="I200" s="13"/>
      <c r="J200" s="23"/>
      <c r="K200" s="23"/>
      <c r="Q200" s="8">
        <f>ROUND((Source!BZ130/100)*ROUND((Source!AF130*Source!AV130)*Source!I130, 2), 2)</f>
        <v>2754.08</v>
      </c>
      <c r="R200" s="8">
        <f>Source!X130</f>
        <v>2754.08</v>
      </c>
      <c r="S200" s="8">
        <f>ROUND((Source!CA130/100)*ROUND((Source!AF130*Source!AV130)*Source!I130, 2), 2)</f>
        <v>393.44</v>
      </c>
      <c r="T200" s="8">
        <f>Source!Y130</f>
        <v>393.44</v>
      </c>
      <c r="U200" s="8">
        <f>ROUND((175/100)*ROUND((Source!AE130*Source!AV130)*Source!I130, 2), 2)</f>
        <v>487.92</v>
      </c>
      <c r="V200" s="8">
        <f>ROUND((108/100)*ROUND(Source!CS130*Source!I130, 2), 2)</f>
        <v>301.11</v>
      </c>
    </row>
    <row r="201" spans="1:22">
      <c r="C201" s="50" t="str">
        <f>"Объем: "&amp;Source!I130&amp;"=8/"&amp;"10"</f>
        <v>Объем: 0,8=8/10</v>
      </c>
    </row>
    <row r="202" spans="1:22">
      <c r="A202" s="17"/>
      <c r="B202" s="18"/>
      <c r="C202" s="18" t="s">
        <v>365</v>
      </c>
      <c r="D202" s="19"/>
      <c r="E202" s="13"/>
      <c r="F202" s="21">
        <f>Source!AO130</f>
        <v>4918</v>
      </c>
      <c r="G202" s="20" t="str">
        <f>Source!DG130</f>
        <v/>
      </c>
      <c r="H202" s="13">
        <f>Source!AV130</f>
        <v>1</v>
      </c>
      <c r="I202" s="13">
        <f>IF(Source!BA130&lt;&gt; 0, Source!BA130, 1)</f>
        <v>1</v>
      </c>
      <c r="J202" s="23">
        <f>Source!S130</f>
        <v>3934.4</v>
      </c>
      <c r="K202" s="23"/>
    </row>
    <row r="203" spans="1:22">
      <c r="A203" s="17"/>
      <c r="B203" s="18"/>
      <c r="C203" s="18" t="s">
        <v>366</v>
      </c>
      <c r="D203" s="19"/>
      <c r="E203" s="13"/>
      <c r="F203" s="21">
        <f>Source!AM130</f>
        <v>1535.65</v>
      </c>
      <c r="G203" s="20" t="str">
        <f>Source!DE130</f>
        <v/>
      </c>
      <c r="H203" s="13">
        <f>Source!AV130</f>
        <v>1</v>
      </c>
      <c r="I203" s="13">
        <f>IF(Source!BB130&lt;&gt; 0, Source!BB130, 1)</f>
        <v>1</v>
      </c>
      <c r="J203" s="23">
        <f>Source!Q130</f>
        <v>1228.52</v>
      </c>
      <c r="K203" s="23"/>
    </row>
    <row r="204" spans="1:22">
      <c r="A204" s="17"/>
      <c r="B204" s="18"/>
      <c r="C204" s="18" t="s">
        <v>367</v>
      </c>
      <c r="D204" s="19"/>
      <c r="E204" s="13"/>
      <c r="F204" s="21">
        <f>Source!AN130</f>
        <v>348.51</v>
      </c>
      <c r="G204" s="20" t="str">
        <f>Source!DF130</f>
        <v/>
      </c>
      <c r="H204" s="13">
        <f>Source!AV130</f>
        <v>1</v>
      </c>
      <c r="I204" s="13">
        <f>IF(Source!BS130&lt;&gt; 0, Source!BS130, 1)</f>
        <v>1</v>
      </c>
      <c r="J204" s="22">
        <f>Source!R130</f>
        <v>278.81</v>
      </c>
      <c r="K204" s="23"/>
    </row>
    <row r="205" spans="1:22">
      <c r="A205" s="17"/>
      <c r="B205" s="18"/>
      <c r="C205" s="18" t="s">
        <v>374</v>
      </c>
      <c r="D205" s="19"/>
      <c r="E205" s="13"/>
      <c r="F205" s="21">
        <f>Source!AL130</f>
        <v>830.02</v>
      </c>
      <c r="G205" s="20" t="str">
        <f>Source!DD130</f>
        <v/>
      </c>
      <c r="H205" s="13">
        <f>Source!AW130</f>
        <v>1</v>
      </c>
      <c r="I205" s="13">
        <f>IF(Source!BC130&lt;&gt; 0, Source!BC130, 1)</f>
        <v>1</v>
      </c>
      <c r="J205" s="23">
        <f>Source!P130</f>
        <v>664.02</v>
      </c>
      <c r="K205" s="23"/>
    </row>
    <row r="206" spans="1:22" ht="42.75">
      <c r="A206" s="17" t="str">
        <f>Source!E131</f>
        <v>18,1</v>
      </c>
      <c r="B206" s="18" t="str">
        <f>Source!F131</f>
        <v>21.4-1-2</v>
      </c>
      <c r="C206" s="18" t="str">
        <f>Source!G131</f>
        <v>Деревья декоративные лиственных пород с комом земли, порода: Липа, размер кома: диаметр-0,8 м, высота-0,6 м</v>
      </c>
      <c r="D206" s="19" t="str">
        <f>Source!H131</f>
        <v>шт.</v>
      </c>
      <c r="E206" s="13">
        <f>Source!I131</f>
        <v>4</v>
      </c>
      <c r="F206" s="21">
        <f>Source!AK131</f>
        <v>2961.58</v>
      </c>
      <c r="G206" s="25" t="s">
        <v>3</v>
      </c>
      <c r="H206" s="13">
        <f>Source!AW131</f>
        <v>1</v>
      </c>
      <c r="I206" s="13">
        <f>IF(Source!BC131&lt;&gt; 0, Source!BC131, 1)</f>
        <v>1</v>
      </c>
      <c r="J206" s="23">
        <f>Source!O131</f>
        <v>11846.32</v>
      </c>
      <c r="K206" s="23"/>
      <c r="Q206" s="8">
        <f>ROUND((Source!BZ131/100)*ROUND((Source!AF131*Source!AV131)*Source!I131, 2), 2)</f>
        <v>0</v>
      </c>
      <c r="R206" s="8">
        <f>Source!X131</f>
        <v>0</v>
      </c>
      <c r="S206" s="8">
        <f>ROUND((Source!CA131/100)*ROUND((Source!AF131*Source!AV131)*Source!I131, 2), 2)</f>
        <v>0</v>
      </c>
      <c r="T206" s="8">
        <f>Source!Y131</f>
        <v>0</v>
      </c>
      <c r="U206" s="8">
        <f>ROUND((175/100)*ROUND((Source!AE131*Source!AV131)*Source!I131, 2), 2)</f>
        <v>0</v>
      </c>
      <c r="V206" s="8">
        <f>ROUND((108/100)*ROUND(Source!CS131*Source!I131, 2), 2)</f>
        <v>0</v>
      </c>
    </row>
    <row r="207" spans="1:22" ht="85.5">
      <c r="A207" s="17" t="str">
        <f>Source!E132</f>
        <v>18,2</v>
      </c>
      <c r="B207" s="18" t="str">
        <f>Source!F132</f>
        <v>коммерческое предложение</v>
      </c>
      <c r="C207" s="18" t="s">
        <v>440</v>
      </c>
      <c r="D207" s="19" t="str">
        <f>Source!H132</f>
        <v>шт.</v>
      </c>
      <c r="E207" s="13">
        <f>Source!I132</f>
        <v>4</v>
      </c>
      <c r="F207" s="21">
        <f>Source!AK132</f>
        <v>2833.33</v>
      </c>
      <c r="G207" s="25" t="s">
        <v>3</v>
      </c>
      <c r="H207" s="13">
        <f>Source!AW132</f>
        <v>1</v>
      </c>
      <c r="I207" s="13">
        <f>IF(Source!BC132&lt;&gt; 0, Source!BC132, 1)</f>
        <v>1</v>
      </c>
      <c r="J207" s="23">
        <f>Source!O132</f>
        <v>11333.32</v>
      </c>
      <c r="K207" s="23"/>
      <c r="Q207" s="8">
        <f>ROUND((Source!BZ132/100)*ROUND((Source!AF132*Source!AV132)*Source!I132, 2), 2)</f>
        <v>0</v>
      </c>
      <c r="R207" s="8">
        <f>Source!X132</f>
        <v>0</v>
      </c>
      <c r="S207" s="8">
        <f>ROUND((Source!CA132/100)*ROUND((Source!AF132*Source!AV132)*Source!I132, 2), 2)</f>
        <v>0</v>
      </c>
      <c r="T207" s="8">
        <f>Source!Y132</f>
        <v>0</v>
      </c>
      <c r="U207" s="8">
        <f>ROUND((175/100)*ROUND((Source!AE132*Source!AV132)*Source!I132, 2), 2)</f>
        <v>0</v>
      </c>
      <c r="V207" s="8">
        <f>ROUND((108/100)*ROUND(Source!CS132*Source!I132, 2), 2)</f>
        <v>0</v>
      </c>
    </row>
    <row r="208" spans="1:22">
      <c r="A208" s="17"/>
      <c r="B208" s="18"/>
      <c r="C208" s="18" t="s">
        <v>368</v>
      </c>
      <c r="D208" s="19" t="s">
        <v>369</v>
      </c>
      <c r="E208" s="13">
        <f>Source!AT130</f>
        <v>70</v>
      </c>
      <c r="F208" s="21"/>
      <c r="G208" s="20"/>
      <c r="H208" s="13"/>
      <c r="I208" s="13"/>
      <c r="J208" s="23">
        <f>SUM(R200:R207)</f>
        <v>2754.08</v>
      </c>
      <c r="K208" s="23"/>
    </row>
    <row r="209" spans="1:22">
      <c r="A209" s="17"/>
      <c r="B209" s="18"/>
      <c r="C209" s="18" t="s">
        <v>370</v>
      </c>
      <c r="D209" s="19" t="s">
        <v>369</v>
      </c>
      <c r="E209" s="13">
        <f>Source!AU130</f>
        <v>10</v>
      </c>
      <c r="F209" s="21"/>
      <c r="G209" s="20"/>
      <c r="H209" s="13"/>
      <c r="I209" s="13"/>
      <c r="J209" s="23">
        <f>SUM(T200:T208)</f>
        <v>393.44</v>
      </c>
      <c r="K209" s="23"/>
    </row>
    <row r="210" spans="1:22">
      <c r="A210" s="17"/>
      <c r="B210" s="18"/>
      <c r="C210" s="18" t="s">
        <v>371</v>
      </c>
      <c r="D210" s="19" t="s">
        <v>369</v>
      </c>
      <c r="E210" s="13">
        <f>108</f>
        <v>108</v>
      </c>
      <c r="F210" s="21"/>
      <c r="G210" s="20"/>
      <c r="H210" s="13"/>
      <c r="I210" s="13"/>
      <c r="J210" s="23">
        <f>SUM(V200:V209)</f>
        <v>301.11</v>
      </c>
      <c r="K210" s="23"/>
    </row>
    <row r="211" spans="1:22">
      <c r="A211" s="17"/>
      <c r="B211" s="18"/>
      <c r="C211" s="18" t="s">
        <v>372</v>
      </c>
      <c r="D211" s="19" t="s">
        <v>373</v>
      </c>
      <c r="E211" s="13">
        <f>Source!AQ130</f>
        <v>20.71</v>
      </c>
      <c r="F211" s="21"/>
      <c r="G211" s="20" t="str">
        <f>Source!DI130</f>
        <v/>
      </c>
      <c r="H211" s="13">
        <f>Source!AV130</f>
        <v>1</v>
      </c>
      <c r="I211" s="13"/>
      <c r="J211" s="23"/>
      <c r="K211" s="23">
        <f>Source!U130</f>
        <v>16.568000000000001</v>
      </c>
    </row>
    <row r="212" spans="1:22" ht="15">
      <c r="A212" s="51"/>
      <c r="B212" s="51"/>
      <c r="C212" s="51"/>
      <c r="D212" s="55"/>
      <c r="E212" s="51"/>
      <c r="F212" s="51"/>
      <c r="G212" s="51"/>
      <c r="H212" s="51"/>
      <c r="I212" s="68">
        <f>J202+J203+J205+J208+J209+J210+SUM(J206:J207)</f>
        <v>32455.21</v>
      </c>
      <c r="J212" s="68"/>
      <c r="K212" s="24">
        <f>IF(Source!I130&lt;&gt;0, ROUND(I212/Source!I130, 2), 0)</f>
        <v>40569.01</v>
      </c>
      <c r="P212" s="52">
        <f>I212</f>
        <v>32455.21</v>
      </c>
    </row>
    <row r="213" spans="1:22" hidden="1"/>
    <row r="214" spans="1:22" ht="15" hidden="1">
      <c r="A214" s="66" t="str">
        <f>CONCATENATE("Итого по разделу: ",IF(Source!G134&lt;&gt;"Новый раздел", Source!G134, ""))</f>
        <v>Итого по разделу: Посадка деревьев лиственных - 8шт.</v>
      </c>
      <c r="B214" s="66"/>
      <c r="C214" s="66"/>
      <c r="D214" s="66"/>
      <c r="E214" s="66"/>
      <c r="F214" s="66"/>
      <c r="G214" s="66"/>
      <c r="H214" s="66"/>
      <c r="I214" s="63">
        <f>SUM(P167:P213)</f>
        <v>50044.91</v>
      </c>
      <c r="J214" s="65"/>
      <c r="K214" s="26"/>
    </row>
    <row r="215" spans="1:22" hidden="1"/>
    <row r="216" spans="1:22" hidden="1">
      <c r="C216" s="61" t="str">
        <f>Source!H162</f>
        <v>Итого</v>
      </c>
      <c r="D216" s="61"/>
      <c r="E216" s="61"/>
      <c r="F216" s="61"/>
      <c r="G216" s="61"/>
      <c r="H216" s="61"/>
      <c r="I216" s="62">
        <f>IF(Source!F162=0, "", Source!F162)</f>
        <v>50044.91</v>
      </c>
      <c r="J216" s="62"/>
    </row>
    <row r="217" spans="1:22" hidden="1">
      <c r="C217" s="61" t="str">
        <f>Source!H163</f>
        <v>НДС 20%</v>
      </c>
      <c r="D217" s="61"/>
      <c r="E217" s="61"/>
      <c r="F217" s="61"/>
      <c r="G217" s="61"/>
      <c r="H217" s="61"/>
      <c r="I217" s="62">
        <f>IF(Source!F163=0, "", Source!F163)</f>
        <v>10008.98</v>
      </c>
      <c r="J217" s="62"/>
    </row>
    <row r="218" spans="1:22" hidden="1">
      <c r="C218" s="61" t="str">
        <f>Source!H164</f>
        <v>Всего с НДС</v>
      </c>
      <c r="D218" s="61"/>
      <c r="E218" s="61"/>
      <c r="F218" s="61"/>
      <c r="G218" s="61"/>
      <c r="H218" s="61"/>
      <c r="I218" s="62">
        <f>IF(Source!F164=0, "", Source!F164)</f>
        <v>60053.89</v>
      </c>
      <c r="J218" s="62"/>
    </row>
    <row r="219" spans="1:22" hidden="1"/>
    <row r="220" spans="1:22" ht="15" hidden="1">
      <c r="A220" s="67" t="str">
        <f>CONCATENATE("Раздел: ",IF(Source!G166&lt;&gt;"Новый раздел", Source!G166, ""))</f>
        <v>Раздел: Посадка деревьев хвойных - 21шт.</v>
      </c>
      <c r="B220" s="67"/>
      <c r="C220" s="67"/>
      <c r="D220" s="67"/>
      <c r="E220" s="67"/>
      <c r="F220" s="67"/>
      <c r="G220" s="67"/>
      <c r="H220" s="67"/>
      <c r="I220" s="67"/>
      <c r="J220" s="67"/>
      <c r="K220" s="67"/>
    </row>
    <row r="221" spans="1:22" ht="71.25">
      <c r="A221" s="17" t="str">
        <f>Source!E170</f>
        <v>19</v>
      </c>
      <c r="B221" s="18" t="str">
        <f>Source!F170</f>
        <v>5.4-3103-1-20/1</v>
      </c>
      <c r="C221" s="18" t="str">
        <f>Source!G170</f>
        <v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100%</v>
      </c>
      <c r="D221" s="19" t="str">
        <f>Source!H170</f>
        <v>10 ям</v>
      </c>
      <c r="E221" s="13">
        <f>Source!I170</f>
        <v>0.06</v>
      </c>
      <c r="F221" s="21"/>
      <c r="G221" s="20"/>
      <c r="H221" s="13"/>
      <c r="I221" s="13"/>
      <c r="J221" s="23"/>
      <c r="K221" s="23"/>
      <c r="Q221" s="8">
        <f>ROUND((Source!BZ170/100)*ROUND((Source!AF170*Source!AV170)*Source!I170, 2), 2)</f>
        <v>261.44</v>
      </c>
      <c r="R221" s="8">
        <f>Source!X170</f>
        <v>261.44</v>
      </c>
      <c r="S221" s="8">
        <f>ROUND((Source!CA170/100)*ROUND((Source!AF170*Source!AV170)*Source!I170, 2), 2)</f>
        <v>37.35</v>
      </c>
      <c r="T221" s="8">
        <f>Source!Y170</f>
        <v>37.35</v>
      </c>
      <c r="U221" s="8">
        <f>ROUND((175/100)*ROUND((Source!AE170*Source!AV170)*Source!I170, 2), 2)</f>
        <v>32.03</v>
      </c>
      <c r="V221" s="8">
        <f>ROUND((108/100)*ROUND(Source!CS170*Source!I170, 2), 2)</f>
        <v>19.760000000000002</v>
      </c>
    </row>
    <row r="222" spans="1:22">
      <c r="C222" s="50" t="str">
        <f>"Объем: "&amp;Source!I170&amp;"=(1*"&amp;"0,6)/"&amp;"10"</f>
        <v>Объем: 0,06=(1*0,6)/10</v>
      </c>
    </row>
    <row r="223" spans="1:22">
      <c r="A223" s="17"/>
      <c r="B223" s="18"/>
      <c r="C223" s="18" t="s">
        <v>365</v>
      </c>
      <c r="D223" s="19"/>
      <c r="E223" s="13"/>
      <c r="F223" s="21">
        <f>Source!AO170</f>
        <v>6224.69</v>
      </c>
      <c r="G223" s="20" t="str">
        <f>Source!DG170</f>
        <v/>
      </c>
      <c r="H223" s="13">
        <f>Source!AV170</f>
        <v>1</v>
      </c>
      <c r="I223" s="13">
        <f>IF(Source!BA170&lt;&gt; 0, Source!BA170, 1)</f>
        <v>1</v>
      </c>
      <c r="J223" s="23">
        <f>Source!S170</f>
        <v>373.48</v>
      </c>
      <c r="K223" s="23"/>
    </row>
    <row r="224" spans="1:22">
      <c r="A224" s="17"/>
      <c r="B224" s="18"/>
      <c r="C224" s="18" t="s">
        <v>366</v>
      </c>
      <c r="D224" s="19"/>
      <c r="E224" s="13"/>
      <c r="F224" s="21">
        <f>Source!AM170</f>
        <v>552.27</v>
      </c>
      <c r="G224" s="20" t="str">
        <f>Source!DE170</f>
        <v/>
      </c>
      <c r="H224" s="13">
        <f>Source!AV170</f>
        <v>1</v>
      </c>
      <c r="I224" s="13">
        <f>IF(Source!BB170&lt;&gt; 0, Source!BB170, 1)</f>
        <v>1</v>
      </c>
      <c r="J224" s="23">
        <f>Source!Q170</f>
        <v>33.14</v>
      </c>
      <c r="K224" s="23"/>
    </row>
    <row r="225" spans="1:22">
      <c r="A225" s="17"/>
      <c r="B225" s="18"/>
      <c r="C225" s="18" t="s">
        <v>367</v>
      </c>
      <c r="D225" s="19"/>
      <c r="E225" s="13"/>
      <c r="F225" s="21">
        <f>Source!AN170</f>
        <v>304.97000000000003</v>
      </c>
      <c r="G225" s="20" t="str">
        <f>Source!DF170</f>
        <v/>
      </c>
      <c r="H225" s="13">
        <f>Source!AV170</f>
        <v>1</v>
      </c>
      <c r="I225" s="13">
        <f>IF(Source!BS170&lt;&gt; 0, Source!BS170, 1)</f>
        <v>1</v>
      </c>
      <c r="J225" s="22">
        <f>Source!R170</f>
        <v>18.3</v>
      </c>
      <c r="K225" s="23"/>
    </row>
    <row r="226" spans="1:22">
      <c r="A226" s="17"/>
      <c r="B226" s="18"/>
      <c r="C226" s="18" t="s">
        <v>374</v>
      </c>
      <c r="D226" s="19"/>
      <c r="E226" s="13"/>
      <c r="F226" s="21">
        <f>Source!AL170</f>
        <v>6374.45</v>
      </c>
      <c r="G226" s="20" t="str">
        <f>Source!DD170</f>
        <v/>
      </c>
      <c r="H226" s="13">
        <f>Source!AW170</f>
        <v>1</v>
      </c>
      <c r="I226" s="13">
        <f>IF(Source!BC170&lt;&gt; 0, Source!BC170, 1)</f>
        <v>1</v>
      </c>
      <c r="J226" s="23">
        <f>Source!P170</f>
        <v>382.47</v>
      </c>
      <c r="K226" s="23"/>
    </row>
    <row r="227" spans="1:22">
      <c r="A227" s="17"/>
      <c r="B227" s="18"/>
      <c r="C227" s="18" t="s">
        <v>368</v>
      </c>
      <c r="D227" s="19" t="s">
        <v>369</v>
      </c>
      <c r="E227" s="13">
        <f>Source!AT170</f>
        <v>70</v>
      </c>
      <c r="F227" s="21"/>
      <c r="G227" s="20"/>
      <c r="H227" s="13"/>
      <c r="I227" s="13"/>
      <c r="J227" s="23">
        <f>SUM(R221:R226)</f>
        <v>261.44</v>
      </c>
      <c r="K227" s="23"/>
    </row>
    <row r="228" spans="1:22">
      <c r="A228" s="17"/>
      <c r="B228" s="18"/>
      <c r="C228" s="18" t="s">
        <v>370</v>
      </c>
      <c r="D228" s="19" t="s">
        <v>369</v>
      </c>
      <c r="E228" s="13">
        <f>Source!AU170</f>
        <v>10</v>
      </c>
      <c r="F228" s="21"/>
      <c r="G228" s="20"/>
      <c r="H228" s="13"/>
      <c r="I228" s="13"/>
      <c r="J228" s="23">
        <f>SUM(T221:T227)</f>
        <v>37.35</v>
      </c>
      <c r="K228" s="23"/>
    </row>
    <row r="229" spans="1:22">
      <c r="A229" s="17"/>
      <c r="B229" s="18"/>
      <c r="C229" s="18" t="s">
        <v>371</v>
      </c>
      <c r="D229" s="19" t="s">
        <v>369</v>
      </c>
      <c r="E229" s="13">
        <f>108</f>
        <v>108</v>
      </c>
      <c r="F229" s="21"/>
      <c r="G229" s="20"/>
      <c r="H229" s="13"/>
      <c r="I229" s="13"/>
      <c r="J229" s="23">
        <f>SUM(V221:V228)</f>
        <v>19.760000000000002</v>
      </c>
      <c r="K229" s="23"/>
    </row>
    <row r="230" spans="1:22">
      <c r="A230" s="17"/>
      <c r="B230" s="18"/>
      <c r="C230" s="18" t="s">
        <v>372</v>
      </c>
      <c r="D230" s="19" t="s">
        <v>373</v>
      </c>
      <c r="E230" s="13">
        <f>Source!AQ170</f>
        <v>34.44</v>
      </c>
      <c r="F230" s="21"/>
      <c r="G230" s="20" t="str">
        <f>Source!DI170</f>
        <v/>
      </c>
      <c r="H230" s="13">
        <f>Source!AV170</f>
        <v>1</v>
      </c>
      <c r="I230" s="13"/>
      <c r="J230" s="23"/>
      <c r="K230" s="23">
        <f>Source!U170</f>
        <v>2.0663999999999998</v>
      </c>
    </row>
    <row r="231" spans="1:22" ht="15">
      <c r="A231" s="51"/>
      <c r="B231" s="51"/>
      <c r="C231" s="51"/>
      <c r="D231" s="55"/>
      <c r="E231" s="51"/>
      <c r="F231" s="51"/>
      <c r="G231" s="51"/>
      <c r="H231" s="51"/>
      <c r="I231" s="68">
        <f>J223+J224+J226+J227+J228+J229</f>
        <v>1107.6399999999999</v>
      </c>
      <c r="J231" s="68"/>
      <c r="K231" s="24">
        <f>IF(Source!I170&lt;&gt;0, ROUND(I231/Source!I170, 2), 0)</f>
        <v>18460.669999999998</v>
      </c>
      <c r="P231" s="52">
        <f>I231</f>
        <v>1107.6399999999999</v>
      </c>
    </row>
    <row r="232" spans="1:22" ht="57">
      <c r="A232" s="17" t="str">
        <f>Source!E171</f>
        <v>20</v>
      </c>
      <c r="B232" s="18" t="str">
        <f>Source!F171</f>
        <v>5.4-3103-3-20/1</v>
      </c>
      <c r="C232" s="18" t="str">
        <f>Source!G171</f>
        <v>Подготовка стандартных посадочных мест вручную, с круглым комом земли размером 0,8х0,6 м с добавлением растительной земли до 100%</v>
      </c>
      <c r="D232" s="19" t="str">
        <f>Source!H171</f>
        <v>10 ям</v>
      </c>
      <c r="E232" s="13">
        <f>Source!I171</f>
        <v>0.04</v>
      </c>
      <c r="F232" s="21"/>
      <c r="G232" s="20"/>
      <c r="H232" s="13"/>
      <c r="I232" s="13"/>
      <c r="J232" s="23"/>
      <c r="K232" s="23"/>
      <c r="Q232" s="8">
        <f>ROUND((Source!BZ171/100)*ROUND((Source!AF171*Source!AV171)*Source!I171, 2), 2)</f>
        <v>297.32</v>
      </c>
      <c r="R232" s="8">
        <f>Source!X171</f>
        <v>297.32</v>
      </c>
      <c r="S232" s="8">
        <f>ROUND((Source!CA171/100)*ROUND((Source!AF171*Source!AV171)*Source!I171, 2), 2)</f>
        <v>42.47</v>
      </c>
      <c r="T232" s="8">
        <f>Source!Y171</f>
        <v>42.47</v>
      </c>
      <c r="U232" s="8">
        <f>ROUND((175/100)*ROUND((Source!AE171*Source!AV171)*Source!I171, 2), 2)</f>
        <v>0</v>
      </c>
      <c r="V232" s="8">
        <f>ROUND((108/100)*ROUND(Source!CS171*Source!I171, 2), 2)</f>
        <v>0</v>
      </c>
    </row>
    <row r="233" spans="1:22">
      <c r="C233" s="50" t="str">
        <f>"Объем: "&amp;Source!I171&amp;"=(1*"&amp;"0,4)/"&amp;"10"</f>
        <v>Объем: 0,04=(1*0,4)/10</v>
      </c>
    </row>
    <row r="234" spans="1:22">
      <c r="A234" s="17"/>
      <c r="B234" s="18"/>
      <c r="C234" s="18" t="s">
        <v>365</v>
      </c>
      <c r="D234" s="19"/>
      <c r="E234" s="13"/>
      <c r="F234" s="21">
        <f>Source!AO171</f>
        <v>10618.48</v>
      </c>
      <c r="G234" s="20" t="str">
        <f>Source!DG171</f>
        <v/>
      </c>
      <c r="H234" s="13">
        <f>Source!AV171</f>
        <v>1</v>
      </c>
      <c r="I234" s="13">
        <f>IF(Source!BA171&lt;&gt; 0, Source!BA171, 1)</f>
        <v>1</v>
      </c>
      <c r="J234" s="23">
        <f>Source!S171</f>
        <v>424.74</v>
      </c>
      <c r="K234" s="23"/>
    </row>
    <row r="235" spans="1:22">
      <c r="A235" s="17"/>
      <c r="B235" s="18"/>
      <c r="C235" s="18" t="s">
        <v>374</v>
      </c>
      <c r="D235" s="19"/>
      <c r="E235" s="13"/>
      <c r="F235" s="21">
        <f>Source!AL171</f>
        <v>6374.45</v>
      </c>
      <c r="G235" s="20" t="str">
        <f>Source!DD171</f>
        <v/>
      </c>
      <c r="H235" s="13">
        <f>Source!AW171</f>
        <v>1</v>
      </c>
      <c r="I235" s="13">
        <f>IF(Source!BC171&lt;&gt; 0, Source!BC171, 1)</f>
        <v>1</v>
      </c>
      <c r="J235" s="23">
        <f>Source!P171</f>
        <v>254.98</v>
      </c>
      <c r="K235" s="23"/>
    </row>
    <row r="236" spans="1:22">
      <c r="A236" s="17"/>
      <c r="B236" s="18"/>
      <c r="C236" s="18" t="s">
        <v>368</v>
      </c>
      <c r="D236" s="19" t="s">
        <v>369</v>
      </c>
      <c r="E236" s="13">
        <f>Source!AT171</f>
        <v>70</v>
      </c>
      <c r="F236" s="21"/>
      <c r="G236" s="20"/>
      <c r="H236" s="13"/>
      <c r="I236" s="13"/>
      <c r="J236" s="23">
        <f>SUM(R232:R235)</f>
        <v>297.32</v>
      </c>
      <c r="K236" s="23"/>
    </row>
    <row r="237" spans="1:22">
      <c r="A237" s="17"/>
      <c r="B237" s="18"/>
      <c r="C237" s="18" t="s">
        <v>370</v>
      </c>
      <c r="D237" s="19" t="s">
        <v>369</v>
      </c>
      <c r="E237" s="13">
        <f>Source!AU171</f>
        <v>10</v>
      </c>
      <c r="F237" s="21"/>
      <c r="G237" s="20"/>
      <c r="H237" s="13"/>
      <c r="I237" s="13"/>
      <c r="J237" s="23">
        <f>SUM(T232:T236)</f>
        <v>42.47</v>
      </c>
      <c r="K237" s="23"/>
    </row>
    <row r="238" spans="1:22">
      <c r="A238" s="17"/>
      <c r="B238" s="18"/>
      <c r="C238" s="18" t="s">
        <v>372</v>
      </c>
      <c r="D238" s="19" t="s">
        <v>373</v>
      </c>
      <c r="E238" s="13">
        <f>Source!AQ171</f>
        <v>58.75</v>
      </c>
      <c r="F238" s="21"/>
      <c r="G238" s="20" t="str">
        <f>Source!DI171</f>
        <v/>
      </c>
      <c r="H238" s="13">
        <f>Source!AV171</f>
        <v>1</v>
      </c>
      <c r="I238" s="13"/>
      <c r="J238" s="23"/>
      <c r="K238" s="23">
        <f>Source!U171</f>
        <v>2.35</v>
      </c>
    </row>
    <row r="239" spans="1:22" ht="15">
      <c r="A239" s="51"/>
      <c r="B239" s="51"/>
      <c r="C239" s="51"/>
      <c r="D239" s="55"/>
      <c r="E239" s="51"/>
      <c r="F239" s="51"/>
      <c r="G239" s="51"/>
      <c r="H239" s="51"/>
      <c r="I239" s="68">
        <f>J234+J235+J236+J237</f>
        <v>1019.51</v>
      </c>
      <c r="J239" s="68"/>
      <c r="K239" s="24">
        <f>IF(Source!I171&lt;&gt;0, ROUND(I239/Source!I171, 2), 0)</f>
        <v>25487.75</v>
      </c>
      <c r="P239" s="52">
        <f>I239</f>
        <v>1019.51</v>
      </c>
    </row>
    <row r="240" spans="1:22" ht="114">
      <c r="A240" s="17" t="str">
        <f>Source!E172</f>
        <v>21</v>
      </c>
      <c r="B240" s="18" t="str">
        <f>Source!F172</f>
        <v>5.4-3503-1-1/1</v>
      </c>
      <c r="C240" s="18" t="str">
        <f>Source!G172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табл.1 - 1,13м3 * 1дерево =1,13м3 - при слое 20 см покрываемая площадь 1,13м3/0,2м х 0,75)</v>
      </c>
      <c r="D240" s="19" t="str">
        <f>Source!H172</f>
        <v>100 м2</v>
      </c>
      <c r="E240" s="13">
        <f>Source!I172</f>
        <v>4.24E-2</v>
      </c>
      <c r="F240" s="21"/>
      <c r="G240" s="20"/>
      <c r="H240" s="13"/>
      <c r="I240" s="13"/>
      <c r="J240" s="23"/>
      <c r="K240" s="23"/>
      <c r="Q240" s="8">
        <f>ROUND((Source!BZ172/100)*ROUND((Source!AF172*Source!AV172)*Source!I172, 2), 2)</f>
        <v>0</v>
      </c>
      <c r="R240" s="8">
        <f>Source!X172</f>
        <v>0</v>
      </c>
      <c r="S240" s="8">
        <f>ROUND((Source!CA172/100)*ROUND((Source!AF172*Source!AV172)*Source!I172, 2), 2)</f>
        <v>0</v>
      </c>
      <c r="T240" s="8">
        <f>Source!Y172</f>
        <v>0</v>
      </c>
      <c r="U240" s="8">
        <f>ROUND((175/100)*ROUND((Source!AE172*Source!AV172)*Source!I172, 2), 2)</f>
        <v>8.26</v>
      </c>
      <c r="V240" s="8">
        <f>ROUND((108/100)*ROUND(Source!CS172*Source!I172, 2), 2)</f>
        <v>5.0999999999999996</v>
      </c>
    </row>
    <row r="241" spans="1:22">
      <c r="C241" s="50" t="str">
        <f>"Объем: "&amp;Source!I172&amp;"=4,24/"&amp;"100"</f>
        <v>Объем: 0,0424=4,24/100</v>
      </c>
    </row>
    <row r="242" spans="1:22">
      <c r="A242" s="17"/>
      <c r="B242" s="18"/>
      <c r="C242" s="18" t="s">
        <v>366</v>
      </c>
      <c r="D242" s="19"/>
      <c r="E242" s="13"/>
      <c r="F242" s="21">
        <f>Source!AM172</f>
        <v>296.60000000000002</v>
      </c>
      <c r="G242" s="20" t="str">
        <f>Source!DE172</f>
        <v/>
      </c>
      <c r="H242" s="13">
        <f>Source!AV172</f>
        <v>1</v>
      </c>
      <c r="I242" s="13">
        <f>IF(Source!BB172&lt;&gt; 0, Source!BB172, 1)</f>
        <v>1</v>
      </c>
      <c r="J242" s="23">
        <f>Source!Q172</f>
        <v>12.58</v>
      </c>
      <c r="K242" s="23"/>
    </row>
    <row r="243" spans="1:22">
      <c r="A243" s="17"/>
      <c r="B243" s="18"/>
      <c r="C243" s="18" t="s">
        <v>367</v>
      </c>
      <c r="D243" s="19"/>
      <c r="E243" s="13"/>
      <c r="F243" s="21">
        <f>Source!AN172</f>
        <v>111.43</v>
      </c>
      <c r="G243" s="20" t="str">
        <f>Source!DF172</f>
        <v/>
      </c>
      <c r="H243" s="13">
        <f>Source!AV172</f>
        <v>1</v>
      </c>
      <c r="I243" s="13">
        <f>IF(Source!BS172&lt;&gt; 0, Source!BS172, 1)</f>
        <v>1</v>
      </c>
      <c r="J243" s="22">
        <f>Source!R172</f>
        <v>4.72</v>
      </c>
      <c r="K243" s="23"/>
    </row>
    <row r="244" spans="1:22">
      <c r="A244" s="17"/>
      <c r="B244" s="18"/>
      <c r="C244" s="18" t="s">
        <v>371</v>
      </c>
      <c r="D244" s="19" t="s">
        <v>369</v>
      </c>
      <c r="E244" s="13">
        <f>108</f>
        <v>108</v>
      </c>
      <c r="F244" s="21"/>
      <c r="G244" s="20"/>
      <c r="H244" s="13"/>
      <c r="I244" s="13"/>
      <c r="J244" s="23">
        <f>SUM(V240:V243)</f>
        <v>5.0999999999999996</v>
      </c>
      <c r="K244" s="23"/>
    </row>
    <row r="245" spans="1:22" ht="15">
      <c r="A245" s="51"/>
      <c r="B245" s="51"/>
      <c r="C245" s="51"/>
      <c r="D245" s="55"/>
      <c r="E245" s="51"/>
      <c r="F245" s="51"/>
      <c r="G245" s="51"/>
      <c r="H245" s="51"/>
      <c r="I245" s="68">
        <f>J242+J244</f>
        <v>17.68</v>
      </c>
      <c r="J245" s="68"/>
      <c r="K245" s="24">
        <f>IF(Source!I172&lt;&gt;0, ROUND(I245/Source!I172, 2), 0)</f>
        <v>416.98</v>
      </c>
      <c r="P245" s="52">
        <f>I245</f>
        <v>17.68</v>
      </c>
    </row>
    <row r="246" spans="1:22" ht="85.5">
      <c r="A246" s="17" t="str">
        <f>Source!E173</f>
        <v>22</v>
      </c>
      <c r="B246" s="18" t="str">
        <f>Source!F173</f>
        <v>5.4-3503-1-2/1</v>
      </c>
      <c r="C246" s="18" t="str">
        <f>Source!G173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1,13м3/0,2м х 0,25)</v>
      </c>
      <c r="D246" s="19" t="str">
        <f>Source!H173</f>
        <v>100 м2</v>
      </c>
      <c r="E246" s="13">
        <f>Source!I173</f>
        <v>1.41E-2</v>
      </c>
      <c r="F246" s="21"/>
      <c r="G246" s="20"/>
      <c r="H246" s="13"/>
      <c r="I246" s="13"/>
      <c r="J246" s="23"/>
      <c r="K246" s="23"/>
      <c r="Q246" s="8">
        <f>ROUND((Source!BZ173/100)*ROUND((Source!AF173*Source!AV173)*Source!I173, 2), 2)</f>
        <v>20.92</v>
      </c>
      <c r="R246" s="8">
        <f>Source!X173</f>
        <v>20.92</v>
      </c>
      <c r="S246" s="8">
        <f>ROUND((Source!CA173/100)*ROUND((Source!AF173*Source!AV173)*Source!I173, 2), 2)</f>
        <v>2.99</v>
      </c>
      <c r="T246" s="8">
        <f>Source!Y173</f>
        <v>2.99</v>
      </c>
      <c r="U246" s="8">
        <f>ROUND((175/100)*ROUND((Source!AE173*Source!AV173)*Source!I173, 2), 2)</f>
        <v>0</v>
      </c>
      <c r="V246" s="8">
        <f>ROUND((108/100)*ROUND(Source!CS173*Source!I173, 2), 2)</f>
        <v>0</v>
      </c>
    </row>
    <row r="247" spans="1:22">
      <c r="C247" s="50" t="str">
        <f>"Объем: "&amp;Source!I173&amp;"=1,41/"&amp;"100"</f>
        <v>Объем: 0,0141=1,41/100</v>
      </c>
    </row>
    <row r="248" spans="1:22">
      <c r="A248" s="17"/>
      <c r="B248" s="18"/>
      <c r="C248" s="18" t="s">
        <v>365</v>
      </c>
      <c r="D248" s="19"/>
      <c r="E248" s="13"/>
      <c r="F248" s="21">
        <f>Source!AO173</f>
        <v>2120.08</v>
      </c>
      <c r="G248" s="20" t="str">
        <f>Source!DG173</f>
        <v/>
      </c>
      <c r="H248" s="13">
        <f>Source!AV173</f>
        <v>1</v>
      </c>
      <c r="I248" s="13">
        <f>IF(Source!BA173&lt;&gt; 0, Source!BA173, 1)</f>
        <v>1</v>
      </c>
      <c r="J248" s="23">
        <f>Source!S173</f>
        <v>29.89</v>
      </c>
      <c r="K248" s="23"/>
    </row>
    <row r="249" spans="1:22">
      <c r="A249" s="17"/>
      <c r="B249" s="18"/>
      <c r="C249" s="18" t="s">
        <v>368</v>
      </c>
      <c r="D249" s="19" t="s">
        <v>369</v>
      </c>
      <c r="E249" s="13">
        <f>Source!AT173</f>
        <v>70</v>
      </c>
      <c r="F249" s="21"/>
      <c r="G249" s="20"/>
      <c r="H249" s="13"/>
      <c r="I249" s="13"/>
      <c r="J249" s="23">
        <f>SUM(R246:R248)</f>
        <v>20.92</v>
      </c>
      <c r="K249" s="23"/>
    </row>
    <row r="250" spans="1:22">
      <c r="A250" s="17"/>
      <c r="B250" s="18"/>
      <c r="C250" s="18" t="s">
        <v>370</v>
      </c>
      <c r="D250" s="19" t="s">
        <v>369</v>
      </c>
      <c r="E250" s="13">
        <f>Source!AU173</f>
        <v>10</v>
      </c>
      <c r="F250" s="21"/>
      <c r="G250" s="20"/>
      <c r="H250" s="13"/>
      <c r="I250" s="13"/>
      <c r="J250" s="23">
        <f>SUM(T246:T249)</f>
        <v>2.99</v>
      </c>
      <c r="K250" s="23"/>
    </row>
    <row r="251" spans="1:22">
      <c r="A251" s="17"/>
      <c r="B251" s="18"/>
      <c r="C251" s="18" t="s">
        <v>372</v>
      </c>
      <c r="D251" s="19" t="s">
        <v>373</v>
      </c>
      <c r="E251" s="13">
        <f>Source!AQ173</f>
        <v>11.73</v>
      </c>
      <c r="F251" s="21"/>
      <c r="G251" s="20" t="str">
        <f>Source!DI173</f>
        <v/>
      </c>
      <c r="H251" s="13">
        <f>Source!AV173</f>
        <v>1</v>
      </c>
      <c r="I251" s="13"/>
      <c r="J251" s="23"/>
      <c r="K251" s="23">
        <f>Source!U173</f>
        <v>0.16539300000000001</v>
      </c>
    </row>
    <row r="252" spans="1:22" ht="15">
      <c r="A252" s="51"/>
      <c r="B252" s="51"/>
      <c r="C252" s="51"/>
      <c r="D252" s="55"/>
      <c r="E252" s="51"/>
      <c r="F252" s="51"/>
      <c r="G252" s="51"/>
      <c r="H252" s="51"/>
      <c r="I252" s="68">
        <f>J248+J249+J250</f>
        <v>53.800000000000004</v>
      </c>
      <c r="J252" s="68"/>
      <c r="K252" s="24">
        <f>IF(Source!I173&lt;&gt;0, ROUND(I252/Source!I173, 2), 0)</f>
        <v>3815.6</v>
      </c>
      <c r="P252" s="52">
        <f>I252</f>
        <v>53.800000000000004</v>
      </c>
    </row>
    <row r="253" spans="1:22" ht="42.75">
      <c r="A253" s="17" t="str">
        <f>Source!E174</f>
        <v>23</v>
      </c>
      <c r="B253" s="18" t="str">
        <f>Source!F174</f>
        <v>5.4-3103-6-4/1</v>
      </c>
      <c r="C253" s="18" t="str">
        <f>Source!G174</f>
        <v>Посадка деревьев и кустарников с комом земли, диаметром 0,8 м и высотой 0,6 м (без стоимости деревьев и кустарников)</v>
      </c>
      <c r="D253" s="19" t="str">
        <f>Source!H174</f>
        <v>10 шт.</v>
      </c>
      <c r="E253" s="13">
        <f>Source!I174</f>
        <v>0.1</v>
      </c>
      <c r="F253" s="21"/>
      <c r="G253" s="20"/>
      <c r="H253" s="13"/>
      <c r="I253" s="13"/>
      <c r="J253" s="23"/>
      <c r="K253" s="23"/>
      <c r="Q253" s="8">
        <f>ROUND((Source!BZ174/100)*ROUND((Source!AF174*Source!AV174)*Source!I174, 2), 2)</f>
        <v>344.26</v>
      </c>
      <c r="R253" s="8">
        <f>Source!X174</f>
        <v>344.26</v>
      </c>
      <c r="S253" s="8">
        <f>ROUND((Source!CA174/100)*ROUND((Source!AF174*Source!AV174)*Source!I174, 2), 2)</f>
        <v>49.18</v>
      </c>
      <c r="T253" s="8">
        <f>Source!Y174</f>
        <v>49.18</v>
      </c>
      <c r="U253" s="8">
        <f>ROUND((175/100)*ROUND((Source!AE174*Source!AV174)*Source!I174, 2), 2)</f>
        <v>60.99</v>
      </c>
      <c r="V253" s="8">
        <f>ROUND((108/100)*ROUND(Source!CS174*Source!I174, 2), 2)</f>
        <v>37.64</v>
      </c>
    </row>
    <row r="254" spans="1:22">
      <c r="C254" s="50" t="str">
        <f>"Объем: "&amp;Source!I174&amp;"=1/"&amp;"10"</f>
        <v>Объем: 0,1=1/10</v>
      </c>
    </row>
    <row r="255" spans="1:22">
      <c r="A255" s="17"/>
      <c r="B255" s="18"/>
      <c r="C255" s="18" t="s">
        <v>365</v>
      </c>
      <c r="D255" s="19"/>
      <c r="E255" s="13"/>
      <c r="F255" s="21">
        <f>Source!AO174</f>
        <v>4918</v>
      </c>
      <c r="G255" s="20" t="str">
        <f>Source!DG174</f>
        <v/>
      </c>
      <c r="H255" s="13">
        <f>Source!AV174</f>
        <v>1</v>
      </c>
      <c r="I255" s="13">
        <f>IF(Source!BA174&lt;&gt; 0, Source!BA174, 1)</f>
        <v>1</v>
      </c>
      <c r="J255" s="23">
        <f>Source!S174</f>
        <v>491.8</v>
      </c>
      <c r="K255" s="23"/>
    </row>
    <row r="256" spans="1:22">
      <c r="A256" s="17"/>
      <c r="B256" s="18"/>
      <c r="C256" s="18" t="s">
        <v>366</v>
      </c>
      <c r="D256" s="19"/>
      <c r="E256" s="13"/>
      <c r="F256" s="21">
        <f>Source!AM174</f>
        <v>1535.65</v>
      </c>
      <c r="G256" s="20" t="str">
        <f>Source!DE174</f>
        <v/>
      </c>
      <c r="H256" s="13">
        <f>Source!AV174</f>
        <v>1</v>
      </c>
      <c r="I256" s="13">
        <f>IF(Source!BB174&lt;&gt; 0, Source!BB174, 1)</f>
        <v>1</v>
      </c>
      <c r="J256" s="23">
        <f>Source!Q174</f>
        <v>153.57</v>
      </c>
      <c r="K256" s="23"/>
    </row>
    <row r="257" spans="1:22">
      <c r="A257" s="17"/>
      <c r="B257" s="18"/>
      <c r="C257" s="18" t="s">
        <v>367</v>
      </c>
      <c r="D257" s="19"/>
      <c r="E257" s="13"/>
      <c r="F257" s="21">
        <f>Source!AN174</f>
        <v>348.51</v>
      </c>
      <c r="G257" s="20" t="str">
        <f>Source!DF174</f>
        <v/>
      </c>
      <c r="H257" s="13">
        <f>Source!AV174</f>
        <v>1</v>
      </c>
      <c r="I257" s="13">
        <f>IF(Source!BS174&lt;&gt; 0, Source!BS174, 1)</f>
        <v>1</v>
      </c>
      <c r="J257" s="22">
        <f>Source!R174</f>
        <v>34.85</v>
      </c>
      <c r="K257" s="23"/>
    </row>
    <row r="258" spans="1:22">
      <c r="A258" s="17"/>
      <c r="B258" s="18"/>
      <c r="C258" s="18" t="s">
        <v>374</v>
      </c>
      <c r="D258" s="19"/>
      <c r="E258" s="13"/>
      <c r="F258" s="21">
        <f>Source!AL174</f>
        <v>830.02</v>
      </c>
      <c r="G258" s="20" t="str">
        <f>Source!DD174</f>
        <v/>
      </c>
      <c r="H258" s="13">
        <f>Source!AW174</f>
        <v>1</v>
      </c>
      <c r="I258" s="13">
        <f>IF(Source!BC174&lt;&gt; 0, Source!BC174, 1)</f>
        <v>1</v>
      </c>
      <c r="J258" s="23">
        <f>Source!P174</f>
        <v>83</v>
      </c>
      <c r="K258" s="23"/>
    </row>
    <row r="259" spans="1:22" ht="71.25">
      <c r="A259" s="17" t="str">
        <f>Source!E175</f>
        <v>23,1</v>
      </c>
      <c r="B259" s="18" t="str">
        <f>Source!F175</f>
        <v>комерческое предложение</v>
      </c>
      <c r="C259" s="18" t="s">
        <v>441</v>
      </c>
      <c r="D259" s="19" t="str">
        <f>Source!H175</f>
        <v>шт.</v>
      </c>
      <c r="E259" s="13">
        <f>Source!I175</f>
        <v>1</v>
      </c>
      <c r="F259" s="21">
        <f>Source!AK175</f>
        <v>7845.83</v>
      </c>
      <c r="G259" s="25" t="s">
        <v>3</v>
      </c>
      <c r="H259" s="13">
        <f>Source!AW175</f>
        <v>1</v>
      </c>
      <c r="I259" s="13">
        <f>IF(Source!BC175&lt;&gt; 0, Source!BC175, 1)</f>
        <v>1</v>
      </c>
      <c r="J259" s="23">
        <f>Source!O175</f>
        <v>7845.83</v>
      </c>
      <c r="K259" s="23"/>
      <c r="Q259" s="8">
        <f>ROUND((Source!BZ175/100)*ROUND((Source!AF175*Source!AV175)*Source!I175, 2), 2)</f>
        <v>0</v>
      </c>
      <c r="R259" s="8">
        <f>Source!X175</f>
        <v>0</v>
      </c>
      <c r="S259" s="8">
        <f>ROUND((Source!CA175/100)*ROUND((Source!AF175*Source!AV175)*Source!I175, 2), 2)</f>
        <v>0</v>
      </c>
      <c r="T259" s="8">
        <f>Source!Y175</f>
        <v>0</v>
      </c>
      <c r="U259" s="8">
        <f>ROUND((175/100)*ROUND((Source!AE175*Source!AV175)*Source!I175, 2), 2)</f>
        <v>0</v>
      </c>
      <c r="V259" s="8">
        <f>ROUND((108/100)*ROUND(Source!CS175*Source!I175, 2), 2)</f>
        <v>0</v>
      </c>
    </row>
    <row r="260" spans="1:22">
      <c r="A260" s="17"/>
      <c r="B260" s="18"/>
      <c r="C260" s="18" t="s">
        <v>368</v>
      </c>
      <c r="D260" s="19" t="s">
        <v>369</v>
      </c>
      <c r="E260" s="13">
        <f>Source!AT174</f>
        <v>70</v>
      </c>
      <c r="F260" s="21"/>
      <c r="G260" s="20"/>
      <c r="H260" s="13"/>
      <c r="I260" s="13"/>
      <c r="J260" s="23">
        <f>SUM(R253:R259)</f>
        <v>344.26</v>
      </c>
      <c r="K260" s="23"/>
    </row>
    <row r="261" spans="1:22">
      <c r="A261" s="17"/>
      <c r="B261" s="18"/>
      <c r="C261" s="18" t="s">
        <v>370</v>
      </c>
      <c r="D261" s="19" t="s">
        <v>369</v>
      </c>
      <c r="E261" s="13">
        <f>Source!AU174</f>
        <v>10</v>
      </c>
      <c r="F261" s="21"/>
      <c r="G261" s="20"/>
      <c r="H261" s="13"/>
      <c r="I261" s="13"/>
      <c r="J261" s="23">
        <f>SUM(T253:T260)</f>
        <v>49.18</v>
      </c>
      <c r="K261" s="23"/>
    </row>
    <row r="262" spans="1:22">
      <c r="A262" s="17"/>
      <c r="B262" s="18"/>
      <c r="C262" s="18" t="s">
        <v>371</v>
      </c>
      <c r="D262" s="19" t="s">
        <v>369</v>
      </c>
      <c r="E262" s="13">
        <f>108</f>
        <v>108</v>
      </c>
      <c r="F262" s="21"/>
      <c r="G262" s="20"/>
      <c r="H262" s="13"/>
      <c r="I262" s="13"/>
      <c r="J262" s="23">
        <f>SUM(V253:V261)</f>
        <v>37.64</v>
      </c>
      <c r="K262" s="23"/>
    </row>
    <row r="263" spans="1:22">
      <c r="A263" s="17"/>
      <c r="B263" s="18"/>
      <c r="C263" s="18" t="s">
        <v>372</v>
      </c>
      <c r="D263" s="19" t="s">
        <v>373</v>
      </c>
      <c r="E263" s="13">
        <f>Source!AQ174</f>
        <v>20.71</v>
      </c>
      <c r="F263" s="21"/>
      <c r="G263" s="20" t="str">
        <f>Source!DI174</f>
        <v/>
      </c>
      <c r="H263" s="13">
        <f>Source!AV174</f>
        <v>1</v>
      </c>
      <c r="I263" s="13"/>
      <c r="J263" s="23"/>
      <c r="K263" s="23">
        <f>Source!U174</f>
        <v>2.0710000000000002</v>
      </c>
    </row>
    <row r="264" spans="1:22" ht="15">
      <c r="A264" s="51"/>
      <c r="B264" s="51"/>
      <c r="C264" s="51"/>
      <c r="D264" s="55"/>
      <c r="E264" s="51"/>
      <c r="F264" s="51"/>
      <c r="G264" s="51"/>
      <c r="H264" s="51"/>
      <c r="I264" s="68">
        <f>J255+J256+J258+J260+J261+J262+SUM(J259:J259)</f>
        <v>9005.2800000000007</v>
      </c>
      <c r="J264" s="68"/>
      <c r="K264" s="24">
        <f>IF(Source!I174&lt;&gt;0, ROUND(I264/Source!I174, 2), 0)</f>
        <v>90052.800000000003</v>
      </c>
      <c r="P264" s="52">
        <f>I264</f>
        <v>9005.2800000000007</v>
      </c>
    </row>
    <row r="265" spans="1:22" ht="57">
      <c r="A265" s="17" t="str">
        <f>Source!E176</f>
        <v>24</v>
      </c>
      <c r="B265" s="18" t="str">
        <f>Source!F176</f>
        <v>5.4-3103-3-15/1</v>
      </c>
      <c r="C265" s="18" t="str">
        <f>Source!G176</f>
        <v>Подготовка стандартных посадочных мест вручную, с круглым комом земли размером 0,5х0,4 м с добавлением растительной земли до 100%</v>
      </c>
      <c r="D265" s="19" t="str">
        <f>Source!H176</f>
        <v>10 ям</v>
      </c>
      <c r="E265" s="13">
        <f>Source!I176</f>
        <v>0.8</v>
      </c>
      <c r="F265" s="21"/>
      <c r="G265" s="20"/>
      <c r="H265" s="13"/>
      <c r="I265" s="13"/>
      <c r="J265" s="23"/>
      <c r="K265" s="23"/>
      <c r="Q265" s="8">
        <f>ROUND((Source!BZ176/100)*ROUND((Source!AF176*Source!AV176)*Source!I176, 2), 2)</f>
        <v>2203.44</v>
      </c>
      <c r="R265" s="8">
        <f>Source!X176</f>
        <v>2203.44</v>
      </c>
      <c r="S265" s="8">
        <f>ROUND((Source!CA176/100)*ROUND((Source!AF176*Source!AV176)*Source!I176, 2), 2)</f>
        <v>314.77999999999997</v>
      </c>
      <c r="T265" s="8">
        <f>Source!Y176</f>
        <v>314.77999999999997</v>
      </c>
      <c r="U265" s="8">
        <f>ROUND((175/100)*ROUND((Source!AE176*Source!AV176)*Source!I176, 2), 2)</f>
        <v>0</v>
      </c>
      <c r="V265" s="8">
        <f>ROUND((108/100)*ROUND(Source!CS176*Source!I176, 2), 2)</f>
        <v>0</v>
      </c>
    </row>
    <row r="266" spans="1:22">
      <c r="C266" s="50" t="str">
        <f>"Объем: "&amp;Source!I176&amp;"=(20*"&amp;"0,4)/"&amp;"10"</f>
        <v>Объем: 0,8=(20*0,4)/10</v>
      </c>
    </row>
    <row r="267" spans="1:22">
      <c r="A267" s="17"/>
      <c r="B267" s="18"/>
      <c r="C267" s="18" t="s">
        <v>365</v>
      </c>
      <c r="D267" s="19"/>
      <c r="E267" s="13"/>
      <c r="F267" s="21">
        <f>Source!AO176</f>
        <v>3934.71</v>
      </c>
      <c r="G267" s="20" t="str">
        <f>Source!DG176</f>
        <v/>
      </c>
      <c r="H267" s="13">
        <f>Source!AV176</f>
        <v>1</v>
      </c>
      <c r="I267" s="13">
        <f>IF(Source!BA176&lt;&gt; 0, Source!BA176, 1)</f>
        <v>1</v>
      </c>
      <c r="J267" s="23">
        <f>Source!S176</f>
        <v>3147.77</v>
      </c>
      <c r="K267" s="23"/>
    </row>
    <row r="268" spans="1:22">
      <c r="A268" s="17"/>
      <c r="B268" s="18"/>
      <c r="C268" s="18" t="s">
        <v>374</v>
      </c>
      <c r="D268" s="19"/>
      <c r="E268" s="13"/>
      <c r="F268" s="21">
        <f>Source!AL176</f>
        <v>3309.51</v>
      </c>
      <c r="G268" s="20" t="str">
        <f>Source!DD176</f>
        <v/>
      </c>
      <c r="H268" s="13">
        <f>Source!AW176</f>
        <v>1</v>
      </c>
      <c r="I268" s="13">
        <f>IF(Source!BC176&lt;&gt; 0, Source!BC176, 1)</f>
        <v>1</v>
      </c>
      <c r="J268" s="23">
        <f>Source!P176</f>
        <v>2647.61</v>
      </c>
      <c r="K268" s="23"/>
    </row>
    <row r="269" spans="1:22">
      <c r="A269" s="17"/>
      <c r="B269" s="18"/>
      <c r="C269" s="18" t="s">
        <v>368</v>
      </c>
      <c r="D269" s="19" t="s">
        <v>369</v>
      </c>
      <c r="E269" s="13">
        <f>Source!AT176</f>
        <v>70</v>
      </c>
      <c r="F269" s="21"/>
      <c r="G269" s="20"/>
      <c r="H269" s="13"/>
      <c r="I269" s="13"/>
      <c r="J269" s="23">
        <f>SUM(R265:R268)</f>
        <v>2203.44</v>
      </c>
      <c r="K269" s="23"/>
    </row>
    <row r="270" spans="1:22">
      <c r="A270" s="17"/>
      <c r="B270" s="18"/>
      <c r="C270" s="18" t="s">
        <v>370</v>
      </c>
      <c r="D270" s="19" t="s">
        <v>369</v>
      </c>
      <c r="E270" s="13">
        <f>Source!AU176</f>
        <v>10</v>
      </c>
      <c r="F270" s="21"/>
      <c r="G270" s="20"/>
      <c r="H270" s="13"/>
      <c r="I270" s="13"/>
      <c r="J270" s="23">
        <f>SUM(T265:T269)</f>
        <v>314.77999999999997</v>
      </c>
      <c r="K270" s="23"/>
    </row>
    <row r="271" spans="1:22">
      <c r="A271" s="17"/>
      <c r="B271" s="18"/>
      <c r="C271" s="18" t="s">
        <v>372</v>
      </c>
      <c r="D271" s="19" t="s">
        <v>373</v>
      </c>
      <c r="E271" s="13">
        <f>Source!AQ176</f>
        <v>21.77</v>
      </c>
      <c r="F271" s="21"/>
      <c r="G271" s="20" t="str">
        <f>Source!DI176</f>
        <v/>
      </c>
      <c r="H271" s="13">
        <f>Source!AV176</f>
        <v>1</v>
      </c>
      <c r="I271" s="13"/>
      <c r="J271" s="23"/>
      <c r="K271" s="23">
        <f>Source!U176</f>
        <v>17.416</v>
      </c>
    </row>
    <row r="272" spans="1:22" ht="15">
      <c r="A272" s="51"/>
      <c r="B272" s="51"/>
      <c r="C272" s="51"/>
      <c r="D272" s="55"/>
      <c r="E272" s="51"/>
      <c r="F272" s="51"/>
      <c r="G272" s="51"/>
      <c r="H272" s="51"/>
      <c r="I272" s="68">
        <f>J267+J268+J269+J270</f>
        <v>8313.6</v>
      </c>
      <c r="J272" s="68"/>
      <c r="K272" s="24">
        <f>IF(Source!I176&lt;&gt;0, ROUND(I272/Source!I176, 2), 0)</f>
        <v>10392</v>
      </c>
      <c r="P272" s="52">
        <f>I272</f>
        <v>8313.6</v>
      </c>
    </row>
    <row r="273" spans="1:22" ht="71.25">
      <c r="A273" s="17" t="str">
        <f>Source!E177</f>
        <v>25</v>
      </c>
      <c r="B273" s="18" t="str">
        <f>Source!F177</f>
        <v>5.4-3103-1-15/1</v>
      </c>
      <c r="C273" s="18" t="str">
        <f>Source!G177</f>
        <v>Подготовка стандартных посадочных мест для деревьев и кустарников механизированным способом, с круглым комом земли размером 0,5х0,4 м с добавлением растительной земли до 100%</v>
      </c>
      <c r="D273" s="19" t="str">
        <f>Source!H177</f>
        <v>10 ям</v>
      </c>
      <c r="E273" s="13">
        <f>Source!I177</f>
        <v>1.2</v>
      </c>
      <c r="F273" s="21"/>
      <c r="G273" s="20"/>
      <c r="H273" s="13"/>
      <c r="I273" s="13"/>
      <c r="J273" s="23"/>
      <c r="K273" s="23"/>
      <c r="Q273" s="8">
        <f>ROUND((Source!BZ177/100)*ROUND((Source!AF177*Source!AV177)*Source!I177, 2), 2)</f>
        <v>2356.27</v>
      </c>
      <c r="R273" s="8">
        <f>Source!X177</f>
        <v>2356.27</v>
      </c>
      <c r="S273" s="8">
        <f>ROUND((Source!CA177/100)*ROUND((Source!AF177*Source!AV177)*Source!I177, 2), 2)</f>
        <v>336.61</v>
      </c>
      <c r="T273" s="8">
        <f>Source!Y177</f>
        <v>336.61</v>
      </c>
      <c r="U273" s="8">
        <f>ROUND((175/100)*ROUND((Source!AE177*Source!AV177)*Source!I177, 2), 2)</f>
        <v>219.24</v>
      </c>
      <c r="V273" s="8">
        <f>ROUND((108/100)*ROUND(Source!CS177*Source!I177, 2), 2)</f>
        <v>135.30000000000001</v>
      </c>
    </row>
    <row r="274" spans="1:22">
      <c r="C274" s="50" t="str">
        <f>"Объем: "&amp;Source!I177&amp;"=(20*"&amp;"0,6)/"&amp;"10"</f>
        <v>Объем: 1,2=(20*0,6)/10</v>
      </c>
    </row>
    <row r="275" spans="1:22">
      <c r="A275" s="17"/>
      <c r="B275" s="18"/>
      <c r="C275" s="18" t="s">
        <v>365</v>
      </c>
      <c r="D275" s="19"/>
      <c r="E275" s="13"/>
      <c r="F275" s="21">
        <f>Source!AO177</f>
        <v>2805.08</v>
      </c>
      <c r="G275" s="20" t="str">
        <f>Source!DG177</f>
        <v/>
      </c>
      <c r="H275" s="13">
        <f>Source!AV177</f>
        <v>1</v>
      </c>
      <c r="I275" s="13">
        <f>IF(Source!BA177&lt;&gt; 0, Source!BA177, 1)</f>
        <v>1</v>
      </c>
      <c r="J275" s="23">
        <f>Source!S177</f>
        <v>3366.1</v>
      </c>
      <c r="K275" s="23"/>
    </row>
    <row r="276" spans="1:22">
      <c r="A276" s="17"/>
      <c r="B276" s="18"/>
      <c r="C276" s="18" t="s">
        <v>366</v>
      </c>
      <c r="D276" s="19"/>
      <c r="E276" s="13"/>
      <c r="F276" s="21">
        <f>Source!AM177</f>
        <v>285.45</v>
      </c>
      <c r="G276" s="20" t="str">
        <f>Source!DE177</f>
        <v/>
      </c>
      <c r="H276" s="13">
        <f>Source!AV177</f>
        <v>1</v>
      </c>
      <c r="I276" s="13">
        <f>IF(Source!BB177&lt;&gt; 0, Source!BB177, 1)</f>
        <v>1</v>
      </c>
      <c r="J276" s="23">
        <f>Source!Q177</f>
        <v>342.54</v>
      </c>
      <c r="K276" s="23"/>
    </row>
    <row r="277" spans="1:22">
      <c r="A277" s="17"/>
      <c r="B277" s="18"/>
      <c r="C277" s="18" t="s">
        <v>367</v>
      </c>
      <c r="D277" s="19"/>
      <c r="E277" s="13"/>
      <c r="F277" s="21">
        <f>Source!AN177</f>
        <v>104.4</v>
      </c>
      <c r="G277" s="20" t="str">
        <f>Source!DF177</f>
        <v/>
      </c>
      <c r="H277" s="13">
        <f>Source!AV177</f>
        <v>1</v>
      </c>
      <c r="I277" s="13">
        <f>IF(Source!BS177&lt;&gt; 0, Source!BS177, 1)</f>
        <v>1</v>
      </c>
      <c r="J277" s="22">
        <f>Source!R177</f>
        <v>125.28</v>
      </c>
      <c r="K277" s="23"/>
    </row>
    <row r="278" spans="1:22">
      <c r="A278" s="17"/>
      <c r="B278" s="18"/>
      <c r="C278" s="18" t="s">
        <v>374</v>
      </c>
      <c r="D278" s="19"/>
      <c r="E278" s="13"/>
      <c r="F278" s="21">
        <f>Source!AL177</f>
        <v>3309.51</v>
      </c>
      <c r="G278" s="20" t="str">
        <f>Source!DD177</f>
        <v/>
      </c>
      <c r="H278" s="13">
        <f>Source!AW177</f>
        <v>1</v>
      </c>
      <c r="I278" s="13">
        <f>IF(Source!BC177&lt;&gt; 0, Source!BC177, 1)</f>
        <v>1</v>
      </c>
      <c r="J278" s="23">
        <f>Source!P177</f>
        <v>3971.41</v>
      </c>
      <c r="K278" s="23"/>
    </row>
    <row r="279" spans="1:22">
      <c r="A279" s="17"/>
      <c r="B279" s="18"/>
      <c r="C279" s="18" t="s">
        <v>368</v>
      </c>
      <c r="D279" s="19" t="s">
        <v>369</v>
      </c>
      <c r="E279" s="13">
        <f>Source!AT177</f>
        <v>70</v>
      </c>
      <c r="F279" s="21"/>
      <c r="G279" s="20"/>
      <c r="H279" s="13"/>
      <c r="I279" s="13"/>
      <c r="J279" s="23">
        <f>SUM(R273:R278)</f>
        <v>2356.27</v>
      </c>
      <c r="K279" s="23"/>
    </row>
    <row r="280" spans="1:22">
      <c r="A280" s="17"/>
      <c r="B280" s="18"/>
      <c r="C280" s="18" t="s">
        <v>370</v>
      </c>
      <c r="D280" s="19" t="s">
        <v>369</v>
      </c>
      <c r="E280" s="13">
        <f>Source!AU177</f>
        <v>10</v>
      </c>
      <c r="F280" s="21"/>
      <c r="G280" s="20"/>
      <c r="H280" s="13"/>
      <c r="I280" s="13"/>
      <c r="J280" s="23">
        <f>SUM(T273:T279)</f>
        <v>336.61</v>
      </c>
      <c r="K280" s="23"/>
    </row>
    <row r="281" spans="1:22">
      <c r="A281" s="17"/>
      <c r="B281" s="18"/>
      <c r="C281" s="18" t="s">
        <v>371</v>
      </c>
      <c r="D281" s="19" t="s">
        <v>369</v>
      </c>
      <c r="E281" s="13">
        <f>108</f>
        <v>108</v>
      </c>
      <c r="F281" s="21"/>
      <c r="G281" s="20"/>
      <c r="H281" s="13"/>
      <c r="I281" s="13"/>
      <c r="J281" s="23">
        <f>SUM(V273:V280)</f>
        <v>135.30000000000001</v>
      </c>
      <c r="K281" s="23"/>
    </row>
    <row r="282" spans="1:22">
      <c r="A282" s="17"/>
      <c r="B282" s="18"/>
      <c r="C282" s="18" t="s">
        <v>372</v>
      </c>
      <c r="D282" s="19" t="s">
        <v>373</v>
      </c>
      <c r="E282" s="13">
        <f>Source!AQ177</f>
        <v>15.52</v>
      </c>
      <c r="F282" s="21"/>
      <c r="G282" s="20" t="str">
        <f>Source!DI177</f>
        <v/>
      </c>
      <c r="H282" s="13">
        <f>Source!AV177</f>
        <v>1</v>
      </c>
      <c r="I282" s="13"/>
      <c r="J282" s="23"/>
      <c r="K282" s="23">
        <f>Source!U177</f>
        <v>18.623999999999999</v>
      </c>
    </row>
    <row r="283" spans="1:22" ht="15">
      <c r="A283" s="51"/>
      <c r="B283" s="51"/>
      <c r="C283" s="51"/>
      <c r="D283" s="55"/>
      <c r="E283" s="51"/>
      <c r="F283" s="51"/>
      <c r="G283" s="51"/>
      <c r="H283" s="51"/>
      <c r="I283" s="68">
        <f>J275+J276+J278+J279+J280+J281</f>
        <v>10508.23</v>
      </c>
      <c r="J283" s="68"/>
      <c r="K283" s="24">
        <f>IF(Source!I177&lt;&gt;0, ROUND(I283/Source!I177, 2), 0)</f>
        <v>8756.86</v>
      </c>
      <c r="P283" s="52">
        <f>I283</f>
        <v>10508.23</v>
      </c>
    </row>
    <row r="284" spans="1:22" ht="114">
      <c r="A284" s="17" t="str">
        <f>Source!E178</f>
        <v>26</v>
      </c>
      <c r="B284" s="18" t="str">
        <f>Source!F178</f>
        <v>5.4-3503-1-1/1</v>
      </c>
      <c r="C284" s="18" t="str">
        <f>Source!G178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табл.1 - 0,51м3 * 20 деревьев =10,2м3 - при слое 20 см покрываемая площадь 10,2м3/0,2м х 0,75)</v>
      </c>
      <c r="D284" s="19" t="str">
        <f>Source!H178</f>
        <v>100 м2</v>
      </c>
      <c r="E284" s="13">
        <f>Source!I178</f>
        <v>0.38200000000000001</v>
      </c>
      <c r="F284" s="21"/>
      <c r="G284" s="20"/>
      <c r="H284" s="13"/>
      <c r="I284" s="13"/>
      <c r="J284" s="23"/>
      <c r="K284" s="23"/>
      <c r="Q284" s="8">
        <f>ROUND((Source!BZ178/100)*ROUND((Source!AF178*Source!AV178)*Source!I178, 2), 2)</f>
        <v>0</v>
      </c>
      <c r="R284" s="8">
        <f>Source!X178</f>
        <v>0</v>
      </c>
      <c r="S284" s="8">
        <f>ROUND((Source!CA178/100)*ROUND((Source!AF178*Source!AV178)*Source!I178, 2), 2)</f>
        <v>0</v>
      </c>
      <c r="T284" s="8">
        <f>Source!Y178</f>
        <v>0</v>
      </c>
      <c r="U284" s="8">
        <f>ROUND((175/100)*ROUND((Source!AE178*Source!AV178)*Source!I178, 2), 2)</f>
        <v>74.5</v>
      </c>
      <c r="V284" s="8">
        <f>ROUND((108/100)*ROUND(Source!CS178*Source!I178, 2), 2)</f>
        <v>45.98</v>
      </c>
    </row>
    <row r="285" spans="1:22">
      <c r="C285" s="50" t="str">
        <f>"Объем: "&amp;Source!I178&amp;"=38,2/"&amp;"100"</f>
        <v>Объем: 0,382=38,2/100</v>
      </c>
    </row>
    <row r="286" spans="1:22">
      <c r="A286" s="17"/>
      <c r="B286" s="18"/>
      <c r="C286" s="18" t="s">
        <v>366</v>
      </c>
      <c r="D286" s="19"/>
      <c r="E286" s="13"/>
      <c r="F286" s="21">
        <f>Source!AM178</f>
        <v>296.60000000000002</v>
      </c>
      <c r="G286" s="20" t="str">
        <f>Source!DE178</f>
        <v/>
      </c>
      <c r="H286" s="13">
        <f>Source!AV178</f>
        <v>1</v>
      </c>
      <c r="I286" s="13">
        <f>IF(Source!BB178&lt;&gt; 0, Source!BB178, 1)</f>
        <v>1</v>
      </c>
      <c r="J286" s="23">
        <f>Source!Q178</f>
        <v>113.3</v>
      </c>
      <c r="K286" s="23"/>
    </row>
    <row r="287" spans="1:22">
      <c r="A287" s="17"/>
      <c r="B287" s="18"/>
      <c r="C287" s="18" t="s">
        <v>367</v>
      </c>
      <c r="D287" s="19"/>
      <c r="E287" s="13"/>
      <c r="F287" s="21">
        <f>Source!AN178</f>
        <v>111.43</v>
      </c>
      <c r="G287" s="20" t="str">
        <f>Source!DF178</f>
        <v/>
      </c>
      <c r="H287" s="13">
        <f>Source!AV178</f>
        <v>1</v>
      </c>
      <c r="I287" s="13">
        <f>IF(Source!BS178&lt;&gt; 0, Source!BS178, 1)</f>
        <v>1</v>
      </c>
      <c r="J287" s="22">
        <f>Source!R178</f>
        <v>42.57</v>
      </c>
      <c r="K287" s="23"/>
    </row>
    <row r="288" spans="1:22">
      <c r="A288" s="17"/>
      <c r="B288" s="18"/>
      <c r="C288" s="18" t="s">
        <v>371</v>
      </c>
      <c r="D288" s="19" t="s">
        <v>369</v>
      </c>
      <c r="E288" s="13">
        <f>108</f>
        <v>108</v>
      </c>
      <c r="F288" s="21"/>
      <c r="G288" s="20"/>
      <c r="H288" s="13"/>
      <c r="I288" s="13"/>
      <c r="J288" s="23">
        <f>SUM(V284:V287)</f>
        <v>45.98</v>
      </c>
      <c r="K288" s="23"/>
    </row>
    <row r="289" spans="1:22" ht="15">
      <c r="A289" s="51"/>
      <c r="B289" s="51"/>
      <c r="C289" s="51"/>
      <c r="D289" s="55"/>
      <c r="E289" s="51"/>
      <c r="F289" s="51"/>
      <c r="G289" s="51"/>
      <c r="H289" s="51"/>
      <c r="I289" s="68">
        <f>J286+J288</f>
        <v>159.28</v>
      </c>
      <c r="J289" s="68"/>
      <c r="K289" s="24">
        <f>IF(Source!I178&lt;&gt;0, ROUND(I289/Source!I178, 2), 0)</f>
        <v>416.96</v>
      </c>
      <c r="P289" s="52">
        <f>I289</f>
        <v>159.28</v>
      </c>
    </row>
    <row r="290" spans="1:22" ht="85.5">
      <c r="A290" s="17" t="str">
        <f>Source!E179</f>
        <v>27</v>
      </c>
      <c r="B290" s="18" t="str">
        <f>Source!F179</f>
        <v>5.4-3503-1-2/1</v>
      </c>
      <c r="C290" s="18" t="str">
        <f>Source!G179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10,2м3/0,2м х 0,25)</v>
      </c>
      <c r="D290" s="19" t="str">
        <f>Source!H179</f>
        <v>100 м2</v>
      </c>
      <c r="E290" s="13">
        <f>Source!I179</f>
        <v>0.128</v>
      </c>
      <c r="F290" s="21"/>
      <c r="G290" s="20"/>
      <c r="H290" s="13"/>
      <c r="I290" s="13"/>
      <c r="J290" s="23"/>
      <c r="K290" s="23"/>
      <c r="Q290" s="8">
        <f>ROUND((Source!BZ179/100)*ROUND((Source!AF179*Source!AV179)*Source!I179, 2), 2)</f>
        <v>189.96</v>
      </c>
      <c r="R290" s="8">
        <f>Source!X179</f>
        <v>189.96</v>
      </c>
      <c r="S290" s="8">
        <f>ROUND((Source!CA179/100)*ROUND((Source!AF179*Source!AV179)*Source!I179, 2), 2)</f>
        <v>27.14</v>
      </c>
      <c r="T290" s="8">
        <f>Source!Y179</f>
        <v>27.14</v>
      </c>
      <c r="U290" s="8">
        <f>ROUND((175/100)*ROUND((Source!AE179*Source!AV179)*Source!I179, 2), 2)</f>
        <v>0</v>
      </c>
      <c r="V290" s="8">
        <f>ROUND((108/100)*ROUND(Source!CS179*Source!I179, 2), 2)</f>
        <v>0</v>
      </c>
    </row>
    <row r="291" spans="1:22">
      <c r="C291" s="50" t="str">
        <f>"Объем: "&amp;Source!I179&amp;"=12,8/"&amp;"100"</f>
        <v>Объем: 0,128=12,8/100</v>
      </c>
    </row>
    <row r="292" spans="1:22">
      <c r="A292" s="17"/>
      <c r="B292" s="18"/>
      <c r="C292" s="18" t="s">
        <v>365</v>
      </c>
      <c r="D292" s="19"/>
      <c r="E292" s="13"/>
      <c r="F292" s="21">
        <f>Source!AO179</f>
        <v>2120.08</v>
      </c>
      <c r="G292" s="20" t="str">
        <f>Source!DG179</f>
        <v/>
      </c>
      <c r="H292" s="13">
        <f>Source!AV179</f>
        <v>1</v>
      </c>
      <c r="I292" s="13">
        <f>IF(Source!BA179&lt;&gt; 0, Source!BA179, 1)</f>
        <v>1</v>
      </c>
      <c r="J292" s="23">
        <f>Source!S179</f>
        <v>271.37</v>
      </c>
      <c r="K292" s="23"/>
    </row>
    <row r="293" spans="1:22">
      <c r="A293" s="17"/>
      <c r="B293" s="18"/>
      <c r="C293" s="18" t="s">
        <v>368</v>
      </c>
      <c r="D293" s="19" t="s">
        <v>369</v>
      </c>
      <c r="E293" s="13">
        <f>Source!AT179</f>
        <v>70</v>
      </c>
      <c r="F293" s="21"/>
      <c r="G293" s="20"/>
      <c r="H293" s="13"/>
      <c r="I293" s="13"/>
      <c r="J293" s="23">
        <f>SUM(R290:R292)</f>
        <v>189.96</v>
      </c>
      <c r="K293" s="23"/>
    </row>
    <row r="294" spans="1:22">
      <c r="A294" s="17"/>
      <c r="B294" s="18"/>
      <c r="C294" s="18" t="s">
        <v>370</v>
      </c>
      <c r="D294" s="19" t="s">
        <v>369</v>
      </c>
      <c r="E294" s="13">
        <f>Source!AU179</f>
        <v>10</v>
      </c>
      <c r="F294" s="21"/>
      <c r="G294" s="20"/>
      <c r="H294" s="13"/>
      <c r="I294" s="13"/>
      <c r="J294" s="23">
        <f>SUM(T290:T293)</f>
        <v>27.14</v>
      </c>
      <c r="K294" s="23"/>
    </row>
    <row r="295" spans="1:22">
      <c r="A295" s="17"/>
      <c r="B295" s="18"/>
      <c r="C295" s="18" t="s">
        <v>372</v>
      </c>
      <c r="D295" s="19" t="s">
        <v>373</v>
      </c>
      <c r="E295" s="13">
        <f>Source!AQ179</f>
        <v>11.73</v>
      </c>
      <c r="F295" s="21"/>
      <c r="G295" s="20" t="str">
        <f>Source!DI179</f>
        <v/>
      </c>
      <c r="H295" s="13">
        <f>Source!AV179</f>
        <v>1</v>
      </c>
      <c r="I295" s="13"/>
      <c r="J295" s="23"/>
      <c r="K295" s="23">
        <f>Source!U179</f>
        <v>1.5014400000000001</v>
      </c>
    </row>
    <row r="296" spans="1:22" ht="15">
      <c r="A296" s="51"/>
      <c r="B296" s="51"/>
      <c r="C296" s="51"/>
      <c r="D296" s="55"/>
      <c r="E296" s="51"/>
      <c r="F296" s="51"/>
      <c r="G296" s="51"/>
      <c r="H296" s="51"/>
      <c r="I296" s="68">
        <f>J292+J293+J294</f>
        <v>488.47</v>
      </c>
      <c r="J296" s="68"/>
      <c r="K296" s="24">
        <f>IF(Source!I179&lt;&gt;0, ROUND(I296/Source!I179, 2), 0)</f>
        <v>3816.17</v>
      </c>
      <c r="P296" s="52">
        <f>I296</f>
        <v>488.47</v>
      </c>
    </row>
    <row r="297" spans="1:22" ht="42.75">
      <c r="A297" s="17" t="str">
        <f>Source!E180</f>
        <v>28</v>
      </c>
      <c r="B297" s="18" t="str">
        <f>Source!F180</f>
        <v>5.4-3103-6-3/1</v>
      </c>
      <c r="C297" s="18" t="str">
        <f>Source!G180</f>
        <v>Посадка деревьев и кустарников с комом земли, диаметром 0,5 м и высотой 0,4 м (без стоимости деревьев и кустарников)</v>
      </c>
      <c r="D297" s="19" t="str">
        <f>Source!H180</f>
        <v>10 шт.</v>
      </c>
      <c r="E297" s="13">
        <f>Source!I180</f>
        <v>2</v>
      </c>
      <c r="F297" s="21"/>
      <c r="G297" s="20"/>
      <c r="H297" s="13"/>
      <c r="I297" s="13"/>
      <c r="J297" s="23"/>
      <c r="K297" s="23"/>
      <c r="Q297" s="8">
        <f>ROUND((Source!BZ180/100)*ROUND((Source!AF180*Source!AV180)*Source!I180, 2), 2)</f>
        <v>4883.2700000000004</v>
      </c>
      <c r="R297" s="8">
        <f>Source!X180</f>
        <v>4883.2700000000004</v>
      </c>
      <c r="S297" s="8">
        <f>ROUND((Source!CA180/100)*ROUND((Source!AF180*Source!AV180)*Source!I180, 2), 2)</f>
        <v>697.61</v>
      </c>
      <c r="T297" s="8">
        <f>Source!Y180</f>
        <v>697.61</v>
      </c>
      <c r="U297" s="8">
        <f>ROUND((175/100)*ROUND((Source!AE180*Source!AV180)*Source!I180, 2), 2)</f>
        <v>1059.28</v>
      </c>
      <c r="V297" s="8">
        <f>ROUND((108/100)*ROUND(Source!CS180*Source!I180, 2), 2)</f>
        <v>653.72</v>
      </c>
    </row>
    <row r="298" spans="1:22">
      <c r="C298" s="50" t="str">
        <f>"Объем: "&amp;Source!I180&amp;"=20/"&amp;"10"</f>
        <v>Объем: 2=20/10</v>
      </c>
    </row>
    <row r="299" spans="1:22">
      <c r="A299" s="17"/>
      <c r="B299" s="18"/>
      <c r="C299" s="18" t="s">
        <v>365</v>
      </c>
      <c r="D299" s="19"/>
      <c r="E299" s="13"/>
      <c r="F299" s="21">
        <f>Source!AO180</f>
        <v>3488.05</v>
      </c>
      <c r="G299" s="20" t="str">
        <f>Source!DG180</f>
        <v/>
      </c>
      <c r="H299" s="13">
        <f>Source!AV180</f>
        <v>1</v>
      </c>
      <c r="I299" s="13">
        <f>IF(Source!BA180&lt;&gt; 0, Source!BA180, 1)</f>
        <v>1</v>
      </c>
      <c r="J299" s="23">
        <f>Source!S180</f>
        <v>6976.1</v>
      </c>
      <c r="K299" s="23"/>
    </row>
    <row r="300" spans="1:22">
      <c r="A300" s="17"/>
      <c r="B300" s="18"/>
      <c r="C300" s="18" t="s">
        <v>366</v>
      </c>
      <c r="D300" s="19"/>
      <c r="E300" s="13"/>
      <c r="F300" s="21">
        <f>Source!AM180</f>
        <v>1333.59</v>
      </c>
      <c r="G300" s="20" t="str">
        <f>Source!DE180</f>
        <v/>
      </c>
      <c r="H300" s="13">
        <f>Source!AV180</f>
        <v>1</v>
      </c>
      <c r="I300" s="13">
        <f>IF(Source!BB180&lt;&gt; 0, Source!BB180, 1)</f>
        <v>1</v>
      </c>
      <c r="J300" s="23">
        <f>Source!Q180</f>
        <v>2667.18</v>
      </c>
      <c r="K300" s="23"/>
    </row>
    <row r="301" spans="1:22">
      <c r="A301" s="17"/>
      <c r="B301" s="18"/>
      <c r="C301" s="18" t="s">
        <v>367</v>
      </c>
      <c r="D301" s="19"/>
      <c r="E301" s="13"/>
      <c r="F301" s="21">
        <f>Source!AN180</f>
        <v>302.64999999999998</v>
      </c>
      <c r="G301" s="20" t="str">
        <f>Source!DF180</f>
        <v/>
      </c>
      <c r="H301" s="13">
        <f>Source!AV180</f>
        <v>1</v>
      </c>
      <c r="I301" s="13">
        <f>IF(Source!BS180&lt;&gt; 0, Source!BS180, 1)</f>
        <v>1</v>
      </c>
      <c r="J301" s="22">
        <f>Source!R180</f>
        <v>605.29999999999995</v>
      </c>
      <c r="K301" s="23"/>
    </row>
    <row r="302" spans="1:22">
      <c r="A302" s="17"/>
      <c r="B302" s="18"/>
      <c r="C302" s="18" t="s">
        <v>374</v>
      </c>
      <c r="D302" s="19"/>
      <c r="E302" s="13"/>
      <c r="F302" s="21">
        <f>Source!AL180</f>
        <v>815.92</v>
      </c>
      <c r="G302" s="20" t="str">
        <f>Source!DD180</f>
        <v/>
      </c>
      <c r="H302" s="13">
        <f>Source!AW180</f>
        <v>1</v>
      </c>
      <c r="I302" s="13">
        <f>IF(Source!BC180&lt;&gt; 0, Source!BC180, 1)</f>
        <v>1</v>
      </c>
      <c r="J302" s="23">
        <f>Source!P180</f>
        <v>1631.84</v>
      </c>
      <c r="K302" s="23"/>
    </row>
    <row r="303" spans="1:22" ht="71.25">
      <c r="A303" s="17" t="str">
        <f>Source!E181</f>
        <v>28,1</v>
      </c>
      <c r="B303" s="18" t="str">
        <f>Source!F181</f>
        <v>комерческое предложение</v>
      </c>
      <c r="C303" s="18" t="s">
        <v>442</v>
      </c>
      <c r="D303" s="19" t="str">
        <f>Source!H181</f>
        <v>шт.</v>
      </c>
      <c r="E303" s="13">
        <f>Source!I181</f>
        <v>10</v>
      </c>
      <c r="F303" s="21">
        <f>Source!AK181</f>
        <v>4250</v>
      </c>
      <c r="G303" s="25" t="s">
        <v>3</v>
      </c>
      <c r="H303" s="13">
        <f>Source!AW181</f>
        <v>1</v>
      </c>
      <c r="I303" s="13">
        <f>IF(Source!BC181&lt;&gt; 0, Source!BC181, 1)</f>
        <v>1</v>
      </c>
      <c r="J303" s="23">
        <f>Source!O181</f>
        <v>42500</v>
      </c>
      <c r="K303" s="23"/>
      <c r="Q303" s="8">
        <f>ROUND((Source!BZ181/100)*ROUND((Source!AF181*Source!AV181)*Source!I181, 2), 2)</f>
        <v>0</v>
      </c>
      <c r="R303" s="8">
        <f>Source!X181</f>
        <v>0</v>
      </c>
      <c r="S303" s="8">
        <f>ROUND((Source!CA181/100)*ROUND((Source!AF181*Source!AV181)*Source!I181, 2), 2)</f>
        <v>0</v>
      </c>
      <c r="T303" s="8">
        <f>Source!Y181</f>
        <v>0</v>
      </c>
      <c r="U303" s="8">
        <f>ROUND((175/100)*ROUND((Source!AE181*Source!AV181)*Source!I181, 2), 2)</f>
        <v>0</v>
      </c>
      <c r="V303" s="8">
        <f>ROUND((108/100)*ROUND(Source!CS181*Source!I181, 2), 2)</f>
        <v>0</v>
      </c>
    </row>
    <row r="304" spans="1:22" ht="71.25">
      <c r="A304" s="17" t="str">
        <f>Source!E182</f>
        <v>28,2</v>
      </c>
      <c r="B304" s="18" t="str">
        <f>Source!F182</f>
        <v>комерческое предложение</v>
      </c>
      <c r="C304" s="18" t="s">
        <v>443</v>
      </c>
      <c r="D304" s="19" t="str">
        <f>Source!H182</f>
        <v>шт.</v>
      </c>
      <c r="E304" s="13">
        <f>Source!I182</f>
        <v>3</v>
      </c>
      <c r="F304" s="21">
        <f>Source!AK182</f>
        <v>2250</v>
      </c>
      <c r="G304" s="25" t="s">
        <v>3</v>
      </c>
      <c r="H304" s="13">
        <f>Source!AW182</f>
        <v>1</v>
      </c>
      <c r="I304" s="13">
        <f>IF(Source!BC182&lt;&gt; 0, Source!BC182, 1)</f>
        <v>1</v>
      </c>
      <c r="J304" s="23">
        <f>Source!O182</f>
        <v>6750</v>
      </c>
      <c r="K304" s="23"/>
      <c r="Q304" s="8">
        <f>ROUND((Source!BZ182/100)*ROUND((Source!AF182*Source!AV182)*Source!I182, 2), 2)</f>
        <v>0</v>
      </c>
      <c r="R304" s="8">
        <f>Source!X182</f>
        <v>0</v>
      </c>
      <c r="S304" s="8">
        <f>ROUND((Source!CA182/100)*ROUND((Source!AF182*Source!AV182)*Source!I182, 2), 2)</f>
        <v>0</v>
      </c>
      <c r="T304" s="8">
        <f>Source!Y182</f>
        <v>0</v>
      </c>
      <c r="U304" s="8">
        <f>ROUND((175/100)*ROUND((Source!AE182*Source!AV182)*Source!I182, 2), 2)</f>
        <v>0</v>
      </c>
      <c r="V304" s="8">
        <f>ROUND((108/100)*ROUND(Source!CS182*Source!I182, 2), 2)</f>
        <v>0</v>
      </c>
    </row>
    <row r="305" spans="1:22" ht="71.25">
      <c r="A305" s="17" t="str">
        <f>Source!E183</f>
        <v>28,3</v>
      </c>
      <c r="B305" s="18" t="str">
        <f>Source!F183</f>
        <v>комерческое предложение</v>
      </c>
      <c r="C305" s="18" t="s">
        <v>444</v>
      </c>
      <c r="D305" s="19" t="str">
        <f>Source!H183</f>
        <v>шт.</v>
      </c>
      <c r="E305" s="13">
        <f>Source!I183</f>
        <v>4</v>
      </c>
      <c r="F305" s="21">
        <f>Source!AK183</f>
        <v>2458.33</v>
      </c>
      <c r="G305" s="25" t="s">
        <v>3</v>
      </c>
      <c r="H305" s="13">
        <f>Source!AW183</f>
        <v>1</v>
      </c>
      <c r="I305" s="13">
        <f>IF(Source!BC183&lt;&gt; 0, Source!BC183, 1)</f>
        <v>1</v>
      </c>
      <c r="J305" s="23">
        <f>Source!O183</f>
        <v>9833.32</v>
      </c>
      <c r="K305" s="23"/>
      <c r="Q305" s="8">
        <f>ROUND((Source!BZ183/100)*ROUND((Source!AF183*Source!AV183)*Source!I183, 2), 2)</f>
        <v>0</v>
      </c>
      <c r="R305" s="8">
        <f>Source!X183</f>
        <v>0</v>
      </c>
      <c r="S305" s="8">
        <f>ROUND((Source!CA183/100)*ROUND((Source!AF183*Source!AV183)*Source!I183, 2), 2)</f>
        <v>0</v>
      </c>
      <c r="T305" s="8">
        <f>Source!Y183</f>
        <v>0</v>
      </c>
      <c r="U305" s="8">
        <f>ROUND((175/100)*ROUND((Source!AE183*Source!AV183)*Source!I183, 2), 2)</f>
        <v>0</v>
      </c>
      <c r="V305" s="8">
        <f>ROUND((108/100)*ROUND(Source!CS183*Source!I183, 2), 2)</f>
        <v>0</v>
      </c>
    </row>
    <row r="306" spans="1:22" ht="71.25">
      <c r="A306" s="17" t="str">
        <f>Source!E184</f>
        <v>28,4</v>
      </c>
      <c r="B306" s="18" t="str">
        <f>Source!F184</f>
        <v>комерческое предложение</v>
      </c>
      <c r="C306" s="18" t="s">
        <v>445</v>
      </c>
      <c r="D306" s="19" t="str">
        <f>Source!H184</f>
        <v>шт.</v>
      </c>
      <c r="E306" s="13">
        <f>Source!I184</f>
        <v>3</v>
      </c>
      <c r="F306" s="21">
        <f>Source!AK184</f>
        <v>3583.33</v>
      </c>
      <c r="G306" s="25" t="s">
        <v>3</v>
      </c>
      <c r="H306" s="13">
        <f>Source!AW184</f>
        <v>1</v>
      </c>
      <c r="I306" s="13">
        <f>IF(Source!BC184&lt;&gt; 0, Source!BC184, 1)</f>
        <v>1</v>
      </c>
      <c r="J306" s="23">
        <f>Source!O184</f>
        <v>10749.99</v>
      </c>
      <c r="K306" s="23"/>
      <c r="Q306" s="8">
        <f>ROUND((Source!BZ184/100)*ROUND((Source!AF184*Source!AV184)*Source!I184, 2), 2)</f>
        <v>0</v>
      </c>
      <c r="R306" s="8">
        <f>Source!X184</f>
        <v>0</v>
      </c>
      <c r="S306" s="8">
        <f>ROUND((Source!CA184/100)*ROUND((Source!AF184*Source!AV184)*Source!I184, 2), 2)</f>
        <v>0</v>
      </c>
      <c r="T306" s="8">
        <f>Source!Y184</f>
        <v>0</v>
      </c>
      <c r="U306" s="8">
        <f>ROUND((175/100)*ROUND((Source!AE184*Source!AV184)*Source!I184, 2), 2)</f>
        <v>0</v>
      </c>
      <c r="V306" s="8">
        <f>ROUND((108/100)*ROUND(Source!CS184*Source!I184, 2), 2)</f>
        <v>0</v>
      </c>
    </row>
    <row r="307" spans="1:22">
      <c r="A307" s="17"/>
      <c r="B307" s="18"/>
      <c r="C307" s="18" t="s">
        <v>368</v>
      </c>
      <c r="D307" s="19" t="s">
        <v>369</v>
      </c>
      <c r="E307" s="13">
        <f>Source!AT180</f>
        <v>70</v>
      </c>
      <c r="F307" s="21"/>
      <c r="G307" s="20"/>
      <c r="H307" s="13"/>
      <c r="I307" s="13"/>
      <c r="J307" s="23">
        <f>SUM(R297:R306)</f>
        <v>4883.2700000000004</v>
      </c>
      <c r="K307" s="23"/>
    </row>
    <row r="308" spans="1:22">
      <c r="A308" s="17"/>
      <c r="B308" s="18"/>
      <c r="C308" s="18" t="s">
        <v>370</v>
      </c>
      <c r="D308" s="19" t="s">
        <v>369</v>
      </c>
      <c r="E308" s="13">
        <f>Source!AU180</f>
        <v>10</v>
      </c>
      <c r="F308" s="21"/>
      <c r="G308" s="20"/>
      <c r="H308" s="13"/>
      <c r="I308" s="13"/>
      <c r="J308" s="23">
        <f>SUM(T297:T307)</f>
        <v>697.61</v>
      </c>
      <c r="K308" s="23"/>
    </row>
    <row r="309" spans="1:22">
      <c r="A309" s="17"/>
      <c r="B309" s="18"/>
      <c r="C309" s="18" t="s">
        <v>371</v>
      </c>
      <c r="D309" s="19" t="s">
        <v>369</v>
      </c>
      <c r="E309" s="13">
        <f>108</f>
        <v>108</v>
      </c>
      <c r="F309" s="21"/>
      <c r="G309" s="20"/>
      <c r="H309" s="13"/>
      <c r="I309" s="13"/>
      <c r="J309" s="23">
        <f>SUM(V297:V308)</f>
        <v>653.72</v>
      </c>
      <c r="K309" s="23"/>
    </row>
    <row r="310" spans="1:22">
      <c r="A310" s="17"/>
      <c r="B310" s="18"/>
      <c r="C310" s="18" t="s">
        <v>372</v>
      </c>
      <c r="D310" s="19" t="s">
        <v>373</v>
      </c>
      <c r="E310" s="13">
        <f>Source!AQ180</f>
        <v>14.42</v>
      </c>
      <c r="F310" s="21"/>
      <c r="G310" s="20" t="str">
        <f>Source!DI180</f>
        <v/>
      </c>
      <c r="H310" s="13">
        <f>Source!AV180</f>
        <v>1</v>
      </c>
      <c r="I310" s="13"/>
      <c r="J310" s="23"/>
      <c r="K310" s="23">
        <f>Source!U180</f>
        <v>28.84</v>
      </c>
    </row>
    <row r="311" spans="1:22" ht="15">
      <c r="A311" s="51"/>
      <c r="B311" s="51"/>
      <c r="C311" s="51"/>
      <c r="D311" s="55"/>
      <c r="E311" s="51"/>
      <c r="F311" s="51"/>
      <c r="G311" s="51"/>
      <c r="H311" s="51"/>
      <c r="I311" s="68">
        <f>J299+J300+J302+J307+J308+J309+SUM(J303:J306)</f>
        <v>87343.03</v>
      </c>
      <c r="J311" s="68"/>
      <c r="K311" s="24">
        <f>IF(Source!I180&lt;&gt;0, ROUND(I311/Source!I180, 2), 0)</f>
        <v>43671.519999999997</v>
      </c>
      <c r="P311" s="52">
        <f>I311</f>
        <v>87343.03</v>
      </c>
    </row>
    <row r="312" spans="1:22" hidden="1"/>
    <row r="313" spans="1:22" ht="15" hidden="1">
      <c r="A313" s="66" t="str">
        <f>CONCATENATE("Итого по разделу: ",IF(Source!G186&lt;&gt;"Новый раздел", Source!G186, ""))</f>
        <v>Итого по разделу: Посадка деревьев хвойных - 21шт.</v>
      </c>
      <c r="B313" s="66"/>
      <c r="C313" s="66"/>
      <c r="D313" s="66"/>
      <c r="E313" s="66"/>
      <c r="F313" s="66"/>
      <c r="G313" s="66"/>
      <c r="H313" s="66"/>
      <c r="I313" s="63">
        <f>SUM(P220:P312)</f>
        <v>118016.52</v>
      </c>
      <c r="J313" s="65"/>
      <c r="K313" s="26"/>
    </row>
    <row r="314" spans="1:22" hidden="1"/>
    <row r="315" spans="1:22" hidden="1">
      <c r="C315" s="61" t="str">
        <f>Source!H214</f>
        <v>Итого</v>
      </c>
      <c r="D315" s="61"/>
      <c r="E315" s="61"/>
      <c r="F315" s="61"/>
      <c r="G315" s="61"/>
      <c r="H315" s="61"/>
      <c r="I315" s="62">
        <f>IF(Source!F214=0, "", Source!F214)</f>
        <v>118016.52</v>
      </c>
      <c r="J315" s="62"/>
    </row>
    <row r="316" spans="1:22" hidden="1">
      <c r="C316" s="61" t="str">
        <f>Source!H215</f>
        <v>НДС 20%</v>
      </c>
      <c r="D316" s="61"/>
      <c r="E316" s="61"/>
      <c r="F316" s="61"/>
      <c r="G316" s="61"/>
      <c r="H316" s="61"/>
      <c r="I316" s="62">
        <f>IF(Source!F215=0, "", Source!F215)</f>
        <v>23603.3</v>
      </c>
      <c r="J316" s="62"/>
    </row>
    <row r="317" spans="1:22" hidden="1">
      <c r="C317" s="61" t="str">
        <f>Source!H216</f>
        <v>Всего с НДС</v>
      </c>
      <c r="D317" s="61"/>
      <c r="E317" s="61"/>
      <c r="F317" s="61"/>
      <c r="G317" s="61"/>
      <c r="H317" s="61"/>
      <c r="I317" s="62">
        <f>IF(Source!F216=0, "", Source!F216)</f>
        <v>141619.82</v>
      </c>
      <c r="J317" s="62"/>
    </row>
    <row r="318" spans="1:22" hidden="1"/>
    <row r="319" spans="1:22" ht="15" hidden="1">
      <c r="A319" s="67" t="str">
        <f>CONCATENATE("Раздел: ",IF(Source!G218&lt;&gt;"Новый раздел", Source!G218, ""))</f>
        <v>Раздел: Декоративное украшение территори озеленения</v>
      </c>
      <c r="B319" s="67"/>
      <c r="C319" s="67"/>
      <c r="D319" s="67"/>
      <c r="E319" s="67"/>
      <c r="F319" s="67"/>
      <c r="G319" s="67"/>
      <c r="H319" s="67"/>
      <c r="I319" s="67"/>
      <c r="J319" s="67"/>
      <c r="K319" s="67"/>
    </row>
    <row r="320" spans="1:22" ht="42.75">
      <c r="A320" s="17" t="str">
        <f>Source!E222</f>
        <v>29</v>
      </c>
      <c r="B320" s="18" t="str">
        <f>Source!F222</f>
        <v>5.4-1201-2-1/1</v>
      </c>
      <c r="C320" s="18" t="str">
        <f>Source!G222</f>
        <v>Укрытие цветников и газонов мульчирующими материалами вручную, толщина слоя 2 см</v>
      </c>
      <c r="D320" s="19" t="str">
        <f>Source!H222</f>
        <v>100 м2</v>
      </c>
      <c r="E320" s="13">
        <f>Source!I222</f>
        <v>0.48</v>
      </c>
      <c r="F320" s="21"/>
      <c r="G320" s="20"/>
      <c r="H320" s="13"/>
      <c r="I320" s="13"/>
      <c r="J320" s="23"/>
      <c r="K320" s="23"/>
      <c r="Q320" s="8">
        <f>ROUND((Source!BZ222/100)*ROUND((Source!AF222*Source!AV222)*Source!I222, 2), 2)</f>
        <v>133.13</v>
      </c>
      <c r="R320" s="8">
        <f>Source!X222</f>
        <v>133.13</v>
      </c>
      <c r="S320" s="8">
        <f>ROUND((Source!CA222/100)*ROUND((Source!AF222*Source!AV222)*Source!I222, 2), 2)</f>
        <v>19.02</v>
      </c>
      <c r="T320" s="8">
        <f>Source!Y222</f>
        <v>19.02</v>
      </c>
      <c r="U320" s="8">
        <f>ROUND((175/100)*ROUND((Source!AE222*Source!AV222)*Source!I222, 2), 2)</f>
        <v>0</v>
      </c>
      <c r="V320" s="8">
        <f>ROUND((108/100)*ROUND(Source!CS222*Source!I222, 2), 2)</f>
        <v>0</v>
      </c>
    </row>
    <row r="321" spans="1:22">
      <c r="C321" s="50" t="str">
        <f>"Объем: "&amp;Source!I222&amp;"=48/"&amp;"100"</f>
        <v>Объем: 0,48=48/100</v>
      </c>
    </row>
    <row r="322" spans="1:22">
      <c r="A322" s="17"/>
      <c r="B322" s="18"/>
      <c r="C322" s="18" t="s">
        <v>365</v>
      </c>
      <c r="D322" s="19"/>
      <c r="E322" s="13"/>
      <c r="F322" s="21">
        <f>Source!AO222</f>
        <v>396.23</v>
      </c>
      <c r="G322" s="20" t="str">
        <f>Source!DG222</f>
        <v/>
      </c>
      <c r="H322" s="13">
        <f>Source!AV222</f>
        <v>1</v>
      </c>
      <c r="I322" s="13">
        <f>IF(Source!BA222&lt;&gt; 0, Source!BA222, 1)</f>
        <v>1</v>
      </c>
      <c r="J322" s="23">
        <f>Source!S222</f>
        <v>190.19</v>
      </c>
      <c r="K322" s="23"/>
    </row>
    <row r="323" spans="1:22">
      <c r="A323" s="17"/>
      <c r="B323" s="18"/>
      <c r="C323" s="18" t="s">
        <v>374</v>
      </c>
      <c r="D323" s="19"/>
      <c r="E323" s="13"/>
      <c r="F323" s="21">
        <f>Source!AL222</f>
        <v>5242.8</v>
      </c>
      <c r="G323" s="20" t="str">
        <f>Source!DD222</f>
        <v/>
      </c>
      <c r="H323" s="13">
        <f>Source!AW222</f>
        <v>1</v>
      </c>
      <c r="I323" s="13">
        <f>IF(Source!BC222&lt;&gt; 0, Source!BC222, 1)</f>
        <v>1</v>
      </c>
      <c r="J323" s="23">
        <f>Source!P222</f>
        <v>2516.54</v>
      </c>
      <c r="K323" s="23"/>
    </row>
    <row r="324" spans="1:22">
      <c r="A324" s="17"/>
      <c r="B324" s="18"/>
      <c r="C324" s="18" t="s">
        <v>368</v>
      </c>
      <c r="D324" s="19" t="s">
        <v>369</v>
      </c>
      <c r="E324" s="13">
        <f>Source!AT222</f>
        <v>70</v>
      </c>
      <c r="F324" s="21"/>
      <c r="G324" s="20"/>
      <c r="H324" s="13"/>
      <c r="I324" s="13"/>
      <c r="J324" s="23">
        <f>SUM(R320:R323)</f>
        <v>133.13</v>
      </c>
      <c r="K324" s="23"/>
    </row>
    <row r="325" spans="1:22">
      <c r="A325" s="17"/>
      <c r="B325" s="18"/>
      <c r="C325" s="18" t="s">
        <v>370</v>
      </c>
      <c r="D325" s="19" t="s">
        <v>369</v>
      </c>
      <c r="E325" s="13">
        <f>Source!AU222</f>
        <v>10</v>
      </c>
      <c r="F325" s="21"/>
      <c r="G325" s="20"/>
      <c r="H325" s="13"/>
      <c r="I325" s="13"/>
      <c r="J325" s="23">
        <f>SUM(T320:T324)</f>
        <v>19.02</v>
      </c>
      <c r="K325" s="23"/>
    </row>
    <row r="326" spans="1:22">
      <c r="A326" s="17"/>
      <c r="B326" s="18"/>
      <c r="C326" s="18" t="s">
        <v>372</v>
      </c>
      <c r="D326" s="19" t="s">
        <v>373</v>
      </c>
      <c r="E326" s="13">
        <f>Source!AQ222</f>
        <v>1.96</v>
      </c>
      <c r="F326" s="21"/>
      <c r="G326" s="20" t="str">
        <f>Source!DI222</f>
        <v/>
      </c>
      <c r="H326" s="13">
        <f>Source!AV222</f>
        <v>1</v>
      </c>
      <c r="I326" s="13"/>
      <c r="J326" s="23"/>
      <c r="K326" s="23">
        <f>Source!U222</f>
        <v>0.94079999999999997</v>
      </c>
    </row>
    <row r="327" spans="1:22" ht="15">
      <c r="A327" s="51"/>
      <c r="B327" s="51"/>
      <c r="C327" s="51"/>
      <c r="D327" s="55"/>
      <c r="E327" s="51"/>
      <c r="F327" s="51"/>
      <c r="G327" s="51"/>
      <c r="H327" s="51"/>
      <c r="I327" s="68">
        <f>J322+J323+J324+J325</f>
        <v>2858.88</v>
      </c>
      <c r="J327" s="68"/>
      <c r="K327" s="24">
        <f>IF(Source!I222&lt;&gt;0, ROUND(I327/Source!I222, 2), 0)</f>
        <v>5956</v>
      </c>
      <c r="P327" s="52">
        <f>I327</f>
        <v>2858.88</v>
      </c>
    </row>
    <row r="328" spans="1:22" ht="57">
      <c r="A328" s="17" t="str">
        <f>Source!E223</f>
        <v>30</v>
      </c>
      <c r="B328" s="18" t="str">
        <f>Source!F223</f>
        <v>5.4-1201-2-3/1</v>
      </c>
      <c r="C328" s="18" t="str">
        <f>Source!G223</f>
        <v>Укрытие цветников и газонов мульчирующими материалами вручную, добавлять на каждый 1 см толщины слоя сверх 2 см</v>
      </c>
      <c r="D328" s="19" t="str">
        <f>Source!H223</f>
        <v>100 м2</v>
      </c>
      <c r="E328" s="13">
        <f>Source!I223</f>
        <v>0.48</v>
      </c>
      <c r="F328" s="21"/>
      <c r="G328" s="20"/>
      <c r="H328" s="13"/>
      <c r="I328" s="13"/>
      <c r="J328" s="23"/>
      <c r="K328" s="23"/>
      <c r="Q328" s="8">
        <f>ROUND((Source!BZ223/100)*ROUND((Source!AF223*Source!AV223)*Source!I223, 2), 2)</f>
        <v>154.86000000000001</v>
      </c>
      <c r="R328" s="8">
        <f>Source!X223</f>
        <v>154.86000000000001</v>
      </c>
      <c r="S328" s="8">
        <f>ROUND((Source!CA223/100)*ROUND((Source!AF223*Source!AV223)*Source!I223, 2), 2)</f>
        <v>22.12</v>
      </c>
      <c r="T328" s="8">
        <f>Source!Y223</f>
        <v>22.12</v>
      </c>
      <c r="U328" s="8">
        <f>ROUND((175/100)*ROUND((Source!AE223*Source!AV223)*Source!I223, 2), 2)</f>
        <v>0</v>
      </c>
      <c r="V328" s="8">
        <f>ROUND((108/100)*ROUND(Source!CS223*Source!I223, 2), 2)</f>
        <v>0</v>
      </c>
    </row>
    <row r="329" spans="1:22">
      <c r="C329" s="50" t="str">
        <f>"Объем: "&amp;Source!I223&amp;"=48/"&amp;"100"</f>
        <v>Объем: 0,48=48/100</v>
      </c>
    </row>
    <row r="330" spans="1:22">
      <c r="A330" s="17"/>
      <c r="B330" s="18"/>
      <c r="C330" s="18" t="s">
        <v>365</v>
      </c>
      <c r="D330" s="19"/>
      <c r="E330" s="13"/>
      <c r="F330" s="21">
        <f>Source!AO223</f>
        <v>153.63</v>
      </c>
      <c r="G330" s="20" t="str">
        <f>Source!DG223</f>
        <v>*3</v>
      </c>
      <c r="H330" s="13">
        <f>Source!AV223</f>
        <v>1</v>
      </c>
      <c r="I330" s="13">
        <f>IF(Source!BA223&lt;&gt; 0, Source!BA223, 1)</f>
        <v>1</v>
      </c>
      <c r="J330" s="23">
        <f>Source!S223</f>
        <v>221.23</v>
      </c>
      <c r="K330" s="23"/>
    </row>
    <row r="331" spans="1:22">
      <c r="A331" s="17"/>
      <c r="B331" s="18"/>
      <c r="C331" s="18" t="s">
        <v>374</v>
      </c>
      <c r="D331" s="19"/>
      <c r="E331" s="13"/>
      <c r="F331" s="21">
        <f>Source!AL223</f>
        <v>2621.4</v>
      </c>
      <c r="G331" s="20" t="str">
        <f>Source!DD223</f>
        <v>*3</v>
      </c>
      <c r="H331" s="13">
        <f>Source!AW223</f>
        <v>1</v>
      </c>
      <c r="I331" s="13">
        <f>IF(Source!BC223&lt;&gt; 0, Source!BC223, 1)</f>
        <v>1</v>
      </c>
      <c r="J331" s="23">
        <f>Source!P223</f>
        <v>3774.82</v>
      </c>
      <c r="K331" s="23"/>
    </row>
    <row r="332" spans="1:22">
      <c r="A332" s="17"/>
      <c r="B332" s="18"/>
      <c r="C332" s="18" t="s">
        <v>368</v>
      </c>
      <c r="D332" s="19" t="s">
        <v>369</v>
      </c>
      <c r="E332" s="13">
        <f>Source!AT223</f>
        <v>70</v>
      </c>
      <c r="F332" s="21"/>
      <c r="G332" s="20"/>
      <c r="H332" s="13"/>
      <c r="I332" s="13"/>
      <c r="J332" s="23">
        <f>SUM(R328:R331)</f>
        <v>154.86000000000001</v>
      </c>
      <c r="K332" s="23"/>
    </row>
    <row r="333" spans="1:22">
      <c r="A333" s="17"/>
      <c r="B333" s="18"/>
      <c r="C333" s="18" t="s">
        <v>370</v>
      </c>
      <c r="D333" s="19" t="s">
        <v>369</v>
      </c>
      <c r="E333" s="13">
        <f>Source!AU223</f>
        <v>10</v>
      </c>
      <c r="F333" s="21"/>
      <c r="G333" s="20"/>
      <c r="H333" s="13"/>
      <c r="I333" s="13"/>
      <c r="J333" s="23">
        <f>SUM(T328:T332)</f>
        <v>22.12</v>
      </c>
      <c r="K333" s="23"/>
    </row>
    <row r="334" spans="1:22">
      <c r="A334" s="17"/>
      <c r="B334" s="18"/>
      <c r="C334" s="18" t="s">
        <v>372</v>
      </c>
      <c r="D334" s="19" t="s">
        <v>373</v>
      </c>
      <c r="E334" s="13">
        <f>Source!AQ223</f>
        <v>0.85</v>
      </c>
      <c r="F334" s="21"/>
      <c r="G334" s="20" t="str">
        <f>Source!DI223</f>
        <v>*3</v>
      </c>
      <c r="H334" s="13">
        <f>Source!AV223</f>
        <v>1</v>
      </c>
      <c r="I334" s="13"/>
      <c r="J334" s="23"/>
      <c r="K334" s="23">
        <f>Source!U223</f>
        <v>1.224</v>
      </c>
    </row>
    <row r="335" spans="1:22" ht="15">
      <c r="A335" s="51"/>
      <c r="B335" s="51"/>
      <c r="C335" s="51"/>
      <c r="D335" s="55"/>
      <c r="E335" s="51"/>
      <c r="F335" s="51"/>
      <c r="G335" s="51"/>
      <c r="H335" s="51"/>
      <c r="I335" s="68">
        <f>J330+J331+J332+J333</f>
        <v>4173.03</v>
      </c>
      <c r="J335" s="68"/>
      <c r="K335" s="24">
        <f>IF(Source!I223&lt;&gt;0, ROUND(I335/Source!I223, 2), 0)</f>
        <v>8693.81</v>
      </c>
      <c r="P335" s="52">
        <f>I335</f>
        <v>4173.03</v>
      </c>
    </row>
    <row r="336" spans="1:22" ht="28.5">
      <c r="A336" s="17" t="str">
        <f>Source!E224</f>
        <v>31</v>
      </c>
      <c r="B336" s="18" t="str">
        <f>Source!F224</f>
        <v>5.3-3103-9-3/1</v>
      </c>
      <c r="C336" s="18" t="str">
        <f>Source!G224</f>
        <v>Устройство бордюра из мелкоштучных камней, установленных на ребро, для клумб</v>
      </c>
      <c r="D336" s="19" t="str">
        <f>Source!H224</f>
        <v>100 м</v>
      </c>
      <c r="E336" s="13">
        <f>Source!I224</f>
        <v>0.5</v>
      </c>
      <c r="F336" s="21"/>
      <c r="G336" s="20"/>
      <c r="H336" s="13"/>
      <c r="I336" s="13"/>
      <c r="J336" s="23"/>
      <c r="K336" s="23"/>
      <c r="Q336" s="8">
        <f>ROUND((Source!BZ224/100)*ROUND((Source!AF224*Source!AV224)*Source!I224, 2), 2)</f>
        <v>8799.92</v>
      </c>
      <c r="R336" s="8">
        <f>Source!X224</f>
        <v>8799.92</v>
      </c>
      <c r="S336" s="8">
        <f>ROUND((Source!CA224/100)*ROUND((Source!AF224*Source!AV224)*Source!I224, 2), 2)</f>
        <v>1257.1300000000001</v>
      </c>
      <c r="T336" s="8">
        <f>Source!Y224</f>
        <v>1257.1300000000001</v>
      </c>
      <c r="U336" s="8">
        <f>ROUND((175/100)*ROUND((Source!AE224*Source!AV224)*Source!I224, 2), 2)</f>
        <v>409.8</v>
      </c>
      <c r="V336" s="8">
        <f>ROUND((108/100)*ROUND(Source!CS224*Source!I224, 2), 2)</f>
        <v>252.9</v>
      </c>
    </row>
    <row r="337" spans="1:16">
      <c r="C337" s="50" t="str">
        <f>"Объем: "&amp;Source!I224&amp;"=50/"&amp;"100"</f>
        <v>Объем: 0,5=50/100</v>
      </c>
    </row>
    <row r="338" spans="1:16">
      <c r="A338" s="17"/>
      <c r="B338" s="18"/>
      <c r="C338" s="18" t="s">
        <v>365</v>
      </c>
      <c r="D338" s="19"/>
      <c r="E338" s="13"/>
      <c r="F338" s="21">
        <f>Source!AO224</f>
        <v>25142.639999999999</v>
      </c>
      <c r="G338" s="20" t="str">
        <f>Source!DG224</f>
        <v/>
      </c>
      <c r="H338" s="13">
        <f>Source!AV224</f>
        <v>1</v>
      </c>
      <c r="I338" s="13">
        <f>IF(Source!BA224&lt;&gt; 0, Source!BA224, 1)</f>
        <v>1</v>
      </c>
      <c r="J338" s="23">
        <f>Source!S224</f>
        <v>12571.32</v>
      </c>
      <c r="K338" s="23"/>
    </row>
    <row r="339" spans="1:16">
      <c r="A339" s="17"/>
      <c r="B339" s="18"/>
      <c r="C339" s="18" t="s">
        <v>366</v>
      </c>
      <c r="D339" s="19"/>
      <c r="E339" s="13"/>
      <c r="F339" s="21">
        <f>Source!AM224</f>
        <v>762.81</v>
      </c>
      <c r="G339" s="20" t="str">
        <f>Source!DE224</f>
        <v/>
      </c>
      <c r="H339" s="13">
        <f>Source!AV224</f>
        <v>1</v>
      </c>
      <c r="I339" s="13">
        <f>IF(Source!BB224&lt;&gt; 0, Source!BB224, 1)</f>
        <v>1</v>
      </c>
      <c r="J339" s="23">
        <f>Source!Q224</f>
        <v>381.41</v>
      </c>
      <c r="K339" s="23"/>
    </row>
    <row r="340" spans="1:16">
      <c r="A340" s="17"/>
      <c r="B340" s="18"/>
      <c r="C340" s="18" t="s">
        <v>367</v>
      </c>
      <c r="D340" s="19"/>
      <c r="E340" s="13"/>
      <c r="F340" s="21">
        <f>Source!AN224</f>
        <v>468.34</v>
      </c>
      <c r="G340" s="20" t="str">
        <f>Source!DF224</f>
        <v/>
      </c>
      <c r="H340" s="13">
        <f>Source!AV224</f>
        <v>1</v>
      </c>
      <c r="I340" s="13">
        <f>IF(Source!BS224&lt;&gt; 0, Source!BS224, 1)</f>
        <v>1</v>
      </c>
      <c r="J340" s="22">
        <f>Source!R224</f>
        <v>234.17</v>
      </c>
      <c r="K340" s="23"/>
    </row>
    <row r="341" spans="1:16">
      <c r="A341" s="17"/>
      <c r="B341" s="18"/>
      <c r="C341" s="18" t="s">
        <v>374</v>
      </c>
      <c r="D341" s="19"/>
      <c r="E341" s="13"/>
      <c r="F341" s="21">
        <f>Source!AL224</f>
        <v>79886.62</v>
      </c>
      <c r="G341" s="20" t="str">
        <f>Source!DD224</f>
        <v/>
      </c>
      <c r="H341" s="13">
        <f>Source!AW224</f>
        <v>1</v>
      </c>
      <c r="I341" s="13">
        <f>IF(Source!BC224&lt;&gt; 0, Source!BC224, 1)</f>
        <v>1</v>
      </c>
      <c r="J341" s="23">
        <f>Source!P224</f>
        <v>39943.31</v>
      </c>
      <c r="K341" s="23"/>
    </row>
    <row r="342" spans="1:16">
      <c r="A342" s="17"/>
      <c r="B342" s="18"/>
      <c r="C342" s="18" t="s">
        <v>368</v>
      </c>
      <c r="D342" s="19" t="s">
        <v>369</v>
      </c>
      <c r="E342" s="13">
        <f>Source!AT224</f>
        <v>70</v>
      </c>
      <c r="F342" s="21"/>
      <c r="G342" s="20"/>
      <c r="H342" s="13"/>
      <c r="I342" s="13"/>
      <c r="J342" s="23">
        <f>SUM(R336:R341)</f>
        <v>8799.92</v>
      </c>
      <c r="K342" s="23"/>
    </row>
    <row r="343" spans="1:16">
      <c r="A343" s="17"/>
      <c r="B343" s="18"/>
      <c r="C343" s="18" t="s">
        <v>370</v>
      </c>
      <c r="D343" s="19" t="s">
        <v>369</v>
      </c>
      <c r="E343" s="13">
        <f>Source!AU224</f>
        <v>10</v>
      </c>
      <c r="F343" s="21"/>
      <c r="G343" s="20"/>
      <c r="H343" s="13"/>
      <c r="I343" s="13"/>
      <c r="J343" s="23">
        <f>SUM(T336:T342)</f>
        <v>1257.1300000000001</v>
      </c>
      <c r="K343" s="23"/>
    </row>
    <row r="344" spans="1:16">
      <c r="A344" s="17"/>
      <c r="B344" s="18"/>
      <c r="C344" s="18" t="s">
        <v>371</v>
      </c>
      <c r="D344" s="19" t="s">
        <v>369</v>
      </c>
      <c r="E344" s="13">
        <f>108</f>
        <v>108</v>
      </c>
      <c r="F344" s="21"/>
      <c r="G344" s="20"/>
      <c r="H344" s="13"/>
      <c r="I344" s="13"/>
      <c r="J344" s="23">
        <f>SUM(V336:V343)</f>
        <v>252.9</v>
      </c>
      <c r="K344" s="23"/>
    </row>
    <row r="345" spans="1:16">
      <c r="A345" s="17"/>
      <c r="B345" s="18"/>
      <c r="C345" s="18" t="s">
        <v>372</v>
      </c>
      <c r="D345" s="19" t="s">
        <v>373</v>
      </c>
      <c r="E345" s="13">
        <f>Source!AQ224</f>
        <v>124.37</v>
      </c>
      <c r="F345" s="21"/>
      <c r="G345" s="20" t="str">
        <f>Source!DI224</f>
        <v/>
      </c>
      <c r="H345" s="13">
        <f>Source!AV224</f>
        <v>1</v>
      </c>
      <c r="I345" s="13"/>
      <c r="J345" s="23"/>
      <c r="K345" s="23">
        <f>Source!U224</f>
        <v>62.185000000000002</v>
      </c>
    </row>
    <row r="346" spans="1:16" ht="15">
      <c r="A346" s="51"/>
      <c r="B346" s="51"/>
      <c r="C346" s="51"/>
      <c r="D346" s="55"/>
      <c r="E346" s="51"/>
      <c r="F346" s="51"/>
      <c r="G346" s="51"/>
      <c r="H346" s="51"/>
      <c r="I346" s="68">
        <f>J338+J339+J341+J342+J343+J344</f>
        <v>63205.989999999991</v>
      </c>
      <c r="J346" s="68"/>
      <c r="K346" s="24">
        <f>IF(Source!I224&lt;&gt;0, ROUND(I346/Source!I224, 2), 0)</f>
        <v>126411.98</v>
      </c>
      <c r="P346" s="52">
        <f>I346</f>
        <v>63205.989999999991</v>
      </c>
    </row>
    <row r="347" spans="1:16" hidden="1"/>
    <row r="348" spans="1:16" ht="15" hidden="1">
      <c r="A348" s="66" t="str">
        <f>CONCATENATE("Итого по разделу: ",IF(Source!G226&lt;&gt;"Новый раздел", Source!G226, ""))</f>
        <v>Итого по разделу: Декоративное украшение территори озеленения</v>
      </c>
      <c r="B348" s="66"/>
      <c r="C348" s="66"/>
      <c r="D348" s="66"/>
      <c r="E348" s="66"/>
      <c r="F348" s="66"/>
      <c r="G348" s="66"/>
      <c r="H348" s="66"/>
      <c r="I348" s="63">
        <f>SUM(P319:P347)</f>
        <v>70237.899999999994</v>
      </c>
      <c r="J348" s="65"/>
      <c r="K348" s="26"/>
    </row>
    <row r="349" spans="1:16" hidden="1"/>
    <row r="350" spans="1:16" hidden="1">
      <c r="C350" s="61" t="str">
        <f>Source!H254</f>
        <v>Итого</v>
      </c>
      <c r="D350" s="61"/>
      <c r="E350" s="61"/>
      <c r="F350" s="61"/>
      <c r="G350" s="61"/>
      <c r="H350" s="61"/>
      <c r="I350" s="62">
        <f>IF(Source!F254=0, "", Source!F254)</f>
        <v>70237.899999999994</v>
      </c>
      <c r="J350" s="62"/>
    </row>
    <row r="351" spans="1:16" hidden="1">
      <c r="C351" s="61" t="str">
        <f>Source!H255</f>
        <v>НДС 20%</v>
      </c>
      <c r="D351" s="61"/>
      <c r="E351" s="61"/>
      <c r="F351" s="61"/>
      <c r="G351" s="61"/>
      <c r="H351" s="61"/>
      <c r="I351" s="62">
        <f>IF(Source!F255=0, "", Source!F255)</f>
        <v>14047.58</v>
      </c>
      <c r="J351" s="62"/>
    </row>
    <row r="352" spans="1:16" hidden="1">
      <c r="C352" s="61" t="str">
        <f>Source!H256</f>
        <v>Всего с НДС</v>
      </c>
      <c r="D352" s="61"/>
      <c r="E352" s="61"/>
      <c r="F352" s="61"/>
      <c r="G352" s="61"/>
      <c r="H352" s="61"/>
      <c r="I352" s="62">
        <f>IF(Source!F256=0, "", Source!F256)</f>
        <v>84285.48</v>
      </c>
      <c r="J352" s="62"/>
    </row>
    <row r="353" spans="1:22" hidden="1"/>
    <row r="354" spans="1:22" ht="15" hidden="1">
      <c r="A354" s="67" t="str">
        <f>CONCATENATE("Раздел: ",IF(Source!G258&lt;&gt;"Новый раздел", Source!G258, ""))</f>
        <v>Раздел: Ремонт газона (посевной) - 550м2 ( вокруг цветника с кустами и деревьями)</v>
      </c>
      <c r="B354" s="67"/>
      <c r="C354" s="67"/>
      <c r="D354" s="67"/>
      <c r="E354" s="67"/>
      <c r="F354" s="67"/>
      <c r="G354" s="67"/>
      <c r="H354" s="67"/>
      <c r="I354" s="67"/>
      <c r="J354" s="67"/>
      <c r="K354" s="67"/>
    </row>
    <row r="355" spans="1:22" ht="57">
      <c r="A355" s="17" t="str">
        <f>Source!E262</f>
        <v>32</v>
      </c>
      <c r="B355" s="18" t="str">
        <f>Source!F262</f>
        <v>5.4-3203-3-3/1</v>
      </c>
      <c r="C355" s="18" t="str">
        <f>Source!G262</f>
        <v>Подготовка почвы для устройства партерного и обыкновенного газонов с внесением растительной земли слоем 15 см механизированным способом</v>
      </c>
      <c r="D355" s="19" t="str">
        <f>Source!H262</f>
        <v>100 м2</v>
      </c>
      <c r="E355" s="13">
        <f>Source!I262</f>
        <v>4.125</v>
      </c>
      <c r="F355" s="21"/>
      <c r="G355" s="20"/>
      <c r="H355" s="13"/>
      <c r="I355" s="13"/>
      <c r="J355" s="23"/>
      <c r="K355" s="23"/>
      <c r="Q355" s="8">
        <f>ROUND((Source!BZ262/100)*ROUND((Source!AF262*Source!AV262)*Source!I262, 2), 2)</f>
        <v>16454.77</v>
      </c>
      <c r="R355" s="8">
        <f>Source!X262</f>
        <v>16454.77</v>
      </c>
      <c r="S355" s="8">
        <f>ROUND((Source!CA262/100)*ROUND((Source!AF262*Source!AV262)*Source!I262, 2), 2)</f>
        <v>2350.6799999999998</v>
      </c>
      <c r="T355" s="8">
        <f>Source!Y262</f>
        <v>2350.6799999999998</v>
      </c>
      <c r="U355" s="8">
        <f>ROUND((175/100)*ROUND((Source!AE262*Source!AV262)*Source!I262, 2), 2)</f>
        <v>160.47999999999999</v>
      </c>
      <c r="V355" s="8">
        <f>ROUND((108/100)*ROUND(Source!CS262*Source!I262, 2), 2)</f>
        <v>99.04</v>
      </c>
    </row>
    <row r="356" spans="1:22">
      <c r="C356" s="50" t="str">
        <f>"Объем: "&amp;Source!I262&amp;"=550*"&amp;"0,75/"&amp;"100"</f>
        <v>Объем: 4,125=550*0,75/100</v>
      </c>
    </row>
    <row r="357" spans="1:22">
      <c r="A357" s="17"/>
      <c r="B357" s="18"/>
      <c r="C357" s="18" t="s">
        <v>365</v>
      </c>
      <c r="D357" s="19"/>
      <c r="E357" s="13"/>
      <c r="F357" s="21">
        <f>Source!AO262</f>
        <v>5698.62</v>
      </c>
      <c r="G357" s="20" t="str">
        <f>Source!DG262</f>
        <v/>
      </c>
      <c r="H357" s="13">
        <f>Source!AV262</f>
        <v>1</v>
      </c>
      <c r="I357" s="13">
        <f>IF(Source!BA262&lt;&gt; 0, Source!BA262, 1)</f>
        <v>1</v>
      </c>
      <c r="J357" s="23">
        <f>Source!S262</f>
        <v>23506.81</v>
      </c>
      <c r="K357" s="23"/>
    </row>
    <row r="358" spans="1:22">
      <c r="A358" s="17"/>
      <c r="B358" s="18"/>
      <c r="C358" s="18" t="s">
        <v>366</v>
      </c>
      <c r="D358" s="19"/>
      <c r="E358" s="13"/>
      <c r="F358" s="21">
        <f>Source!AM262</f>
        <v>60.76</v>
      </c>
      <c r="G358" s="20" t="str">
        <f>Source!DE262</f>
        <v/>
      </c>
      <c r="H358" s="13">
        <f>Source!AV262</f>
        <v>1</v>
      </c>
      <c r="I358" s="13">
        <f>IF(Source!BB262&lt;&gt; 0, Source!BB262, 1)</f>
        <v>1</v>
      </c>
      <c r="J358" s="23">
        <f>Source!Q262</f>
        <v>250.64</v>
      </c>
      <c r="K358" s="23"/>
    </row>
    <row r="359" spans="1:22">
      <c r="A359" s="17"/>
      <c r="B359" s="18"/>
      <c r="C359" s="18" t="s">
        <v>367</v>
      </c>
      <c r="D359" s="19"/>
      <c r="E359" s="13"/>
      <c r="F359" s="21">
        <f>Source!AN262</f>
        <v>22.23</v>
      </c>
      <c r="G359" s="20" t="str">
        <f>Source!DF262</f>
        <v/>
      </c>
      <c r="H359" s="13">
        <f>Source!AV262</f>
        <v>1</v>
      </c>
      <c r="I359" s="13">
        <f>IF(Source!BS262&lt;&gt; 0, Source!BS262, 1)</f>
        <v>1</v>
      </c>
      <c r="J359" s="22">
        <f>Source!R262</f>
        <v>91.7</v>
      </c>
      <c r="K359" s="23"/>
    </row>
    <row r="360" spans="1:22">
      <c r="A360" s="17"/>
      <c r="B360" s="18"/>
      <c r="C360" s="18" t="s">
        <v>374</v>
      </c>
      <c r="D360" s="19"/>
      <c r="E360" s="13"/>
      <c r="F360" s="21">
        <f>Source!AL262</f>
        <v>11305.05</v>
      </c>
      <c r="G360" s="20" t="str">
        <f>Source!DD262</f>
        <v/>
      </c>
      <c r="H360" s="13">
        <f>Source!AW262</f>
        <v>1</v>
      </c>
      <c r="I360" s="13">
        <f>IF(Source!BC262&lt;&gt; 0, Source!BC262, 1)</f>
        <v>1</v>
      </c>
      <c r="J360" s="23">
        <f>Source!P262</f>
        <v>46633.33</v>
      </c>
      <c r="K360" s="23"/>
    </row>
    <row r="361" spans="1:22">
      <c r="A361" s="17"/>
      <c r="B361" s="18"/>
      <c r="C361" s="18" t="s">
        <v>368</v>
      </c>
      <c r="D361" s="19" t="s">
        <v>369</v>
      </c>
      <c r="E361" s="13">
        <f>Source!AT262</f>
        <v>70</v>
      </c>
      <c r="F361" s="21"/>
      <c r="G361" s="20"/>
      <c r="H361" s="13"/>
      <c r="I361" s="13"/>
      <c r="J361" s="23">
        <f>SUM(R355:R360)</f>
        <v>16454.77</v>
      </c>
      <c r="K361" s="23"/>
    </row>
    <row r="362" spans="1:22">
      <c r="A362" s="17"/>
      <c r="B362" s="18"/>
      <c r="C362" s="18" t="s">
        <v>370</v>
      </c>
      <c r="D362" s="19" t="s">
        <v>369</v>
      </c>
      <c r="E362" s="13">
        <f>Source!AU262</f>
        <v>10</v>
      </c>
      <c r="F362" s="21"/>
      <c r="G362" s="20"/>
      <c r="H362" s="13"/>
      <c r="I362" s="13"/>
      <c r="J362" s="23">
        <f>SUM(T355:T361)</f>
        <v>2350.6799999999998</v>
      </c>
      <c r="K362" s="23"/>
    </row>
    <row r="363" spans="1:22">
      <c r="A363" s="17"/>
      <c r="B363" s="18"/>
      <c r="C363" s="18" t="s">
        <v>371</v>
      </c>
      <c r="D363" s="19" t="s">
        <v>369</v>
      </c>
      <c r="E363" s="13">
        <f>108</f>
        <v>108</v>
      </c>
      <c r="F363" s="21"/>
      <c r="G363" s="20"/>
      <c r="H363" s="13"/>
      <c r="I363" s="13"/>
      <c r="J363" s="23">
        <f>SUM(V355:V362)</f>
        <v>99.04</v>
      </c>
      <c r="K363" s="23"/>
    </row>
    <row r="364" spans="1:22">
      <c r="A364" s="17"/>
      <c r="B364" s="18"/>
      <c r="C364" s="18" t="s">
        <v>372</v>
      </c>
      <c r="D364" s="19" t="s">
        <v>373</v>
      </c>
      <c r="E364" s="13">
        <f>Source!AQ262</f>
        <v>30.8</v>
      </c>
      <c r="F364" s="21"/>
      <c r="G364" s="20" t="str">
        <f>Source!DI262</f>
        <v/>
      </c>
      <c r="H364" s="13">
        <f>Source!AV262</f>
        <v>1</v>
      </c>
      <c r="I364" s="13"/>
      <c r="J364" s="23"/>
      <c r="K364" s="23">
        <f>Source!U262</f>
        <v>127.05</v>
      </c>
    </row>
    <row r="365" spans="1:22" ht="15">
      <c r="A365" s="51"/>
      <c r="B365" s="51"/>
      <c r="C365" s="51"/>
      <c r="D365" s="55"/>
      <c r="E365" s="51"/>
      <c r="F365" s="51"/>
      <c r="G365" s="51"/>
      <c r="H365" s="51"/>
      <c r="I365" s="68">
        <f>J357+J358+J360+J361+J362+J363</f>
        <v>89295.26999999999</v>
      </c>
      <c r="J365" s="68"/>
      <c r="K365" s="24">
        <f>IF(Source!I262&lt;&gt;0, ROUND(I365/Source!I262, 2), 0)</f>
        <v>21647.34</v>
      </c>
      <c r="P365" s="52">
        <f>I365</f>
        <v>89295.26999999999</v>
      </c>
    </row>
    <row r="366" spans="1:22" ht="57">
      <c r="A366" s="17" t="str">
        <f>Source!E263</f>
        <v>33</v>
      </c>
      <c r="B366" s="18" t="str">
        <f>Source!F263</f>
        <v>5.4-3203-3-4/1</v>
      </c>
      <c r="C366" s="18" t="str">
        <f>Source!G263</f>
        <v>Подготовка почвы для устройства партерного и обыкновенного газонов с внесением растительной земли слоем 15 см вручную</v>
      </c>
      <c r="D366" s="19" t="str">
        <f>Source!H263</f>
        <v>100 м2</v>
      </c>
      <c r="E366" s="13">
        <f>Source!I263</f>
        <v>1.375</v>
      </c>
      <c r="F366" s="21"/>
      <c r="G366" s="20"/>
      <c r="H366" s="13"/>
      <c r="I366" s="13"/>
      <c r="J366" s="23"/>
      <c r="K366" s="23"/>
      <c r="Q366" s="8">
        <f>ROUND((Source!BZ263/100)*ROUND((Source!AF263*Source!AV263)*Source!I263, 2), 2)</f>
        <v>8191.76</v>
      </c>
      <c r="R366" s="8">
        <f>Source!X263</f>
        <v>8191.76</v>
      </c>
      <c r="S366" s="8">
        <f>ROUND((Source!CA263/100)*ROUND((Source!AF263*Source!AV263)*Source!I263, 2), 2)</f>
        <v>1170.25</v>
      </c>
      <c r="T366" s="8">
        <f>Source!Y263</f>
        <v>1170.25</v>
      </c>
      <c r="U366" s="8">
        <f>ROUND((175/100)*ROUND((Source!AE263*Source!AV263)*Source!I263, 2), 2)</f>
        <v>0</v>
      </c>
      <c r="V366" s="8">
        <f>ROUND((108/100)*ROUND(Source!CS263*Source!I263, 2), 2)</f>
        <v>0</v>
      </c>
    </row>
    <row r="367" spans="1:22">
      <c r="C367" s="50" t="str">
        <f>"Объем: "&amp;Source!I263&amp;"=550*"&amp;"0,25/"&amp;"100"</f>
        <v>Объем: 1,375=550*0,25/100</v>
      </c>
    </row>
    <row r="368" spans="1:22">
      <c r="A368" s="17"/>
      <c r="B368" s="18"/>
      <c r="C368" s="18" t="s">
        <v>365</v>
      </c>
      <c r="D368" s="19"/>
      <c r="E368" s="13"/>
      <c r="F368" s="21">
        <f>Source!AO263</f>
        <v>8510.92</v>
      </c>
      <c r="G368" s="20" t="str">
        <f>Source!DG263</f>
        <v/>
      </c>
      <c r="H368" s="13">
        <f>Source!AV263</f>
        <v>1</v>
      </c>
      <c r="I368" s="13">
        <f>IF(Source!BA263&lt;&gt; 0, Source!BA263, 1)</f>
        <v>1</v>
      </c>
      <c r="J368" s="23">
        <f>Source!S263</f>
        <v>11702.52</v>
      </c>
      <c r="K368" s="23"/>
    </row>
    <row r="369" spans="1:22">
      <c r="A369" s="17"/>
      <c r="B369" s="18"/>
      <c r="C369" s="18" t="s">
        <v>374</v>
      </c>
      <c r="D369" s="19"/>
      <c r="E369" s="13"/>
      <c r="F369" s="21">
        <f>Source!AL263</f>
        <v>11305.05</v>
      </c>
      <c r="G369" s="20" t="str">
        <f>Source!DD263</f>
        <v/>
      </c>
      <c r="H369" s="13">
        <f>Source!AW263</f>
        <v>1</v>
      </c>
      <c r="I369" s="13">
        <f>IF(Source!BC263&lt;&gt; 0, Source!BC263, 1)</f>
        <v>1</v>
      </c>
      <c r="J369" s="23">
        <f>Source!P263</f>
        <v>15544.44</v>
      </c>
      <c r="K369" s="23"/>
    </row>
    <row r="370" spans="1:22">
      <c r="A370" s="17"/>
      <c r="B370" s="18"/>
      <c r="C370" s="18" t="s">
        <v>368</v>
      </c>
      <c r="D370" s="19" t="s">
        <v>369</v>
      </c>
      <c r="E370" s="13">
        <f>Source!AT263</f>
        <v>70</v>
      </c>
      <c r="F370" s="21"/>
      <c r="G370" s="20"/>
      <c r="H370" s="13"/>
      <c r="I370" s="13"/>
      <c r="J370" s="23">
        <f>SUM(R366:R369)</f>
        <v>8191.76</v>
      </c>
      <c r="K370" s="23"/>
    </row>
    <row r="371" spans="1:22">
      <c r="A371" s="17"/>
      <c r="B371" s="18"/>
      <c r="C371" s="18" t="s">
        <v>370</v>
      </c>
      <c r="D371" s="19" t="s">
        <v>369</v>
      </c>
      <c r="E371" s="13">
        <f>Source!AU263</f>
        <v>10</v>
      </c>
      <c r="F371" s="21"/>
      <c r="G371" s="20"/>
      <c r="H371" s="13"/>
      <c r="I371" s="13"/>
      <c r="J371" s="23">
        <f>SUM(T366:T370)</f>
        <v>1170.25</v>
      </c>
      <c r="K371" s="23"/>
    </row>
    <row r="372" spans="1:22">
      <c r="A372" s="17"/>
      <c r="B372" s="18"/>
      <c r="C372" s="18" t="s">
        <v>372</v>
      </c>
      <c r="D372" s="19" t="s">
        <v>373</v>
      </c>
      <c r="E372" s="13">
        <f>Source!AQ263</f>
        <v>46</v>
      </c>
      <c r="F372" s="21"/>
      <c r="G372" s="20" t="str">
        <f>Source!DI263</f>
        <v/>
      </c>
      <c r="H372" s="13">
        <f>Source!AV263</f>
        <v>1</v>
      </c>
      <c r="I372" s="13"/>
      <c r="J372" s="23"/>
      <c r="K372" s="23">
        <f>Source!U263</f>
        <v>63.25</v>
      </c>
    </row>
    <row r="373" spans="1:22" ht="15">
      <c r="A373" s="51"/>
      <c r="B373" s="51"/>
      <c r="C373" s="51"/>
      <c r="D373" s="55"/>
      <c r="E373" s="51"/>
      <c r="F373" s="51"/>
      <c r="G373" s="51"/>
      <c r="H373" s="51"/>
      <c r="I373" s="68">
        <f>J368+J369+J370+J371</f>
        <v>36608.97</v>
      </c>
      <c r="J373" s="68"/>
      <c r="K373" s="24">
        <f>IF(Source!I263&lt;&gt;0, ROUND(I373/Source!I263, 2), 0)</f>
        <v>26624.71</v>
      </c>
      <c r="P373" s="52">
        <f>I373</f>
        <v>36608.97</v>
      </c>
    </row>
    <row r="374" spans="1:22" ht="57">
      <c r="A374" s="17" t="str">
        <f>Source!E264</f>
        <v>34</v>
      </c>
      <c r="B374" s="18" t="str">
        <f>Source!F264</f>
        <v>5.4-3203-3-5/1</v>
      </c>
      <c r="C374" s="18" t="str">
        <f>Source!G264</f>
        <v>Подготовка почвы для устройства партерного и обыкновенного газонов на каждые 5 см изменения толщины слоя добавлять или исключать</v>
      </c>
      <c r="D374" s="19" t="str">
        <f>Source!H264</f>
        <v>100 м2</v>
      </c>
      <c r="E374" s="13">
        <f>Source!I264</f>
        <v>-5.5</v>
      </c>
      <c r="F374" s="21"/>
      <c r="G374" s="20"/>
      <c r="H374" s="13"/>
      <c r="I374" s="13"/>
      <c r="J374" s="23"/>
      <c r="K374" s="23"/>
      <c r="Q374" s="8">
        <f>ROUND((Source!BZ264/100)*ROUND((Source!AF264*Source!AV264)*Source!I264, 2), 2)</f>
        <v>-4480.55</v>
      </c>
      <c r="R374" s="8">
        <f>Source!X264</f>
        <v>-4480.55</v>
      </c>
      <c r="S374" s="8">
        <f>ROUND((Source!CA264/100)*ROUND((Source!AF264*Source!AV264)*Source!I264, 2), 2)</f>
        <v>-640.08000000000004</v>
      </c>
      <c r="T374" s="8">
        <f>Source!Y264</f>
        <v>-640.08000000000004</v>
      </c>
      <c r="U374" s="8">
        <f>ROUND((175/100)*ROUND((Source!AE264*Source!AV264)*Source!I264, 2), 2)</f>
        <v>0</v>
      </c>
      <c r="V374" s="8">
        <f>ROUND((108/100)*ROUND(Source!CS264*Source!I264, 2), 2)</f>
        <v>0</v>
      </c>
    </row>
    <row r="375" spans="1:22">
      <c r="C375" s="50" t="str">
        <f>"Объем: "&amp;Source!I264&amp;"=-"&amp;"550/"&amp;"100"</f>
        <v>Объем: -5,5=-550/100</v>
      </c>
    </row>
    <row r="376" spans="1:22">
      <c r="A376" s="17"/>
      <c r="B376" s="18"/>
      <c r="C376" s="18" t="s">
        <v>365</v>
      </c>
      <c r="D376" s="19"/>
      <c r="E376" s="13"/>
      <c r="F376" s="21">
        <f>Source!AO264</f>
        <v>1163.78</v>
      </c>
      <c r="G376" s="20" t="str">
        <f>Source!DG264</f>
        <v/>
      </c>
      <c r="H376" s="13">
        <f>Source!AV264</f>
        <v>1</v>
      </c>
      <c r="I376" s="13">
        <f>IF(Source!BA264&lt;&gt; 0, Source!BA264, 1)</f>
        <v>1</v>
      </c>
      <c r="J376" s="23">
        <f>Source!S264</f>
        <v>-6400.79</v>
      </c>
      <c r="K376" s="23"/>
    </row>
    <row r="377" spans="1:22">
      <c r="A377" s="17"/>
      <c r="B377" s="18"/>
      <c r="C377" s="18" t="s">
        <v>374</v>
      </c>
      <c r="D377" s="19"/>
      <c r="E377" s="13"/>
      <c r="F377" s="21">
        <f>Source!AL264</f>
        <v>3768.35</v>
      </c>
      <c r="G377" s="20" t="str">
        <f>Source!DD264</f>
        <v/>
      </c>
      <c r="H377" s="13">
        <f>Source!AW264</f>
        <v>1</v>
      </c>
      <c r="I377" s="13">
        <f>IF(Source!BC264&lt;&gt; 0, Source!BC264, 1)</f>
        <v>1</v>
      </c>
      <c r="J377" s="23">
        <f>Source!P264</f>
        <v>-20725.93</v>
      </c>
      <c r="K377" s="23"/>
    </row>
    <row r="378" spans="1:22">
      <c r="A378" s="17"/>
      <c r="B378" s="18"/>
      <c r="C378" s="18" t="s">
        <v>368</v>
      </c>
      <c r="D378" s="19" t="s">
        <v>369</v>
      </c>
      <c r="E378" s="13">
        <f>Source!AT264</f>
        <v>70</v>
      </c>
      <c r="F378" s="21"/>
      <c r="G378" s="20"/>
      <c r="H378" s="13"/>
      <c r="I378" s="13"/>
      <c r="J378" s="23">
        <f>SUM(R374:R377)</f>
        <v>-4480.55</v>
      </c>
      <c r="K378" s="23"/>
    </row>
    <row r="379" spans="1:22">
      <c r="A379" s="17"/>
      <c r="B379" s="18"/>
      <c r="C379" s="18" t="s">
        <v>370</v>
      </c>
      <c r="D379" s="19" t="s">
        <v>369</v>
      </c>
      <c r="E379" s="13">
        <f>Source!AU264</f>
        <v>10</v>
      </c>
      <c r="F379" s="21"/>
      <c r="G379" s="20"/>
      <c r="H379" s="13"/>
      <c r="I379" s="13"/>
      <c r="J379" s="23">
        <f>SUM(T374:T378)</f>
        <v>-640.08000000000004</v>
      </c>
      <c r="K379" s="23"/>
    </row>
    <row r="380" spans="1:22">
      <c r="A380" s="17"/>
      <c r="B380" s="18"/>
      <c r="C380" s="18" t="s">
        <v>372</v>
      </c>
      <c r="D380" s="19" t="s">
        <v>373</v>
      </c>
      <c r="E380" s="13">
        <f>Source!AQ264</f>
        <v>6.29</v>
      </c>
      <c r="F380" s="21"/>
      <c r="G380" s="20" t="str">
        <f>Source!DI264</f>
        <v/>
      </c>
      <c r="H380" s="13">
        <f>Source!AV264</f>
        <v>1</v>
      </c>
      <c r="I380" s="13"/>
      <c r="J380" s="23"/>
      <c r="K380" s="23">
        <f>Source!U264</f>
        <v>-34.594999999999999</v>
      </c>
    </row>
    <row r="381" spans="1:22" ht="15">
      <c r="A381" s="51"/>
      <c r="B381" s="51"/>
      <c r="C381" s="51"/>
      <c r="D381" s="55"/>
      <c r="E381" s="51"/>
      <c r="F381" s="51"/>
      <c r="G381" s="51"/>
      <c r="H381" s="51"/>
      <c r="I381" s="68">
        <f>J376+J377+J378+J379</f>
        <v>-32247.350000000002</v>
      </c>
      <c r="J381" s="68"/>
      <c r="K381" s="24">
        <f>IF(Source!I264&lt;&gt;0, ROUND(I381/Source!I264, 2), 0)</f>
        <v>5863.15</v>
      </c>
      <c r="P381" s="52">
        <f>I381</f>
        <v>-32247.350000000002</v>
      </c>
    </row>
    <row r="382" spans="1:22" ht="28.5">
      <c r="A382" s="17" t="str">
        <f>Source!E265</f>
        <v>35</v>
      </c>
      <c r="B382" s="18" t="str">
        <f>Source!F265</f>
        <v>5.4-3203-3-6/1</v>
      </c>
      <c r="C382" s="18" t="str">
        <f>Source!G265</f>
        <v>Посев газонов партерных, мавританских, и обыкновенных вручную</v>
      </c>
      <c r="D382" s="19" t="str">
        <f>Source!H265</f>
        <v>100 м2</v>
      </c>
      <c r="E382" s="13">
        <f>Source!I265</f>
        <v>5.5</v>
      </c>
      <c r="F382" s="21"/>
      <c r="G382" s="20"/>
      <c r="H382" s="13"/>
      <c r="I382" s="13"/>
      <c r="J382" s="23"/>
      <c r="K382" s="23"/>
      <c r="Q382" s="8">
        <f>ROUND((Source!BZ265/100)*ROUND((Source!AF265*Source!AV265)*Source!I265, 2), 2)</f>
        <v>4701.05</v>
      </c>
      <c r="R382" s="8">
        <f>Source!X265</f>
        <v>4701.05</v>
      </c>
      <c r="S382" s="8">
        <f>ROUND((Source!CA265/100)*ROUND((Source!AF265*Source!AV265)*Source!I265, 2), 2)</f>
        <v>671.58</v>
      </c>
      <c r="T382" s="8">
        <f>Source!Y265</f>
        <v>671.58</v>
      </c>
      <c r="U382" s="8">
        <f>ROUND((175/100)*ROUND((Source!AE265*Source!AV265)*Source!I265, 2), 2)</f>
        <v>0</v>
      </c>
      <c r="V382" s="8">
        <f>ROUND((108/100)*ROUND(Source!CS265*Source!I265, 2), 2)</f>
        <v>0</v>
      </c>
    </row>
    <row r="383" spans="1:22">
      <c r="C383" s="50" t="str">
        <f>"Объем: "&amp;Source!I265&amp;"=550/"&amp;"100"</f>
        <v>Объем: 5,5=550/100</v>
      </c>
    </row>
    <row r="384" spans="1:22">
      <c r="A384" s="17"/>
      <c r="B384" s="18"/>
      <c r="C384" s="18" t="s">
        <v>365</v>
      </c>
      <c r="D384" s="19"/>
      <c r="E384" s="13"/>
      <c r="F384" s="21">
        <f>Source!AO265</f>
        <v>1221.05</v>
      </c>
      <c r="G384" s="20" t="str">
        <f>Source!DG265</f>
        <v/>
      </c>
      <c r="H384" s="13">
        <f>Source!AV265</f>
        <v>1</v>
      </c>
      <c r="I384" s="13">
        <f>IF(Source!BA265&lt;&gt; 0, Source!BA265, 1)</f>
        <v>1</v>
      </c>
      <c r="J384" s="23">
        <f>Source!S265</f>
        <v>6715.78</v>
      </c>
      <c r="K384" s="23"/>
    </row>
    <row r="385" spans="1:32">
      <c r="A385" s="17"/>
      <c r="B385" s="18"/>
      <c r="C385" s="18" t="s">
        <v>374</v>
      </c>
      <c r="D385" s="19"/>
      <c r="E385" s="13"/>
      <c r="F385" s="21">
        <f>Source!AL265</f>
        <v>1564.86</v>
      </c>
      <c r="G385" s="20" t="str">
        <f>Source!DD265</f>
        <v/>
      </c>
      <c r="H385" s="13">
        <f>Source!AW265</f>
        <v>1</v>
      </c>
      <c r="I385" s="13">
        <f>IF(Source!BC265&lt;&gt; 0, Source!BC265, 1)</f>
        <v>1</v>
      </c>
      <c r="J385" s="23">
        <f>Source!P265</f>
        <v>8606.73</v>
      </c>
      <c r="K385" s="23"/>
    </row>
    <row r="386" spans="1:32">
      <c r="A386" s="17"/>
      <c r="B386" s="18"/>
      <c r="C386" s="18" t="s">
        <v>368</v>
      </c>
      <c r="D386" s="19" t="s">
        <v>369</v>
      </c>
      <c r="E386" s="13">
        <f>Source!AT265</f>
        <v>70</v>
      </c>
      <c r="F386" s="21"/>
      <c r="G386" s="20"/>
      <c r="H386" s="13"/>
      <c r="I386" s="13"/>
      <c r="J386" s="23">
        <f>SUM(R382:R385)</f>
        <v>4701.05</v>
      </c>
      <c r="K386" s="23"/>
    </row>
    <row r="387" spans="1:32">
      <c r="A387" s="17"/>
      <c r="B387" s="18"/>
      <c r="C387" s="18" t="s">
        <v>370</v>
      </c>
      <c r="D387" s="19" t="s">
        <v>369</v>
      </c>
      <c r="E387" s="13">
        <f>Source!AU265</f>
        <v>10</v>
      </c>
      <c r="F387" s="21"/>
      <c r="G387" s="20"/>
      <c r="H387" s="13"/>
      <c r="I387" s="13"/>
      <c r="J387" s="23">
        <f>SUM(T382:T386)</f>
        <v>671.58</v>
      </c>
      <c r="K387" s="23"/>
    </row>
    <row r="388" spans="1:32">
      <c r="A388" s="17"/>
      <c r="B388" s="18"/>
      <c r="C388" s="18" t="s">
        <v>372</v>
      </c>
      <c r="D388" s="19" t="s">
        <v>373</v>
      </c>
      <c r="E388" s="13">
        <f>Source!AQ265</f>
        <v>6.04</v>
      </c>
      <c r="F388" s="21"/>
      <c r="G388" s="20" t="str">
        <f>Source!DI265</f>
        <v/>
      </c>
      <c r="H388" s="13">
        <f>Source!AV265</f>
        <v>1</v>
      </c>
      <c r="I388" s="13"/>
      <c r="J388" s="23"/>
      <c r="K388" s="23">
        <f>Source!U265</f>
        <v>33.22</v>
      </c>
    </row>
    <row r="389" spans="1:32" ht="15">
      <c r="A389" s="51"/>
      <c r="B389" s="51"/>
      <c r="C389" s="51"/>
      <c r="D389" s="55"/>
      <c r="E389" s="51"/>
      <c r="F389" s="51"/>
      <c r="G389" s="51"/>
      <c r="H389" s="51"/>
      <c r="I389" s="68">
        <f>J384+J385+J386+J387</f>
        <v>20695.14</v>
      </c>
      <c r="J389" s="68"/>
      <c r="K389" s="24">
        <f>IF(Source!I265&lt;&gt;0, ROUND(I389/Source!I265, 2), 0)</f>
        <v>3762.75</v>
      </c>
      <c r="P389" s="52">
        <f>I389</f>
        <v>20695.14</v>
      </c>
    </row>
    <row r="390" spans="1:32" hidden="1"/>
    <row r="391" spans="1:32" ht="15" hidden="1">
      <c r="A391" s="66" t="str">
        <f>CONCATENATE("Итого по разделу: ",IF(Source!G267&lt;&gt;"Новый раздел", Source!G267, ""))</f>
        <v>Итого по разделу: Ремонт газона (посевной) - 550м2 ( вокруг цветника с кустами и деревьями)</v>
      </c>
      <c r="B391" s="66"/>
      <c r="C391" s="66"/>
      <c r="D391" s="66"/>
      <c r="E391" s="66"/>
      <c r="F391" s="66"/>
      <c r="G391" s="66"/>
      <c r="H391" s="66"/>
      <c r="I391" s="63">
        <f>SUM(P354:P390)</f>
        <v>114352.02999999998</v>
      </c>
      <c r="J391" s="65"/>
      <c r="K391" s="26"/>
      <c r="AF391" s="27" t="str">
        <f>CONCATENATE("Итого по разделу: ",IF(Source!G267&lt;&gt;"Новый раздел", Source!G267, ""))</f>
        <v>Итого по разделу: Ремонт газона (посевной) - 550м2 ( вокруг цветника с кустами и деревьями)</v>
      </c>
    </row>
    <row r="392" spans="1:32" hidden="1"/>
    <row r="393" spans="1:32" hidden="1">
      <c r="C393" s="61" t="str">
        <f>Source!H295</f>
        <v>Итого</v>
      </c>
      <c r="D393" s="61"/>
      <c r="E393" s="61"/>
      <c r="F393" s="61"/>
      <c r="G393" s="61"/>
      <c r="H393" s="61"/>
      <c r="I393" s="62">
        <f>IF(Source!F295=0, "", Source!F295)</f>
        <v>114352.03</v>
      </c>
      <c r="J393" s="62"/>
    </row>
    <row r="394" spans="1:32" hidden="1">
      <c r="C394" s="61" t="str">
        <f>Source!H296</f>
        <v>НДС 20%</v>
      </c>
      <c r="D394" s="61"/>
      <c r="E394" s="61"/>
      <c r="F394" s="61"/>
      <c r="G394" s="61"/>
      <c r="H394" s="61"/>
      <c r="I394" s="62">
        <f>IF(Source!F296=0, "", Source!F296)</f>
        <v>22870.41</v>
      </c>
      <c r="J394" s="62"/>
    </row>
    <row r="395" spans="1:32" hidden="1">
      <c r="C395" s="61" t="str">
        <f>Source!H297</f>
        <v>Всего с НДС</v>
      </c>
      <c r="D395" s="61"/>
      <c r="E395" s="61"/>
      <c r="F395" s="61"/>
      <c r="G395" s="61"/>
      <c r="H395" s="61"/>
      <c r="I395" s="62">
        <f>IF(Source!F297=0, "", Source!F297)</f>
        <v>137222.44</v>
      </c>
      <c r="J395" s="62"/>
    </row>
    <row r="398" spans="1:32" ht="47.25" customHeight="1">
      <c r="A398" s="66" t="str">
        <f>CONCATENATE("Итого по локальной смете: ",IF(Source!G299&lt;&gt;"Новая локальная смета", Source!G299, ""))</f>
        <v>Итого по локальной смете: 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Кировоградская, д.24, корп.1, со строны м. "Пражская"</v>
      </c>
      <c r="B398" s="66"/>
      <c r="C398" s="66"/>
      <c r="D398" s="66"/>
      <c r="E398" s="66"/>
      <c r="F398" s="66"/>
      <c r="G398" s="66"/>
      <c r="H398" s="66"/>
      <c r="I398" s="63">
        <f>SUM(P31:P396)</f>
        <v>626942.62000000011</v>
      </c>
      <c r="J398" s="65"/>
      <c r="K398" s="26"/>
      <c r="AF398" s="27" t="str">
        <f>CONCATENATE("Итого по локальной смете: ",IF(Source!G299&lt;&gt;"Новая локальная смета", Source!G299, ""))</f>
        <v>Итого по локальной смете: 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Кировоградская, д.24, корп.1, со строны м. "Пражская"</v>
      </c>
    </row>
    <row r="399" spans="1:32">
      <c r="C399" s="61" t="str">
        <f>Source!H356</f>
        <v>Итого</v>
      </c>
      <c r="D399" s="61"/>
      <c r="E399" s="61"/>
      <c r="F399" s="61"/>
      <c r="G399" s="61"/>
      <c r="H399" s="61"/>
      <c r="I399" s="62">
        <f>IF(Source!F356=0, "", Source!F356)</f>
        <v>626942.62</v>
      </c>
      <c r="J399" s="62"/>
    </row>
    <row r="400" spans="1:32">
      <c r="C400" s="61" t="str">
        <f>Source!H357</f>
        <v>НДС 20%</v>
      </c>
      <c r="D400" s="61"/>
      <c r="E400" s="61"/>
      <c r="F400" s="61"/>
      <c r="G400" s="61"/>
      <c r="H400" s="61"/>
      <c r="I400" s="62">
        <f>IF(Source!F357=0, "", Source!F357)</f>
        <v>125388.52</v>
      </c>
      <c r="J400" s="62"/>
    </row>
    <row r="401" spans="1:10">
      <c r="C401" s="61" t="str">
        <f>Source!H358</f>
        <v>Всего с НДС</v>
      </c>
      <c r="D401" s="61"/>
      <c r="E401" s="61"/>
      <c r="F401" s="61"/>
      <c r="G401" s="61"/>
      <c r="H401" s="61"/>
      <c r="I401" s="62">
        <f>IF(Source!F358=0, "", Source!F358)</f>
        <v>752331.14</v>
      </c>
      <c r="J401" s="62"/>
    </row>
    <row r="402" spans="1:10" ht="15">
      <c r="C402" s="57" t="str">
        <f>Source!H359</f>
        <v>Итого с коэффициентом оптимизации</v>
      </c>
      <c r="D402" s="58" t="s">
        <v>432</v>
      </c>
      <c r="E402" s="64">
        <f>I402/I401</f>
        <v>0.94517257387484988</v>
      </c>
      <c r="F402" s="64"/>
      <c r="G402" s="57"/>
      <c r="H402" s="57"/>
      <c r="I402" s="63">
        <f>IF(Source!F359=0, "", Source!F359)</f>
        <v>711082.76</v>
      </c>
      <c r="J402" s="63"/>
    </row>
    <row r="405" spans="1:10">
      <c r="A405" s="59" t="s">
        <v>376</v>
      </c>
      <c r="B405" s="59"/>
      <c r="C405" s="28" t="str">
        <f>IF(Source!AC12&lt;&gt;"", Source!AC12," ")</f>
        <v xml:space="preserve"> </v>
      </c>
      <c r="D405" s="56"/>
      <c r="E405" s="28"/>
      <c r="F405" s="28"/>
      <c r="G405" s="28"/>
      <c r="H405" s="8" t="str">
        <f>IF(Source!AB12&lt;&gt;"", Source!AB12," ")</f>
        <v xml:space="preserve"> </v>
      </c>
    </row>
    <row r="406" spans="1:10">
      <c r="C406" s="60" t="s">
        <v>377</v>
      </c>
      <c r="D406" s="60"/>
      <c r="E406" s="60"/>
      <c r="F406" s="60"/>
      <c r="G406" s="60"/>
    </row>
    <row r="408" spans="1:10">
      <c r="A408" s="59" t="s">
        <v>378</v>
      </c>
      <c r="B408" s="59"/>
      <c r="C408" s="28" t="str">
        <f>IF(Source!AE12&lt;&gt;"", Source!AE12," ")</f>
        <v xml:space="preserve"> </v>
      </c>
      <c r="D408" s="56"/>
      <c r="E408" s="28"/>
      <c r="F408" s="28"/>
      <c r="G408" s="28"/>
      <c r="H408" s="8" t="str">
        <f>IF(Source!AD12&lt;&gt;"", Source!AD12," ")</f>
        <v xml:space="preserve"> </v>
      </c>
    </row>
    <row r="409" spans="1:10">
      <c r="C409" s="60" t="s">
        <v>377</v>
      </c>
      <c r="D409" s="60"/>
      <c r="E409" s="60"/>
      <c r="F409" s="60"/>
      <c r="G409" s="60"/>
    </row>
  </sheetData>
  <mergeCells count="139">
    <mergeCell ref="B7:E7"/>
    <mergeCell ref="G7:K7"/>
    <mergeCell ref="J1:K1"/>
    <mergeCell ref="A10:K10"/>
    <mergeCell ref="A12:K12"/>
    <mergeCell ref="B3:E3"/>
    <mergeCell ref="G3:K3"/>
    <mergeCell ref="B4:E4"/>
    <mergeCell ref="G4:K4"/>
    <mergeCell ref="B6:E6"/>
    <mergeCell ref="G6:K6"/>
    <mergeCell ref="F21:H21"/>
    <mergeCell ref="I21:J21"/>
    <mergeCell ref="F22:H22"/>
    <mergeCell ref="I22:J22"/>
    <mergeCell ref="F23:H23"/>
    <mergeCell ref="I23:J23"/>
    <mergeCell ref="A14:K14"/>
    <mergeCell ref="A15:K15"/>
    <mergeCell ref="A17:K17"/>
    <mergeCell ref="F19:H19"/>
    <mergeCell ref="I19:J19"/>
    <mergeCell ref="F20:H20"/>
    <mergeCell ref="I20:J20"/>
    <mergeCell ref="F24:H24"/>
    <mergeCell ref="I24:J24"/>
    <mergeCell ref="A26:A28"/>
    <mergeCell ref="B26:B28"/>
    <mergeCell ref="C26:C28"/>
    <mergeCell ref="D26:D28"/>
    <mergeCell ref="E26:E28"/>
    <mergeCell ref="F26:F28"/>
    <mergeCell ref="G26:G28"/>
    <mergeCell ref="H26:H28"/>
    <mergeCell ref="I58:J58"/>
    <mergeCell ref="I65:J65"/>
    <mergeCell ref="I73:J73"/>
    <mergeCell ref="I81:J81"/>
    <mergeCell ref="I92:J92"/>
    <mergeCell ref="I101:J101"/>
    <mergeCell ref="I26:I28"/>
    <mergeCell ref="J26:J28"/>
    <mergeCell ref="A31:K31"/>
    <mergeCell ref="I41:J41"/>
    <mergeCell ref="I51:J51"/>
    <mergeCell ref="C107:H107"/>
    <mergeCell ref="I107:J107"/>
    <mergeCell ref="A109:K109"/>
    <mergeCell ref="I120:J120"/>
    <mergeCell ref="I128:J128"/>
    <mergeCell ref="I134:J134"/>
    <mergeCell ref="I103:J103"/>
    <mergeCell ref="A103:H103"/>
    <mergeCell ref="C105:H105"/>
    <mergeCell ref="I105:J105"/>
    <mergeCell ref="C106:H106"/>
    <mergeCell ref="I106:J106"/>
    <mergeCell ref="C164:H164"/>
    <mergeCell ref="I164:J164"/>
    <mergeCell ref="C165:H165"/>
    <mergeCell ref="I165:J165"/>
    <mergeCell ref="A167:K167"/>
    <mergeCell ref="I178:J178"/>
    <mergeCell ref="I141:J141"/>
    <mergeCell ref="I159:J159"/>
    <mergeCell ref="I161:J161"/>
    <mergeCell ref="A161:H161"/>
    <mergeCell ref="C163:H163"/>
    <mergeCell ref="I163:J163"/>
    <mergeCell ref="C216:H216"/>
    <mergeCell ref="I216:J216"/>
    <mergeCell ref="C217:H217"/>
    <mergeCell ref="I217:J217"/>
    <mergeCell ref="C218:H218"/>
    <mergeCell ref="I218:J218"/>
    <mergeCell ref="I186:J186"/>
    <mergeCell ref="I192:J192"/>
    <mergeCell ref="I199:J199"/>
    <mergeCell ref="I212:J212"/>
    <mergeCell ref="I214:J214"/>
    <mergeCell ref="A214:H214"/>
    <mergeCell ref="I272:J272"/>
    <mergeCell ref="I283:J283"/>
    <mergeCell ref="I289:J289"/>
    <mergeCell ref="I296:J296"/>
    <mergeCell ref="I311:J311"/>
    <mergeCell ref="I313:J313"/>
    <mergeCell ref="A220:K220"/>
    <mergeCell ref="I231:J231"/>
    <mergeCell ref="I239:J239"/>
    <mergeCell ref="I245:J245"/>
    <mergeCell ref="I252:J252"/>
    <mergeCell ref="I264:J264"/>
    <mergeCell ref="A319:K319"/>
    <mergeCell ref="I327:J327"/>
    <mergeCell ref="I335:J335"/>
    <mergeCell ref="I346:J346"/>
    <mergeCell ref="I348:J348"/>
    <mergeCell ref="A348:H348"/>
    <mergeCell ref="A313:H313"/>
    <mergeCell ref="C315:H315"/>
    <mergeCell ref="I315:J315"/>
    <mergeCell ref="C316:H316"/>
    <mergeCell ref="I316:J316"/>
    <mergeCell ref="C317:H317"/>
    <mergeCell ref="I317:J317"/>
    <mergeCell ref="A354:K354"/>
    <mergeCell ref="I365:J365"/>
    <mergeCell ref="I373:J373"/>
    <mergeCell ref="I381:J381"/>
    <mergeCell ref="I389:J389"/>
    <mergeCell ref="I391:J391"/>
    <mergeCell ref="A391:H391"/>
    <mergeCell ref="C350:H350"/>
    <mergeCell ref="I350:J350"/>
    <mergeCell ref="C351:H351"/>
    <mergeCell ref="I351:J351"/>
    <mergeCell ref="C352:H352"/>
    <mergeCell ref="I352:J352"/>
    <mergeCell ref="I398:J398"/>
    <mergeCell ref="A398:H398"/>
    <mergeCell ref="C399:H399"/>
    <mergeCell ref="I399:J399"/>
    <mergeCell ref="C393:H393"/>
    <mergeCell ref="I393:J393"/>
    <mergeCell ref="C394:H394"/>
    <mergeCell ref="I394:J394"/>
    <mergeCell ref="C395:H395"/>
    <mergeCell ref="I395:J395"/>
    <mergeCell ref="A405:B405"/>
    <mergeCell ref="C406:G406"/>
    <mergeCell ref="A408:B408"/>
    <mergeCell ref="C409:G409"/>
    <mergeCell ref="C400:H400"/>
    <mergeCell ref="I400:J400"/>
    <mergeCell ref="C401:H401"/>
    <mergeCell ref="I401:J401"/>
    <mergeCell ref="I402:J402"/>
    <mergeCell ref="E402:F402"/>
  </mergeCells>
  <pageMargins left="0.39370078740157483" right="0.19685039370078741" top="0.39370078740157483" bottom="0.39370078740157483" header="0.19685039370078741" footer="0.19685039370078741"/>
  <pageSetup paperSize="9" scale="60" fitToHeight="0" orientation="portrait" horizontalDpi="0" verticalDpi="0" r:id="rId1"/>
  <headerFooter>
    <oddHeader>&amp;L&amp;8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80"/>
  <sheetViews>
    <sheetView zoomScaleNormal="100" workbookViewId="0">
      <selection activeCell="J79" sqref="J79"/>
    </sheetView>
  </sheetViews>
  <sheetFormatPr defaultRowHeight="12.75"/>
  <cols>
    <col min="1" max="1" width="6.7109375" style="29" customWidth="1"/>
    <col min="2" max="2" width="75.7109375" style="29" customWidth="1"/>
    <col min="3" max="4" width="15.7109375" style="36" customWidth="1"/>
    <col min="5" max="5" width="15.7109375" style="29" customWidth="1"/>
    <col min="6" max="30" width="9.140625" style="29"/>
    <col min="31" max="31" width="129.7109375" style="29" customWidth="1"/>
    <col min="32" max="16384" width="9.140625" style="29"/>
  </cols>
  <sheetData>
    <row r="1" spans="1:4">
      <c r="A1" s="29" t="str">
        <f>Source!B1</f>
        <v>Smeta.RU  (495) 974-1589</v>
      </c>
    </row>
    <row r="3" spans="1:4">
      <c r="D3" s="45" t="s">
        <v>340</v>
      </c>
    </row>
    <row r="4" spans="1:4">
      <c r="C4" s="45"/>
      <c r="D4" s="45"/>
    </row>
    <row r="5" spans="1:4">
      <c r="C5" s="83" t="s">
        <v>379</v>
      </c>
      <c r="D5" s="83"/>
    </row>
    <row r="6" spans="1:4">
      <c r="C6" s="46"/>
      <c r="D6" s="46"/>
    </row>
    <row r="7" spans="1:4">
      <c r="C7" s="83" t="s">
        <v>379</v>
      </c>
      <c r="D7" s="83"/>
    </row>
    <row r="8" spans="1:4">
      <c r="C8" s="46"/>
      <c r="D8" s="46"/>
    </row>
    <row r="9" spans="1:4">
      <c r="C9" s="45" t="s">
        <v>380</v>
      </c>
    </row>
    <row r="11" spans="1:4">
      <c r="A11" s="84" t="str">
        <f>CONCATENATE("Дефектный акт ", IF(Source!AN15&lt;&gt;"", Source!AN15," "))</f>
        <v xml:space="preserve">Дефектный акт  </v>
      </c>
      <c r="B11" s="84"/>
      <c r="C11" s="84"/>
      <c r="D11" s="84"/>
    </row>
    <row r="12" spans="1:4" ht="46.5" customHeight="1">
      <c r="A12" s="84" t="str">
        <f>Source!G20</f>
        <v>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Кировоградская, д.24, корп.1, со строны м. "Пражская"</v>
      </c>
      <c r="B12" s="84"/>
      <c r="C12" s="84"/>
      <c r="D12" s="84"/>
    </row>
    <row r="14" spans="1:4">
      <c r="B14" s="37" t="s">
        <v>381</v>
      </c>
    </row>
    <row r="15" spans="1:4">
      <c r="B15" s="37" t="s">
        <v>382</v>
      </c>
    </row>
    <row r="16" spans="1:4">
      <c r="B16" s="37" t="s">
        <v>383</v>
      </c>
    </row>
    <row r="17" spans="1:5" ht="25.5">
      <c r="A17" s="30" t="s">
        <v>384</v>
      </c>
      <c r="B17" s="30" t="s">
        <v>353</v>
      </c>
      <c r="C17" s="30" t="s">
        <v>354</v>
      </c>
      <c r="D17" s="30" t="s">
        <v>385</v>
      </c>
      <c r="E17" s="38" t="s">
        <v>386</v>
      </c>
    </row>
    <row r="18" spans="1:5">
      <c r="A18" s="39">
        <v>1</v>
      </c>
      <c r="B18" s="39">
        <v>2</v>
      </c>
      <c r="C18" s="39">
        <v>3</v>
      </c>
      <c r="D18" s="39">
        <v>4</v>
      </c>
      <c r="E18" s="40">
        <v>5</v>
      </c>
    </row>
    <row r="19" spans="1:5" hidden="1">
      <c r="A19" s="82" t="str">
        <f>CONCATENATE("Раздел: ", Source!G24)</f>
        <v>Раздел: Устройство цветника - 58м2</v>
      </c>
      <c r="B19" s="82"/>
      <c r="C19" s="82"/>
      <c r="D19" s="82"/>
      <c r="E19" s="82"/>
    </row>
    <row r="20" spans="1:5">
      <c r="A20" s="41" t="str">
        <f>Source!E28</f>
        <v>1</v>
      </c>
      <c r="B20" s="42" t="str">
        <f>Source!G28</f>
        <v>Устройство корыта под цветники глубиной 40 см механизированным способом</v>
      </c>
      <c r="C20" s="47" t="str">
        <f>Source!H28</f>
        <v>100 м2</v>
      </c>
      <c r="D20" s="39">
        <f>Source!I28</f>
        <v>0.435</v>
      </c>
      <c r="E20" s="41"/>
    </row>
    <row r="21" spans="1:5" ht="25.5">
      <c r="A21" s="41" t="str">
        <f>Source!E29</f>
        <v>2</v>
      </c>
      <c r="B21" s="42" t="str">
        <f>Source!G29</f>
        <v>Добавлять или исключать на каждые 10 см изменения глубины корыта под цветники механизированным способом к поз. 4-3203-7-1</v>
      </c>
      <c r="C21" s="47" t="str">
        <f>Source!H29</f>
        <v>100 м2</v>
      </c>
      <c r="D21" s="39">
        <f>Source!I29</f>
        <v>-0.435</v>
      </c>
      <c r="E21" s="41"/>
    </row>
    <row r="22" spans="1:5">
      <c r="A22" s="41" t="str">
        <f>Source!E30</f>
        <v>3</v>
      </c>
      <c r="B22" s="42" t="str">
        <f>Source!G30</f>
        <v>Устройство корыта под цветники глубиной 40 см вручную</v>
      </c>
      <c r="C22" s="47" t="str">
        <f>Source!H30</f>
        <v>100 м2</v>
      </c>
      <c r="D22" s="39">
        <f>Source!I30</f>
        <v>0.14499999999999999</v>
      </c>
      <c r="E22" s="41"/>
    </row>
    <row r="23" spans="1:5" ht="25.5">
      <c r="A23" s="41" t="str">
        <f>Source!E31</f>
        <v>4</v>
      </c>
      <c r="B23" s="42" t="str">
        <f>Source!G31</f>
        <v>Добавлять или исключать на каждые 10 см изменения глубины корыта под цветники вручную к поз. 4-3203-7-2</v>
      </c>
      <c r="C23" s="47" t="str">
        <f>Source!H31</f>
        <v>100 м2</v>
      </c>
      <c r="D23" s="39">
        <f>Source!I31</f>
        <v>-0.14499999999999999</v>
      </c>
      <c r="E23" s="41"/>
    </row>
    <row r="24" spans="1:5">
      <c r="A24" s="41" t="str">
        <f>Source!E32</f>
        <v>5</v>
      </c>
      <c r="B24" s="42" t="str">
        <f>Source!G32</f>
        <v>Подготовка почвы под цветники толщиной слоя насыпки 20 см</v>
      </c>
      <c r="C24" s="47" t="str">
        <f>Source!H32</f>
        <v>100 м2</v>
      </c>
      <c r="D24" s="39">
        <f>Source!I32</f>
        <v>0.57999999999999996</v>
      </c>
      <c r="E24" s="41"/>
    </row>
    <row r="25" spans="1:5" ht="25.5">
      <c r="A25" s="41" t="str">
        <f>Source!E33</f>
        <v>6</v>
      </c>
      <c r="B25" s="42" t="str">
        <f>Source!G33</f>
        <v>Добавлять или исключать на каждые 5 см изменения толщины слоя почвы под цветники к поз. 4-3203-6-1</v>
      </c>
      <c r="C25" s="47" t="str">
        <f>Source!H33</f>
        <v>100 м2</v>
      </c>
      <c r="D25" s="39">
        <f>Source!I33</f>
        <v>0.57999999999999996</v>
      </c>
      <c r="E25" s="41"/>
    </row>
    <row r="26" spans="1:5">
      <c r="A26" s="41" t="str">
        <f>Source!E34</f>
        <v>7</v>
      </c>
      <c r="B26" s="42" t="str">
        <f>Source!G34</f>
        <v>Посадка многолетних цветников при густоте посадки 1,6 тыс.шт. цветов</v>
      </c>
      <c r="C26" s="47" t="str">
        <f>Source!H34</f>
        <v>100 м2</v>
      </c>
      <c r="D26" s="39">
        <f>Source!I34</f>
        <v>0.57999999999999996</v>
      </c>
      <c r="E26" s="41"/>
    </row>
    <row r="27" spans="1:5">
      <c r="A27" s="41" t="str">
        <f>Source!E35</f>
        <v>7,1</v>
      </c>
      <c r="B27" s="42" t="str">
        <f>Source!G35</f>
        <v>Посадочный материал цветочных культур</v>
      </c>
      <c r="C27" s="47" t="str">
        <f>Source!H35</f>
        <v>шт.</v>
      </c>
      <c r="D27" s="39">
        <f>Source!I35</f>
        <v>974.4</v>
      </c>
      <c r="E27" s="41"/>
    </row>
    <row r="28" spans="1:5">
      <c r="A28" s="41" t="str">
        <f>Source!E36</f>
        <v>7,2</v>
      </c>
      <c r="B28" s="42" t="str">
        <f>Source!G36</f>
        <v>Посадочный материал многолетних культур: котовник фассена, С3</v>
      </c>
      <c r="C28" s="47" t="str">
        <f>Source!H36</f>
        <v>шт.</v>
      </c>
      <c r="D28" s="39">
        <f>Source!I36</f>
        <v>207</v>
      </c>
      <c r="E28" s="41"/>
    </row>
    <row r="29" spans="1:5">
      <c r="A29" s="41" t="str">
        <f>Source!E37</f>
        <v>7,3</v>
      </c>
      <c r="B29" s="42" t="str">
        <f>Source!G37</f>
        <v>Посадочный материал многолетних культур: гейхера в ассортименте</v>
      </c>
      <c r="C29" s="47" t="str">
        <f>Source!H37</f>
        <v>шт.</v>
      </c>
      <c r="D29" s="39">
        <f>Source!I37</f>
        <v>420</v>
      </c>
      <c r="E29" s="41"/>
    </row>
    <row r="30" spans="1:5" ht="25.5">
      <c r="A30" s="41" t="str">
        <f>Source!E38</f>
        <v>8</v>
      </c>
      <c r="B30" s="42" t="str">
        <f>Source!G38</f>
        <v>Добавлять или исключать на каждые 1000 шт. высаживаемых цветов к поз. 4-3203-8-1</v>
      </c>
      <c r="C30" s="47" t="str">
        <f>Source!H38</f>
        <v>100 м2</v>
      </c>
      <c r="D30" s="39">
        <f>Source!I38</f>
        <v>-0.57999999999999996</v>
      </c>
      <c r="E30" s="41"/>
    </row>
    <row r="31" spans="1:5">
      <c r="A31" s="41" t="str">
        <f>Source!E39</f>
        <v>8,1</v>
      </c>
      <c r="B31" s="42" t="str">
        <f>Source!G39</f>
        <v>Посадочный материал цветочных культур</v>
      </c>
      <c r="C31" s="47" t="str">
        <f>Source!H39</f>
        <v>шт.</v>
      </c>
      <c r="D31" s="39">
        <f>Source!I39</f>
        <v>-348</v>
      </c>
      <c r="E31" s="41"/>
    </row>
    <row r="32" spans="1:5" hidden="1">
      <c r="A32" s="82" t="str">
        <f>CONCATENATE("Раздел: ", Source!G73)</f>
        <v>Раздел: Посадка кустарников - 50шт.</v>
      </c>
      <c r="B32" s="82"/>
      <c r="C32" s="82"/>
      <c r="D32" s="82"/>
      <c r="E32" s="82"/>
    </row>
    <row r="33" spans="1:5" ht="38.25">
      <c r="A33" s="41" t="str">
        <f>Source!E77</f>
        <v>9</v>
      </c>
      <c r="B33" s="42" t="str">
        <f>Source!G77</f>
        <v>Подготовка стандартных посадочных мест для деревьев и кустарников механизированным способом, с круглым комом земли размером 0,3х0,3 м с добавлением растительной земли до 100%</v>
      </c>
      <c r="C33" s="47" t="str">
        <f>Source!H77</f>
        <v>10 ям</v>
      </c>
      <c r="D33" s="39">
        <f>Source!I77</f>
        <v>2</v>
      </c>
      <c r="E33" s="41"/>
    </row>
    <row r="34" spans="1:5" ht="25.5">
      <c r="A34" s="41" t="str">
        <f>Source!E78</f>
        <v>10</v>
      </c>
      <c r="B34" s="42" t="str">
        <f>Source!G78</f>
        <v>Подготовка стандартных посадочных мест вручную, с круглым комом земли размером 0,3х0,3 м с добавлением растительной земли до 100%</v>
      </c>
      <c r="C34" s="47" t="str">
        <f>Source!H78</f>
        <v>10 ям</v>
      </c>
      <c r="D34" s="39">
        <f>Source!I78</f>
        <v>3</v>
      </c>
      <c r="E34" s="41"/>
    </row>
    <row r="35" spans="1:5" ht="51">
      <c r="A35" s="41" t="str">
        <f>Source!E79</f>
        <v>11</v>
      </c>
      <c r="B35" s="42" t="str">
        <f>Source!G79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табл.1 - 0,28м3 * 50кустов =14м3 - при слое 20 см покрываемая площадь 14м3/0,2м х 0,75)</v>
      </c>
      <c r="C35" s="47" t="str">
        <f>Source!H79</f>
        <v>100 м2</v>
      </c>
      <c r="D35" s="39">
        <f>Source!I79</f>
        <v>0.52500000000000002</v>
      </c>
      <c r="E35" s="41"/>
    </row>
    <row r="36" spans="1:5" ht="38.25">
      <c r="A36" s="41" t="str">
        <f>Source!E80</f>
        <v>12</v>
      </c>
      <c r="B36" s="42" t="str">
        <f>Source!G80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14м3/0,2м х 0,25)</v>
      </c>
      <c r="C36" s="47" t="str">
        <f>Source!H80</f>
        <v>100 м2</v>
      </c>
      <c r="D36" s="39">
        <f>Source!I80</f>
        <v>0.17499999999999999</v>
      </c>
      <c r="E36" s="41"/>
    </row>
    <row r="37" spans="1:5" ht="25.5">
      <c r="A37" s="41" t="str">
        <f>Source!E81</f>
        <v>13</v>
      </c>
      <c r="B37" s="42" t="str">
        <f>Source!G81</f>
        <v>Посадка деревьев и кустарников с комом земли, диаметром 0,3 м и высотой 0,3 м (без стоимости деревьев и кустарников)</v>
      </c>
      <c r="C37" s="47" t="str">
        <f>Source!H81</f>
        <v>10 шт.</v>
      </c>
      <c r="D37" s="39">
        <f>Source!I81</f>
        <v>5</v>
      </c>
      <c r="E37" s="41"/>
    </row>
    <row r="38" spans="1:5" ht="25.5">
      <c r="A38" s="41" t="str">
        <f>Source!E82</f>
        <v>13,1</v>
      </c>
      <c r="B38" s="42" t="str">
        <f>Source!G82</f>
        <v>Кустарники декоративные с закрытой корневой системой: гортензия древовидная, С10 ( ком земли 0,3м * 0,3м)</v>
      </c>
      <c r="C38" s="47" t="str">
        <f>Source!H82</f>
        <v>шт.</v>
      </c>
      <c r="D38" s="39">
        <f>Source!I82</f>
        <v>26</v>
      </c>
      <c r="E38" s="41"/>
    </row>
    <row r="39" spans="1:5" ht="25.5">
      <c r="A39" s="41" t="str">
        <f>Source!E83</f>
        <v>13,2</v>
      </c>
      <c r="B39" s="42" t="str">
        <f>Source!G83</f>
        <v>Кустарники декоративные с комом земли: Бересклет крылатый, размер кома высота 0,3 м, диаметр 0,3 м</v>
      </c>
      <c r="C39" s="47" t="str">
        <f>Source!H83</f>
        <v>шт.</v>
      </c>
      <c r="D39" s="39">
        <f>Source!I83</f>
        <v>6</v>
      </c>
      <c r="E39" s="41"/>
    </row>
    <row r="40" spans="1:5" ht="25.5">
      <c r="A40" s="41" t="str">
        <f>Source!E84</f>
        <v>13,3</v>
      </c>
      <c r="B40" s="42" t="str">
        <f>Source!G84</f>
        <v>Кустарники декоративные с комом земли: Спирея Литл Принцесс, размер кома высота 0,3 м, диаметр 0,3 м</v>
      </c>
      <c r="C40" s="47" t="str">
        <f>Source!H84</f>
        <v>шт.</v>
      </c>
      <c r="D40" s="39">
        <f>Source!I84</f>
        <v>3</v>
      </c>
      <c r="E40" s="41"/>
    </row>
    <row r="41" spans="1:5" ht="25.5">
      <c r="A41" s="41" t="str">
        <f>Source!E85</f>
        <v>13,4</v>
      </c>
      <c r="B41" s="42" t="str">
        <f>Source!G85</f>
        <v>Кустарники декоративные с комом земли: Барбарис, размер кома высота 0,3 м, диаметр 0,3 м</v>
      </c>
      <c r="C41" s="47" t="str">
        <f>Source!H85</f>
        <v>шт.</v>
      </c>
      <c r="D41" s="39">
        <f>Source!I85</f>
        <v>6</v>
      </c>
      <c r="E41" s="41"/>
    </row>
    <row r="42" spans="1:5" ht="25.5">
      <c r="A42" s="41" t="str">
        <f>Source!E86</f>
        <v>13,5</v>
      </c>
      <c r="B42" s="42" t="str">
        <f>Source!G86</f>
        <v>Кустарники декоративные с комом земли: Можжевельник Олд Голд, размер кома высота 0,3 м, диаметр 0,3 м</v>
      </c>
      <c r="C42" s="47" t="str">
        <f>Source!H86</f>
        <v>шт.</v>
      </c>
      <c r="D42" s="39">
        <f>Source!I86</f>
        <v>3</v>
      </c>
      <c r="E42" s="41"/>
    </row>
    <row r="43" spans="1:5" ht="25.5">
      <c r="A43" s="41" t="str">
        <f>Source!E87</f>
        <v>13,6</v>
      </c>
      <c r="B43" s="42" t="str">
        <f>Source!G87</f>
        <v>Кустарники декоративные с комом земли: Можжевельник Блю Эрроу, размер кома высота 0,3 м, диаметр 0,3 м</v>
      </c>
      <c r="C43" s="47" t="str">
        <f>Source!H87</f>
        <v>шт.</v>
      </c>
      <c r="D43" s="39">
        <f>Source!I87</f>
        <v>3</v>
      </c>
      <c r="E43" s="41"/>
    </row>
    <row r="44" spans="1:5" ht="25.5">
      <c r="A44" s="41" t="str">
        <f>Source!E88</f>
        <v>13,7</v>
      </c>
      <c r="B44" s="42" t="str">
        <f>Source!G88</f>
        <v>Кустарники декоративные с комом земли: Можжевельник Минт Джулеп, размер кома высота 0,3 м, диаметр 0,3 м</v>
      </c>
      <c r="C44" s="47" t="str">
        <f>Source!H88</f>
        <v>шт.</v>
      </c>
      <c r="D44" s="39">
        <f>Source!I88</f>
        <v>3</v>
      </c>
      <c r="E44" s="41"/>
    </row>
    <row r="45" spans="1:5" hidden="1">
      <c r="A45" s="82" t="str">
        <f>CONCATENATE("Раздел: ", Source!G122)</f>
        <v>Раздел: Посадка деревьев лиственных - 8шт.</v>
      </c>
      <c r="B45" s="82"/>
      <c r="C45" s="82"/>
      <c r="D45" s="82"/>
      <c r="E45" s="82"/>
    </row>
    <row r="46" spans="1:5" ht="38.25">
      <c r="A46" s="41" t="str">
        <f>Source!E126</f>
        <v>14</v>
      </c>
      <c r="B46" s="42" t="str">
        <f>Source!G126</f>
        <v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100%</v>
      </c>
      <c r="C46" s="47" t="str">
        <f>Source!H126</f>
        <v>10 ям</v>
      </c>
      <c r="D46" s="39">
        <f>Source!I126</f>
        <v>0.48</v>
      </c>
      <c r="E46" s="41"/>
    </row>
    <row r="47" spans="1:5" ht="25.5">
      <c r="A47" s="41" t="str">
        <f>Source!E127</f>
        <v>15</v>
      </c>
      <c r="B47" s="42" t="str">
        <f>Source!G127</f>
        <v>Подготовка стандартных посадочных мест вручную, с круглым комом земли размером 0,8х0,6 м с добавлением растительной земли до 100%</v>
      </c>
      <c r="C47" s="47" t="str">
        <f>Source!H127</f>
        <v>10 ям</v>
      </c>
      <c r="D47" s="39">
        <f>Source!I127</f>
        <v>0.32</v>
      </c>
      <c r="E47" s="41"/>
    </row>
    <row r="48" spans="1:5" ht="63.75">
      <c r="A48" s="41" t="str">
        <f>Source!E128</f>
        <v>16</v>
      </c>
      <c r="B48" s="42" t="str">
        <f>Source!G128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табл.1 - 1,13м3 * 8дерева =9,04м3 - при слое 20 см покрываемая площадь 9,04м3/0,2м х 0,75)</v>
      </c>
      <c r="C48" s="47" t="str">
        <f>Source!H128</f>
        <v>100 м2</v>
      </c>
      <c r="D48" s="39">
        <f>Source!I128</f>
        <v>0.33900000000000002</v>
      </c>
      <c r="E48" s="41"/>
    </row>
    <row r="49" spans="1:5" ht="38.25">
      <c r="A49" s="41" t="str">
        <f>Source!E129</f>
        <v>17</v>
      </c>
      <c r="B49" s="42" t="str">
        <f>Source!G129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9,04м3/0,2м х 0,25)</v>
      </c>
      <c r="C49" s="47" t="str">
        <f>Source!H129</f>
        <v>100 м2</v>
      </c>
      <c r="D49" s="39">
        <f>Source!I129</f>
        <v>0.113</v>
      </c>
      <c r="E49" s="41"/>
    </row>
    <row r="50" spans="1:5" ht="25.5">
      <c r="A50" s="41" t="str">
        <f>Source!E130</f>
        <v>18</v>
      </c>
      <c r="B50" s="42" t="str">
        <f>Source!G130</f>
        <v>Посадка деревьев и кустарников с комом земли, диаметром 0,8 м и высотой 0,6 м (без стоимости деревьев и кустарников)</v>
      </c>
      <c r="C50" s="47" t="str">
        <f>Source!H130</f>
        <v>10 шт.</v>
      </c>
      <c r="D50" s="39">
        <f>Source!I130</f>
        <v>0.8</v>
      </c>
      <c r="E50" s="41"/>
    </row>
    <row r="51" spans="1:5" ht="25.5">
      <c r="A51" s="41" t="str">
        <f>Source!E131</f>
        <v>18,1</v>
      </c>
      <c r="B51" s="42" t="str">
        <f>Source!G131</f>
        <v>Деревья декоративные лиственных пород с комом земли, порода: Липа, размер кома: диаметр-0,8 м, высота-0,6 м</v>
      </c>
      <c r="C51" s="47" t="str">
        <f>Source!H131</f>
        <v>шт.</v>
      </c>
      <c r="D51" s="39">
        <f>Source!I131</f>
        <v>4</v>
      </c>
      <c r="E51" s="41"/>
    </row>
    <row r="52" spans="1:5" ht="25.5">
      <c r="A52" s="41" t="str">
        <f>Source!E132</f>
        <v>18,2</v>
      </c>
      <c r="B52" s="42" t="str">
        <f>Source!G132</f>
        <v>Деревья декоративные лиственных пород с комом земли, порода: Яблоня декоративная (шар), высота - 1,2 -1,4м, размер кома: диаметр-0,8 м, высота-0,6 м</v>
      </c>
      <c r="C52" s="47" t="str">
        <f>Source!H132</f>
        <v>шт.</v>
      </c>
      <c r="D52" s="39">
        <f>Source!I132</f>
        <v>4</v>
      </c>
      <c r="E52" s="41"/>
    </row>
    <row r="53" spans="1:5" hidden="1">
      <c r="A53" s="82" t="str">
        <f>CONCATENATE("Раздел: ", Source!G166)</f>
        <v>Раздел: Посадка деревьев хвойных - 21шт.</v>
      </c>
      <c r="B53" s="82"/>
      <c r="C53" s="82"/>
      <c r="D53" s="82"/>
      <c r="E53" s="82"/>
    </row>
    <row r="54" spans="1:5" ht="38.25">
      <c r="A54" s="41" t="str">
        <f>Source!E170</f>
        <v>19</v>
      </c>
      <c r="B54" s="42" t="str">
        <f>Source!G170</f>
        <v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100%</v>
      </c>
      <c r="C54" s="47" t="str">
        <f>Source!H170</f>
        <v>10 ям</v>
      </c>
      <c r="D54" s="39">
        <f>Source!I170</f>
        <v>0.06</v>
      </c>
      <c r="E54" s="41"/>
    </row>
    <row r="55" spans="1:5" ht="25.5">
      <c r="A55" s="41" t="str">
        <f>Source!E171</f>
        <v>20</v>
      </c>
      <c r="B55" s="42" t="str">
        <f>Source!G171</f>
        <v>Подготовка стандартных посадочных мест вручную, с круглым комом земли размером 0,8х0,6 м с добавлением растительной земли до 100%</v>
      </c>
      <c r="C55" s="47" t="str">
        <f>Source!H171</f>
        <v>10 ям</v>
      </c>
      <c r="D55" s="39">
        <f>Source!I171</f>
        <v>0.04</v>
      </c>
      <c r="E55" s="41"/>
    </row>
    <row r="56" spans="1:5" ht="63.75">
      <c r="A56" s="41" t="str">
        <f>Source!E172</f>
        <v>21</v>
      </c>
      <c r="B56" s="42" t="str">
        <f>Source!G172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табл.1 - 1,13м3 * 1дерево =1,13м3 - при слое 20 см покрываемая площадь 1,13м3/0,2м х 0,75)</v>
      </c>
      <c r="C56" s="47" t="str">
        <f>Source!H172</f>
        <v>100 м2</v>
      </c>
      <c r="D56" s="39">
        <f>Source!I172</f>
        <v>4.24E-2</v>
      </c>
      <c r="E56" s="41"/>
    </row>
    <row r="57" spans="1:5" ht="38.25">
      <c r="A57" s="41" t="str">
        <f>Source!E173</f>
        <v>22</v>
      </c>
      <c r="B57" s="42" t="str">
        <f>Source!G173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1,13м3/0,2м х 0,25)</v>
      </c>
      <c r="C57" s="47" t="str">
        <f>Source!H173</f>
        <v>100 м2</v>
      </c>
      <c r="D57" s="39">
        <f>Source!I173</f>
        <v>1.41E-2</v>
      </c>
      <c r="E57" s="41"/>
    </row>
    <row r="58" spans="1:5" ht="25.5">
      <c r="A58" s="41" t="str">
        <f>Source!E174</f>
        <v>23</v>
      </c>
      <c r="B58" s="42" t="str">
        <f>Source!G174</f>
        <v>Посадка деревьев и кустарников с комом земли, диаметром 0,8 м и высотой 0,6 м (без стоимости деревьев и кустарников)</v>
      </c>
      <c r="C58" s="47" t="str">
        <f>Source!H174</f>
        <v>10 шт.</v>
      </c>
      <c r="D58" s="39">
        <f>Source!I174</f>
        <v>0.1</v>
      </c>
      <c r="E58" s="41"/>
    </row>
    <row r="59" spans="1:5" ht="25.5">
      <c r="A59" s="41" t="str">
        <f>Source!E175</f>
        <v>23,1</v>
      </c>
      <c r="B59" s="42" t="str">
        <f>Source!G175</f>
        <v>Деревья хвойные садовых форм с комом земли, порода:  Сосна Нигра, высота - 1,8-2,2 м, размер кома 1,3х1,3х0,6 м</v>
      </c>
      <c r="C59" s="47" t="str">
        <f>Source!H175</f>
        <v>шт.</v>
      </c>
      <c r="D59" s="39">
        <f>Source!I175</f>
        <v>1</v>
      </c>
      <c r="E59" s="41"/>
    </row>
    <row r="60" spans="1:5" ht="25.5">
      <c r="A60" s="41" t="str">
        <f>Source!E176</f>
        <v>24</v>
      </c>
      <c r="B60" s="42" t="str">
        <f>Source!G176</f>
        <v>Подготовка стандартных посадочных мест вручную, с круглым комом земли размером 0,5х0,4 м с добавлением растительной земли до 100%</v>
      </c>
      <c r="C60" s="47" t="str">
        <f>Source!H176</f>
        <v>10 ям</v>
      </c>
      <c r="D60" s="39">
        <f>Source!I176</f>
        <v>0.8</v>
      </c>
      <c r="E60" s="41"/>
    </row>
    <row r="61" spans="1:5" ht="38.25">
      <c r="A61" s="41" t="str">
        <f>Source!E177</f>
        <v>25</v>
      </c>
      <c r="B61" s="42" t="str">
        <f>Source!G177</f>
        <v>Подготовка стандартных посадочных мест для деревьев и кустарников механизированным способом, с круглым комом земли размером 0,5х0,4 м с добавлением растительной земли до 100%</v>
      </c>
      <c r="C61" s="47" t="str">
        <f>Source!H177</f>
        <v>10 ям</v>
      </c>
      <c r="D61" s="39">
        <f>Source!I177</f>
        <v>1.2</v>
      </c>
      <c r="E61" s="41"/>
    </row>
    <row r="62" spans="1:5" ht="63.75">
      <c r="A62" s="41" t="str">
        <f>Source!E178</f>
        <v>26</v>
      </c>
      <c r="B62" s="42" t="str">
        <f>Source!G178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табл.1 - 0,51м3 * 20 деревьев =10,2м3 - при слое 20 см покрываемая площадь 10,2м3/0,2м х 0,75)</v>
      </c>
      <c r="C62" s="47" t="str">
        <f>Source!H178</f>
        <v>100 м2</v>
      </c>
      <c r="D62" s="39">
        <f>Source!I178</f>
        <v>0.38200000000000001</v>
      </c>
      <c r="E62" s="41"/>
    </row>
    <row r="63" spans="1:5" ht="38.25">
      <c r="A63" s="41" t="str">
        <f>Source!E179</f>
        <v>27</v>
      </c>
      <c r="B63" s="42" t="str">
        <f>Source!G179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10,2м3/0,2м х 0,25)</v>
      </c>
      <c r="C63" s="47" t="str">
        <f>Source!H179</f>
        <v>100 м2</v>
      </c>
      <c r="D63" s="39">
        <f>Source!I179</f>
        <v>0.128</v>
      </c>
      <c r="E63" s="41"/>
    </row>
    <row r="64" spans="1:5" ht="25.5">
      <c r="A64" s="41" t="str">
        <f>Source!E180</f>
        <v>28</v>
      </c>
      <c r="B64" s="42" t="str">
        <f>Source!G180</f>
        <v>Посадка деревьев и кустарников с комом земли, диаметром 0,5 м и высотой 0,4 м (без стоимости деревьев и кустарников)</v>
      </c>
      <c r="C64" s="47" t="str">
        <f>Source!H180</f>
        <v>10 шт.</v>
      </c>
      <c r="D64" s="39">
        <f>Source!I180</f>
        <v>2</v>
      </c>
      <c r="E64" s="41"/>
    </row>
    <row r="65" spans="1:5" ht="25.5">
      <c r="A65" s="41" t="str">
        <f>Source!E181</f>
        <v>28,1</v>
      </c>
      <c r="B65" s="42" t="str">
        <f>Source!G181</f>
        <v>Деревья хвойные садовых форм с комом земли, порода:  Туя Вудварди, высота - 1,2-1,4 м, размер кома 0,5м*0,4м</v>
      </c>
      <c r="C65" s="47" t="str">
        <f>Source!H181</f>
        <v>шт.</v>
      </c>
      <c r="D65" s="39">
        <f>Source!I181</f>
        <v>10</v>
      </c>
      <c r="E65" s="41"/>
    </row>
    <row r="66" spans="1:5" ht="25.5">
      <c r="A66" s="41" t="str">
        <f>Source!E182</f>
        <v>28,2</v>
      </c>
      <c r="B66" s="42" t="str">
        <f>Source!G182</f>
        <v>Деревья хвойные садовых форм с комом земли, порода:  Туя Смарагд, высота - 0,6-0,8м, размер кома 0,5м*0,4м</v>
      </c>
      <c r="C66" s="47" t="str">
        <f>Source!H182</f>
        <v>шт.</v>
      </c>
      <c r="D66" s="39">
        <f>Source!I182</f>
        <v>3</v>
      </c>
      <c r="E66" s="41"/>
    </row>
    <row r="67" spans="1:5" ht="25.5">
      <c r="A67" s="41" t="str">
        <f>Source!E183</f>
        <v>28,3</v>
      </c>
      <c r="B67" s="42" t="str">
        <f>Source!G183</f>
        <v>Деревья хвойные садовых форм с комом земли, порода:  Туя Голден Смарагд, высота - 0,6-0,8м, размер кома 0,5м*0,4м</v>
      </c>
      <c r="C67" s="47" t="str">
        <f>Source!H183</f>
        <v>шт.</v>
      </c>
      <c r="D67" s="39">
        <f>Source!I183</f>
        <v>4</v>
      </c>
      <c r="E67" s="41"/>
    </row>
    <row r="68" spans="1:5" ht="25.5">
      <c r="A68" s="41" t="str">
        <f>Source!E184</f>
        <v>28,4</v>
      </c>
      <c r="B68" s="42" t="str">
        <f>Source!G184</f>
        <v>Деревья хвойные садовых форм с комом земли, порода:  Туя Глобоза (шар), высота - 1,2 м, размер кома 0,5м*0,4м</v>
      </c>
      <c r="C68" s="47" t="str">
        <f>Source!H184</f>
        <v>шт.</v>
      </c>
      <c r="D68" s="39">
        <f>Source!I184</f>
        <v>3</v>
      </c>
      <c r="E68" s="41"/>
    </row>
    <row r="69" spans="1:5" hidden="1">
      <c r="A69" s="82" t="str">
        <f>CONCATENATE("Раздел: ", Source!G218)</f>
        <v>Раздел: Декоративное украшение территори озеленения</v>
      </c>
      <c r="B69" s="82"/>
      <c r="C69" s="82"/>
      <c r="D69" s="82"/>
      <c r="E69" s="82"/>
    </row>
    <row r="70" spans="1:5" ht="25.5">
      <c r="A70" s="41" t="str">
        <f>Source!E222</f>
        <v>29</v>
      </c>
      <c r="B70" s="42" t="str">
        <f>Source!G222</f>
        <v>Укрытие цветников и газонов мульчирующими материалами вручную, толщина слоя 2 см</v>
      </c>
      <c r="C70" s="47" t="str">
        <f>Source!H222</f>
        <v>100 м2</v>
      </c>
      <c r="D70" s="39">
        <f>Source!I222</f>
        <v>0.48</v>
      </c>
      <c r="E70" s="41"/>
    </row>
    <row r="71" spans="1:5" ht="25.5">
      <c r="A71" s="41" t="str">
        <f>Source!E223</f>
        <v>30</v>
      </c>
      <c r="B71" s="42" t="str">
        <f>Source!G223</f>
        <v>Укрытие цветников и газонов мульчирующими материалами вручную, добавлять на каждый 1 см толщины слоя сверх 2 см</v>
      </c>
      <c r="C71" s="47" t="str">
        <f>Source!H223</f>
        <v>100 м2</v>
      </c>
      <c r="D71" s="39">
        <f>Source!I223</f>
        <v>0.48</v>
      </c>
      <c r="E71" s="41"/>
    </row>
    <row r="72" spans="1:5">
      <c r="A72" s="41" t="str">
        <f>Source!E224</f>
        <v>31</v>
      </c>
      <c r="B72" s="42" t="str">
        <f>Source!G224</f>
        <v>Устройство бордюра из мелкоштучных камней, установленных на ребро, для клумб</v>
      </c>
      <c r="C72" s="47" t="str">
        <f>Source!H224</f>
        <v>100 м</v>
      </c>
      <c r="D72" s="39">
        <f>Source!I224</f>
        <v>0.5</v>
      </c>
      <c r="E72" s="41"/>
    </row>
    <row r="73" spans="1:5" hidden="1">
      <c r="A73" s="82" t="str">
        <f>CONCATENATE("Раздел: ", Source!G258)</f>
        <v>Раздел: Ремонт газона (посевной) - 550м2 ( вокруг цветника с кустами и деревьями)</v>
      </c>
      <c r="B73" s="82"/>
      <c r="C73" s="82"/>
      <c r="D73" s="82"/>
      <c r="E73" s="82"/>
    </row>
    <row r="74" spans="1:5" ht="25.5">
      <c r="A74" s="41" t="str">
        <f>Source!E262</f>
        <v>32</v>
      </c>
      <c r="B74" s="42" t="str">
        <f>Source!G262</f>
        <v>Подготовка почвы для устройства партерного и обыкновенного газонов с внесением растительной земли слоем 15 см механизированным способом</v>
      </c>
      <c r="C74" s="47" t="str">
        <f>Source!H262</f>
        <v>100 м2</v>
      </c>
      <c r="D74" s="39">
        <f>Source!I262</f>
        <v>4.125</v>
      </c>
      <c r="E74" s="41"/>
    </row>
    <row r="75" spans="1:5" ht="25.5">
      <c r="A75" s="41" t="str">
        <f>Source!E263</f>
        <v>33</v>
      </c>
      <c r="B75" s="42" t="str">
        <f>Source!G263</f>
        <v>Подготовка почвы для устройства партерного и обыкновенного газонов с внесением растительной земли слоем 15 см вручную</v>
      </c>
      <c r="C75" s="47" t="str">
        <f>Source!H263</f>
        <v>100 м2</v>
      </c>
      <c r="D75" s="39">
        <f>Source!I263</f>
        <v>1.375</v>
      </c>
      <c r="E75" s="41"/>
    </row>
    <row r="76" spans="1:5" ht="25.5">
      <c r="A76" s="41" t="str">
        <f>Source!E264</f>
        <v>34</v>
      </c>
      <c r="B76" s="42" t="str">
        <f>Source!G264</f>
        <v>Подготовка почвы для устройства партерного и обыкновенного газонов на каждые 5 см изменения толщины слоя добавлять или исключать</v>
      </c>
      <c r="C76" s="47" t="str">
        <f>Source!H264</f>
        <v>100 м2</v>
      </c>
      <c r="D76" s="39">
        <f>Source!I264</f>
        <v>-5.5</v>
      </c>
      <c r="E76" s="41"/>
    </row>
    <row r="77" spans="1:5">
      <c r="A77" s="43" t="str">
        <f>Source!E265</f>
        <v>35</v>
      </c>
      <c r="B77" s="33" t="str">
        <f>Source!G265</f>
        <v>Посев газонов партерных, мавританских, и обыкновенных вручную</v>
      </c>
      <c r="C77" s="34" t="str">
        <f>Source!H265</f>
        <v>100 м2</v>
      </c>
      <c r="D77" s="48">
        <f>Source!I265</f>
        <v>5.5</v>
      </c>
      <c r="E77" s="43"/>
    </row>
    <row r="80" spans="1:5">
      <c r="A80" s="44" t="s">
        <v>387</v>
      </c>
      <c r="B80" s="44"/>
      <c r="C80" s="45" t="s">
        <v>388</v>
      </c>
      <c r="D80" s="45"/>
      <c r="E80" s="44"/>
    </row>
  </sheetData>
  <mergeCells count="10">
    <mergeCell ref="A19:E19"/>
    <mergeCell ref="C5:D5"/>
    <mergeCell ref="C7:D7"/>
    <mergeCell ref="A11:D11"/>
    <mergeCell ref="A12:D12"/>
    <mergeCell ref="A32:E32"/>
    <mergeCell ref="A45:E45"/>
    <mergeCell ref="A53:E53"/>
    <mergeCell ref="A69:E69"/>
    <mergeCell ref="A73:E73"/>
  </mergeCells>
  <pageMargins left="0.4" right="0.2" top="0.2" bottom="0.4" header="0.2" footer="0.2"/>
  <pageSetup paperSize="9" scale="75" fitToHeight="0" orientation="portrait" horizontalDpi="0" verticalDpi="0" r:id="rId1"/>
  <headerFooter>
    <oddHeader>&amp;L&amp;8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80"/>
  <sheetViews>
    <sheetView zoomScaleNormal="100" workbookViewId="0">
      <selection activeCell="C93" sqref="C93"/>
    </sheetView>
  </sheetViews>
  <sheetFormatPr defaultRowHeight="12.75"/>
  <cols>
    <col min="1" max="1" width="6.7109375" style="29" customWidth="1"/>
    <col min="2" max="2" width="75.7109375" style="29" customWidth="1"/>
    <col min="3" max="4" width="15.7109375" style="36" customWidth="1"/>
    <col min="5" max="5" width="15.7109375" style="29" customWidth="1"/>
    <col min="6" max="30" width="9.140625" style="29"/>
    <col min="31" max="31" width="129.7109375" style="29" customWidth="1"/>
    <col min="32" max="16384" width="9.140625" style="29"/>
  </cols>
  <sheetData>
    <row r="1" spans="1:4">
      <c r="A1" s="29" t="str">
        <f>Source!B1</f>
        <v>Smeta.RU  (495) 974-1589</v>
      </c>
    </row>
    <row r="3" spans="1:4">
      <c r="D3" s="45" t="s">
        <v>340</v>
      </c>
    </row>
    <row r="4" spans="1:4">
      <c r="C4" s="45"/>
      <c r="D4" s="45"/>
    </row>
    <row r="5" spans="1:4">
      <c r="C5" s="83" t="s">
        <v>379</v>
      </c>
      <c r="D5" s="83"/>
    </row>
    <row r="6" spans="1:4">
      <c r="C6" s="46"/>
      <c r="D6" s="46"/>
    </row>
    <row r="7" spans="1:4">
      <c r="C7" s="83" t="s">
        <v>379</v>
      </c>
      <c r="D7" s="83"/>
    </row>
    <row r="8" spans="1:4">
      <c r="C8" s="46"/>
      <c r="D8" s="46"/>
    </row>
    <row r="9" spans="1:4">
      <c r="C9" s="45" t="s">
        <v>380</v>
      </c>
    </row>
    <row r="11" spans="1:4">
      <c r="A11" s="84" t="str">
        <f>CONCATENATE("Ведомость объемов работ ", IF(Source!AN15&lt;&gt;"", Source!AN15," "))</f>
        <v xml:space="preserve">Ведомость объемов работ  </v>
      </c>
      <c r="B11" s="84"/>
      <c r="C11" s="84"/>
      <c r="D11" s="84"/>
    </row>
    <row r="12" spans="1:4" ht="43.5" customHeight="1">
      <c r="A12" s="84" t="str">
        <f>Source!G20</f>
        <v>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Кировоградская, д.24, корп.1, со строны м. "Пражская"</v>
      </c>
      <c r="B12" s="84"/>
      <c r="C12" s="84"/>
      <c r="D12" s="84"/>
    </row>
    <row r="14" spans="1:4">
      <c r="B14" s="37" t="s">
        <v>381</v>
      </c>
    </row>
    <row r="15" spans="1:4">
      <c r="B15" s="37" t="s">
        <v>382</v>
      </c>
    </row>
    <row r="16" spans="1:4">
      <c r="B16" s="37" t="s">
        <v>383</v>
      </c>
    </row>
    <row r="17" spans="1:5" ht="25.5">
      <c r="A17" s="30" t="s">
        <v>384</v>
      </c>
      <c r="B17" s="30" t="s">
        <v>353</v>
      </c>
      <c r="C17" s="30" t="s">
        <v>354</v>
      </c>
      <c r="D17" s="30" t="s">
        <v>385</v>
      </c>
      <c r="E17" s="38" t="s">
        <v>386</v>
      </c>
    </row>
    <row r="18" spans="1:5">
      <c r="A18" s="39">
        <v>1</v>
      </c>
      <c r="B18" s="39">
        <v>2</v>
      </c>
      <c r="C18" s="39">
        <v>3</v>
      </c>
      <c r="D18" s="39">
        <v>4</v>
      </c>
      <c r="E18" s="40">
        <v>5</v>
      </c>
    </row>
    <row r="19" spans="1:5" hidden="1">
      <c r="A19" s="82" t="str">
        <f>CONCATENATE("Раздел: ", Source!G24)</f>
        <v>Раздел: Устройство цветника - 58м2</v>
      </c>
      <c r="B19" s="82"/>
      <c r="C19" s="82"/>
      <c r="D19" s="82"/>
      <c r="E19" s="82"/>
    </row>
    <row r="20" spans="1:5">
      <c r="A20" s="41" t="str">
        <f>Source!E28</f>
        <v>1</v>
      </c>
      <c r="B20" s="42" t="str">
        <f>Source!G28</f>
        <v>Устройство корыта под цветники глубиной 40 см механизированным способом</v>
      </c>
      <c r="C20" s="47" t="str">
        <f>Source!H28</f>
        <v>100 м2</v>
      </c>
      <c r="D20" s="39">
        <f>Source!I28</f>
        <v>0.435</v>
      </c>
      <c r="E20" s="41"/>
    </row>
    <row r="21" spans="1:5" ht="25.5">
      <c r="A21" s="41" t="str">
        <f>Source!E29</f>
        <v>2</v>
      </c>
      <c r="B21" s="42" t="str">
        <f>Source!G29</f>
        <v>Добавлять или исключать на каждые 10 см изменения глубины корыта под цветники механизированным способом к поз. 4-3203-7-1</v>
      </c>
      <c r="C21" s="47" t="str">
        <f>Source!H29</f>
        <v>100 м2</v>
      </c>
      <c r="D21" s="39">
        <f>Source!I29</f>
        <v>-0.435</v>
      </c>
      <c r="E21" s="41"/>
    </row>
    <row r="22" spans="1:5">
      <c r="A22" s="41" t="str">
        <f>Source!E30</f>
        <v>3</v>
      </c>
      <c r="B22" s="42" t="str">
        <f>Source!G30</f>
        <v>Устройство корыта под цветники глубиной 40 см вручную</v>
      </c>
      <c r="C22" s="47" t="str">
        <f>Source!H30</f>
        <v>100 м2</v>
      </c>
      <c r="D22" s="39">
        <f>Source!I30</f>
        <v>0.14499999999999999</v>
      </c>
      <c r="E22" s="41"/>
    </row>
    <row r="23" spans="1:5" ht="25.5">
      <c r="A23" s="41" t="str">
        <f>Source!E31</f>
        <v>4</v>
      </c>
      <c r="B23" s="42" t="str">
        <f>Source!G31</f>
        <v>Добавлять или исключать на каждые 10 см изменения глубины корыта под цветники вручную к поз. 4-3203-7-2</v>
      </c>
      <c r="C23" s="47" t="str">
        <f>Source!H31</f>
        <v>100 м2</v>
      </c>
      <c r="D23" s="39">
        <f>Source!I31</f>
        <v>-0.14499999999999999</v>
      </c>
      <c r="E23" s="41"/>
    </row>
    <row r="24" spans="1:5">
      <c r="A24" s="41" t="str">
        <f>Source!E32</f>
        <v>5</v>
      </c>
      <c r="B24" s="42" t="str">
        <f>Source!G32</f>
        <v>Подготовка почвы под цветники толщиной слоя насыпки 20 см</v>
      </c>
      <c r="C24" s="47" t="str">
        <f>Source!H32</f>
        <v>100 м2</v>
      </c>
      <c r="D24" s="39">
        <f>Source!I32</f>
        <v>0.57999999999999996</v>
      </c>
      <c r="E24" s="41"/>
    </row>
    <row r="25" spans="1:5" ht="25.5">
      <c r="A25" s="41" t="str">
        <f>Source!E33</f>
        <v>6</v>
      </c>
      <c r="B25" s="42" t="str">
        <f>Source!G33</f>
        <v>Добавлять или исключать на каждые 5 см изменения толщины слоя почвы под цветники к поз. 4-3203-6-1</v>
      </c>
      <c r="C25" s="47" t="str">
        <f>Source!H33</f>
        <v>100 м2</v>
      </c>
      <c r="D25" s="39">
        <f>Source!I33</f>
        <v>0.57999999999999996</v>
      </c>
      <c r="E25" s="41"/>
    </row>
    <row r="26" spans="1:5">
      <c r="A26" s="41" t="str">
        <f>Source!E34</f>
        <v>7</v>
      </c>
      <c r="B26" s="42" t="str">
        <f>Source!G34</f>
        <v>Посадка многолетних цветников при густоте посадки 1,6 тыс.шт. цветов</v>
      </c>
      <c r="C26" s="47" t="str">
        <f>Source!H34</f>
        <v>100 м2</v>
      </c>
      <c r="D26" s="39">
        <f>Source!I34</f>
        <v>0.57999999999999996</v>
      </c>
      <c r="E26" s="41"/>
    </row>
    <row r="27" spans="1:5">
      <c r="A27" s="41" t="str">
        <f>Source!E35</f>
        <v>7,1</v>
      </c>
      <c r="B27" s="42" t="str">
        <f>Source!G35</f>
        <v>Посадочный материал цветочных культур</v>
      </c>
      <c r="C27" s="47" t="str">
        <f>Source!H35</f>
        <v>шт.</v>
      </c>
      <c r="D27" s="39">
        <f>Source!I35</f>
        <v>974.4</v>
      </c>
      <c r="E27" s="41"/>
    </row>
    <row r="28" spans="1:5">
      <c r="A28" s="41" t="str">
        <f>Source!E36</f>
        <v>7,2</v>
      </c>
      <c r="B28" s="42" t="str">
        <f>Source!G36</f>
        <v>Посадочный материал многолетних культур: котовник фассена, С3</v>
      </c>
      <c r="C28" s="47" t="str">
        <f>Source!H36</f>
        <v>шт.</v>
      </c>
      <c r="D28" s="39">
        <f>Source!I36</f>
        <v>207</v>
      </c>
      <c r="E28" s="41"/>
    </row>
    <row r="29" spans="1:5">
      <c r="A29" s="41" t="str">
        <f>Source!E37</f>
        <v>7,3</v>
      </c>
      <c r="B29" s="42" t="str">
        <f>Source!G37</f>
        <v>Посадочный материал многолетних культур: гейхера в ассортименте</v>
      </c>
      <c r="C29" s="47" t="str">
        <f>Source!H37</f>
        <v>шт.</v>
      </c>
      <c r="D29" s="39">
        <f>Source!I37</f>
        <v>420</v>
      </c>
      <c r="E29" s="41"/>
    </row>
    <row r="30" spans="1:5" ht="25.5">
      <c r="A30" s="41" t="str">
        <f>Source!E38</f>
        <v>8</v>
      </c>
      <c r="B30" s="42" t="str">
        <f>Source!G38</f>
        <v>Добавлять или исключать на каждые 1000 шт. высаживаемых цветов к поз. 4-3203-8-1</v>
      </c>
      <c r="C30" s="47" t="str">
        <f>Source!H38</f>
        <v>100 м2</v>
      </c>
      <c r="D30" s="39">
        <f>Source!I38</f>
        <v>-0.57999999999999996</v>
      </c>
      <c r="E30" s="41"/>
    </row>
    <row r="31" spans="1:5">
      <c r="A31" s="41" t="str">
        <f>Source!E39</f>
        <v>8,1</v>
      </c>
      <c r="B31" s="42" t="str">
        <f>Source!G39</f>
        <v>Посадочный материал цветочных культур</v>
      </c>
      <c r="C31" s="47" t="str">
        <f>Source!H39</f>
        <v>шт.</v>
      </c>
      <c r="D31" s="39">
        <f>Source!I39</f>
        <v>-348</v>
      </c>
      <c r="E31" s="41"/>
    </row>
    <row r="32" spans="1:5" hidden="1">
      <c r="A32" s="82" t="str">
        <f>CONCATENATE("Раздел: ", Source!G73)</f>
        <v>Раздел: Посадка кустарников - 50шт.</v>
      </c>
      <c r="B32" s="82"/>
      <c r="C32" s="82"/>
      <c r="D32" s="82"/>
      <c r="E32" s="82"/>
    </row>
    <row r="33" spans="1:5" ht="38.25">
      <c r="A33" s="41" t="str">
        <f>Source!E77</f>
        <v>9</v>
      </c>
      <c r="B33" s="42" t="str">
        <f>Source!G77</f>
        <v>Подготовка стандартных посадочных мест для деревьев и кустарников механизированным способом, с круглым комом земли размером 0,3х0,3 м с добавлением растительной земли до 100%</v>
      </c>
      <c r="C33" s="47" t="str">
        <f>Source!H77</f>
        <v>10 ям</v>
      </c>
      <c r="D33" s="39">
        <f>Source!I77</f>
        <v>2</v>
      </c>
      <c r="E33" s="41"/>
    </row>
    <row r="34" spans="1:5" ht="25.5">
      <c r="A34" s="41" t="str">
        <f>Source!E78</f>
        <v>10</v>
      </c>
      <c r="B34" s="42" t="str">
        <f>Source!G78</f>
        <v>Подготовка стандартных посадочных мест вручную, с круглым комом земли размером 0,3х0,3 м с добавлением растительной земли до 100%</v>
      </c>
      <c r="C34" s="47" t="str">
        <f>Source!H78</f>
        <v>10 ям</v>
      </c>
      <c r="D34" s="39">
        <f>Source!I78</f>
        <v>3</v>
      </c>
      <c r="E34" s="41"/>
    </row>
    <row r="35" spans="1:5" ht="51">
      <c r="A35" s="41" t="str">
        <f>Source!E79</f>
        <v>11</v>
      </c>
      <c r="B35" s="42" t="str">
        <f>Source!G79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табл.1 - 0,28м3 * 50кустов =14м3 - при слое 20 см покрываемая площадь 14м3/0,2м х 0,75)</v>
      </c>
      <c r="C35" s="47" t="str">
        <f>Source!H79</f>
        <v>100 м2</v>
      </c>
      <c r="D35" s="39">
        <f>Source!I79</f>
        <v>0.52500000000000002</v>
      </c>
      <c r="E35" s="41"/>
    </row>
    <row r="36" spans="1:5" ht="38.25">
      <c r="A36" s="41" t="str">
        <f>Source!E80</f>
        <v>12</v>
      </c>
      <c r="B36" s="42" t="str">
        <f>Source!G80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14м3/0,2м х 0,25)</v>
      </c>
      <c r="C36" s="47" t="str">
        <f>Source!H80</f>
        <v>100 м2</v>
      </c>
      <c r="D36" s="39">
        <f>Source!I80</f>
        <v>0.17499999999999999</v>
      </c>
      <c r="E36" s="41"/>
    </row>
    <row r="37" spans="1:5" ht="25.5">
      <c r="A37" s="41" t="str">
        <f>Source!E81</f>
        <v>13</v>
      </c>
      <c r="B37" s="42" t="str">
        <f>Source!G81</f>
        <v>Посадка деревьев и кустарников с комом земли, диаметром 0,3 м и высотой 0,3 м (без стоимости деревьев и кустарников)</v>
      </c>
      <c r="C37" s="47" t="str">
        <f>Source!H81</f>
        <v>10 шт.</v>
      </c>
      <c r="D37" s="39">
        <f>Source!I81</f>
        <v>5</v>
      </c>
      <c r="E37" s="41"/>
    </row>
    <row r="38" spans="1:5" ht="25.5">
      <c r="A38" s="41" t="str">
        <f>Source!E82</f>
        <v>13,1</v>
      </c>
      <c r="B38" s="42" t="str">
        <f>Source!G82</f>
        <v>Кустарники декоративные с закрытой корневой системой: гортензия древовидная, С10 ( ком земли 0,3м * 0,3м)</v>
      </c>
      <c r="C38" s="47" t="str">
        <f>Source!H82</f>
        <v>шт.</v>
      </c>
      <c r="D38" s="39">
        <f>Source!I82</f>
        <v>26</v>
      </c>
      <c r="E38" s="41"/>
    </row>
    <row r="39" spans="1:5" ht="25.5">
      <c r="A39" s="41" t="str">
        <f>Source!E83</f>
        <v>13,2</v>
      </c>
      <c r="B39" s="42" t="str">
        <f>Source!G83</f>
        <v>Кустарники декоративные с комом земли: Бересклет крылатый, размер кома высота 0,3 м, диаметр 0,3 м</v>
      </c>
      <c r="C39" s="47" t="str">
        <f>Source!H83</f>
        <v>шт.</v>
      </c>
      <c r="D39" s="39">
        <f>Source!I83</f>
        <v>6</v>
      </c>
      <c r="E39" s="41"/>
    </row>
    <row r="40" spans="1:5" ht="25.5">
      <c r="A40" s="41" t="str">
        <f>Source!E84</f>
        <v>13,3</v>
      </c>
      <c r="B40" s="42" t="str">
        <f>Source!G84</f>
        <v>Кустарники декоративные с комом земли: Спирея Литл Принцесс, размер кома высота 0,3 м, диаметр 0,3 м</v>
      </c>
      <c r="C40" s="47" t="str">
        <f>Source!H84</f>
        <v>шт.</v>
      </c>
      <c r="D40" s="39">
        <f>Source!I84</f>
        <v>3</v>
      </c>
      <c r="E40" s="41"/>
    </row>
    <row r="41" spans="1:5" ht="25.5">
      <c r="A41" s="41" t="str">
        <f>Source!E85</f>
        <v>13,4</v>
      </c>
      <c r="B41" s="42" t="str">
        <f>Source!G85</f>
        <v>Кустарники декоративные с комом земли: Барбарис, размер кома высота 0,3 м, диаметр 0,3 м</v>
      </c>
      <c r="C41" s="47" t="str">
        <f>Source!H85</f>
        <v>шт.</v>
      </c>
      <c r="D41" s="39">
        <f>Source!I85</f>
        <v>6</v>
      </c>
      <c r="E41" s="41"/>
    </row>
    <row r="42" spans="1:5" ht="25.5">
      <c r="A42" s="41" t="str">
        <f>Source!E86</f>
        <v>13,5</v>
      </c>
      <c r="B42" s="42" t="str">
        <f>Source!G86</f>
        <v>Кустарники декоративные с комом земли: Можжевельник Олд Голд, размер кома высота 0,3 м, диаметр 0,3 м</v>
      </c>
      <c r="C42" s="47" t="str">
        <f>Source!H86</f>
        <v>шт.</v>
      </c>
      <c r="D42" s="39">
        <f>Source!I86</f>
        <v>3</v>
      </c>
      <c r="E42" s="41"/>
    </row>
    <row r="43" spans="1:5" ht="25.5">
      <c r="A43" s="41" t="str">
        <f>Source!E87</f>
        <v>13,6</v>
      </c>
      <c r="B43" s="42" t="str">
        <f>Source!G87</f>
        <v>Кустарники декоративные с комом земли: Можжевельник Блю Эрроу, размер кома высота 0,3 м, диаметр 0,3 м</v>
      </c>
      <c r="C43" s="47" t="str">
        <f>Source!H87</f>
        <v>шт.</v>
      </c>
      <c r="D43" s="39">
        <f>Source!I87</f>
        <v>3</v>
      </c>
      <c r="E43" s="41"/>
    </row>
    <row r="44" spans="1:5" ht="25.5">
      <c r="A44" s="41" t="str">
        <f>Source!E88</f>
        <v>13,7</v>
      </c>
      <c r="B44" s="42" t="str">
        <f>Source!G88</f>
        <v>Кустарники декоративные с комом земли: Можжевельник Минт Джулеп, размер кома высота 0,3 м, диаметр 0,3 м</v>
      </c>
      <c r="C44" s="47" t="str">
        <f>Source!H88</f>
        <v>шт.</v>
      </c>
      <c r="D44" s="39">
        <f>Source!I88</f>
        <v>3</v>
      </c>
      <c r="E44" s="41"/>
    </row>
    <row r="45" spans="1:5" hidden="1">
      <c r="A45" s="82" t="str">
        <f>CONCATENATE("Раздел: ", Source!G122)</f>
        <v>Раздел: Посадка деревьев лиственных - 8шт.</v>
      </c>
      <c r="B45" s="82"/>
      <c r="C45" s="82"/>
      <c r="D45" s="82"/>
      <c r="E45" s="82"/>
    </row>
    <row r="46" spans="1:5" ht="38.25">
      <c r="A46" s="41" t="str">
        <f>Source!E126</f>
        <v>14</v>
      </c>
      <c r="B46" s="42" t="str">
        <f>Source!G126</f>
        <v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100%</v>
      </c>
      <c r="C46" s="47" t="str">
        <f>Source!H126</f>
        <v>10 ям</v>
      </c>
      <c r="D46" s="39">
        <f>Source!I126</f>
        <v>0.48</v>
      </c>
      <c r="E46" s="41"/>
    </row>
    <row r="47" spans="1:5" ht="25.5">
      <c r="A47" s="41" t="str">
        <f>Source!E127</f>
        <v>15</v>
      </c>
      <c r="B47" s="42" t="str">
        <f>Source!G127</f>
        <v>Подготовка стандартных посадочных мест вручную, с круглым комом земли размером 0,8х0,6 м с добавлением растительной земли до 100%</v>
      </c>
      <c r="C47" s="47" t="str">
        <f>Source!H127</f>
        <v>10 ям</v>
      </c>
      <c r="D47" s="39">
        <f>Source!I127</f>
        <v>0.32</v>
      </c>
      <c r="E47" s="41"/>
    </row>
    <row r="48" spans="1:5" ht="63.75">
      <c r="A48" s="41" t="str">
        <f>Source!E128</f>
        <v>16</v>
      </c>
      <c r="B48" s="42" t="str">
        <f>Source!G128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табл.1 - 1,13м3 * 8дерева =9,04м3 - при слое 20 см покрываемая площадь 9,04м3/0,2м х 0,75)</v>
      </c>
      <c r="C48" s="47" t="str">
        <f>Source!H128</f>
        <v>100 м2</v>
      </c>
      <c r="D48" s="39">
        <f>Source!I128</f>
        <v>0.33900000000000002</v>
      </c>
      <c r="E48" s="41"/>
    </row>
    <row r="49" spans="1:5" ht="38.25">
      <c r="A49" s="41" t="str">
        <f>Source!E129</f>
        <v>17</v>
      </c>
      <c r="B49" s="42" t="str">
        <f>Source!G129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9,04м3/0,2м х 0,25)</v>
      </c>
      <c r="C49" s="47" t="str">
        <f>Source!H129</f>
        <v>100 м2</v>
      </c>
      <c r="D49" s="39">
        <f>Source!I129</f>
        <v>0.113</v>
      </c>
      <c r="E49" s="41"/>
    </row>
    <row r="50" spans="1:5" ht="25.5">
      <c r="A50" s="41" t="str">
        <f>Source!E130</f>
        <v>18</v>
      </c>
      <c r="B50" s="42" t="str">
        <f>Source!G130</f>
        <v>Посадка деревьев и кустарников с комом земли, диаметром 0,8 м и высотой 0,6 м (без стоимости деревьев и кустарников)</v>
      </c>
      <c r="C50" s="47" t="str">
        <f>Source!H130</f>
        <v>10 шт.</v>
      </c>
      <c r="D50" s="39">
        <f>Source!I130</f>
        <v>0.8</v>
      </c>
      <c r="E50" s="41"/>
    </row>
    <row r="51" spans="1:5" ht="25.5">
      <c r="A51" s="41" t="str">
        <f>Source!E131</f>
        <v>18,1</v>
      </c>
      <c r="B51" s="42" t="str">
        <f>Source!G131</f>
        <v>Деревья декоративные лиственных пород с комом земли, порода: Липа, размер кома: диаметр-0,8 м, высота-0,6 м</v>
      </c>
      <c r="C51" s="47" t="str">
        <f>Source!H131</f>
        <v>шт.</v>
      </c>
      <c r="D51" s="39">
        <f>Source!I131</f>
        <v>4</v>
      </c>
      <c r="E51" s="41"/>
    </row>
    <row r="52" spans="1:5" ht="25.5">
      <c r="A52" s="41" t="str">
        <f>Source!E132</f>
        <v>18,2</v>
      </c>
      <c r="B52" s="42" t="str">
        <f>Source!G132</f>
        <v>Деревья декоративные лиственных пород с комом земли, порода: Яблоня декоративная (шар), высота - 1,2 -1,4м, размер кома: диаметр-0,8 м, высота-0,6 м</v>
      </c>
      <c r="C52" s="47" t="str">
        <f>Source!H132</f>
        <v>шт.</v>
      </c>
      <c r="D52" s="39">
        <f>Source!I132</f>
        <v>4</v>
      </c>
      <c r="E52" s="41"/>
    </row>
    <row r="53" spans="1:5" hidden="1">
      <c r="A53" s="82" t="str">
        <f>CONCATENATE("Раздел: ", Source!G166)</f>
        <v>Раздел: Посадка деревьев хвойных - 21шт.</v>
      </c>
      <c r="B53" s="82"/>
      <c r="C53" s="82"/>
      <c r="D53" s="82"/>
      <c r="E53" s="82"/>
    </row>
    <row r="54" spans="1:5" ht="38.25">
      <c r="A54" s="41" t="str">
        <f>Source!E170</f>
        <v>19</v>
      </c>
      <c r="B54" s="42" t="str">
        <f>Source!G170</f>
        <v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100%</v>
      </c>
      <c r="C54" s="47" t="str">
        <f>Source!H170</f>
        <v>10 ям</v>
      </c>
      <c r="D54" s="39">
        <f>Source!I170</f>
        <v>0.06</v>
      </c>
      <c r="E54" s="41"/>
    </row>
    <row r="55" spans="1:5" ht="25.5">
      <c r="A55" s="41" t="str">
        <f>Source!E171</f>
        <v>20</v>
      </c>
      <c r="B55" s="42" t="str">
        <f>Source!G171</f>
        <v>Подготовка стандартных посадочных мест вручную, с круглым комом земли размером 0,8х0,6 м с добавлением растительной земли до 100%</v>
      </c>
      <c r="C55" s="47" t="str">
        <f>Source!H171</f>
        <v>10 ям</v>
      </c>
      <c r="D55" s="39">
        <f>Source!I171</f>
        <v>0.04</v>
      </c>
      <c r="E55" s="41"/>
    </row>
    <row r="56" spans="1:5" ht="63.75">
      <c r="A56" s="41" t="str">
        <f>Source!E172</f>
        <v>21</v>
      </c>
      <c r="B56" s="42" t="str">
        <f>Source!G172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табл.1 - 1,13м3 * 1дерево =1,13м3 - при слое 20 см покрываемая площадь 1,13м3/0,2м х 0,75)</v>
      </c>
      <c r="C56" s="47" t="str">
        <f>Source!H172</f>
        <v>100 м2</v>
      </c>
      <c r="D56" s="39">
        <f>Source!I172</f>
        <v>4.24E-2</v>
      </c>
      <c r="E56" s="41"/>
    </row>
    <row r="57" spans="1:5" ht="38.25">
      <c r="A57" s="41" t="str">
        <f>Source!E173</f>
        <v>22</v>
      </c>
      <c r="B57" s="42" t="str">
        <f>Source!G173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1,13м3/0,2м х 0,25)</v>
      </c>
      <c r="C57" s="47" t="str">
        <f>Source!H173</f>
        <v>100 м2</v>
      </c>
      <c r="D57" s="39">
        <f>Source!I173</f>
        <v>1.41E-2</v>
      </c>
      <c r="E57" s="41"/>
    </row>
    <row r="58" spans="1:5" ht="25.5">
      <c r="A58" s="41" t="str">
        <f>Source!E174</f>
        <v>23</v>
      </c>
      <c r="B58" s="42" t="str">
        <f>Source!G174</f>
        <v>Посадка деревьев и кустарников с комом земли, диаметром 0,8 м и высотой 0,6 м (без стоимости деревьев и кустарников)</v>
      </c>
      <c r="C58" s="47" t="str">
        <f>Source!H174</f>
        <v>10 шт.</v>
      </c>
      <c r="D58" s="39">
        <f>Source!I174</f>
        <v>0.1</v>
      </c>
      <c r="E58" s="41"/>
    </row>
    <row r="59" spans="1:5" ht="25.5">
      <c r="A59" s="41" t="str">
        <f>Source!E175</f>
        <v>23,1</v>
      </c>
      <c r="B59" s="42" t="str">
        <f>Source!G175</f>
        <v>Деревья хвойные садовых форм с комом земли, порода:  Сосна Нигра, высота - 1,8-2,2 м, размер кома 1,3х1,3х0,6 м</v>
      </c>
      <c r="C59" s="47" t="str">
        <f>Source!H175</f>
        <v>шт.</v>
      </c>
      <c r="D59" s="39">
        <f>Source!I175</f>
        <v>1</v>
      </c>
      <c r="E59" s="41"/>
    </row>
    <row r="60" spans="1:5" ht="25.5">
      <c r="A60" s="41" t="str">
        <f>Source!E176</f>
        <v>24</v>
      </c>
      <c r="B60" s="42" t="str">
        <f>Source!G176</f>
        <v>Подготовка стандартных посадочных мест вручную, с круглым комом земли размером 0,5х0,4 м с добавлением растительной земли до 100%</v>
      </c>
      <c r="C60" s="47" t="str">
        <f>Source!H176</f>
        <v>10 ям</v>
      </c>
      <c r="D60" s="39">
        <f>Source!I176</f>
        <v>0.8</v>
      </c>
      <c r="E60" s="41"/>
    </row>
    <row r="61" spans="1:5" ht="38.25">
      <c r="A61" s="41" t="str">
        <f>Source!E177</f>
        <v>25</v>
      </c>
      <c r="B61" s="42" t="str">
        <f>Source!G177</f>
        <v>Подготовка стандартных посадочных мест для деревьев и кустарников механизированным способом, с круглым комом земли размером 0,5х0,4 м с добавлением растительной земли до 100%</v>
      </c>
      <c r="C61" s="47" t="str">
        <f>Source!H177</f>
        <v>10 ям</v>
      </c>
      <c r="D61" s="39">
        <f>Source!I177</f>
        <v>1.2</v>
      </c>
      <c r="E61" s="41"/>
    </row>
    <row r="62" spans="1:5" ht="63.75">
      <c r="A62" s="41" t="str">
        <f>Source!E178</f>
        <v>26</v>
      </c>
      <c r="B62" s="42" t="str">
        <f>Source!G178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табл.1 - 0,51м3 * 20 деревьев =10,2м3 - при слое 20 см покрываемая площадь 10,2м3/0,2м х 0,75)</v>
      </c>
      <c r="C62" s="47" t="str">
        <f>Source!H178</f>
        <v>100 м2</v>
      </c>
      <c r="D62" s="39">
        <f>Source!I178</f>
        <v>0.38200000000000001</v>
      </c>
      <c r="E62" s="41"/>
    </row>
    <row r="63" spans="1:5" ht="38.25">
      <c r="A63" s="41" t="str">
        <f>Source!E179</f>
        <v>27</v>
      </c>
      <c r="B63" s="42" t="str">
        <f>Source!G179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10,2м3/0,2м х 0,25)</v>
      </c>
      <c r="C63" s="47" t="str">
        <f>Source!H179</f>
        <v>100 м2</v>
      </c>
      <c r="D63" s="39">
        <f>Source!I179</f>
        <v>0.128</v>
      </c>
      <c r="E63" s="41"/>
    </row>
    <row r="64" spans="1:5" ht="25.5">
      <c r="A64" s="41" t="str">
        <f>Source!E180</f>
        <v>28</v>
      </c>
      <c r="B64" s="42" t="str">
        <f>Source!G180</f>
        <v>Посадка деревьев и кустарников с комом земли, диаметром 0,5 м и высотой 0,4 м (без стоимости деревьев и кустарников)</v>
      </c>
      <c r="C64" s="47" t="str">
        <f>Source!H180</f>
        <v>10 шт.</v>
      </c>
      <c r="D64" s="39">
        <f>Source!I180</f>
        <v>2</v>
      </c>
      <c r="E64" s="41"/>
    </row>
    <row r="65" spans="1:5" ht="25.5">
      <c r="A65" s="41" t="str">
        <f>Source!E181</f>
        <v>28,1</v>
      </c>
      <c r="B65" s="42" t="str">
        <f>Source!G181</f>
        <v>Деревья хвойные садовых форм с комом земли, порода:  Туя Вудварди, высота - 1,2-1,4 м, размер кома 0,5м*0,4м</v>
      </c>
      <c r="C65" s="47" t="str">
        <f>Source!H181</f>
        <v>шт.</v>
      </c>
      <c r="D65" s="39">
        <f>Source!I181</f>
        <v>10</v>
      </c>
      <c r="E65" s="41"/>
    </row>
    <row r="66" spans="1:5" ht="25.5">
      <c r="A66" s="41" t="str">
        <f>Source!E182</f>
        <v>28,2</v>
      </c>
      <c r="B66" s="42" t="str">
        <f>Source!G182</f>
        <v>Деревья хвойные садовых форм с комом земли, порода:  Туя Смарагд, высота - 0,6-0,8м, размер кома 0,5м*0,4м</v>
      </c>
      <c r="C66" s="47" t="str">
        <f>Source!H182</f>
        <v>шт.</v>
      </c>
      <c r="D66" s="39">
        <f>Source!I182</f>
        <v>3</v>
      </c>
      <c r="E66" s="41"/>
    </row>
    <row r="67" spans="1:5" ht="25.5">
      <c r="A67" s="41" t="str">
        <f>Source!E183</f>
        <v>28,3</v>
      </c>
      <c r="B67" s="42" t="str">
        <f>Source!G183</f>
        <v>Деревья хвойные садовых форм с комом земли, порода:  Туя Голден Смарагд, высота - 0,6-0,8м, размер кома 0,5м*0,4м</v>
      </c>
      <c r="C67" s="47" t="str">
        <f>Source!H183</f>
        <v>шт.</v>
      </c>
      <c r="D67" s="39">
        <f>Source!I183</f>
        <v>4</v>
      </c>
      <c r="E67" s="41"/>
    </row>
    <row r="68" spans="1:5" ht="25.5">
      <c r="A68" s="41" t="str">
        <f>Source!E184</f>
        <v>28,4</v>
      </c>
      <c r="B68" s="42" t="str">
        <f>Source!G184</f>
        <v>Деревья хвойные садовых форм с комом земли, порода:  Туя Глобоза (шар), высота - 1,2 м, размер кома 0,5м*0,4м</v>
      </c>
      <c r="C68" s="47" t="str">
        <f>Source!H184</f>
        <v>шт.</v>
      </c>
      <c r="D68" s="39">
        <f>Source!I184</f>
        <v>3</v>
      </c>
      <c r="E68" s="41"/>
    </row>
    <row r="69" spans="1:5" hidden="1">
      <c r="A69" s="82" t="str">
        <f>CONCATENATE("Раздел: ", Source!G218)</f>
        <v>Раздел: Декоративное украшение территори озеленения</v>
      </c>
      <c r="B69" s="82"/>
      <c r="C69" s="82"/>
      <c r="D69" s="82"/>
      <c r="E69" s="82"/>
    </row>
    <row r="70" spans="1:5" ht="25.5">
      <c r="A70" s="41" t="str">
        <f>Source!E222</f>
        <v>29</v>
      </c>
      <c r="B70" s="42" t="str">
        <f>Source!G222</f>
        <v>Укрытие цветников и газонов мульчирующими материалами вручную, толщина слоя 2 см</v>
      </c>
      <c r="C70" s="47" t="str">
        <f>Source!H222</f>
        <v>100 м2</v>
      </c>
      <c r="D70" s="39">
        <f>Source!I222</f>
        <v>0.48</v>
      </c>
      <c r="E70" s="41"/>
    </row>
    <row r="71" spans="1:5" ht="25.5">
      <c r="A71" s="41" t="str">
        <f>Source!E223</f>
        <v>30</v>
      </c>
      <c r="B71" s="42" t="str">
        <f>Source!G223</f>
        <v>Укрытие цветников и газонов мульчирующими материалами вручную, добавлять на каждый 1 см толщины слоя сверх 2 см</v>
      </c>
      <c r="C71" s="47" t="str">
        <f>Source!H223</f>
        <v>100 м2</v>
      </c>
      <c r="D71" s="39">
        <f>Source!I223</f>
        <v>0.48</v>
      </c>
      <c r="E71" s="41"/>
    </row>
    <row r="72" spans="1:5">
      <c r="A72" s="41" t="str">
        <f>Source!E224</f>
        <v>31</v>
      </c>
      <c r="B72" s="42" t="str">
        <f>Source!G224</f>
        <v>Устройство бордюра из мелкоштучных камней, установленных на ребро, для клумб</v>
      </c>
      <c r="C72" s="47" t="str">
        <f>Source!H224</f>
        <v>100 м</v>
      </c>
      <c r="D72" s="39">
        <f>Source!I224</f>
        <v>0.5</v>
      </c>
      <c r="E72" s="41"/>
    </row>
    <row r="73" spans="1:5" hidden="1">
      <c r="A73" s="82" t="str">
        <f>CONCATENATE("Раздел: ", Source!G258)</f>
        <v>Раздел: Ремонт газона (посевной) - 550м2 ( вокруг цветника с кустами и деревьями)</v>
      </c>
      <c r="B73" s="82"/>
      <c r="C73" s="82"/>
      <c r="D73" s="82"/>
      <c r="E73" s="82"/>
    </row>
    <row r="74" spans="1:5" ht="25.5">
      <c r="A74" s="41" t="str">
        <f>Source!E262</f>
        <v>32</v>
      </c>
      <c r="B74" s="42" t="str">
        <f>Source!G262</f>
        <v>Подготовка почвы для устройства партерного и обыкновенного газонов с внесением растительной земли слоем 15 см механизированным способом</v>
      </c>
      <c r="C74" s="47" t="str">
        <f>Source!H262</f>
        <v>100 м2</v>
      </c>
      <c r="D74" s="39">
        <f>Source!I262</f>
        <v>4.125</v>
      </c>
      <c r="E74" s="41"/>
    </row>
    <row r="75" spans="1:5" ht="25.5">
      <c r="A75" s="41" t="str">
        <f>Source!E263</f>
        <v>33</v>
      </c>
      <c r="B75" s="42" t="str">
        <f>Source!G263</f>
        <v>Подготовка почвы для устройства партерного и обыкновенного газонов с внесением растительной земли слоем 15 см вручную</v>
      </c>
      <c r="C75" s="47" t="str">
        <f>Source!H263</f>
        <v>100 м2</v>
      </c>
      <c r="D75" s="39">
        <f>Source!I263</f>
        <v>1.375</v>
      </c>
      <c r="E75" s="41"/>
    </row>
    <row r="76" spans="1:5" ht="25.5">
      <c r="A76" s="41" t="str">
        <f>Source!E264</f>
        <v>34</v>
      </c>
      <c r="B76" s="42" t="str">
        <f>Source!G264</f>
        <v>Подготовка почвы для устройства партерного и обыкновенного газонов на каждые 5 см изменения толщины слоя добавлять или исключать</v>
      </c>
      <c r="C76" s="47" t="str">
        <f>Source!H264</f>
        <v>100 м2</v>
      </c>
      <c r="D76" s="39">
        <f>Source!I264</f>
        <v>-5.5</v>
      </c>
      <c r="E76" s="41"/>
    </row>
    <row r="77" spans="1:5">
      <c r="A77" s="43" t="str">
        <f>Source!E265</f>
        <v>35</v>
      </c>
      <c r="B77" s="33" t="str">
        <f>Source!G265</f>
        <v>Посев газонов партерных, мавританских, и обыкновенных вручную</v>
      </c>
      <c r="C77" s="34" t="str">
        <f>Source!H265</f>
        <v>100 м2</v>
      </c>
      <c r="D77" s="48">
        <f>Source!I265</f>
        <v>5.5</v>
      </c>
      <c r="E77" s="43"/>
    </row>
    <row r="80" spans="1:5">
      <c r="A80" s="44" t="s">
        <v>387</v>
      </c>
      <c r="B80" s="44"/>
      <c r="C80" s="45" t="s">
        <v>388</v>
      </c>
      <c r="D80" s="45"/>
      <c r="E80" s="44"/>
    </row>
  </sheetData>
  <mergeCells count="10">
    <mergeCell ref="A19:E19"/>
    <mergeCell ref="C5:D5"/>
    <mergeCell ref="C7:D7"/>
    <mergeCell ref="A11:D11"/>
    <mergeCell ref="A12:D12"/>
    <mergeCell ref="A32:E32"/>
    <mergeCell ref="A45:E45"/>
    <mergeCell ref="A53:E53"/>
    <mergeCell ref="A69:E69"/>
    <mergeCell ref="A73:E73"/>
  </mergeCells>
  <pageMargins left="0.4" right="0.2" top="0.2" bottom="0.4" header="0.2" footer="0.2"/>
  <pageSetup paperSize="9" scale="75" fitToHeight="0" orientation="portrait" horizontalDpi="0" verticalDpi="0" r:id="rId1"/>
  <headerFooter>
    <oddHeader>&amp;L&amp;8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W81"/>
  <sheetViews>
    <sheetView workbookViewId="0"/>
  </sheetViews>
  <sheetFormatPr defaultRowHeight="12.75"/>
  <sheetData>
    <row r="1" spans="1:23">
      <c r="A1" t="s">
        <v>412</v>
      </c>
      <c r="B1" t="s">
        <v>413</v>
      </c>
      <c r="C1" t="s">
        <v>414</v>
      </c>
      <c r="D1" t="s">
        <v>415</v>
      </c>
      <c r="E1" t="s">
        <v>416</v>
      </c>
      <c r="F1" t="s">
        <v>417</v>
      </c>
      <c r="G1" t="s">
        <v>418</v>
      </c>
      <c r="H1" t="s">
        <v>419</v>
      </c>
      <c r="I1" t="s">
        <v>420</v>
      </c>
      <c r="J1" t="s">
        <v>421</v>
      </c>
    </row>
    <row r="2" spans="1:23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</row>
    <row r="4" spans="1:23">
      <c r="A4" t="s">
        <v>389</v>
      </c>
      <c r="B4" t="s">
        <v>390</v>
      </c>
      <c r="C4" t="s">
        <v>391</v>
      </c>
      <c r="D4" t="s">
        <v>392</v>
      </c>
      <c r="E4" t="s">
        <v>393</v>
      </c>
      <c r="F4" t="s">
        <v>394</v>
      </c>
      <c r="G4" t="s">
        <v>395</v>
      </c>
      <c r="H4" t="s">
        <v>396</v>
      </c>
      <c r="I4" t="s">
        <v>397</v>
      </c>
      <c r="J4" t="s">
        <v>398</v>
      </c>
      <c r="K4" t="s">
        <v>399</v>
      </c>
      <c r="L4" t="s">
        <v>400</v>
      </c>
      <c r="M4" t="s">
        <v>401</v>
      </c>
      <c r="N4" t="s">
        <v>402</v>
      </c>
      <c r="O4" t="s">
        <v>403</v>
      </c>
      <c r="P4" t="s">
        <v>404</v>
      </c>
      <c r="Q4" t="s">
        <v>405</v>
      </c>
      <c r="R4" t="s">
        <v>406</v>
      </c>
      <c r="S4" t="s">
        <v>407</v>
      </c>
      <c r="T4" t="s">
        <v>408</v>
      </c>
      <c r="U4" t="s">
        <v>409</v>
      </c>
      <c r="V4" t="s">
        <v>410</v>
      </c>
      <c r="W4" t="s">
        <v>411</v>
      </c>
    </row>
    <row r="6" spans="1:23">
      <c r="A6">
        <f>Source!A20</f>
        <v>3</v>
      </c>
      <c r="B6">
        <v>20</v>
      </c>
      <c r="G6" t="str">
        <f>Source!G20</f>
        <v>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Кировоградская, д.24, корп.1, со строны м. "Пражская"</v>
      </c>
    </row>
    <row r="7" spans="1:23">
      <c r="A7">
        <f>Source!A24</f>
        <v>4</v>
      </c>
      <c r="B7">
        <v>24</v>
      </c>
      <c r="G7" t="str">
        <f>Source!G24</f>
        <v>Устройство цветника - 58м2</v>
      </c>
    </row>
    <row r="8" spans="1:23">
      <c r="A8">
        <f>Source!A32</f>
        <v>17</v>
      </c>
      <c r="C8">
        <v>3</v>
      </c>
      <c r="D8">
        <v>0</v>
      </c>
      <c r="E8">
        <f>SmtRes!AV8</f>
        <v>0</v>
      </c>
      <c r="F8" t="str">
        <f>SmtRes!I8</f>
        <v>21.4-6-5</v>
      </c>
      <c r="G8" t="str">
        <f>SmtRes!K8</f>
        <v>Земля растительная</v>
      </c>
      <c r="H8" t="str">
        <f>SmtRes!O8</f>
        <v>м3</v>
      </c>
      <c r="I8">
        <f>SmtRes!Y8*Source!I32</f>
        <v>11.6</v>
      </c>
      <c r="J8">
        <f>SmtRes!AO8</f>
        <v>1</v>
      </c>
      <c r="K8">
        <f>SmtRes!AE8</f>
        <v>753.67</v>
      </c>
      <c r="L8">
        <f>SmtRes!DB8</f>
        <v>15073.4</v>
      </c>
      <c r="M8">
        <f>ROUND(ROUND(L8*Source!I32, 6)*1, 2)</f>
        <v>8742.57</v>
      </c>
      <c r="N8">
        <f>SmtRes!AA8</f>
        <v>753.67</v>
      </c>
      <c r="O8">
        <f>ROUND(ROUND(L8*Source!I32, 6)*SmtRes!DA8, 2)</f>
        <v>8742.57</v>
      </c>
      <c r="P8">
        <f>SmtRes!AG8</f>
        <v>0</v>
      </c>
      <c r="Q8">
        <f>SmtRes!DC8</f>
        <v>0</v>
      </c>
      <c r="R8">
        <f>ROUND(ROUND(Q8*Source!I32, 6)*1, 2)</f>
        <v>0</v>
      </c>
      <c r="S8">
        <f>SmtRes!AC8</f>
        <v>0</v>
      </c>
      <c r="T8">
        <f>ROUND(ROUND(Q8*Source!I32, 6)*SmtRes!AK8, 2)</f>
        <v>0</v>
      </c>
      <c r="U8">
        <f>SmtRes!X8</f>
        <v>-1277312656</v>
      </c>
      <c r="V8">
        <v>1365262818</v>
      </c>
      <c r="W8">
        <v>1365262818</v>
      </c>
    </row>
    <row r="9" spans="1:23">
      <c r="A9">
        <f>Source!A33</f>
        <v>17</v>
      </c>
      <c r="C9">
        <v>3</v>
      </c>
      <c r="D9">
        <v>0</v>
      </c>
      <c r="E9">
        <f>SmtRes!AV10</f>
        <v>0</v>
      </c>
      <c r="F9" t="str">
        <f>SmtRes!I10</f>
        <v>21.4-6-5</v>
      </c>
      <c r="G9" t="str">
        <f>SmtRes!K10</f>
        <v>Земля растительная</v>
      </c>
      <c r="H9" t="str">
        <f>SmtRes!O10</f>
        <v>м3</v>
      </c>
      <c r="I9">
        <f>SmtRes!Y10*Source!I33</f>
        <v>5.8</v>
      </c>
      <c r="J9">
        <f>SmtRes!AO10</f>
        <v>1</v>
      </c>
      <c r="K9">
        <f>SmtRes!AE10</f>
        <v>753.67</v>
      </c>
      <c r="L9">
        <f>SmtRes!DB10</f>
        <v>7536.7</v>
      </c>
      <c r="M9">
        <f>ROUND(ROUND(L9*Source!I33, 6)*1, 2)</f>
        <v>4371.29</v>
      </c>
      <c r="N9">
        <f>SmtRes!AA10</f>
        <v>753.67</v>
      </c>
      <c r="O9">
        <f>ROUND(ROUND(L9*Source!I33, 6)*SmtRes!DA10, 2)</f>
        <v>4371.29</v>
      </c>
      <c r="P9">
        <f>SmtRes!AG10</f>
        <v>0</v>
      </c>
      <c r="Q9">
        <f>SmtRes!DC10</f>
        <v>0</v>
      </c>
      <c r="R9">
        <f>ROUND(ROUND(Q9*Source!I33, 6)*1, 2)</f>
        <v>0</v>
      </c>
      <c r="S9">
        <f>SmtRes!AC10</f>
        <v>0</v>
      </c>
      <c r="T9">
        <f>ROUND(ROUND(Q9*Source!I33, 6)*SmtRes!AK10, 2)</f>
        <v>0</v>
      </c>
      <c r="U9">
        <f>SmtRes!X10</f>
        <v>-1277312656</v>
      </c>
      <c r="V9">
        <v>1365262818</v>
      </c>
      <c r="W9">
        <v>1365262818</v>
      </c>
    </row>
    <row r="10" spans="1:23">
      <c r="A10">
        <f>Source!A34</f>
        <v>17</v>
      </c>
      <c r="C10">
        <v>3</v>
      </c>
      <c r="D10">
        <v>0</v>
      </c>
      <c r="E10">
        <f>SmtRes!AV16</f>
        <v>0</v>
      </c>
      <c r="F10" t="str">
        <f>SmtRes!I16</f>
        <v>21.4-6-8</v>
      </c>
      <c r="G10" t="str">
        <f>SmtRes!K16</f>
        <v>Перегной</v>
      </c>
      <c r="H10" t="str">
        <f>SmtRes!O16</f>
        <v>м3</v>
      </c>
      <c r="I10">
        <f>SmtRes!Y16*Source!I34</f>
        <v>1.1599999999999999</v>
      </c>
      <c r="J10">
        <f>SmtRes!AO16</f>
        <v>1</v>
      </c>
      <c r="K10">
        <f>SmtRes!AE16</f>
        <v>1105</v>
      </c>
      <c r="L10">
        <f>SmtRes!DB16</f>
        <v>2210</v>
      </c>
      <c r="M10">
        <f>ROUND(ROUND(L10*Source!I34, 6)*1, 2)</f>
        <v>1281.8</v>
      </c>
      <c r="N10">
        <f>SmtRes!AA16</f>
        <v>1105</v>
      </c>
      <c r="O10">
        <f>ROUND(ROUND(L10*Source!I34, 6)*SmtRes!DA16, 2)</f>
        <v>1281.8</v>
      </c>
      <c r="P10">
        <f>SmtRes!AG16</f>
        <v>0</v>
      </c>
      <c r="Q10">
        <f>SmtRes!DC16</f>
        <v>0</v>
      </c>
      <c r="R10">
        <f>ROUND(ROUND(Q10*Source!I34, 6)*1, 2)</f>
        <v>0</v>
      </c>
      <c r="S10">
        <f>SmtRes!AC16</f>
        <v>0</v>
      </c>
      <c r="T10">
        <f>ROUND(ROUND(Q10*Source!I34, 6)*SmtRes!AK16, 2)</f>
        <v>0</v>
      </c>
      <c r="U10">
        <f>SmtRes!X16</f>
        <v>1865477211</v>
      </c>
      <c r="V10">
        <v>-1661362736</v>
      </c>
      <c r="W10">
        <v>-1661362736</v>
      </c>
    </row>
    <row r="11" spans="1:23">
      <c r="A11">
        <f>Source!A34</f>
        <v>17</v>
      </c>
      <c r="C11">
        <v>3</v>
      </c>
      <c r="D11">
        <v>0</v>
      </c>
      <c r="E11">
        <f>SmtRes!AV14</f>
        <v>0</v>
      </c>
      <c r="F11" t="str">
        <f>SmtRes!I14</f>
        <v>21.1-9-57</v>
      </c>
      <c r="G11" t="str">
        <f>SmtRes!K14</f>
        <v>Доски хвойных пород, обрезные, длина 2-6,5 м, сорт III, толщина 40-60 мм</v>
      </c>
      <c r="H11" t="str">
        <f>SmtRes!O14</f>
        <v>м3</v>
      </c>
      <c r="I11">
        <f>SmtRes!Y14*Source!I34</f>
        <v>4.64E-3</v>
      </c>
      <c r="J11">
        <f>SmtRes!AO14</f>
        <v>1</v>
      </c>
      <c r="K11">
        <f>SmtRes!AE14</f>
        <v>7098.7</v>
      </c>
      <c r="L11">
        <f>SmtRes!DB14</f>
        <v>56.79</v>
      </c>
      <c r="M11">
        <f>ROUND(ROUND(L11*Source!I34, 6)*1, 2)</f>
        <v>32.94</v>
      </c>
      <c r="N11">
        <f>SmtRes!AA14</f>
        <v>7098.7</v>
      </c>
      <c r="O11">
        <f>ROUND(ROUND(L11*Source!I34, 6)*SmtRes!DA14, 2)</f>
        <v>32.94</v>
      </c>
      <c r="P11">
        <f>SmtRes!AG14</f>
        <v>0</v>
      </c>
      <c r="Q11">
        <f>SmtRes!DC14</f>
        <v>0</v>
      </c>
      <c r="R11">
        <f>ROUND(ROUND(Q11*Source!I34, 6)*1, 2)</f>
        <v>0</v>
      </c>
      <c r="S11">
        <f>SmtRes!AC14</f>
        <v>0</v>
      </c>
      <c r="T11">
        <f>ROUND(ROUND(Q11*Source!I34, 6)*SmtRes!AK14, 2)</f>
        <v>0</v>
      </c>
      <c r="U11">
        <f>SmtRes!X14</f>
        <v>538447250</v>
      </c>
      <c r="V11">
        <v>1167723416</v>
      </c>
      <c r="W11">
        <v>1167723416</v>
      </c>
    </row>
    <row r="12" spans="1:23">
      <c r="A12">
        <f>Source!A34</f>
        <v>17</v>
      </c>
      <c r="C12">
        <v>3</v>
      </c>
      <c r="D12">
        <v>0</v>
      </c>
      <c r="E12">
        <f>SmtRes!AV13</f>
        <v>0</v>
      </c>
      <c r="F12" t="str">
        <f>SmtRes!I13</f>
        <v>21.1-25-13</v>
      </c>
      <c r="G12" t="str">
        <f>SmtRes!K13</f>
        <v>Вода</v>
      </c>
      <c r="H12" t="str">
        <f>SmtRes!O13</f>
        <v>м3</v>
      </c>
      <c r="I12">
        <f>SmtRes!Y13*Source!I34</f>
        <v>17.399999999999999</v>
      </c>
      <c r="J12">
        <f>SmtRes!AO13</f>
        <v>1</v>
      </c>
      <c r="K12">
        <f>SmtRes!AE13</f>
        <v>35.25</v>
      </c>
      <c r="L12">
        <f>SmtRes!DB13</f>
        <v>1057.5</v>
      </c>
      <c r="M12">
        <f>ROUND(ROUND(L12*Source!I34, 6)*1, 2)</f>
        <v>613.35</v>
      </c>
      <c r="N12">
        <f>SmtRes!AA13</f>
        <v>35.25</v>
      </c>
      <c r="O12">
        <f>ROUND(ROUND(L12*Source!I34, 6)*SmtRes!DA13, 2)</f>
        <v>613.35</v>
      </c>
      <c r="P12">
        <f>SmtRes!AG13</f>
        <v>0</v>
      </c>
      <c r="Q12">
        <f>SmtRes!DC13</f>
        <v>0</v>
      </c>
      <c r="R12">
        <f>ROUND(ROUND(Q12*Source!I34, 6)*1, 2)</f>
        <v>0</v>
      </c>
      <c r="S12">
        <f>SmtRes!AC13</f>
        <v>0</v>
      </c>
      <c r="T12">
        <f>ROUND(ROUND(Q12*Source!I34, 6)*SmtRes!AK13, 2)</f>
        <v>0</v>
      </c>
      <c r="U12">
        <f>SmtRes!X13</f>
        <v>1927597627</v>
      </c>
      <c r="V12">
        <v>-1829664509</v>
      </c>
      <c r="W12">
        <v>-1829664509</v>
      </c>
    </row>
    <row r="13" spans="1:23">
      <c r="A13">
        <f>Source!A34</f>
        <v>17</v>
      </c>
      <c r="C13">
        <v>3</v>
      </c>
      <c r="D13">
        <v>0</v>
      </c>
      <c r="E13">
        <f>SmtRes!AV12</f>
        <v>0</v>
      </c>
      <c r="F13" t="str">
        <f>SmtRes!I12</f>
        <v>21.1-20-54</v>
      </c>
      <c r="G13" t="str">
        <f>SmtRes!K12</f>
        <v>Шпагат пеньковый</v>
      </c>
      <c r="H13" t="str">
        <f>SmtRes!O12</f>
        <v>кг</v>
      </c>
      <c r="I13">
        <f>SmtRes!Y12*Source!I34</f>
        <v>0.46399999999999997</v>
      </c>
      <c r="J13">
        <f>SmtRes!AO12</f>
        <v>1</v>
      </c>
      <c r="K13">
        <f>SmtRes!AE12</f>
        <v>171.21</v>
      </c>
      <c r="L13">
        <f>SmtRes!DB12</f>
        <v>136.97</v>
      </c>
      <c r="M13">
        <f>ROUND(ROUND(L13*Source!I34, 6)*1, 2)</f>
        <v>79.44</v>
      </c>
      <c r="N13">
        <f>SmtRes!AA12</f>
        <v>171.21</v>
      </c>
      <c r="O13">
        <f>ROUND(ROUND(L13*Source!I34, 6)*SmtRes!DA12, 2)</f>
        <v>79.44</v>
      </c>
      <c r="P13">
        <f>SmtRes!AG12</f>
        <v>0</v>
      </c>
      <c r="Q13">
        <f>SmtRes!DC12</f>
        <v>0</v>
      </c>
      <c r="R13">
        <f>ROUND(ROUND(Q13*Source!I34, 6)*1, 2)</f>
        <v>0</v>
      </c>
      <c r="S13">
        <f>SmtRes!AC12</f>
        <v>0</v>
      </c>
      <c r="T13">
        <f>ROUND(ROUND(Q13*Source!I34, 6)*SmtRes!AK12, 2)</f>
        <v>0</v>
      </c>
      <c r="U13">
        <f>SmtRes!X12</f>
        <v>-2033961190</v>
      </c>
      <c r="V13">
        <v>749401340</v>
      </c>
      <c r="W13">
        <v>749401340</v>
      </c>
    </row>
    <row r="14" spans="1:23">
      <c r="A14">
        <f>Source!A36</f>
        <v>18</v>
      </c>
      <c r="C14">
        <v>3</v>
      </c>
      <c r="D14">
        <f>Source!BI36</f>
        <v>4</v>
      </c>
      <c r="E14">
        <f>Source!FS36</f>
        <v>0</v>
      </c>
      <c r="F14" t="str">
        <f>Source!F36</f>
        <v>21.4-3-218</v>
      </c>
      <c r="G14" t="str">
        <f>Source!G36</f>
        <v>Посадочный материал многолетних культур: котовник фассена, С3</v>
      </c>
      <c r="H14" t="str">
        <f>Source!H36</f>
        <v>шт.</v>
      </c>
      <c r="I14">
        <f>Source!I36</f>
        <v>207</v>
      </c>
      <c r="J14">
        <v>1</v>
      </c>
      <c r="K14">
        <f>Source!AC36</f>
        <v>189</v>
      </c>
      <c r="M14">
        <f>ROUND(K14*I14, 2)</f>
        <v>39123</v>
      </c>
      <c r="N14">
        <f>Source!AC36*IF(Source!BC36&lt;&gt; 0, Source!BC36, 1)</f>
        <v>189</v>
      </c>
      <c r="O14">
        <f>ROUND(N14*I14, 2)</f>
        <v>39123</v>
      </c>
      <c r="P14">
        <f>Source!AE36</f>
        <v>0</v>
      </c>
      <c r="R14">
        <f>ROUND(P14*I14, 2)</f>
        <v>0</v>
      </c>
      <c r="S14">
        <f>Source!AE36*IF(Source!BS36&lt;&gt; 0, Source!BS36, 1)</f>
        <v>0</v>
      </c>
      <c r="T14">
        <f>ROUND(S14*I14, 2)</f>
        <v>0</v>
      </c>
      <c r="U14">
        <f>Source!GF36</f>
        <v>-849394457</v>
      </c>
      <c r="V14">
        <v>-1883756741</v>
      </c>
      <c r="W14">
        <v>-1883756741</v>
      </c>
    </row>
    <row r="15" spans="1:23">
      <c r="A15">
        <f>Source!A37</f>
        <v>18</v>
      </c>
      <c r="C15">
        <v>3</v>
      </c>
      <c r="D15">
        <f>Source!BI37</f>
        <v>4</v>
      </c>
      <c r="E15">
        <f>Source!FS37</f>
        <v>0</v>
      </c>
      <c r="F15" t="str">
        <f>Source!F37</f>
        <v>коммерческое предложение</v>
      </c>
      <c r="G15" t="str">
        <f>Source!G37</f>
        <v>Посадочный материал многолетних культур: гейхера в ассортименте</v>
      </c>
      <c r="H15" t="str">
        <f>Source!H37</f>
        <v>шт.</v>
      </c>
      <c r="I15">
        <f>Source!I37</f>
        <v>420</v>
      </c>
      <c r="J15">
        <v>1</v>
      </c>
      <c r="K15">
        <f>Source!AC37</f>
        <v>124.17</v>
      </c>
      <c r="M15">
        <f>ROUND(K15*I15, 2)</f>
        <v>52151.4</v>
      </c>
      <c r="N15">
        <f>Source!AC37*IF(Source!BC37&lt;&gt; 0, Source!BC37, 1)</f>
        <v>124.17</v>
      </c>
      <c r="O15">
        <f>ROUND(N15*I15, 2)</f>
        <v>52151.4</v>
      </c>
      <c r="P15">
        <f>Source!AE37</f>
        <v>0</v>
      </c>
      <c r="R15">
        <f>ROUND(P15*I15, 2)</f>
        <v>0</v>
      </c>
      <c r="S15">
        <f>Source!AE37*IF(Source!BS37&lt;&gt; 0, Source!BS37, 1)</f>
        <v>0</v>
      </c>
      <c r="T15">
        <f>ROUND(S15*I15, 2)</f>
        <v>0</v>
      </c>
      <c r="U15">
        <f>Source!GF37</f>
        <v>1132781643</v>
      </c>
      <c r="V15">
        <v>1878437229</v>
      </c>
      <c r="W15">
        <v>1878437229</v>
      </c>
    </row>
    <row r="16" spans="1:23">
      <c r="A16">
        <f>Source!A38</f>
        <v>17</v>
      </c>
      <c r="C16">
        <v>3</v>
      </c>
      <c r="D16">
        <v>0</v>
      </c>
      <c r="E16">
        <f>SmtRes!AV21</f>
        <v>0</v>
      </c>
      <c r="F16" t="str">
        <f>SmtRes!I21</f>
        <v>21.1-9-57</v>
      </c>
      <c r="G16" t="str">
        <f>SmtRes!K21</f>
        <v>Доски хвойных пород, обрезные, длина 2-6,5 м, сорт III, толщина 40-60 мм</v>
      </c>
      <c r="H16" t="str">
        <f>SmtRes!O21</f>
        <v>м3</v>
      </c>
      <c r="I16">
        <f>SmtRes!Y21*Source!I38</f>
        <v>-1.6571428558999999E-3</v>
      </c>
      <c r="J16">
        <f>SmtRes!AO21</f>
        <v>1</v>
      </c>
      <c r="K16">
        <f>SmtRes!AE21</f>
        <v>7098.7</v>
      </c>
      <c r="L16">
        <f>SmtRes!DB21</f>
        <v>20.28</v>
      </c>
      <c r="M16">
        <f>ROUND(ROUND(L16*Source!I38, 6)*1, 2)</f>
        <v>-11.76</v>
      </c>
      <c r="N16">
        <f>SmtRes!AA21</f>
        <v>7098.7</v>
      </c>
      <c r="O16">
        <f>ROUND(ROUND(L16*Source!I38, 6)*SmtRes!DA21, 2)</f>
        <v>-11.76</v>
      </c>
      <c r="P16">
        <f>SmtRes!AG21</f>
        <v>0</v>
      </c>
      <c r="Q16">
        <f>SmtRes!DC21</f>
        <v>0</v>
      </c>
      <c r="R16">
        <f>ROUND(ROUND(Q16*Source!I38, 6)*1, 2)</f>
        <v>0</v>
      </c>
      <c r="S16">
        <f>SmtRes!AC21</f>
        <v>0</v>
      </c>
      <c r="T16">
        <f>ROUND(ROUND(Q16*Source!I38, 6)*SmtRes!AK21, 2)</f>
        <v>0</v>
      </c>
      <c r="U16">
        <f>SmtRes!X21</f>
        <v>538447250</v>
      </c>
      <c r="V16">
        <v>1167723416</v>
      </c>
      <c r="W16">
        <v>1167723416</v>
      </c>
    </row>
    <row r="17" spans="1:23">
      <c r="A17">
        <f>Source!A38</f>
        <v>17</v>
      </c>
      <c r="C17">
        <v>3</v>
      </c>
      <c r="D17">
        <v>0</v>
      </c>
      <c r="E17">
        <f>SmtRes!AV20</f>
        <v>0</v>
      </c>
      <c r="F17" t="str">
        <f>SmtRes!I20</f>
        <v>21.1-20-54</v>
      </c>
      <c r="G17" t="str">
        <f>SmtRes!K20</f>
        <v>Шпагат пеньковый</v>
      </c>
      <c r="H17" t="str">
        <f>SmtRes!O20</f>
        <v>кг</v>
      </c>
      <c r="I17">
        <f>SmtRes!Y20*Source!I38</f>
        <v>-0.16571428558999998</v>
      </c>
      <c r="J17">
        <f>SmtRes!AO20</f>
        <v>1</v>
      </c>
      <c r="K17">
        <f>SmtRes!AE20</f>
        <v>171.21</v>
      </c>
      <c r="L17">
        <f>SmtRes!DB20</f>
        <v>48.92</v>
      </c>
      <c r="M17">
        <f>ROUND(ROUND(L17*Source!I38, 6)*1, 2)</f>
        <v>-28.37</v>
      </c>
      <c r="N17">
        <f>SmtRes!AA20</f>
        <v>171.21</v>
      </c>
      <c r="O17">
        <f>ROUND(ROUND(L17*Source!I38, 6)*SmtRes!DA20, 2)</f>
        <v>-28.37</v>
      </c>
      <c r="P17">
        <f>SmtRes!AG20</f>
        <v>0</v>
      </c>
      <c r="Q17">
        <f>SmtRes!DC20</f>
        <v>0</v>
      </c>
      <c r="R17">
        <f>ROUND(ROUND(Q17*Source!I38, 6)*1, 2)</f>
        <v>0</v>
      </c>
      <c r="S17">
        <f>SmtRes!AC20</f>
        <v>0</v>
      </c>
      <c r="T17">
        <f>ROUND(ROUND(Q17*Source!I38, 6)*SmtRes!AK20, 2)</f>
        <v>0</v>
      </c>
      <c r="U17">
        <f>SmtRes!X20</f>
        <v>-2033961190</v>
      </c>
      <c r="V17">
        <v>749401340</v>
      </c>
      <c r="W17">
        <v>749401340</v>
      </c>
    </row>
    <row r="18" spans="1:23">
      <c r="A18">
        <f>Source!A73</f>
        <v>4</v>
      </c>
      <c r="B18">
        <v>73</v>
      </c>
      <c r="G18" t="str">
        <f>Source!G73</f>
        <v>Посадка кустарников - 50шт.</v>
      </c>
    </row>
    <row r="19" spans="1:23">
      <c r="A19">
        <f>Source!A77</f>
        <v>17</v>
      </c>
      <c r="C19">
        <v>3</v>
      </c>
      <c r="D19">
        <v>0</v>
      </c>
      <c r="E19">
        <f>SmtRes!AV27</f>
        <v>0</v>
      </c>
      <c r="F19" t="str">
        <f>SmtRes!I27</f>
        <v>21.4-6-5</v>
      </c>
      <c r="G19" t="str">
        <f>SmtRes!K27</f>
        <v>Земля растительная</v>
      </c>
      <c r="H19" t="str">
        <f>SmtRes!O27</f>
        <v>м3</v>
      </c>
      <c r="I19">
        <f>SmtRes!Y27*Source!I77</f>
        <v>4</v>
      </c>
      <c r="J19">
        <f>SmtRes!AO27</f>
        <v>1</v>
      </c>
      <c r="K19">
        <f>SmtRes!AE27</f>
        <v>753.67</v>
      </c>
      <c r="L19">
        <f>SmtRes!DB27</f>
        <v>1507.34</v>
      </c>
      <c r="M19">
        <f>ROUND(ROUND(L19*Source!I77, 6)*1, 2)</f>
        <v>3014.68</v>
      </c>
      <c r="N19">
        <f>SmtRes!AA27</f>
        <v>753.67</v>
      </c>
      <c r="O19">
        <f>ROUND(ROUND(L19*Source!I77, 6)*SmtRes!DA27, 2)</f>
        <v>3014.68</v>
      </c>
      <c r="P19">
        <f>SmtRes!AG27</f>
        <v>0</v>
      </c>
      <c r="Q19">
        <f>SmtRes!DC27</f>
        <v>0</v>
      </c>
      <c r="R19">
        <f>ROUND(ROUND(Q19*Source!I77, 6)*1, 2)</f>
        <v>0</v>
      </c>
      <c r="S19">
        <f>SmtRes!AC27</f>
        <v>0</v>
      </c>
      <c r="T19">
        <f>ROUND(ROUND(Q19*Source!I77, 6)*SmtRes!AK27, 2)</f>
        <v>0</v>
      </c>
      <c r="U19">
        <f>SmtRes!X27</f>
        <v>-1172857595</v>
      </c>
      <c r="V19">
        <v>-353567041</v>
      </c>
      <c r="W19">
        <v>-353567041</v>
      </c>
    </row>
    <row r="20" spans="1:23">
      <c r="A20">
        <f>Source!A77</f>
        <v>17</v>
      </c>
      <c r="C20">
        <v>3</v>
      </c>
      <c r="D20">
        <v>0</v>
      </c>
      <c r="E20">
        <f>SmtRes!AV26</f>
        <v>0</v>
      </c>
      <c r="F20" t="str">
        <f>SmtRes!I26</f>
        <v>21.4-6-15</v>
      </c>
      <c r="G20" t="str">
        <f>SmtRes!K26</f>
        <v>Торф</v>
      </c>
      <c r="H20" t="str">
        <f>SmtRes!O26</f>
        <v>м3</v>
      </c>
      <c r="I20">
        <f>SmtRes!Y26*Source!I77</f>
        <v>1.4</v>
      </c>
      <c r="J20">
        <f>SmtRes!AO26</f>
        <v>1</v>
      </c>
      <c r="K20">
        <f>SmtRes!AE26</f>
        <v>810.33</v>
      </c>
      <c r="L20">
        <f>SmtRes!DB26</f>
        <v>567.23</v>
      </c>
      <c r="M20">
        <f>ROUND(ROUND(L20*Source!I77, 6)*1, 2)</f>
        <v>1134.46</v>
      </c>
      <c r="N20">
        <f>SmtRes!AA26</f>
        <v>810.33</v>
      </c>
      <c r="O20">
        <f>ROUND(ROUND(L20*Source!I77, 6)*SmtRes!DA26, 2)</f>
        <v>1134.46</v>
      </c>
      <c r="P20">
        <f>SmtRes!AG26</f>
        <v>0</v>
      </c>
      <c r="Q20">
        <f>SmtRes!DC26</f>
        <v>0</v>
      </c>
      <c r="R20">
        <f>ROUND(ROUND(Q20*Source!I77, 6)*1, 2)</f>
        <v>0</v>
      </c>
      <c r="S20">
        <f>SmtRes!AC26</f>
        <v>0</v>
      </c>
      <c r="T20">
        <f>ROUND(ROUND(Q20*Source!I77, 6)*SmtRes!AK26, 2)</f>
        <v>0</v>
      </c>
      <c r="U20">
        <f>SmtRes!X26</f>
        <v>620872455</v>
      </c>
      <c r="V20">
        <v>-1744796367</v>
      </c>
      <c r="W20">
        <v>-1744796367</v>
      </c>
    </row>
    <row r="21" spans="1:23">
      <c r="A21">
        <f>Source!A78</f>
        <v>17</v>
      </c>
      <c r="C21">
        <v>3</v>
      </c>
      <c r="D21">
        <v>0</v>
      </c>
      <c r="E21">
        <f>SmtRes!AV30</f>
        <v>0</v>
      </c>
      <c r="F21" t="str">
        <f>SmtRes!I30</f>
        <v>21.4-6-5</v>
      </c>
      <c r="G21" t="str">
        <f>SmtRes!K30</f>
        <v>Земля растительная</v>
      </c>
      <c r="H21" t="str">
        <f>SmtRes!O30</f>
        <v>м3</v>
      </c>
      <c r="I21">
        <f>SmtRes!Y30*Source!I78</f>
        <v>6</v>
      </c>
      <c r="J21">
        <f>SmtRes!AO30</f>
        <v>1</v>
      </c>
      <c r="K21">
        <f>SmtRes!AE30</f>
        <v>753.67</v>
      </c>
      <c r="L21">
        <f>SmtRes!DB30</f>
        <v>1507.34</v>
      </c>
      <c r="M21">
        <f>ROUND(ROUND(L21*Source!I78, 6)*1, 2)</f>
        <v>4522.0200000000004</v>
      </c>
      <c r="N21">
        <f>SmtRes!AA30</f>
        <v>753.67</v>
      </c>
      <c r="O21">
        <f>ROUND(ROUND(L21*Source!I78, 6)*SmtRes!DA30, 2)</f>
        <v>4522.0200000000004</v>
      </c>
      <c r="P21">
        <f>SmtRes!AG30</f>
        <v>0</v>
      </c>
      <c r="Q21">
        <f>SmtRes!DC30</f>
        <v>0</v>
      </c>
      <c r="R21">
        <f>ROUND(ROUND(Q21*Source!I78, 6)*1, 2)</f>
        <v>0</v>
      </c>
      <c r="S21">
        <f>SmtRes!AC30</f>
        <v>0</v>
      </c>
      <c r="T21">
        <f>ROUND(ROUND(Q21*Source!I78, 6)*SmtRes!AK30, 2)</f>
        <v>0</v>
      </c>
      <c r="U21">
        <f>SmtRes!X30</f>
        <v>-1172857595</v>
      </c>
      <c r="V21">
        <v>-353567041</v>
      </c>
      <c r="W21">
        <v>-353567041</v>
      </c>
    </row>
    <row r="22" spans="1:23">
      <c r="A22">
        <f>Source!A78</f>
        <v>17</v>
      </c>
      <c r="C22">
        <v>3</v>
      </c>
      <c r="D22">
        <v>0</v>
      </c>
      <c r="E22">
        <f>SmtRes!AV29</f>
        <v>0</v>
      </c>
      <c r="F22" t="str">
        <f>SmtRes!I29</f>
        <v>21.4-6-15</v>
      </c>
      <c r="G22" t="str">
        <f>SmtRes!K29</f>
        <v>Торф</v>
      </c>
      <c r="H22" t="str">
        <f>SmtRes!O29</f>
        <v>м3</v>
      </c>
      <c r="I22">
        <f>SmtRes!Y29*Source!I78</f>
        <v>2.0999999999999996</v>
      </c>
      <c r="J22">
        <f>SmtRes!AO29</f>
        <v>1</v>
      </c>
      <c r="K22">
        <f>SmtRes!AE29</f>
        <v>810.33</v>
      </c>
      <c r="L22">
        <f>SmtRes!DB29</f>
        <v>567.23</v>
      </c>
      <c r="M22">
        <f>ROUND(ROUND(L22*Source!I78, 6)*1, 2)</f>
        <v>1701.69</v>
      </c>
      <c r="N22">
        <f>SmtRes!AA29</f>
        <v>810.33</v>
      </c>
      <c r="O22">
        <f>ROUND(ROUND(L22*Source!I78, 6)*SmtRes!DA29, 2)</f>
        <v>1701.69</v>
      </c>
      <c r="P22">
        <f>SmtRes!AG29</f>
        <v>0</v>
      </c>
      <c r="Q22">
        <f>SmtRes!DC29</f>
        <v>0</v>
      </c>
      <c r="R22">
        <f>ROUND(ROUND(Q22*Source!I78, 6)*1, 2)</f>
        <v>0</v>
      </c>
      <c r="S22">
        <f>SmtRes!AC29</f>
        <v>0</v>
      </c>
      <c r="T22">
        <f>ROUND(ROUND(Q22*Source!I78, 6)*SmtRes!AK29, 2)</f>
        <v>0</v>
      </c>
      <c r="U22">
        <f>SmtRes!X29</f>
        <v>620872455</v>
      </c>
      <c r="V22">
        <v>-1744796367</v>
      </c>
      <c r="W22">
        <v>-1744796367</v>
      </c>
    </row>
    <row r="23" spans="1:23">
      <c r="A23">
        <f>Source!A81</f>
        <v>17</v>
      </c>
      <c r="C23">
        <v>3</v>
      </c>
      <c r="D23">
        <v>0</v>
      </c>
      <c r="E23">
        <f>SmtRes!AV35</f>
        <v>0</v>
      </c>
      <c r="F23" t="str">
        <f>SmtRes!I35</f>
        <v>21.1-25-13</v>
      </c>
      <c r="G23" t="str">
        <f>SmtRes!K35</f>
        <v>Вода</v>
      </c>
      <c r="H23" t="str">
        <f>SmtRes!O35</f>
        <v>м3</v>
      </c>
      <c r="I23">
        <f>SmtRes!Y35*Source!I81</f>
        <v>5.3500000000000005</v>
      </c>
      <c r="J23">
        <f>SmtRes!AO35</f>
        <v>1</v>
      </c>
      <c r="K23">
        <f>SmtRes!AE35</f>
        <v>35.25</v>
      </c>
      <c r="L23">
        <f>SmtRes!DB35</f>
        <v>37.72</v>
      </c>
      <c r="M23">
        <f>ROUND(ROUND(L23*Source!I81, 6)*1, 2)</f>
        <v>188.6</v>
      </c>
      <c r="N23">
        <f>SmtRes!AA35</f>
        <v>35.25</v>
      </c>
      <c r="O23">
        <f>ROUND(ROUND(L23*Source!I81, 6)*SmtRes!DA35, 2)</f>
        <v>188.6</v>
      </c>
      <c r="P23">
        <f>SmtRes!AG35</f>
        <v>0</v>
      </c>
      <c r="Q23">
        <f>SmtRes!DC35</f>
        <v>0</v>
      </c>
      <c r="R23">
        <f>ROUND(ROUND(Q23*Source!I81, 6)*1, 2)</f>
        <v>0</v>
      </c>
      <c r="S23">
        <f>SmtRes!AC35</f>
        <v>0</v>
      </c>
      <c r="T23">
        <f>ROUND(ROUND(Q23*Source!I81, 6)*SmtRes!AK35, 2)</f>
        <v>0</v>
      </c>
      <c r="U23">
        <f>SmtRes!X35</f>
        <v>1927597627</v>
      </c>
      <c r="V23">
        <v>-1829664509</v>
      </c>
      <c r="W23">
        <v>-1829664509</v>
      </c>
    </row>
    <row r="24" spans="1:23">
      <c r="A24">
        <f>Source!A82</f>
        <v>18</v>
      </c>
      <c r="C24">
        <v>3</v>
      </c>
      <c r="D24">
        <f>Source!BI82</f>
        <v>4</v>
      </c>
      <c r="E24">
        <f>Source!FS82</f>
        <v>0</v>
      </c>
      <c r="F24" t="str">
        <f>Source!F82</f>
        <v>21.4-2-22</v>
      </c>
      <c r="G24" t="str">
        <f>Source!G82</f>
        <v>Кустарники декоративные с закрытой корневой системой: гортензия древовидная, С10 ( ком земли 0,3м * 0,3м)</v>
      </c>
      <c r="H24" t="str">
        <f>Source!H82</f>
        <v>шт.</v>
      </c>
      <c r="I24">
        <f>Source!I82</f>
        <v>26</v>
      </c>
      <c r="J24">
        <v>1</v>
      </c>
      <c r="K24">
        <f>Source!AC82</f>
        <v>1409.36</v>
      </c>
      <c r="M24">
        <f t="shared" ref="M24:M30" si="0">ROUND(K24*I24, 2)</f>
        <v>36643.360000000001</v>
      </c>
      <c r="N24">
        <f>Source!AC82*IF(Source!BC82&lt;&gt; 0, Source!BC82, 1)</f>
        <v>1409.36</v>
      </c>
      <c r="O24">
        <f t="shared" ref="O24:O30" si="1">ROUND(N24*I24, 2)</f>
        <v>36643.360000000001</v>
      </c>
      <c r="P24">
        <f>Source!AE82</f>
        <v>0</v>
      </c>
      <c r="R24">
        <f t="shared" ref="R24:R30" si="2">ROUND(P24*I24, 2)</f>
        <v>0</v>
      </c>
      <c r="S24">
        <f>Source!AE82*IF(Source!BS82&lt;&gt; 0, Source!BS82, 1)</f>
        <v>0</v>
      </c>
      <c r="T24">
        <f t="shared" ref="T24:T30" si="3">ROUND(S24*I24, 2)</f>
        <v>0</v>
      </c>
      <c r="U24">
        <f>Source!GF82</f>
        <v>1459060616</v>
      </c>
      <c r="V24">
        <v>1346715213</v>
      </c>
      <c r="W24">
        <v>1346715213</v>
      </c>
    </row>
    <row r="25" spans="1:23">
      <c r="A25">
        <f>Source!A83</f>
        <v>18</v>
      </c>
      <c r="C25">
        <v>3</v>
      </c>
      <c r="D25">
        <f>Source!BI83</f>
        <v>4</v>
      </c>
      <c r="E25">
        <f>Source!FS83</f>
        <v>0</v>
      </c>
      <c r="F25" t="str">
        <f>Source!F83</f>
        <v>коммерческое предложение</v>
      </c>
      <c r="G25" t="str">
        <f>Source!G83</f>
        <v>Кустарники декоративные с комом земли: Бересклет крылатый, размер кома высота 0,3 м, диаметр 0,3 м</v>
      </c>
      <c r="H25" t="str">
        <f>Source!H83</f>
        <v>шт.</v>
      </c>
      <c r="I25">
        <f>Source!I83</f>
        <v>6</v>
      </c>
      <c r="J25">
        <v>1</v>
      </c>
      <c r="K25">
        <f>Source!AC83</f>
        <v>875</v>
      </c>
      <c r="M25">
        <f t="shared" si="0"/>
        <v>5250</v>
      </c>
      <c r="N25">
        <f>Source!AC83*IF(Source!BC83&lt;&gt; 0, Source!BC83, 1)</f>
        <v>875</v>
      </c>
      <c r="O25">
        <f t="shared" si="1"/>
        <v>5250</v>
      </c>
      <c r="P25">
        <f>Source!AE83</f>
        <v>0</v>
      </c>
      <c r="R25">
        <f t="shared" si="2"/>
        <v>0</v>
      </c>
      <c r="S25">
        <f>Source!AE83*IF(Source!BS83&lt;&gt; 0, Source!BS83, 1)</f>
        <v>0</v>
      </c>
      <c r="T25">
        <f t="shared" si="3"/>
        <v>0</v>
      </c>
      <c r="U25">
        <f>Source!GF83</f>
        <v>1173816668</v>
      </c>
      <c r="V25">
        <v>-447326058</v>
      </c>
      <c r="W25">
        <v>-447326058</v>
      </c>
    </row>
    <row r="26" spans="1:23">
      <c r="A26">
        <f>Source!A84</f>
        <v>18</v>
      </c>
      <c r="C26">
        <v>3</v>
      </c>
      <c r="D26">
        <f>Source!BI84</f>
        <v>4</v>
      </c>
      <c r="E26">
        <f>Source!FS84</f>
        <v>0</v>
      </c>
      <c r="F26" t="str">
        <f>Source!F84</f>
        <v>коммерческое предложение</v>
      </c>
      <c r="G26" t="str">
        <f>Source!G84</f>
        <v>Кустарники декоративные с комом земли: Спирея Литл Принцесс, размер кома высота 0,3 м, диаметр 0,3 м</v>
      </c>
      <c r="H26" t="str">
        <f>Source!H84</f>
        <v>шт.</v>
      </c>
      <c r="I26">
        <f>Source!I84</f>
        <v>3</v>
      </c>
      <c r="J26">
        <v>1</v>
      </c>
      <c r="K26">
        <f>Source!AC84</f>
        <v>1150</v>
      </c>
      <c r="M26">
        <f t="shared" si="0"/>
        <v>3450</v>
      </c>
      <c r="N26">
        <f>Source!AC84*IF(Source!BC84&lt;&gt; 0, Source!BC84, 1)</f>
        <v>1150</v>
      </c>
      <c r="O26">
        <f t="shared" si="1"/>
        <v>3450</v>
      </c>
      <c r="P26">
        <f>Source!AE84</f>
        <v>0</v>
      </c>
      <c r="R26">
        <f t="shared" si="2"/>
        <v>0</v>
      </c>
      <c r="S26">
        <f>Source!AE84*IF(Source!BS84&lt;&gt; 0, Source!BS84, 1)</f>
        <v>0</v>
      </c>
      <c r="T26">
        <f t="shared" si="3"/>
        <v>0</v>
      </c>
      <c r="U26">
        <f>Source!GF84</f>
        <v>191597022</v>
      </c>
      <c r="V26">
        <v>-991493271</v>
      </c>
      <c r="W26">
        <v>-991493271</v>
      </c>
    </row>
    <row r="27" spans="1:23">
      <c r="A27">
        <f>Source!A85</f>
        <v>18</v>
      </c>
      <c r="C27">
        <v>3</v>
      </c>
      <c r="D27">
        <f>Source!BI85</f>
        <v>4</v>
      </c>
      <c r="E27">
        <f>Source!FS85</f>
        <v>0</v>
      </c>
      <c r="F27" t="str">
        <f>Source!F85</f>
        <v>коммерческое предложение</v>
      </c>
      <c r="G27" t="str">
        <f>Source!G85</f>
        <v>Кустарники декоративные с комом земли: Барбарис, размер кома высота 0,3 м, диаметр 0,3 м</v>
      </c>
      <c r="H27" t="str">
        <f>Source!H85</f>
        <v>шт.</v>
      </c>
      <c r="I27">
        <f>Source!I85</f>
        <v>6</v>
      </c>
      <c r="J27">
        <v>1</v>
      </c>
      <c r="K27">
        <f>Source!AC85</f>
        <v>741.67</v>
      </c>
      <c r="M27">
        <f t="shared" si="0"/>
        <v>4450.0200000000004</v>
      </c>
      <c r="N27">
        <f>Source!AC85*IF(Source!BC85&lt;&gt; 0, Source!BC85, 1)</f>
        <v>741.67</v>
      </c>
      <c r="O27">
        <f t="shared" si="1"/>
        <v>4450.0200000000004</v>
      </c>
      <c r="P27">
        <f>Source!AE85</f>
        <v>0</v>
      </c>
      <c r="R27">
        <f t="shared" si="2"/>
        <v>0</v>
      </c>
      <c r="S27">
        <f>Source!AE85*IF(Source!BS85&lt;&gt; 0, Source!BS85, 1)</f>
        <v>0</v>
      </c>
      <c r="T27">
        <f t="shared" si="3"/>
        <v>0</v>
      </c>
      <c r="U27">
        <f>Source!GF85</f>
        <v>1522260520</v>
      </c>
      <c r="V27">
        <v>-696244099</v>
      </c>
      <c r="W27">
        <v>-696244099</v>
      </c>
    </row>
    <row r="28" spans="1:23">
      <c r="A28">
        <f>Source!A86</f>
        <v>18</v>
      </c>
      <c r="C28">
        <v>3</v>
      </c>
      <c r="D28">
        <f>Source!BI86</f>
        <v>4</v>
      </c>
      <c r="E28">
        <f>Source!FS86</f>
        <v>0</v>
      </c>
      <c r="F28" t="str">
        <f>Source!F86</f>
        <v>коммерческое предложение</v>
      </c>
      <c r="G28" t="str">
        <f>Source!G86</f>
        <v>Кустарники декоративные с комом земли: Можжевельник Олд Голд, размер кома высота 0,3 м, диаметр 0,3 м</v>
      </c>
      <c r="H28" t="str">
        <f>Source!H86</f>
        <v>шт.</v>
      </c>
      <c r="I28">
        <f>Source!I86</f>
        <v>3</v>
      </c>
      <c r="J28">
        <v>1</v>
      </c>
      <c r="K28">
        <f>Source!AC86</f>
        <v>1358.33</v>
      </c>
      <c r="M28">
        <f t="shared" si="0"/>
        <v>4074.99</v>
      </c>
      <c r="N28">
        <f>Source!AC86*IF(Source!BC86&lt;&gt; 0, Source!BC86, 1)</f>
        <v>1358.33</v>
      </c>
      <c r="O28">
        <f t="shared" si="1"/>
        <v>4074.99</v>
      </c>
      <c r="P28">
        <f>Source!AE86</f>
        <v>0</v>
      </c>
      <c r="R28">
        <f t="shared" si="2"/>
        <v>0</v>
      </c>
      <c r="S28">
        <f>Source!AE86*IF(Source!BS86&lt;&gt; 0, Source!BS86, 1)</f>
        <v>0</v>
      </c>
      <c r="T28">
        <f t="shared" si="3"/>
        <v>0</v>
      </c>
      <c r="U28">
        <f>Source!GF86</f>
        <v>-166335817</v>
      </c>
      <c r="V28">
        <v>250283196</v>
      </c>
      <c r="W28">
        <v>250283196</v>
      </c>
    </row>
    <row r="29" spans="1:23">
      <c r="A29">
        <f>Source!A87</f>
        <v>18</v>
      </c>
      <c r="C29">
        <v>3</v>
      </c>
      <c r="D29">
        <f>Source!BI87</f>
        <v>4</v>
      </c>
      <c r="E29">
        <f>Source!FS87</f>
        <v>0</v>
      </c>
      <c r="F29" t="str">
        <f>Source!F87</f>
        <v>коммерческое предложение</v>
      </c>
      <c r="G29" t="str">
        <f>Source!G87</f>
        <v>Кустарники декоративные с комом земли: Можжевельник Блю Эрроу, размер кома высота 0,3 м, диаметр 0,3 м</v>
      </c>
      <c r="H29" t="str">
        <f>Source!H87</f>
        <v>шт.</v>
      </c>
      <c r="I29">
        <f>Source!I87</f>
        <v>3</v>
      </c>
      <c r="J29">
        <v>1</v>
      </c>
      <c r="K29">
        <f>Source!AC87</f>
        <v>1433.33</v>
      </c>
      <c r="M29">
        <f t="shared" si="0"/>
        <v>4299.99</v>
      </c>
      <c r="N29">
        <f>Source!AC87*IF(Source!BC87&lt;&gt; 0, Source!BC87, 1)</f>
        <v>1433.33</v>
      </c>
      <c r="O29">
        <f t="shared" si="1"/>
        <v>4299.99</v>
      </c>
      <c r="P29">
        <f>Source!AE87</f>
        <v>0</v>
      </c>
      <c r="R29">
        <f t="shared" si="2"/>
        <v>0</v>
      </c>
      <c r="S29">
        <f>Source!AE87*IF(Source!BS87&lt;&gt; 0, Source!BS87, 1)</f>
        <v>0</v>
      </c>
      <c r="T29">
        <f t="shared" si="3"/>
        <v>0</v>
      </c>
      <c r="U29">
        <f>Source!GF87</f>
        <v>1797921629</v>
      </c>
      <c r="V29">
        <v>1544184942</v>
      </c>
      <c r="W29">
        <v>1544184942</v>
      </c>
    </row>
    <row r="30" spans="1:23">
      <c r="A30">
        <f>Source!A88</f>
        <v>18</v>
      </c>
      <c r="C30">
        <v>3</v>
      </c>
      <c r="D30">
        <f>Source!BI88</f>
        <v>4</v>
      </c>
      <c r="E30">
        <f>Source!FS88</f>
        <v>0</v>
      </c>
      <c r="F30" t="str">
        <f>Source!F88</f>
        <v>коммерческое предложение</v>
      </c>
      <c r="G30" t="str">
        <f>Source!G88</f>
        <v>Кустарники декоративные с комом земли: Можжевельник Минт Джулеп, размер кома высота 0,3 м, диаметр 0,3 м</v>
      </c>
      <c r="H30" t="str">
        <f>Source!H88</f>
        <v>шт.</v>
      </c>
      <c r="I30">
        <f>Source!I88</f>
        <v>3</v>
      </c>
      <c r="J30">
        <v>1</v>
      </c>
      <c r="K30">
        <f>Source!AC88</f>
        <v>1316.67</v>
      </c>
      <c r="M30">
        <f t="shared" si="0"/>
        <v>3950.01</v>
      </c>
      <c r="N30">
        <f>Source!AC88*IF(Source!BC88&lt;&gt; 0, Source!BC88, 1)</f>
        <v>1316.67</v>
      </c>
      <c r="O30">
        <f t="shared" si="1"/>
        <v>3950.01</v>
      </c>
      <c r="P30">
        <f>Source!AE88</f>
        <v>0</v>
      </c>
      <c r="R30">
        <f t="shared" si="2"/>
        <v>0</v>
      </c>
      <c r="S30">
        <f>Source!AE88*IF(Source!BS88&lt;&gt; 0, Source!BS88, 1)</f>
        <v>0</v>
      </c>
      <c r="T30">
        <f t="shared" si="3"/>
        <v>0</v>
      </c>
      <c r="U30">
        <f>Source!GF88</f>
        <v>97570920</v>
      </c>
      <c r="V30">
        <v>1989623849</v>
      </c>
      <c r="W30">
        <v>1989623849</v>
      </c>
    </row>
    <row r="31" spans="1:23">
      <c r="A31">
        <f>Source!A122</f>
        <v>4</v>
      </c>
      <c r="B31">
        <v>122</v>
      </c>
      <c r="G31" t="str">
        <f>Source!G122</f>
        <v>Посадка деревьев лиственных - 8шт.</v>
      </c>
    </row>
    <row r="32" spans="1:23">
      <c r="A32">
        <f>Source!A126</f>
        <v>17</v>
      </c>
      <c r="C32">
        <v>3</v>
      </c>
      <c r="D32">
        <v>0</v>
      </c>
      <c r="E32">
        <f>SmtRes!AV46</f>
        <v>0</v>
      </c>
      <c r="F32" t="str">
        <f>SmtRes!I46</f>
        <v>21.4-6-5</v>
      </c>
      <c r="G32" t="str">
        <f>SmtRes!K46</f>
        <v>Земля растительная</v>
      </c>
      <c r="H32" t="str">
        <f>SmtRes!O46</f>
        <v>м3</v>
      </c>
      <c r="I32">
        <f>SmtRes!Y46*Source!I126</f>
        <v>2.976</v>
      </c>
      <c r="J32">
        <f>SmtRes!AO46</f>
        <v>1</v>
      </c>
      <c r="K32">
        <f>SmtRes!AE46</f>
        <v>753.67</v>
      </c>
      <c r="L32">
        <f>SmtRes!DB46</f>
        <v>4672.75</v>
      </c>
      <c r="M32">
        <f>ROUND(ROUND(L32*Source!I126, 6)*1, 2)</f>
        <v>2242.92</v>
      </c>
      <c r="N32">
        <f>SmtRes!AA46</f>
        <v>753.67</v>
      </c>
      <c r="O32">
        <f>ROUND(ROUND(L32*Source!I126, 6)*SmtRes!DA46, 2)</f>
        <v>2242.92</v>
      </c>
      <c r="P32">
        <f>SmtRes!AG46</f>
        <v>0</v>
      </c>
      <c r="Q32">
        <f>SmtRes!DC46</f>
        <v>0</v>
      </c>
      <c r="R32">
        <f>ROUND(ROUND(Q32*Source!I126, 6)*1, 2)</f>
        <v>0</v>
      </c>
      <c r="S32">
        <f>SmtRes!AC46</f>
        <v>0</v>
      </c>
      <c r="T32">
        <f>ROUND(ROUND(Q32*Source!I126, 6)*SmtRes!AK46, 2)</f>
        <v>0</v>
      </c>
      <c r="U32">
        <f>SmtRes!X46</f>
        <v>-1172857595</v>
      </c>
      <c r="V32">
        <v>-353567041</v>
      </c>
      <c r="W32">
        <v>-353567041</v>
      </c>
    </row>
    <row r="33" spans="1:23">
      <c r="A33">
        <f>Source!A126</f>
        <v>17</v>
      </c>
      <c r="C33">
        <v>3</v>
      </c>
      <c r="D33">
        <v>0</v>
      </c>
      <c r="E33">
        <f>SmtRes!AV45</f>
        <v>0</v>
      </c>
      <c r="F33" t="str">
        <f>SmtRes!I45</f>
        <v>21.4-6-15</v>
      </c>
      <c r="G33" t="str">
        <f>SmtRes!K45</f>
        <v>Торф</v>
      </c>
      <c r="H33" t="str">
        <f>SmtRes!O45</f>
        <v>м3</v>
      </c>
      <c r="I33">
        <f>SmtRes!Y45*Source!I126</f>
        <v>1.008</v>
      </c>
      <c r="J33">
        <f>SmtRes!AO45</f>
        <v>1</v>
      </c>
      <c r="K33">
        <f>SmtRes!AE45</f>
        <v>810.33</v>
      </c>
      <c r="L33">
        <f>SmtRes!DB45</f>
        <v>1701.69</v>
      </c>
      <c r="M33">
        <f>ROUND(ROUND(L33*Source!I126, 6)*1, 2)</f>
        <v>816.81</v>
      </c>
      <c r="N33">
        <f>SmtRes!AA45</f>
        <v>810.33</v>
      </c>
      <c r="O33">
        <f>ROUND(ROUND(L33*Source!I126, 6)*SmtRes!DA45, 2)</f>
        <v>816.81</v>
      </c>
      <c r="P33">
        <f>SmtRes!AG45</f>
        <v>0</v>
      </c>
      <c r="Q33">
        <f>SmtRes!DC45</f>
        <v>0</v>
      </c>
      <c r="R33">
        <f>ROUND(ROUND(Q33*Source!I126, 6)*1, 2)</f>
        <v>0</v>
      </c>
      <c r="S33">
        <f>SmtRes!AC45</f>
        <v>0</v>
      </c>
      <c r="T33">
        <f>ROUND(ROUND(Q33*Source!I126, 6)*SmtRes!AK45, 2)</f>
        <v>0</v>
      </c>
      <c r="U33">
        <f>SmtRes!X45</f>
        <v>620872455</v>
      </c>
      <c r="V33">
        <v>-1744796367</v>
      </c>
      <c r="W33">
        <v>-1744796367</v>
      </c>
    </row>
    <row r="34" spans="1:23">
      <c r="A34">
        <f>Source!A127</f>
        <v>17</v>
      </c>
      <c r="C34">
        <v>3</v>
      </c>
      <c r="D34">
        <v>0</v>
      </c>
      <c r="E34">
        <f>SmtRes!AV49</f>
        <v>0</v>
      </c>
      <c r="F34" t="str">
        <f>SmtRes!I49</f>
        <v>21.4-6-5</v>
      </c>
      <c r="G34" t="str">
        <f>SmtRes!K49</f>
        <v>Земля растительная</v>
      </c>
      <c r="H34" t="str">
        <f>SmtRes!O49</f>
        <v>м3</v>
      </c>
      <c r="I34">
        <f>SmtRes!Y49*Source!I127</f>
        <v>1.9840000000000002</v>
      </c>
      <c r="J34">
        <f>SmtRes!AO49</f>
        <v>1</v>
      </c>
      <c r="K34">
        <f>SmtRes!AE49</f>
        <v>753.67</v>
      </c>
      <c r="L34">
        <f>SmtRes!DB49</f>
        <v>4672.75</v>
      </c>
      <c r="M34">
        <f>ROUND(ROUND(L34*Source!I127, 6)*1, 2)</f>
        <v>1495.28</v>
      </c>
      <c r="N34">
        <f>SmtRes!AA49</f>
        <v>753.67</v>
      </c>
      <c r="O34">
        <f>ROUND(ROUND(L34*Source!I127, 6)*SmtRes!DA49, 2)</f>
        <v>1495.28</v>
      </c>
      <c r="P34">
        <f>SmtRes!AG49</f>
        <v>0</v>
      </c>
      <c r="Q34">
        <f>SmtRes!DC49</f>
        <v>0</v>
      </c>
      <c r="R34">
        <f>ROUND(ROUND(Q34*Source!I127, 6)*1, 2)</f>
        <v>0</v>
      </c>
      <c r="S34">
        <f>SmtRes!AC49</f>
        <v>0</v>
      </c>
      <c r="T34">
        <f>ROUND(ROUND(Q34*Source!I127, 6)*SmtRes!AK49, 2)</f>
        <v>0</v>
      </c>
      <c r="U34">
        <f>SmtRes!X49</f>
        <v>-1172857595</v>
      </c>
      <c r="V34">
        <v>-353567041</v>
      </c>
      <c r="W34">
        <v>-353567041</v>
      </c>
    </row>
    <row r="35" spans="1:23">
      <c r="A35">
        <f>Source!A127</f>
        <v>17</v>
      </c>
      <c r="C35">
        <v>3</v>
      </c>
      <c r="D35">
        <v>0</v>
      </c>
      <c r="E35">
        <f>SmtRes!AV48</f>
        <v>0</v>
      </c>
      <c r="F35" t="str">
        <f>SmtRes!I48</f>
        <v>21.4-6-15</v>
      </c>
      <c r="G35" t="str">
        <f>SmtRes!K48</f>
        <v>Торф</v>
      </c>
      <c r="H35" t="str">
        <f>SmtRes!O48</f>
        <v>м3</v>
      </c>
      <c r="I35">
        <f>SmtRes!Y48*Source!I127</f>
        <v>0.67200000000000004</v>
      </c>
      <c r="J35">
        <f>SmtRes!AO48</f>
        <v>1</v>
      </c>
      <c r="K35">
        <f>SmtRes!AE48</f>
        <v>810.33</v>
      </c>
      <c r="L35">
        <f>SmtRes!DB48</f>
        <v>1701.69</v>
      </c>
      <c r="M35">
        <f>ROUND(ROUND(L35*Source!I127, 6)*1, 2)</f>
        <v>544.54</v>
      </c>
      <c r="N35">
        <f>SmtRes!AA48</f>
        <v>810.33</v>
      </c>
      <c r="O35">
        <f>ROUND(ROUND(L35*Source!I127, 6)*SmtRes!DA48, 2)</f>
        <v>544.54</v>
      </c>
      <c r="P35">
        <f>SmtRes!AG48</f>
        <v>0</v>
      </c>
      <c r="Q35">
        <f>SmtRes!DC48</f>
        <v>0</v>
      </c>
      <c r="R35">
        <f>ROUND(ROUND(Q35*Source!I127, 6)*1, 2)</f>
        <v>0</v>
      </c>
      <c r="S35">
        <f>SmtRes!AC48</f>
        <v>0</v>
      </c>
      <c r="T35">
        <f>ROUND(ROUND(Q35*Source!I127, 6)*SmtRes!AK48, 2)</f>
        <v>0</v>
      </c>
      <c r="U35">
        <f>SmtRes!X48</f>
        <v>620872455</v>
      </c>
      <c r="V35">
        <v>-1744796367</v>
      </c>
      <c r="W35">
        <v>-1744796367</v>
      </c>
    </row>
    <row r="36" spans="1:23">
      <c r="A36">
        <f>Source!A130</f>
        <v>17</v>
      </c>
      <c r="C36">
        <v>3</v>
      </c>
      <c r="D36">
        <v>0</v>
      </c>
      <c r="E36">
        <f>SmtRes!AV58</f>
        <v>0</v>
      </c>
      <c r="F36" t="str">
        <f>SmtRes!I58</f>
        <v>21.4-6-7</v>
      </c>
      <c r="G36" t="str">
        <f>SmtRes!K58</f>
        <v>Колья деревянные для подвязки деревьев до 2,5м</v>
      </c>
      <c r="H36" t="str">
        <f>SmtRes!O58</f>
        <v>м3</v>
      </c>
      <c r="I36">
        <f>SmtRes!Y58*Source!I130</f>
        <v>0.12672000000000003</v>
      </c>
      <c r="J36">
        <f>SmtRes!AO58</f>
        <v>1</v>
      </c>
      <c r="K36">
        <f>SmtRes!AE58</f>
        <v>3467</v>
      </c>
      <c r="L36">
        <f>SmtRes!DB58</f>
        <v>549.16999999999996</v>
      </c>
      <c r="M36">
        <f>ROUND(ROUND(L36*Source!I130, 6)*1, 2)</f>
        <v>439.34</v>
      </c>
      <c r="N36">
        <f>SmtRes!AA58</f>
        <v>3467</v>
      </c>
      <c r="O36">
        <f>ROUND(ROUND(L36*Source!I130, 6)*SmtRes!DA58, 2)</f>
        <v>439.34</v>
      </c>
      <c r="P36">
        <f>SmtRes!AG58</f>
        <v>0</v>
      </c>
      <c r="Q36">
        <f>SmtRes!DC58</f>
        <v>0</v>
      </c>
      <c r="R36">
        <f>ROUND(ROUND(Q36*Source!I130, 6)*1, 2)</f>
        <v>0</v>
      </c>
      <c r="S36">
        <f>SmtRes!AC58</f>
        <v>0</v>
      </c>
      <c r="T36">
        <f>ROUND(ROUND(Q36*Source!I130, 6)*SmtRes!AK58, 2)</f>
        <v>0</v>
      </c>
      <c r="U36">
        <f>SmtRes!X58</f>
        <v>1048243141</v>
      </c>
      <c r="V36">
        <v>1475258042</v>
      </c>
      <c r="W36">
        <v>1475258042</v>
      </c>
    </row>
    <row r="37" spans="1:23">
      <c r="A37">
        <f>Source!A130</f>
        <v>17</v>
      </c>
      <c r="C37">
        <v>3</v>
      </c>
      <c r="D37">
        <v>0</v>
      </c>
      <c r="E37">
        <f>SmtRes!AV56</f>
        <v>0</v>
      </c>
      <c r="F37" t="str">
        <f>SmtRes!I56</f>
        <v>21.1-25-13</v>
      </c>
      <c r="G37" t="str">
        <f>SmtRes!K56</f>
        <v>Вода</v>
      </c>
      <c r="H37" t="str">
        <f>SmtRes!O56</f>
        <v>м3</v>
      </c>
      <c r="I37">
        <f>SmtRes!Y56*Source!I130</f>
        <v>2.08</v>
      </c>
      <c r="J37">
        <f>SmtRes!AO56</f>
        <v>1</v>
      </c>
      <c r="K37">
        <f>SmtRes!AE56</f>
        <v>35.25</v>
      </c>
      <c r="L37">
        <f>SmtRes!DB56</f>
        <v>91.65</v>
      </c>
      <c r="M37">
        <f>ROUND(ROUND(L37*Source!I130, 6)*1, 2)</f>
        <v>73.319999999999993</v>
      </c>
      <c r="N37">
        <f>SmtRes!AA56</f>
        <v>35.25</v>
      </c>
      <c r="O37">
        <f>ROUND(ROUND(L37*Source!I130, 6)*SmtRes!DA56, 2)</f>
        <v>73.319999999999993</v>
      </c>
      <c r="P37">
        <f>SmtRes!AG56</f>
        <v>0</v>
      </c>
      <c r="Q37">
        <f>SmtRes!DC56</f>
        <v>0</v>
      </c>
      <c r="R37">
        <f>ROUND(ROUND(Q37*Source!I130, 6)*1, 2)</f>
        <v>0</v>
      </c>
      <c r="S37">
        <f>SmtRes!AC56</f>
        <v>0</v>
      </c>
      <c r="T37">
        <f>ROUND(ROUND(Q37*Source!I130, 6)*SmtRes!AK56, 2)</f>
        <v>0</v>
      </c>
      <c r="U37">
        <f>SmtRes!X56</f>
        <v>1927597627</v>
      </c>
      <c r="V37">
        <v>-1829664509</v>
      </c>
      <c r="W37">
        <v>-1829664509</v>
      </c>
    </row>
    <row r="38" spans="1:23">
      <c r="A38">
        <f>Source!A130</f>
        <v>17</v>
      </c>
      <c r="C38">
        <v>3</v>
      </c>
      <c r="D38">
        <v>0</v>
      </c>
      <c r="E38">
        <f>SmtRes!AV55</f>
        <v>0</v>
      </c>
      <c r="F38" t="str">
        <f>SmtRes!I55</f>
        <v>21.1-20-54</v>
      </c>
      <c r="G38" t="str">
        <f>SmtRes!K55</f>
        <v>Шпагат пеньковый</v>
      </c>
      <c r="H38" t="str">
        <f>SmtRes!O55</f>
        <v>кг</v>
      </c>
      <c r="I38">
        <f>SmtRes!Y55*Source!I130</f>
        <v>0.24</v>
      </c>
      <c r="J38">
        <f>SmtRes!AO55</f>
        <v>1</v>
      </c>
      <c r="K38">
        <f>SmtRes!AE55</f>
        <v>171.21</v>
      </c>
      <c r="L38">
        <f>SmtRes!DB55</f>
        <v>51.36</v>
      </c>
      <c r="M38">
        <f>ROUND(ROUND(L38*Source!I130, 6)*1, 2)</f>
        <v>41.09</v>
      </c>
      <c r="N38">
        <f>SmtRes!AA55</f>
        <v>171.21</v>
      </c>
      <c r="O38">
        <f>ROUND(ROUND(L38*Source!I130, 6)*SmtRes!DA55, 2)</f>
        <v>41.09</v>
      </c>
      <c r="P38">
        <f>SmtRes!AG55</f>
        <v>0</v>
      </c>
      <c r="Q38">
        <f>SmtRes!DC55</f>
        <v>0</v>
      </c>
      <c r="R38">
        <f>ROUND(ROUND(Q38*Source!I130, 6)*1, 2)</f>
        <v>0</v>
      </c>
      <c r="S38">
        <f>SmtRes!AC55</f>
        <v>0</v>
      </c>
      <c r="T38">
        <f>ROUND(ROUND(Q38*Source!I130, 6)*SmtRes!AK55, 2)</f>
        <v>0</v>
      </c>
      <c r="U38">
        <f>SmtRes!X55</f>
        <v>-2033961190</v>
      </c>
      <c r="V38">
        <v>749401340</v>
      </c>
      <c r="W38">
        <v>749401340</v>
      </c>
    </row>
    <row r="39" spans="1:23">
      <c r="A39">
        <f>Source!A130</f>
        <v>17</v>
      </c>
      <c r="C39">
        <v>3</v>
      </c>
      <c r="D39">
        <v>0</v>
      </c>
      <c r="E39">
        <f>SmtRes!AV54</f>
        <v>0</v>
      </c>
      <c r="F39" t="str">
        <f>SmtRes!I54</f>
        <v>21.1-20-17</v>
      </c>
      <c r="G39" t="str">
        <f>SmtRes!K54</f>
        <v>Мешковина</v>
      </c>
      <c r="H39" t="str">
        <f>SmtRes!O54</f>
        <v>м2</v>
      </c>
      <c r="I39">
        <f>SmtRes!Y54*Source!I130</f>
        <v>1.2000000000000002</v>
      </c>
      <c r="J39">
        <f>SmtRes!AO54</f>
        <v>1</v>
      </c>
      <c r="K39">
        <f>SmtRes!AE54</f>
        <v>91.89</v>
      </c>
      <c r="L39">
        <f>SmtRes!DB54</f>
        <v>137.84</v>
      </c>
      <c r="M39">
        <f>ROUND(ROUND(L39*Source!I130, 6)*1, 2)</f>
        <v>110.27</v>
      </c>
      <c r="N39">
        <f>SmtRes!AA54</f>
        <v>91.89</v>
      </c>
      <c r="O39">
        <f>ROUND(ROUND(L39*Source!I130, 6)*SmtRes!DA54, 2)</f>
        <v>110.27</v>
      </c>
      <c r="P39">
        <f>SmtRes!AG54</f>
        <v>0</v>
      </c>
      <c r="Q39">
        <f>SmtRes!DC54</f>
        <v>0</v>
      </c>
      <c r="R39">
        <f>ROUND(ROUND(Q39*Source!I130, 6)*1, 2)</f>
        <v>0</v>
      </c>
      <c r="S39">
        <f>SmtRes!AC54</f>
        <v>0</v>
      </c>
      <c r="T39">
        <f>ROUND(ROUND(Q39*Source!I130, 6)*SmtRes!AK54, 2)</f>
        <v>0</v>
      </c>
      <c r="U39">
        <f>SmtRes!X54</f>
        <v>-2047649341</v>
      </c>
      <c r="V39">
        <v>-1336012766</v>
      </c>
      <c r="W39">
        <v>-1336012766</v>
      </c>
    </row>
    <row r="40" spans="1:23">
      <c r="A40">
        <f>Source!A131</f>
        <v>18</v>
      </c>
      <c r="C40">
        <v>3</v>
      </c>
      <c r="D40">
        <f>Source!BI131</f>
        <v>4</v>
      </c>
      <c r="E40">
        <f>Source!FS131</f>
        <v>0</v>
      </c>
      <c r="F40" t="str">
        <f>Source!F131</f>
        <v>21.4-1-2</v>
      </c>
      <c r="G40" t="str">
        <f>Source!G131</f>
        <v>Деревья декоративные лиственных пород с комом земли, порода: Липа, размер кома: диаметр-0,8 м, высота-0,6 м</v>
      </c>
      <c r="H40" t="str">
        <f>Source!H131</f>
        <v>шт.</v>
      </c>
      <c r="I40">
        <f>Source!I131</f>
        <v>4</v>
      </c>
      <c r="J40">
        <v>1</v>
      </c>
      <c r="K40">
        <f>Source!AC131</f>
        <v>2961.58</v>
      </c>
      <c r="M40">
        <f>ROUND(K40*I40, 2)</f>
        <v>11846.32</v>
      </c>
      <c r="N40">
        <f>Source!AC131*IF(Source!BC131&lt;&gt; 0, Source!BC131, 1)</f>
        <v>2961.58</v>
      </c>
      <c r="O40">
        <f>ROUND(N40*I40, 2)</f>
        <v>11846.32</v>
      </c>
      <c r="P40">
        <f>Source!AE131</f>
        <v>0</v>
      </c>
      <c r="R40">
        <f>ROUND(P40*I40, 2)</f>
        <v>0</v>
      </c>
      <c r="S40">
        <f>Source!AE131*IF(Source!BS131&lt;&gt; 0, Source!BS131, 1)</f>
        <v>0</v>
      </c>
      <c r="T40">
        <f>ROUND(S40*I40, 2)</f>
        <v>0</v>
      </c>
      <c r="U40">
        <f>Source!GF131</f>
        <v>260559075</v>
      </c>
      <c r="V40">
        <v>259602863</v>
      </c>
      <c r="W40">
        <v>259602863</v>
      </c>
    </row>
    <row r="41" spans="1:23">
      <c r="A41">
        <f>Source!A132</f>
        <v>18</v>
      </c>
      <c r="C41">
        <v>3</v>
      </c>
      <c r="D41">
        <f>Source!BI132</f>
        <v>4</v>
      </c>
      <c r="E41">
        <f>Source!FS132</f>
        <v>0</v>
      </c>
      <c r="F41" t="str">
        <f>Source!F132</f>
        <v>коммерческое предложение</v>
      </c>
      <c r="G41" t="str">
        <f>Source!G132</f>
        <v>Деревья декоративные лиственных пород с комом земли, порода: Яблоня декоративная (шар), высота - 1,2 -1,4м, размер кома: диаметр-0,8 м, высота-0,6 м</v>
      </c>
      <c r="H41" t="str">
        <f>Source!H132</f>
        <v>шт.</v>
      </c>
      <c r="I41">
        <f>Source!I132</f>
        <v>4</v>
      </c>
      <c r="J41">
        <v>1</v>
      </c>
      <c r="K41">
        <f>Source!AC132</f>
        <v>2833.33</v>
      </c>
      <c r="M41">
        <f>ROUND(K41*I41, 2)</f>
        <v>11333.32</v>
      </c>
      <c r="N41">
        <f>Source!AC132*IF(Source!BC132&lt;&gt; 0, Source!BC132, 1)</f>
        <v>2833.33</v>
      </c>
      <c r="O41">
        <f>ROUND(N41*I41, 2)</f>
        <v>11333.32</v>
      </c>
      <c r="P41">
        <f>Source!AE132</f>
        <v>0</v>
      </c>
      <c r="R41">
        <f>ROUND(P41*I41, 2)</f>
        <v>0</v>
      </c>
      <c r="S41">
        <f>Source!AE132*IF(Source!BS132&lt;&gt; 0, Source!BS132, 1)</f>
        <v>0</v>
      </c>
      <c r="T41">
        <f>ROUND(S41*I41, 2)</f>
        <v>0</v>
      </c>
      <c r="U41">
        <f>Source!GF132</f>
        <v>-2025809612</v>
      </c>
      <c r="V41">
        <v>-61347243</v>
      </c>
      <c r="W41">
        <v>-61347243</v>
      </c>
    </row>
    <row r="42" spans="1:23">
      <c r="A42">
        <f>Source!A166</f>
        <v>4</v>
      </c>
      <c r="B42">
        <v>166</v>
      </c>
      <c r="G42" t="str">
        <f>Source!G166</f>
        <v>Посадка деревьев хвойных - 21шт.</v>
      </c>
    </row>
    <row r="43" spans="1:23">
      <c r="A43">
        <f>Source!A170</f>
        <v>17</v>
      </c>
      <c r="C43">
        <v>3</v>
      </c>
      <c r="D43">
        <v>0</v>
      </c>
      <c r="E43">
        <f>SmtRes!AV63</f>
        <v>0</v>
      </c>
      <c r="F43" t="str">
        <f>SmtRes!I63</f>
        <v>21.4-6-5</v>
      </c>
      <c r="G43" t="str">
        <f>SmtRes!K63</f>
        <v>Земля растительная</v>
      </c>
      <c r="H43" t="str">
        <f>SmtRes!O63</f>
        <v>м3</v>
      </c>
      <c r="I43">
        <f>SmtRes!Y63*Source!I170</f>
        <v>0.372</v>
      </c>
      <c r="J43">
        <f>SmtRes!AO63</f>
        <v>1</v>
      </c>
      <c r="K43">
        <f>SmtRes!AE63</f>
        <v>753.67</v>
      </c>
      <c r="L43">
        <f>SmtRes!DB63</f>
        <v>4672.75</v>
      </c>
      <c r="M43">
        <f>ROUND(ROUND(L43*Source!I170, 6)*1, 2)</f>
        <v>280.37</v>
      </c>
      <c r="N43">
        <f>SmtRes!AA63</f>
        <v>753.67</v>
      </c>
      <c r="O43">
        <f>ROUND(ROUND(L43*Source!I170, 6)*SmtRes!DA63, 2)</f>
        <v>280.37</v>
      </c>
      <c r="P43">
        <f>SmtRes!AG63</f>
        <v>0</v>
      </c>
      <c r="Q43">
        <f>SmtRes!DC63</f>
        <v>0</v>
      </c>
      <c r="R43">
        <f>ROUND(ROUND(Q43*Source!I170, 6)*1, 2)</f>
        <v>0</v>
      </c>
      <c r="S43">
        <f>SmtRes!AC63</f>
        <v>0</v>
      </c>
      <c r="T43">
        <f>ROUND(ROUND(Q43*Source!I170, 6)*SmtRes!AK63, 2)</f>
        <v>0</v>
      </c>
      <c r="U43">
        <f>SmtRes!X63</f>
        <v>-1172857595</v>
      </c>
      <c r="V43">
        <v>-353567041</v>
      </c>
      <c r="W43">
        <v>-353567041</v>
      </c>
    </row>
    <row r="44" spans="1:23">
      <c r="A44">
        <f>Source!A170</f>
        <v>17</v>
      </c>
      <c r="C44">
        <v>3</v>
      </c>
      <c r="D44">
        <v>0</v>
      </c>
      <c r="E44">
        <f>SmtRes!AV62</f>
        <v>0</v>
      </c>
      <c r="F44" t="str">
        <f>SmtRes!I62</f>
        <v>21.4-6-15</v>
      </c>
      <c r="G44" t="str">
        <f>SmtRes!K62</f>
        <v>Торф</v>
      </c>
      <c r="H44" t="str">
        <f>SmtRes!O62</f>
        <v>м3</v>
      </c>
      <c r="I44">
        <f>SmtRes!Y62*Source!I170</f>
        <v>0.126</v>
      </c>
      <c r="J44">
        <f>SmtRes!AO62</f>
        <v>1</v>
      </c>
      <c r="K44">
        <f>SmtRes!AE62</f>
        <v>810.33</v>
      </c>
      <c r="L44">
        <f>SmtRes!DB62</f>
        <v>1701.69</v>
      </c>
      <c r="M44">
        <f>ROUND(ROUND(L44*Source!I170, 6)*1, 2)</f>
        <v>102.1</v>
      </c>
      <c r="N44">
        <f>SmtRes!AA62</f>
        <v>810.33</v>
      </c>
      <c r="O44">
        <f>ROUND(ROUND(L44*Source!I170, 6)*SmtRes!DA62, 2)</f>
        <v>102.1</v>
      </c>
      <c r="P44">
        <f>SmtRes!AG62</f>
        <v>0</v>
      </c>
      <c r="Q44">
        <f>SmtRes!DC62</f>
        <v>0</v>
      </c>
      <c r="R44">
        <f>ROUND(ROUND(Q44*Source!I170, 6)*1, 2)</f>
        <v>0</v>
      </c>
      <c r="S44">
        <f>SmtRes!AC62</f>
        <v>0</v>
      </c>
      <c r="T44">
        <f>ROUND(ROUND(Q44*Source!I170, 6)*SmtRes!AK62, 2)</f>
        <v>0</v>
      </c>
      <c r="U44">
        <f>SmtRes!X62</f>
        <v>620872455</v>
      </c>
      <c r="V44">
        <v>-1744796367</v>
      </c>
      <c r="W44">
        <v>-1744796367</v>
      </c>
    </row>
    <row r="45" spans="1:23">
      <c r="A45">
        <f>Source!A171</f>
        <v>17</v>
      </c>
      <c r="C45">
        <v>3</v>
      </c>
      <c r="D45">
        <v>0</v>
      </c>
      <c r="E45">
        <f>SmtRes!AV66</f>
        <v>0</v>
      </c>
      <c r="F45" t="str">
        <f>SmtRes!I66</f>
        <v>21.4-6-5</v>
      </c>
      <c r="G45" t="str">
        <f>SmtRes!K66</f>
        <v>Земля растительная</v>
      </c>
      <c r="H45" t="str">
        <f>SmtRes!O66</f>
        <v>м3</v>
      </c>
      <c r="I45">
        <f>SmtRes!Y66*Source!I171</f>
        <v>0.24800000000000003</v>
      </c>
      <c r="J45">
        <f>SmtRes!AO66</f>
        <v>1</v>
      </c>
      <c r="K45">
        <f>SmtRes!AE66</f>
        <v>753.67</v>
      </c>
      <c r="L45">
        <f>SmtRes!DB66</f>
        <v>4672.75</v>
      </c>
      <c r="M45">
        <f>ROUND(ROUND(L45*Source!I171, 6)*1, 2)</f>
        <v>186.91</v>
      </c>
      <c r="N45">
        <f>SmtRes!AA66</f>
        <v>753.67</v>
      </c>
      <c r="O45">
        <f>ROUND(ROUND(L45*Source!I171, 6)*SmtRes!DA66, 2)</f>
        <v>186.91</v>
      </c>
      <c r="P45">
        <f>SmtRes!AG66</f>
        <v>0</v>
      </c>
      <c r="Q45">
        <f>SmtRes!DC66</f>
        <v>0</v>
      </c>
      <c r="R45">
        <f>ROUND(ROUND(Q45*Source!I171, 6)*1, 2)</f>
        <v>0</v>
      </c>
      <c r="S45">
        <f>SmtRes!AC66</f>
        <v>0</v>
      </c>
      <c r="T45">
        <f>ROUND(ROUND(Q45*Source!I171, 6)*SmtRes!AK66, 2)</f>
        <v>0</v>
      </c>
      <c r="U45">
        <f>SmtRes!X66</f>
        <v>-1172857595</v>
      </c>
      <c r="V45">
        <v>-353567041</v>
      </c>
      <c r="W45">
        <v>-353567041</v>
      </c>
    </row>
    <row r="46" spans="1:23">
      <c r="A46">
        <f>Source!A171</f>
        <v>17</v>
      </c>
      <c r="C46">
        <v>3</v>
      </c>
      <c r="D46">
        <v>0</v>
      </c>
      <c r="E46">
        <f>SmtRes!AV65</f>
        <v>0</v>
      </c>
      <c r="F46" t="str">
        <f>SmtRes!I65</f>
        <v>21.4-6-15</v>
      </c>
      <c r="G46" t="str">
        <f>SmtRes!K65</f>
        <v>Торф</v>
      </c>
      <c r="H46" t="str">
        <f>SmtRes!O65</f>
        <v>м3</v>
      </c>
      <c r="I46">
        <f>SmtRes!Y65*Source!I171</f>
        <v>8.4000000000000005E-2</v>
      </c>
      <c r="J46">
        <f>SmtRes!AO65</f>
        <v>1</v>
      </c>
      <c r="K46">
        <f>SmtRes!AE65</f>
        <v>810.33</v>
      </c>
      <c r="L46">
        <f>SmtRes!DB65</f>
        <v>1701.69</v>
      </c>
      <c r="M46">
        <f>ROUND(ROUND(L46*Source!I171, 6)*1, 2)</f>
        <v>68.069999999999993</v>
      </c>
      <c r="N46">
        <f>SmtRes!AA65</f>
        <v>810.33</v>
      </c>
      <c r="O46">
        <f>ROUND(ROUND(L46*Source!I171, 6)*SmtRes!DA65, 2)</f>
        <v>68.069999999999993</v>
      </c>
      <c r="P46">
        <f>SmtRes!AG65</f>
        <v>0</v>
      </c>
      <c r="Q46">
        <f>SmtRes!DC65</f>
        <v>0</v>
      </c>
      <c r="R46">
        <f>ROUND(ROUND(Q46*Source!I171, 6)*1, 2)</f>
        <v>0</v>
      </c>
      <c r="S46">
        <f>SmtRes!AC65</f>
        <v>0</v>
      </c>
      <c r="T46">
        <f>ROUND(ROUND(Q46*Source!I171, 6)*SmtRes!AK65, 2)</f>
        <v>0</v>
      </c>
      <c r="U46">
        <f>SmtRes!X65</f>
        <v>620872455</v>
      </c>
      <c r="V46">
        <v>-1744796367</v>
      </c>
      <c r="W46">
        <v>-1744796367</v>
      </c>
    </row>
    <row r="47" spans="1:23">
      <c r="A47">
        <f>Source!A174</f>
        <v>17</v>
      </c>
      <c r="C47">
        <v>3</v>
      </c>
      <c r="D47">
        <v>0</v>
      </c>
      <c r="E47">
        <f>SmtRes!AV74</f>
        <v>0</v>
      </c>
      <c r="F47" t="str">
        <f>SmtRes!I74</f>
        <v>21.4-6-7</v>
      </c>
      <c r="G47" t="str">
        <f>SmtRes!K74</f>
        <v>Колья деревянные для подвязки деревьев до 2,5м</v>
      </c>
      <c r="H47" t="str">
        <f>SmtRes!O74</f>
        <v>м3</v>
      </c>
      <c r="I47">
        <f>SmtRes!Y74*Source!I174</f>
        <v>1.5840000000000003E-2</v>
      </c>
      <c r="J47">
        <f>SmtRes!AO74</f>
        <v>1</v>
      </c>
      <c r="K47">
        <f>SmtRes!AE74</f>
        <v>3467</v>
      </c>
      <c r="L47">
        <f>SmtRes!DB74</f>
        <v>549.16999999999996</v>
      </c>
      <c r="M47">
        <f>ROUND(ROUND(L47*Source!I174, 6)*1, 2)</f>
        <v>54.92</v>
      </c>
      <c r="N47">
        <f>SmtRes!AA74</f>
        <v>3467</v>
      </c>
      <c r="O47">
        <f>ROUND(ROUND(L47*Source!I174, 6)*SmtRes!DA74, 2)</f>
        <v>54.92</v>
      </c>
      <c r="P47">
        <f>SmtRes!AG74</f>
        <v>0</v>
      </c>
      <c r="Q47">
        <f>SmtRes!DC74</f>
        <v>0</v>
      </c>
      <c r="R47">
        <f>ROUND(ROUND(Q47*Source!I174, 6)*1, 2)</f>
        <v>0</v>
      </c>
      <c r="S47">
        <f>SmtRes!AC74</f>
        <v>0</v>
      </c>
      <c r="T47">
        <f>ROUND(ROUND(Q47*Source!I174, 6)*SmtRes!AK74, 2)</f>
        <v>0</v>
      </c>
      <c r="U47">
        <f>SmtRes!X74</f>
        <v>1048243141</v>
      </c>
      <c r="V47">
        <v>1475258042</v>
      </c>
      <c r="W47">
        <v>1475258042</v>
      </c>
    </row>
    <row r="48" spans="1:23">
      <c r="A48">
        <f>Source!A174</f>
        <v>17</v>
      </c>
      <c r="C48">
        <v>3</v>
      </c>
      <c r="D48">
        <v>0</v>
      </c>
      <c r="E48">
        <f>SmtRes!AV73</f>
        <v>0</v>
      </c>
      <c r="F48" t="str">
        <f>SmtRes!I73</f>
        <v>21.1-25-13</v>
      </c>
      <c r="G48" t="str">
        <f>SmtRes!K73</f>
        <v>Вода</v>
      </c>
      <c r="H48" t="str">
        <f>SmtRes!O73</f>
        <v>м3</v>
      </c>
      <c r="I48">
        <f>SmtRes!Y73*Source!I174</f>
        <v>0.26</v>
      </c>
      <c r="J48">
        <f>SmtRes!AO73</f>
        <v>1</v>
      </c>
      <c r="K48">
        <f>SmtRes!AE73</f>
        <v>35.25</v>
      </c>
      <c r="L48">
        <f>SmtRes!DB73</f>
        <v>91.65</v>
      </c>
      <c r="M48">
        <f>ROUND(ROUND(L48*Source!I174, 6)*1, 2)</f>
        <v>9.17</v>
      </c>
      <c r="N48">
        <f>SmtRes!AA73</f>
        <v>35.25</v>
      </c>
      <c r="O48">
        <f>ROUND(ROUND(L48*Source!I174, 6)*SmtRes!DA73, 2)</f>
        <v>9.17</v>
      </c>
      <c r="P48">
        <f>SmtRes!AG73</f>
        <v>0</v>
      </c>
      <c r="Q48">
        <f>SmtRes!DC73</f>
        <v>0</v>
      </c>
      <c r="R48">
        <f>ROUND(ROUND(Q48*Source!I174, 6)*1, 2)</f>
        <v>0</v>
      </c>
      <c r="S48">
        <f>SmtRes!AC73</f>
        <v>0</v>
      </c>
      <c r="T48">
        <f>ROUND(ROUND(Q48*Source!I174, 6)*SmtRes!AK73, 2)</f>
        <v>0</v>
      </c>
      <c r="U48">
        <f>SmtRes!X73</f>
        <v>1927597627</v>
      </c>
      <c r="V48">
        <v>-1829664509</v>
      </c>
      <c r="W48">
        <v>-1829664509</v>
      </c>
    </row>
    <row r="49" spans="1:23">
      <c r="A49">
        <f>Source!A174</f>
        <v>17</v>
      </c>
      <c r="C49">
        <v>3</v>
      </c>
      <c r="D49">
        <v>0</v>
      </c>
      <c r="E49">
        <f>SmtRes!AV72</f>
        <v>0</v>
      </c>
      <c r="F49" t="str">
        <f>SmtRes!I72</f>
        <v>21.1-20-54</v>
      </c>
      <c r="G49" t="str">
        <f>SmtRes!K72</f>
        <v>Шпагат пеньковый</v>
      </c>
      <c r="H49" t="str">
        <f>SmtRes!O72</f>
        <v>кг</v>
      </c>
      <c r="I49">
        <f>SmtRes!Y72*Source!I174</f>
        <v>0.03</v>
      </c>
      <c r="J49">
        <f>SmtRes!AO72</f>
        <v>1</v>
      </c>
      <c r="K49">
        <f>SmtRes!AE72</f>
        <v>171.21</v>
      </c>
      <c r="L49">
        <f>SmtRes!DB72</f>
        <v>51.36</v>
      </c>
      <c r="M49">
        <f>ROUND(ROUND(L49*Source!I174, 6)*1, 2)</f>
        <v>5.14</v>
      </c>
      <c r="N49">
        <f>SmtRes!AA72</f>
        <v>171.21</v>
      </c>
      <c r="O49">
        <f>ROUND(ROUND(L49*Source!I174, 6)*SmtRes!DA72, 2)</f>
        <v>5.14</v>
      </c>
      <c r="P49">
        <f>SmtRes!AG72</f>
        <v>0</v>
      </c>
      <c r="Q49">
        <f>SmtRes!DC72</f>
        <v>0</v>
      </c>
      <c r="R49">
        <f>ROUND(ROUND(Q49*Source!I174, 6)*1, 2)</f>
        <v>0</v>
      </c>
      <c r="S49">
        <f>SmtRes!AC72</f>
        <v>0</v>
      </c>
      <c r="T49">
        <f>ROUND(ROUND(Q49*Source!I174, 6)*SmtRes!AK72, 2)</f>
        <v>0</v>
      </c>
      <c r="U49">
        <f>SmtRes!X72</f>
        <v>-2033961190</v>
      </c>
      <c r="V49">
        <v>749401340</v>
      </c>
      <c r="W49">
        <v>749401340</v>
      </c>
    </row>
    <row r="50" spans="1:23">
      <c r="A50">
        <f>Source!A174</f>
        <v>17</v>
      </c>
      <c r="C50">
        <v>3</v>
      </c>
      <c r="D50">
        <v>0</v>
      </c>
      <c r="E50">
        <f>SmtRes!AV71</f>
        <v>0</v>
      </c>
      <c r="F50" t="str">
        <f>SmtRes!I71</f>
        <v>21.1-20-17</v>
      </c>
      <c r="G50" t="str">
        <f>SmtRes!K71</f>
        <v>Мешковина</v>
      </c>
      <c r="H50" t="str">
        <f>SmtRes!O71</f>
        <v>м2</v>
      </c>
      <c r="I50">
        <f>SmtRes!Y71*Source!I174</f>
        <v>0.15000000000000002</v>
      </c>
      <c r="J50">
        <f>SmtRes!AO71</f>
        <v>1</v>
      </c>
      <c r="K50">
        <f>SmtRes!AE71</f>
        <v>91.89</v>
      </c>
      <c r="L50">
        <f>SmtRes!DB71</f>
        <v>137.84</v>
      </c>
      <c r="M50">
        <f>ROUND(ROUND(L50*Source!I174, 6)*1, 2)</f>
        <v>13.78</v>
      </c>
      <c r="N50">
        <f>SmtRes!AA71</f>
        <v>91.89</v>
      </c>
      <c r="O50">
        <f>ROUND(ROUND(L50*Source!I174, 6)*SmtRes!DA71, 2)</f>
        <v>13.78</v>
      </c>
      <c r="P50">
        <f>SmtRes!AG71</f>
        <v>0</v>
      </c>
      <c r="Q50">
        <f>SmtRes!DC71</f>
        <v>0</v>
      </c>
      <c r="R50">
        <f>ROUND(ROUND(Q50*Source!I174, 6)*1, 2)</f>
        <v>0</v>
      </c>
      <c r="S50">
        <f>SmtRes!AC71</f>
        <v>0</v>
      </c>
      <c r="T50">
        <f>ROUND(ROUND(Q50*Source!I174, 6)*SmtRes!AK71, 2)</f>
        <v>0</v>
      </c>
      <c r="U50">
        <f>SmtRes!X71</f>
        <v>-2047649341</v>
      </c>
      <c r="V50">
        <v>-1336012766</v>
      </c>
      <c r="W50">
        <v>-1336012766</v>
      </c>
    </row>
    <row r="51" spans="1:23">
      <c r="A51">
        <f>Source!A175</f>
        <v>18</v>
      </c>
      <c r="C51">
        <v>3</v>
      </c>
      <c r="D51">
        <f>Source!BI175</f>
        <v>4</v>
      </c>
      <c r="E51">
        <f>Source!FS175</f>
        <v>0</v>
      </c>
      <c r="F51" t="str">
        <f>Source!F175</f>
        <v>комерческое предложение</v>
      </c>
      <c r="G51" t="str">
        <f>Source!G175</f>
        <v>Деревья хвойные садовых форм с комом земли, порода:  Сосна Нигра, высота - 1,8-2,2 м, размер кома 1,3х1,3х0,6 м</v>
      </c>
      <c r="H51" t="str">
        <f>Source!H175</f>
        <v>шт.</v>
      </c>
      <c r="I51">
        <f>Source!I175</f>
        <v>1</v>
      </c>
      <c r="J51">
        <v>1</v>
      </c>
      <c r="K51">
        <f>Source!AC175</f>
        <v>7845.83</v>
      </c>
      <c r="M51">
        <f>ROUND(K51*I51, 2)</f>
        <v>7845.83</v>
      </c>
      <c r="N51">
        <f>Source!AC175*IF(Source!BC175&lt;&gt; 0, Source!BC175, 1)</f>
        <v>7845.83</v>
      </c>
      <c r="O51">
        <f>ROUND(N51*I51, 2)</f>
        <v>7845.83</v>
      </c>
      <c r="P51">
        <f>Source!AE175</f>
        <v>0</v>
      </c>
      <c r="R51">
        <f>ROUND(P51*I51, 2)</f>
        <v>0</v>
      </c>
      <c r="S51">
        <f>Source!AE175*IF(Source!BS175&lt;&gt; 0, Source!BS175, 1)</f>
        <v>0</v>
      </c>
      <c r="T51">
        <f>ROUND(S51*I51, 2)</f>
        <v>0</v>
      </c>
      <c r="U51">
        <f>Source!GF175</f>
        <v>-1077476460</v>
      </c>
      <c r="V51">
        <v>-1167612586</v>
      </c>
      <c r="W51">
        <v>-1167612586</v>
      </c>
    </row>
    <row r="52" spans="1:23">
      <c r="A52">
        <f>Source!A176</f>
        <v>17</v>
      </c>
      <c r="C52">
        <v>3</v>
      </c>
      <c r="D52">
        <v>0</v>
      </c>
      <c r="E52">
        <f>SmtRes!AV78</f>
        <v>0</v>
      </c>
      <c r="F52" t="str">
        <f>SmtRes!I78</f>
        <v>21.4-6-5</v>
      </c>
      <c r="G52" t="str">
        <f>SmtRes!K78</f>
        <v>Земля растительная</v>
      </c>
      <c r="H52" t="str">
        <f>SmtRes!O78</f>
        <v>м3</v>
      </c>
      <c r="I52">
        <f>SmtRes!Y78*Source!I176</f>
        <v>2.5840000000000001</v>
      </c>
      <c r="J52">
        <f>SmtRes!AO78</f>
        <v>1</v>
      </c>
      <c r="K52">
        <f>SmtRes!AE78</f>
        <v>753.67</v>
      </c>
      <c r="L52">
        <f>SmtRes!DB78</f>
        <v>2434.35</v>
      </c>
      <c r="M52">
        <f>ROUND(ROUND(L52*Source!I176, 6)*1, 2)</f>
        <v>1947.48</v>
      </c>
      <c r="N52">
        <f>SmtRes!AA78</f>
        <v>753.67</v>
      </c>
      <c r="O52">
        <f>ROUND(ROUND(L52*Source!I176, 6)*SmtRes!DA78, 2)</f>
        <v>1947.48</v>
      </c>
      <c r="P52">
        <f>SmtRes!AG78</f>
        <v>0</v>
      </c>
      <c r="Q52">
        <f>SmtRes!DC78</f>
        <v>0</v>
      </c>
      <c r="R52">
        <f>ROUND(ROUND(Q52*Source!I176, 6)*1, 2)</f>
        <v>0</v>
      </c>
      <c r="S52">
        <f>SmtRes!AC78</f>
        <v>0</v>
      </c>
      <c r="T52">
        <f>ROUND(ROUND(Q52*Source!I176, 6)*SmtRes!AK78, 2)</f>
        <v>0</v>
      </c>
      <c r="U52">
        <f>SmtRes!X78</f>
        <v>-1172857595</v>
      </c>
      <c r="V52">
        <v>-353567041</v>
      </c>
      <c r="W52">
        <v>-353567041</v>
      </c>
    </row>
    <row r="53" spans="1:23">
      <c r="A53">
        <f>Source!A176</f>
        <v>17</v>
      </c>
      <c r="C53">
        <v>3</v>
      </c>
      <c r="D53">
        <v>0</v>
      </c>
      <c r="E53">
        <f>SmtRes!AV77</f>
        <v>0</v>
      </c>
      <c r="F53" t="str">
        <f>SmtRes!I77</f>
        <v>21.4-6-15</v>
      </c>
      <c r="G53" t="str">
        <f>SmtRes!K77</f>
        <v>Торф</v>
      </c>
      <c r="H53" t="str">
        <f>SmtRes!O77</f>
        <v>м3</v>
      </c>
      <c r="I53">
        <f>SmtRes!Y77*Source!I176</f>
        <v>0.8640000000000001</v>
      </c>
      <c r="J53">
        <f>SmtRes!AO77</f>
        <v>1</v>
      </c>
      <c r="K53">
        <f>SmtRes!AE77</f>
        <v>810.33</v>
      </c>
      <c r="L53">
        <f>SmtRes!DB77</f>
        <v>875.16</v>
      </c>
      <c r="M53">
        <f>ROUND(ROUND(L53*Source!I176, 6)*1, 2)</f>
        <v>700.13</v>
      </c>
      <c r="N53">
        <f>SmtRes!AA77</f>
        <v>810.33</v>
      </c>
      <c r="O53">
        <f>ROUND(ROUND(L53*Source!I176, 6)*SmtRes!DA77, 2)</f>
        <v>700.13</v>
      </c>
      <c r="P53">
        <f>SmtRes!AG77</f>
        <v>0</v>
      </c>
      <c r="Q53">
        <f>SmtRes!DC77</f>
        <v>0</v>
      </c>
      <c r="R53">
        <f>ROUND(ROUND(Q53*Source!I176, 6)*1, 2)</f>
        <v>0</v>
      </c>
      <c r="S53">
        <f>SmtRes!AC77</f>
        <v>0</v>
      </c>
      <c r="T53">
        <f>ROUND(ROUND(Q53*Source!I176, 6)*SmtRes!AK77, 2)</f>
        <v>0</v>
      </c>
      <c r="U53">
        <f>SmtRes!X77</f>
        <v>620872455</v>
      </c>
      <c r="V53">
        <v>-1744796367</v>
      </c>
      <c r="W53">
        <v>-1744796367</v>
      </c>
    </row>
    <row r="54" spans="1:23">
      <c r="A54">
        <f>Source!A177</f>
        <v>17</v>
      </c>
      <c r="C54">
        <v>3</v>
      </c>
      <c r="D54">
        <v>0</v>
      </c>
      <c r="E54">
        <f>SmtRes!AV83</f>
        <v>0</v>
      </c>
      <c r="F54" t="str">
        <f>SmtRes!I83</f>
        <v>21.4-6-5</v>
      </c>
      <c r="G54" t="str">
        <f>SmtRes!K83</f>
        <v>Земля растительная</v>
      </c>
      <c r="H54" t="str">
        <f>SmtRes!O83</f>
        <v>м3</v>
      </c>
      <c r="I54">
        <f>SmtRes!Y83*Source!I177</f>
        <v>3.8759999999999999</v>
      </c>
      <c r="J54">
        <f>SmtRes!AO83</f>
        <v>1</v>
      </c>
      <c r="K54">
        <f>SmtRes!AE83</f>
        <v>753.67</v>
      </c>
      <c r="L54">
        <f>SmtRes!DB83</f>
        <v>2434.35</v>
      </c>
      <c r="M54">
        <f>ROUND(ROUND(L54*Source!I177, 6)*1, 2)</f>
        <v>2921.22</v>
      </c>
      <c r="N54">
        <f>SmtRes!AA83</f>
        <v>753.67</v>
      </c>
      <c r="O54">
        <f>ROUND(ROUND(L54*Source!I177, 6)*SmtRes!DA83, 2)</f>
        <v>2921.22</v>
      </c>
      <c r="P54">
        <f>SmtRes!AG83</f>
        <v>0</v>
      </c>
      <c r="Q54">
        <f>SmtRes!DC83</f>
        <v>0</v>
      </c>
      <c r="R54">
        <f>ROUND(ROUND(Q54*Source!I177, 6)*1, 2)</f>
        <v>0</v>
      </c>
      <c r="S54">
        <f>SmtRes!AC83</f>
        <v>0</v>
      </c>
      <c r="T54">
        <f>ROUND(ROUND(Q54*Source!I177, 6)*SmtRes!AK83, 2)</f>
        <v>0</v>
      </c>
      <c r="U54">
        <f>SmtRes!X83</f>
        <v>-1172857595</v>
      </c>
      <c r="V54">
        <v>-353567041</v>
      </c>
      <c r="W54">
        <v>-353567041</v>
      </c>
    </row>
    <row r="55" spans="1:23">
      <c r="A55">
        <f>Source!A177</f>
        <v>17</v>
      </c>
      <c r="C55">
        <v>3</v>
      </c>
      <c r="D55">
        <v>0</v>
      </c>
      <c r="E55">
        <f>SmtRes!AV82</f>
        <v>0</v>
      </c>
      <c r="F55" t="str">
        <f>SmtRes!I82</f>
        <v>21.4-6-15</v>
      </c>
      <c r="G55" t="str">
        <f>SmtRes!K82</f>
        <v>Торф</v>
      </c>
      <c r="H55" t="str">
        <f>SmtRes!O82</f>
        <v>м3</v>
      </c>
      <c r="I55">
        <f>SmtRes!Y82*Source!I177</f>
        <v>1.296</v>
      </c>
      <c r="J55">
        <f>SmtRes!AO82</f>
        <v>1</v>
      </c>
      <c r="K55">
        <f>SmtRes!AE82</f>
        <v>810.33</v>
      </c>
      <c r="L55">
        <f>SmtRes!DB82</f>
        <v>875.16</v>
      </c>
      <c r="M55">
        <f>ROUND(ROUND(L55*Source!I177, 6)*1, 2)</f>
        <v>1050.19</v>
      </c>
      <c r="N55">
        <f>SmtRes!AA82</f>
        <v>810.33</v>
      </c>
      <c r="O55">
        <f>ROUND(ROUND(L55*Source!I177, 6)*SmtRes!DA82, 2)</f>
        <v>1050.19</v>
      </c>
      <c r="P55">
        <f>SmtRes!AG82</f>
        <v>0</v>
      </c>
      <c r="Q55">
        <f>SmtRes!DC82</f>
        <v>0</v>
      </c>
      <c r="R55">
        <f>ROUND(ROUND(Q55*Source!I177, 6)*1, 2)</f>
        <v>0</v>
      </c>
      <c r="S55">
        <f>SmtRes!AC82</f>
        <v>0</v>
      </c>
      <c r="T55">
        <f>ROUND(ROUND(Q55*Source!I177, 6)*SmtRes!AK82, 2)</f>
        <v>0</v>
      </c>
      <c r="U55">
        <f>SmtRes!X82</f>
        <v>620872455</v>
      </c>
      <c r="V55">
        <v>-1744796367</v>
      </c>
      <c r="W55">
        <v>-1744796367</v>
      </c>
    </row>
    <row r="56" spans="1:23">
      <c r="A56">
        <f>Source!A180</f>
        <v>17</v>
      </c>
      <c r="C56">
        <v>3</v>
      </c>
      <c r="D56">
        <v>0</v>
      </c>
      <c r="E56">
        <f>SmtRes!AV91</f>
        <v>0</v>
      </c>
      <c r="F56" t="str">
        <f>SmtRes!I91</f>
        <v>21.4-6-7</v>
      </c>
      <c r="G56" t="str">
        <f>SmtRes!K91</f>
        <v>Колья деревянные для подвязки деревьев до 2,5м</v>
      </c>
      <c r="H56" t="str">
        <f>SmtRes!O91</f>
        <v>м3</v>
      </c>
      <c r="I56">
        <f>SmtRes!Y91*Source!I180</f>
        <v>0.31680000000000003</v>
      </c>
      <c r="J56">
        <f>SmtRes!AO91</f>
        <v>1</v>
      </c>
      <c r="K56">
        <f>SmtRes!AE91</f>
        <v>3467</v>
      </c>
      <c r="L56">
        <f>SmtRes!DB91</f>
        <v>549.16999999999996</v>
      </c>
      <c r="M56">
        <f>ROUND(ROUND(L56*Source!I180, 6)*1, 2)</f>
        <v>1098.3399999999999</v>
      </c>
      <c r="N56">
        <f>SmtRes!AA91</f>
        <v>3467</v>
      </c>
      <c r="O56">
        <f>ROUND(ROUND(L56*Source!I180, 6)*SmtRes!DA91, 2)</f>
        <v>1098.3399999999999</v>
      </c>
      <c r="P56">
        <f>SmtRes!AG91</f>
        <v>0</v>
      </c>
      <c r="Q56">
        <f>SmtRes!DC91</f>
        <v>0</v>
      </c>
      <c r="R56">
        <f>ROUND(ROUND(Q56*Source!I180, 6)*1, 2)</f>
        <v>0</v>
      </c>
      <c r="S56">
        <f>SmtRes!AC91</f>
        <v>0</v>
      </c>
      <c r="T56">
        <f>ROUND(ROUND(Q56*Source!I180, 6)*SmtRes!AK91, 2)</f>
        <v>0</v>
      </c>
      <c r="U56">
        <f>SmtRes!X91</f>
        <v>1048243141</v>
      </c>
      <c r="V56">
        <v>1475258042</v>
      </c>
      <c r="W56">
        <v>1475258042</v>
      </c>
    </row>
    <row r="57" spans="1:23">
      <c r="A57">
        <f>Source!A180</f>
        <v>17</v>
      </c>
      <c r="C57">
        <v>3</v>
      </c>
      <c r="D57">
        <v>0</v>
      </c>
      <c r="E57">
        <f>SmtRes!AV90</f>
        <v>0</v>
      </c>
      <c r="F57" t="str">
        <f>SmtRes!I90</f>
        <v>21.1-25-13</v>
      </c>
      <c r="G57" t="str">
        <f>SmtRes!K90</f>
        <v>Вода</v>
      </c>
      <c r="H57" t="str">
        <f>SmtRes!O90</f>
        <v>м3</v>
      </c>
      <c r="I57">
        <f>SmtRes!Y90*Source!I180</f>
        <v>4.4000000000000004</v>
      </c>
      <c r="J57">
        <f>SmtRes!AO90</f>
        <v>1</v>
      </c>
      <c r="K57">
        <f>SmtRes!AE90</f>
        <v>35.25</v>
      </c>
      <c r="L57">
        <f>SmtRes!DB90</f>
        <v>77.55</v>
      </c>
      <c r="M57">
        <f>ROUND(ROUND(L57*Source!I180, 6)*1, 2)</f>
        <v>155.1</v>
      </c>
      <c r="N57">
        <f>SmtRes!AA90</f>
        <v>35.25</v>
      </c>
      <c r="O57">
        <f>ROUND(ROUND(L57*Source!I180, 6)*SmtRes!DA90, 2)</f>
        <v>155.1</v>
      </c>
      <c r="P57">
        <f>SmtRes!AG90</f>
        <v>0</v>
      </c>
      <c r="Q57">
        <f>SmtRes!DC90</f>
        <v>0</v>
      </c>
      <c r="R57">
        <f>ROUND(ROUND(Q57*Source!I180, 6)*1, 2)</f>
        <v>0</v>
      </c>
      <c r="S57">
        <f>SmtRes!AC90</f>
        <v>0</v>
      </c>
      <c r="T57">
        <f>ROUND(ROUND(Q57*Source!I180, 6)*SmtRes!AK90, 2)</f>
        <v>0</v>
      </c>
      <c r="U57">
        <f>SmtRes!X90</f>
        <v>1927597627</v>
      </c>
      <c r="V57">
        <v>-1829664509</v>
      </c>
      <c r="W57">
        <v>-1829664509</v>
      </c>
    </row>
    <row r="58" spans="1:23">
      <c r="A58">
        <f>Source!A180</f>
        <v>17</v>
      </c>
      <c r="C58">
        <v>3</v>
      </c>
      <c r="D58">
        <v>0</v>
      </c>
      <c r="E58">
        <f>SmtRes!AV89</f>
        <v>0</v>
      </c>
      <c r="F58" t="str">
        <f>SmtRes!I89</f>
        <v>21.1-20-54</v>
      </c>
      <c r="G58" t="str">
        <f>SmtRes!K89</f>
        <v>Шпагат пеньковый</v>
      </c>
      <c r="H58" t="str">
        <f>SmtRes!O89</f>
        <v>кг</v>
      </c>
      <c r="I58">
        <f>SmtRes!Y89*Source!I180</f>
        <v>0.6</v>
      </c>
      <c r="J58">
        <f>SmtRes!AO89</f>
        <v>1</v>
      </c>
      <c r="K58">
        <f>SmtRes!AE89</f>
        <v>171.21</v>
      </c>
      <c r="L58">
        <f>SmtRes!DB89</f>
        <v>51.36</v>
      </c>
      <c r="M58">
        <f>ROUND(ROUND(L58*Source!I180, 6)*1, 2)</f>
        <v>102.72</v>
      </c>
      <c r="N58">
        <f>SmtRes!AA89</f>
        <v>171.21</v>
      </c>
      <c r="O58">
        <f>ROUND(ROUND(L58*Source!I180, 6)*SmtRes!DA89, 2)</f>
        <v>102.72</v>
      </c>
      <c r="P58">
        <f>SmtRes!AG89</f>
        <v>0</v>
      </c>
      <c r="Q58">
        <f>SmtRes!DC89</f>
        <v>0</v>
      </c>
      <c r="R58">
        <f>ROUND(ROUND(Q58*Source!I180, 6)*1, 2)</f>
        <v>0</v>
      </c>
      <c r="S58">
        <f>SmtRes!AC89</f>
        <v>0</v>
      </c>
      <c r="T58">
        <f>ROUND(ROUND(Q58*Source!I180, 6)*SmtRes!AK89, 2)</f>
        <v>0</v>
      </c>
      <c r="U58">
        <f>SmtRes!X89</f>
        <v>-2033961190</v>
      </c>
      <c r="V58">
        <v>749401340</v>
      </c>
      <c r="W58">
        <v>749401340</v>
      </c>
    </row>
    <row r="59" spans="1:23">
      <c r="A59">
        <f>Source!A180</f>
        <v>17</v>
      </c>
      <c r="C59">
        <v>3</v>
      </c>
      <c r="D59">
        <v>0</v>
      </c>
      <c r="E59">
        <f>SmtRes!AV88</f>
        <v>0</v>
      </c>
      <c r="F59" t="str">
        <f>SmtRes!I88</f>
        <v>21.1-20-17</v>
      </c>
      <c r="G59" t="str">
        <f>SmtRes!K88</f>
        <v>Мешковина</v>
      </c>
      <c r="H59" t="str">
        <f>SmtRes!O88</f>
        <v>м2</v>
      </c>
      <c r="I59">
        <f>SmtRes!Y88*Source!I180</f>
        <v>3</v>
      </c>
      <c r="J59">
        <f>SmtRes!AO88</f>
        <v>1</v>
      </c>
      <c r="K59">
        <f>SmtRes!AE88</f>
        <v>91.89</v>
      </c>
      <c r="L59">
        <f>SmtRes!DB88</f>
        <v>137.84</v>
      </c>
      <c r="M59">
        <f>ROUND(ROUND(L59*Source!I180, 6)*1, 2)</f>
        <v>275.68</v>
      </c>
      <c r="N59">
        <f>SmtRes!AA88</f>
        <v>91.89</v>
      </c>
      <c r="O59">
        <f>ROUND(ROUND(L59*Source!I180, 6)*SmtRes!DA88, 2)</f>
        <v>275.68</v>
      </c>
      <c r="P59">
        <f>SmtRes!AG88</f>
        <v>0</v>
      </c>
      <c r="Q59">
        <f>SmtRes!DC88</f>
        <v>0</v>
      </c>
      <c r="R59">
        <f>ROUND(ROUND(Q59*Source!I180, 6)*1, 2)</f>
        <v>0</v>
      </c>
      <c r="S59">
        <f>SmtRes!AC88</f>
        <v>0</v>
      </c>
      <c r="T59">
        <f>ROUND(ROUND(Q59*Source!I180, 6)*SmtRes!AK88, 2)</f>
        <v>0</v>
      </c>
      <c r="U59">
        <f>SmtRes!X88</f>
        <v>-2047649341</v>
      </c>
      <c r="V59">
        <v>-1336012766</v>
      </c>
      <c r="W59">
        <v>-1336012766</v>
      </c>
    </row>
    <row r="60" spans="1:23">
      <c r="A60">
        <f>Source!A181</f>
        <v>18</v>
      </c>
      <c r="C60">
        <v>3</v>
      </c>
      <c r="D60">
        <f>Source!BI181</f>
        <v>4</v>
      </c>
      <c r="E60">
        <f>Source!FS181</f>
        <v>0</v>
      </c>
      <c r="F60" t="str">
        <f>Source!F181</f>
        <v>комерческое предложение</v>
      </c>
      <c r="G60" t="str">
        <f>Source!G181</f>
        <v>Деревья хвойные садовых форм с комом земли, порода:  Туя Вудварди, высота - 1,2-1,4 м, размер кома 0,5м*0,4м</v>
      </c>
      <c r="H60" t="str">
        <f>Source!H181</f>
        <v>шт.</v>
      </c>
      <c r="I60">
        <f>Source!I181</f>
        <v>10</v>
      </c>
      <c r="J60">
        <v>1</v>
      </c>
      <c r="K60">
        <f>Source!AC181</f>
        <v>4250</v>
      </c>
      <c r="M60">
        <f>ROUND(K60*I60, 2)</f>
        <v>42500</v>
      </c>
      <c r="N60">
        <f>Source!AC181*IF(Source!BC181&lt;&gt; 0, Source!BC181, 1)</f>
        <v>4250</v>
      </c>
      <c r="O60">
        <f>ROUND(N60*I60, 2)</f>
        <v>42500</v>
      </c>
      <c r="P60">
        <f>Source!AE181</f>
        <v>0</v>
      </c>
      <c r="R60">
        <f>ROUND(P60*I60, 2)</f>
        <v>0</v>
      </c>
      <c r="S60">
        <f>Source!AE181*IF(Source!BS181&lt;&gt; 0, Source!BS181, 1)</f>
        <v>0</v>
      </c>
      <c r="T60">
        <f>ROUND(S60*I60, 2)</f>
        <v>0</v>
      </c>
      <c r="U60">
        <f>Source!GF181</f>
        <v>-1872626533</v>
      </c>
      <c r="V60">
        <v>814502955</v>
      </c>
      <c r="W60">
        <v>814502955</v>
      </c>
    </row>
    <row r="61" spans="1:23">
      <c r="A61">
        <f>Source!A182</f>
        <v>18</v>
      </c>
      <c r="C61">
        <v>3</v>
      </c>
      <c r="D61">
        <f>Source!BI182</f>
        <v>4</v>
      </c>
      <c r="E61">
        <f>Source!FS182</f>
        <v>0</v>
      </c>
      <c r="F61" t="str">
        <f>Source!F182</f>
        <v>комерческое предложение</v>
      </c>
      <c r="G61" t="str">
        <f>Source!G182</f>
        <v>Деревья хвойные садовых форм с комом земли, порода:  Туя Смарагд, высота - 0,6-0,8м, размер кома 0,5м*0,4м</v>
      </c>
      <c r="H61" t="str">
        <f>Source!H182</f>
        <v>шт.</v>
      </c>
      <c r="I61">
        <f>Source!I182</f>
        <v>3</v>
      </c>
      <c r="J61">
        <v>1</v>
      </c>
      <c r="K61">
        <f>Source!AC182</f>
        <v>2250</v>
      </c>
      <c r="M61">
        <f>ROUND(K61*I61, 2)</f>
        <v>6750</v>
      </c>
      <c r="N61">
        <f>Source!AC182*IF(Source!BC182&lt;&gt; 0, Source!BC182, 1)</f>
        <v>2250</v>
      </c>
      <c r="O61">
        <f>ROUND(N61*I61, 2)</f>
        <v>6750</v>
      </c>
      <c r="P61">
        <f>Source!AE182</f>
        <v>0</v>
      </c>
      <c r="R61">
        <f>ROUND(P61*I61, 2)</f>
        <v>0</v>
      </c>
      <c r="S61">
        <f>Source!AE182*IF(Source!BS182&lt;&gt; 0, Source!BS182, 1)</f>
        <v>0</v>
      </c>
      <c r="T61">
        <f>ROUND(S61*I61, 2)</f>
        <v>0</v>
      </c>
      <c r="U61">
        <f>Source!GF182</f>
        <v>1783154136</v>
      </c>
      <c r="V61">
        <v>-1599592628</v>
      </c>
      <c r="W61">
        <v>-1599592628</v>
      </c>
    </row>
    <row r="62" spans="1:23">
      <c r="A62">
        <f>Source!A183</f>
        <v>18</v>
      </c>
      <c r="C62">
        <v>3</v>
      </c>
      <c r="D62">
        <f>Source!BI183</f>
        <v>4</v>
      </c>
      <c r="E62">
        <f>Source!FS183</f>
        <v>0</v>
      </c>
      <c r="F62" t="str">
        <f>Source!F183</f>
        <v>комерческое предложение</v>
      </c>
      <c r="G62" t="str">
        <f>Source!G183</f>
        <v>Деревья хвойные садовых форм с комом земли, порода:  Туя Голден Смарагд, высота - 0,6-0,8м, размер кома 0,5м*0,4м</v>
      </c>
      <c r="H62" t="str">
        <f>Source!H183</f>
        <v>шт.</v>
      </c>
      <c r="I62">
        <f>Source!I183</f>
        <v>4</v>
      </c>
      <c r="J62">
        <v>1</v>
      </c>
      <c r="K62">
        <f>Source!AC183</f>
        <v>2458.33</v>
      </c>
      <c r="M62">
        <f>ROUND(K62*I62, 2)</f>
        <v>9833.32</v>
      </c>
      <c r="N62">
        <f>Source!AC183*IF(Source!BC183&lt;&gt; 0, Source!BC183, 1)</f>
        <v>2458.33</v>
      </c>
      <c r="O62">
        <f>ROUND(N62*I62, 2)</f>
        <v>9833.32</v>
      </c>
      <c r="P62">
        <f>Source!AE183</f>
        <v>0</v>
      </c>
      <c r="R62">
        <f>ROUND(P62*I62, 2)</f>
        <v>0</v>
      </c>
      <c r="S62">
        <f>Source!AE183*IF(Source!BS183&lt;&gt; 0, Source!BS183, 1)</f>
        <v>0</v>
      </c>
      <c r="T62">
        <f>ROUND(S62*I62, 2)</f>
        <v>0</v>
      </c>
      <c r="U62">
        <f>Source!GF183</f>
        <v>1812474931</v>
      </c>
      <c r="V62">
        <v>2027105266</v>
      </c>
      <c r="W62">
        <v>2027105266</v>
      </c>
    </row>
    <row r="63" spans="1:23">
      <c r="A63">
        <f>Source!A184</f>
        <v>18</v>
      </c>
      <c r="C63">
        <v>3</v>
      </c>
      <c r="D63">
        <f>Source!BI184</f>
        <v>4</v>
      </c>
      <c r="E63">
        <f>Source!FS184</f>
        <v>0</v>
      </c>
      <c r="F63" t="str">
        <f>Source!F184</f>
        <v>комерческое предложение</v>
      </c>
      <c r="G63" t="str">
        <f>Source!G184</f>
        <v>Деревья хвойные садовых форм с комом земли, порода:  Туя Глобоза (шар), высота - 1,2 м, размер кома 0,5м*0,4м</v>
      </c>
      <c r="H63" t="str">
        <f>Source!H184</f>
        <v>шт.</v>
      </c>
      <c r="I63">
        <f>Source!I184</f>
        <v>3</v>
      </c>
      <c r="J63">
        <v>1</v>
      </c>
      <c r="K63">
        <f>Source!AC184</f>
        <v>3583.33</v>
      </c>
      <c r="M63">
        <f>ROUND(K63*I63, 2)</f>
        <v>10749.99</v>
      </c>
      <c r="N63">
        <f>Source!AC184*IF(Source!BC184&lt;&gt; 0, Source!BC184, 1)</f>
        <v>3583.33</v>
      </c>
      <c r="O63">
        <f>ROUND(N63*I63, 2)</f>
        <v>10749.99</v>
      </c>
      <c r="P63">
        <f>Source!AE184</f>
        <v>0</v>
      </c>
      <c r="R63">
        <f>ROUND(P63*I63, 2)</f>
        <v>0</v>
      </c>
      <c r="S63">
        <f>Source!AE184*IF(Source!BS184&lt;&gt; 0, Source!BS184, 1)</f>
        <v>0</v>
      </c>
      <c r="T63">
        <f>ROUND(S63*I63, 2)</f>
        <v>0</v>
      </c>
      <c r="U63">
        <f>Source!GF184</f>
        <v>1312657559</v>
      </c>
      <c r="V63">
        <v>1758199083</v>
      </c>
      <c r="W63">
        <v>1758199083</v>
      </c>
    </row>
    <row r="64" spans="1:23">
      <c r="A64">
        <f>Source!A218</f>
        <v>4</v>
      </c>
      <c r="B64">
        <v>218</v>
      </c>
      <c r="G64" t="str">
        <f>Source!G218</f>
        <v>Декоративное украшение территори озеленения</v>
      </c>
    </row>
    <row r="65" spans="1:23">
      <c r="A65">
        <f>Source!A222</f>
        <v>17</v>
      </c>
      <c r="C65">
        <v>3</v>
      </c>
      <c r="D65">
        <v>0</v>
      </c>
      <c r="E65">
        <f>SmtRes!AV97</f>
        <v>0</v>
      </c>
      <c r="F65" t="str">
        <f>SmtRes!I97</f>
        <v>21.4-6-17</v>
      </c>
      <c r="G65" t="str">
        <f>SmtRes!K97</f>
        <v>Добавки мульчирующие - декоративная щепа (различная цветовая гамма)</v>
      </c>
      <c r="H65" t="str">
        <f>SmtRes!O97</f>
        <v>кг</v>
      </c>
      <c r="I65">
        <f>SmtRes!Y97*Source!I222</f>
        <v>57.599999999999994</v>
      </c>
      <c r="J65">
        <f>SmtRes!AO97</f>
        <v>1</v>
      </c>
      <c r="K65">
        <f>SmtRes!AE97</f>
        <v>43.69</v>
      </c>
      <c r="L65">
        <f>SmtRes!DB97</f>
        <v>5242.8</v>
      </c>
      <c r="M65">
        <f>ROUND(ROUND(L65*Source!I222, 6)*1, 2)</f>
        <v>2516.54</v>
      </c>
      <c r="N65">
        <f>SmtRes!AA97</f>
        <v>43.69</v>
      </c>
      <c r="O65">
        <f>ROUND(ROUND(L65*Source!I222, 6)*SmtRes!DA97, 2)</f>
        <v>2516.54</v>
      </c>
      <c r="P65">
        <f>SmtRes!AG97</f>
        <v>0</v>
      </c>
      <c r="Q65">
        <f>SmtRes!DC97</f>
        <v>0</v>
      </c>
      <c r="R65">
        <f>ROUND(ROUND(Q65*Source!I222, 6)*1, 2)</f>
        <v>0</v>
      </c>
      <c r="S65">
        <f>SmtRes!AC97</f>
        <v>0</v>
      </c>
      <c r="T65">
        <f>ROUND(ROUND(Q65*Source!I222, 6)*SmtRes!AK97, 2)</f>
        <v>0</v>
      </c>
      <c r="U65">
        <f>SmtRes!X97</f>
        <v>-454677619</v>
      </c>
      <c r="V65">
        <v>-1910259342</v>
      </c>
      <c r="W65">
        <v>-1910259342</v>
      </c>
    </row>
    <row r="66" spans="1:23">
      <c r="A66">
        <f>Source!A223</f>
        <v>17</v>
      </c>
      <c r="C66">
        <v>3</v>
      </c>
      <c r="D66">
        <v>0</v>
      </c>
      <c r="E66">
        <f>SmtRes!AV99</f>
        <v>0</v>
      </c>
      <c r="F66" t="str">
        <f>SmtRes!I99</f>
        <v>21.4-6-17</v>
      </c>
      <c r="G66" t="str">
        <f>SmtRes!K99</f>
        <v>Добавки мульчирующие - декоративная щепа (различная цветовая гамма)</v>
      </c>
      <c r="H66" t="str">
        <f>SmtRes!O99</f>
        <v>кг</v>
      </c>
      <c r="I66">
        <f>SmtRes!Y99*Source!I223</f>
        <v>86.399999999999991</v>
      </c>
      <c r="J66">
        <f>SmtRes!AO99</f>
        <v>1</v>
      </c>
      <c r="K66">
        <f>SmtRes!AE99</f>
        <v>43.69</v>
      </c>
      <c r="L66">
        <f>SmtRes!DB99</f>
        <v>7864.2</v>
      </c>
      <c r="M66">
        <f>ROUND(ROUND(L66*Source!I223, 6)*1, 2)</f>
        <v>3774.82</v>
      </c>
      <c r="N66">
        <f>SmtRes!AA99</f>
        <v>43.69</v>
      </c>
      <c r="O66">
        <f>ROUND(ROUND(L66*Source!I223, 6)*SmtRes!DA99, 2)</f>
        <v>3774.82</v>
      </c>
      <c r="P66">
        <f>SmtRes!AG99</f>
        <v>0</v>
      </c>
      <c r="Q66">
        <f>SmtRes!DC99</f>
        <v>0</v>
      </c>
      <c r="R66">
        <f>ROUND(ROUND(Q66*Source!I223, 6)*1, 2)</f>
        <v>0</v>
      </c>
      <c r="S66">
        <f>SmtRes!AC99</f>
        <v>0</v>
      </c>
      <c r="T66">
        <f>ROUND(ROUND(Q66*Source!I223, 6)*SmtRes!AK99, 2)</f>
        <v>0</v>
      </c>
      <c r="U66">
        <f>SmtRes!X99</f>
        <v>-454677619</v>
      </c>
      <c r="V66">
        <v>-1910259342</v>
      </c>
      <c r="W66">
        <v>-1910259342</v>
      </c>
    </row>
    <row r="67" spans="1:23">
      <c r="A67">
        <f>Source!A224</f>
        <v>17</v>
      </c>
      <c r="C67">
        <v>3</v>
      </c>
      <c r="D67">
        <v>0</v>
      </c>
      <c r="E67">
        <f>SmtRes!AV110</f>
        <v>0</v>
      </c>
      <c r="F67" t="str">
        <f>SmtRes!I110</f>
        <v>21.3-4-17</v>
      </c>
      <c r="G67" t="str">
        <f>SmtRes!K110</f>
        <v>Арматурные заготовки (стержни, хомуты и т.п.), не собранные в каркасы или сетки, арматурная сталь периодического профиля, класс А-III, диаметр 12-14 мм</v>
      </c>
      <c r="H67" t="str">
        <f>SmtRes!O110</f>
        <v>т</v>
      </c>
      <c r="I67">
        <f>SmtRes!Y110*Source!I224</f>
        <v>1.4999999999999999E-2</v>
      </c>
      <c r="J67">
        <f>SmtRes!AO110</f>
        <v>1</v>
      </c>
      <c r="K67">
        <f>SmtRes!AE110</f>
        <v>36434</v>
      </c>
      <c r="L67">
        <f>SmtRes!DB110</f>
        <v>1093.02</v>
      </c>
      <c r="M67">
        <f>ROUND(ROUND(L67*Source!I224, 6)*1, 2)</f>
        <v>546.51</v>
      </c>
      <c r="N67">
        <f>SmtRes!AA110</f>
        <v>36434</v>
      </c>
      <c r="O67">
        <f>ROUND(ROUND(L67*Source!I224, 6)*SmtRes!DA110, 2)</f>
        <v>546.51</v>
      </c>
      <c r="P67">
        <f>SmtRes!AG110</f>
        <v>0</v>
      </c>
      <c r="Q67">
        <f>SmtRes!DC110</f>
        <v>0</v>
      </c>
      <c r="R67">
        <f>ROUND(ROUND(Q67*Source!I224, 6)*1, 2)</f>
        <v>0</v>
      </c>
      <c r="S67">
        <f>SmtRes!AC110</f>
        <v>0</v>
      </c>
      <c r="T67">
        <f>ROUND(ROUND(Q67*Source!I224, 6)*SmtRes!AK110, 2)</f>
        <v>0</v>
      </c>
      <c r="U67">
        <f>SmtRes!X110</f>
        <v>-508128525</v>
      </c>
      <c r="V67">
        <v>-21417460</v>
      </c>
      <c r="W67">
        <v>-21417460</v>
      </c>
    </row>
    <row r="68" spans="1:23">
      <c r="A68">
        <f>Source!A224</f>
        <v>17</v>
      </c>
      <c r="C68">
        <v>3</v>
      </c>
      <c r="D68">
        <v>0</v>
      </c>
      <c r="E68">
        <f>SmtRes!AV109</f>
        <v>0</v>
      </c>
      <c r="F68" t="str">
        <f>SmtRes!I109</f>
        <v>21.1-25-13</v>
      </c>
      <c r="G68" t="str">
        <f>SmtRes!K109</f>
        <v>Вода</v>
      </c>
      <c r="H68" t="str">
        <f>SmtRes!O109</f>
        <v>м3</v>
      </c>
      <c r="I68">
        <f>SmtRes!Y109*Source!I224</f>
        <v>0.5</v>
      </c>
      <c r="J68">
        <f>SmtRes!AO109</f>
        <v>1</v>
      </c>
      <c r="K68">
        <f>SmtRes!AE109</f>
        <v>35.25</v>
      </c>
      <c r="L68">
        <f>SmtRes!DB109</f>
        <v>35.25</v>
      </c>
      <c r="M68">
        <f>ROUND(ROUND(L68*Source!I224, 6)*1, 2)</f>
        <v>17.63</v>
      </c>
      <c r="N68">
        <f>SmtRes!AA109</f>
        <v>35.25</v>
      </c>
      <c r="O68">
        <f>ROUND(ROUND(L68*Source!I224, 6)*SmtRes!DA109, 2)</f>
        <v>17.63</v>
      </c>
      <c r="P68">
        <f>SmtRes!AG109</f>
        <v>0</v>
      </c>
      <c r="Q68">
        <f>SmtRes!DC109</f>
        <v>0</v>
      </c>
      <c r="R68">
        <f>ROUND(ROUND(Q68*Source!I224, 6)*1, 2)</f>
        <v>0</v>
      </c>
      <c r="S68">
        <f>SmtRes!AC109</f>
        <v>0</v>
      </c>
      <c r="T68">
        <f>ROUND(ROUND(Q68*Source!I224, 6)*SmtRes!AK109, 2)</f>
        <v>0</v>
      </c>
      <c r="U68">
        <f>SmtRes!X109</f>
        <v>1927597627</v>
      </c>
      <c r="V68">
        <v>-1829664509</v>
      </c>
      <c r="W68">
        <v>-1829664509</v>
      </c>
    </row>
    <row r="69" spans="1:23">
      <c r="A69">
        <f>Source!A224</f>
        <v>17</v>
      </c>
      <c r="C69">
        <v>3</v>
      </c>
      <c r="D69">
        <v>0</v>
      </c>
      <c r="E69">
        <f>SmtRes!AV108</f>
        <v>0</v>
      </c>
      <c r="F69" t="str">
        <f>SmtRes!I108</f>
        <v>21.1-2-13</v>
      </c>
      <c r="G69" t="str">
        <f>SmtRes!K108</f>
        <v>Цемент общестроительный, портландцемент общего назначения, марка 400</v>
      </c>
      <c r="H69" t="str">
        <f>SmtRes!O108</f>
        <v>т</v>
      </c>
      <c r="I69">
        <f>SmtRes!Y108*Source!I224</f>
        <v>0.65</v>
      </c>
      <c r="J69">
        <f>SmtRes!AO108</f>
        <v>1</v>
      </c>
      <c r="K69">
        <f>SmtRes!AE108</f>
        <v>4207.5</v>
      </c>
      <c r="L69">
        <f>SmtRes!DB108</f>
        <v>5469.75</v>
      </c>
      <c r="M69">
        <f>ROUND(ROUND(L69*Source!I224, 6)*1, 2)</f>
        <v>2734.88</v>
      </c>
      <c r="N69">
        <f>SmtRes!AA108</f>
        <v>4207.5</v>
      </c>
      <c r="O69">
        <f>ROUND(ROUND(L69*Source!I224, 6)*SmtRes!DA108, 2)</f>
        <v>2734.88</v>
      </c>
      <c r="P69">
        <f>SmtRes!AG108</f>
        <v>0</v>
      </c>
      <c r="Q69">
        <f>SmtRes!DC108</f>
        <v>0</v>
      </c>
      <c r="R69">
        <f>ROUND(ROUND(Q69*Source!I224, 6)*1, 2)</f>
        <v>0</v>
      </c>
      <c r="S69">
        <f>SmtRes!AC108</f>
        <v>0</v>
      </c>
      <c r="T69">
        <f>ROUND(ROUND(Q69*Source!I224, 6)*SmtRes!AK108, 2)</f>
        <v>0</v>
      </c>
      <c r="U69">
        <f>SmtRes!X108</f>
        <v>1285591100</v>
      </c>
      <c r="V69">
        <v>-1467502367</v>
      </c>
      <c r="W69">
        <v>-1467502367</v>
      </c>
    </row>
    <row r="70" spans="1:23">
      <c r="A70">
        <f>Source!A224</f>
        <v>17</v>
      </c>
      <c r="C70">
        <v>3</v>
      </c>
      <c r="D70">
        <v>0</v>
      </c>
      <c r="E70">
        <f>SmtRes!AV107</f>
        <v>0</v>
      </c>
      <c r="F70" t="str">
        <f>SmtRes!I107</f>
        <v>21.1-12-62</v>
      </c>
      <c r="G70" t="str">
        <f>SmtRes!K107</f>
        <v>Брусчатка из гранита серого цвета, пилено-колотая из пиленого полуфабриката, размер 100х100х100 мм</v>
      </c>
      <c r="H70" t="str">
        <f>SmtRes!O107</f>
        <v>м2</v>
      </c>
      <c r="I70">
        <f>SmtRes!Y107*Source!I224</f>
        <v>5</v>
      </c>
      <c r="J70">
        <f>SmtRes!AO107</f>
        <v>1</v>
      </c>
      <c r="K70">
        <f>SmtRes!AE107</f>
        <v>4659.1099999999997</v>
      </c>
      <c r="L70">
        <f>SmtRes!DB107</f>
        <v>46591.1</v>
      </c>
      <c r="M70">
        <f>ROUND(ROUND(L70*Source!I224, 6)*1, 2)</f>
        <v>23295.55</v>
      </c>
      <c r="N70">
        <f>SmtRes!AA107</f>
        <v>4659.1099999999997</v>
      </c>
      <c r="O70">
        <f>ROUND(ROUND(L70*Source!I224, 6)*SmtRes!DA107, 2)</f>
        <v>23295.55</v>
      </c>
      <c r="P70">
        <f>SmtRes!AG107</f>
        <v>0</v>
      </c>
      <c r="Q70">
        <f>SmtRes!DC107</f>
        <v>0</v>
      </c>
      <c r="R70">
        <f>ROUND(ROUND(Q70*Source!I224, 6)*1, 2)</f>
        <v>0</v>
      </c>
      <c r="S70">
        <f>SmtRes!AC107</f>
        <v>0</v>
      </c>
      <c r="T70">
        <f>ROUND(ROUND(Q70*Source!I224, 6)*SmtRes!AK107, 2)</f>
        <v>0</v>
      </c>
      <c r="U70">
        <f>SmtRes!X107</f>
        <v>-1610909561</v>
      </c>
      <c r="V70">
        <v>2001392356</v>
      </c>
      <c r="W70">
        <v>2001392356</v>
      </c>
    </row>
    <row r="71" spans="1:23">
      <c r="A71">
        <f>Source!A224</f>
        <v>17</v>
      </c>
      <c r="C71">
        <v>3</v>
      </c>
      <c r="D71">
        <v>0</v>
      </c>
      <c r="E71">
        <f>SmtRes!AV106</f>
        <v>0</v>
      </c>
      <c r="F71" t="str">
        <f>SmtRes!I106</f>
        <v>21.1-12-61</v>
      </c>
      <c r="G71" t="str">
        <f>SmtRes!K106</f>
        <v>Камень природный окатанный (галька речная), размер 50-350 мм</v>
      </c>
      <c r="H71" t="str">
        <f>SmtRes!O106</f>
        <v>т</v>
      </c>
      <c r="I71">
        <f>SmtRes!Y106*Source!I224</f>
        <v>0.73</v>
      </c>
      <c r="J71">
        <f>SmtRes!AO106</f>
        <v>1</v>
      </c>
      <c r="K71">
        <f>SmtRes!AE106</f>
        <v>9548.1200000000008</v>
      </c>
      <c r="L71">
        <f>SmtRes!DB106</f>
        <v>13940.26</v>
      </c>
      <c r="M71">
        <f>ROUND(ROUND(L71*Source!I224, 6)*1, 2)</f>
        <v>6970.13</v>
      </c>
      <c r="N71">
        <f>SmtRes!AA106</f>
        <v>9548.1200000000008</v>
      </c>
      <c r="O71">
        <f>ROUND(ROUND(L71*Source!I224, 6)*SmtRes!DA106, 2)</f>
        <v>6970.13</v>
      </c>
      <c r="P71">
        <f>SmtRes!AG106</f>
        <v>0</v>
      </c>
      <c r="Q71">
        <f>SmtRes!DC106</f>
        <v>0</v>
      </c>
      <c r="R71">
        <f>ROUND(ROUND(Q71*Source!I224, 6)*1, 2)</f>
        <v>0</v>
      </c>
      <c r="S71">
        <f>SmtRes!AC106</f>
        <v>0</v>
      </c>
      <c r="T71">
        <f>ROUND(ROUND(Q71*Source!I224, 6)*SmtRes!AK106, 2)</f>
        <v>0</v>
      </c>
      <c r="U71">
        <f>SmtRes!X106</f>
        <v>-750171961</v>
      </c>
      <c r="V71">
        <v>-1688624076</v>
      </c>
      <c r="W71">
        <v>-1688624076</v>
      </c>
    </row>
    <row r="72" spans="1:23">
      <c r="A72">
        <f>Source!A224</f>
        <v>17</v>
      </c>
      <c r="C72">
        <v>3</v>
      </c>
      <c r="D72">
        <v>0</v>
      </c>
      <c r="E72">
        <f>SmtRes!AV105</f>
        <v>0</v>
      </c>
      <c r="F72" t="str">
        <f>SmtRes!I105</f>
        <v>21.1-12-29</v>
      </c>
      <c r="G72" t="str">
        <f>SmtRes!K105</f>
        <v>Щебень из естественного камня для строительных работ, марка 600-400, фракция 5-10 мм</v>
      </c>
      <c r="H72" t="str">
        <f>SmtRes!O105</f>
        <v>м3</v>
      </c>
      <c r="I72">
        <f>SmtRes!Y105*Source!I224</f>
        <v>1.7</v>
      </c>
      <c r="J72">
        <f>SmtRes!AO105</f>
        <v>1</v>
      </c>
      <c r="K72">
        <f>SmtRes!AE105</f>
        <v>1436.5</v>
      </c>
      <c r="L72">
        <f>SmtRes!DB105</f>
        <v>4884.1000000000004</v>
      </c>
      <c r="M72">
        <f>ROUND(ROUND(L72*Source!I224, 6)*1, 2)</f>
        <v>2442.0500000000002</v>
      </c>
      <c r="N72">
        <f>SmtRes!AA105</f>
        <v>1436.5</v>
      </c>
      <c r="O72">
        <f>ROUND(ROUND(L72*Source!I224, 6)*SmtRes!DA105, 2)</f>
        <v>2442.0500000000002</v>
      </c>
      <c r="P72">
        <f>SmtRes!AG105</f>
        <v>0</v>
      </c>
      <c r="Q72">
        <f>SmtRes!DC105</f>
        <v>0</v>
      </c>
      <c r="R72">
        <f>ROUND(ROUND(Q72*Source!I224, 6)*1, 2)</f>
        <v>0</v>
      </c>
      <c r="S72">
        <f>SmtRes!AC105</f>
        <v>0</v>
      </c>
      <c r="T72">
        <f>ROUND(ROUND(Q72*Source!I224, 6)*SmtRes!AK105, 2)</f>
        <v>0</v>
      </c>
      <c r="U72">
        <f>SmtRes!X105</f>
        <v>-1412128106</v>
      </c>
      <c r="V72">
        <v>-1342251475</v>
      </c>
      <c r="W72">
        <v>-1342251475</v>
      </c>
    </row>
    <row r="73" spans="1:23">
      <c r="A73">
        <f>Source!A224</f>
        <v>17</v>
      </c>
      <c r="C73">
        <v>3</v>
      </c>
      <c r="D73">
        <v>0</v>
      </c>
      <c r="E73">
        <f>SmtRes!AV104</f>
        <v>0</v>
      </c>
      <c r="F73" t="str">
        <f>SmtRes!I104</f>
        <v>21.1-12-11</v>
      </c>
      <c r="G73" t="str">
        <f>SmtRes!K104</f>
        <v>Песок для строительных работ, рядовой</v>
      </c>
      <c r="H73" t="str">
        <f>SmtRes!O104</f>
        <v>м3</v>
      </c>
      <c r="I73">
        <f>SmtRes!Y104*Source!I224</f>
        <v>1.7</v>
      </c>
      <c r="J73">
        <f>SmtRes!AO104</f>
        <v>1</v>
      </c>
      <c r="K73">
        <f>SmtRes!AE104</f>
        <v>590.78</v>
      </c>
      <c r="L73">
        <f>SmtRes!DB104</f>
        <v>2008.65</v>
      </c>
      <c r="M73">
        <f>ROUND(ROUND(L73*Source!I224, 6)*1, 2)</f>
        <v>1004.33</v>
      </c>
      <c r="N73">
        <f>SmtRes!AA104</f>
        <v>590.78</v>
      </c>
      <c r="O73">
        <f>ROUND(ROUND(L73*Source!I224, 6)*SmtRes!DA104, 2)</f>
        <v>1004.33</v>
      </c>
      <c r="P73">
        <f>SmtRes!AG104</f>
        <v>0</v>
      </c>
      <c r="Q73">
        <f>SmtRes!DC104</f>
        <v>0</v>
      </c>
      <c r="R73">
        <f>ROUND(ROUND(Q73*Source!I224, 6)*1, 2)</f>
        <v>0</v>
      </c>
      <c r="S73">
        <f>SmtRes!AC104</f>
        <v>0</v>
      </c>
      <c r="T73">
        <f>ROUND(ROUND(Q73*Source!I224, 6)*SmtRes!AK104, 2)</f>
        <v>0</v>
      </c>
      <c r="U73">
        <f>SmtRes!X104</f>
        <v>909340900</v>
      </c>
      <c r="V73">
        <v>339149647</v>
      </c>
      <c r="W73">
        <v>339149647</v>
      </c>
    </row>
    <row r="74" spans="1:23">
      <c r="A74">
        <f>Source!A224</f>
        <v>17</v>
      </c>
      <c r="C74">
        <v>3</v>
      </c>
      <c r="D74">
        <v>0</v>
      </c>
      <c r="E74">
        <f>SmtRes!AV103</f>
        <v>0</v>
      </c>
      <c r="F74" t="str">
        <f>SmtRes!I103</f>
        <v>21.1-10-167</v>
      </c>
      <c r="G74" t="str">
        <f>SmtRes!K103</f>
        <v>Сталь листовая, оцинкованная, толщина 0,7-0,8 мм</v>
      </c>
      <c r="H74" t="str">
        <f>SmtRes!O103</f>
        <v>т</v>
      </c>
      <c r="I74">
        <f>SmtRes!Y103*Source!I224</f>
        <v>5.5E-2</v>
      </c>
      <c r="J74">
        <f>SmtRes!AO103</f>
        <v>1</v>
      </c>
      <c r="K74">
        <f>SmtRes!AE103</f>
        <v>53313.54</v>
      </c>
      <c r="L74">
        <f>SmtRes!DB103</f>
        <v>5864.49</v>
      </c>
      <c r="M74">
        <f>ROUND(ROUND(L74*Source!I224, 6)*1, 2)</f>
        <v>2932.25</v>
      </c>
      <c r="N74">
        <f>SmtRes!AA103</f>
        <v>53313.54</v>
      </c>
      <c r="O74">
        <f>ROUND(ROUND(L74*Source!I224, 6)*SmtRes!DA103, 2)</f>
        <v>2932.25</v>
      </c>
      <c r="P74">
        <f>SmtRes!AG103</f>
        <v>0</v>
      </c>
      <c r="Q74">
        <f>SmtRes!DC103</f>
        <v>0</v>
      </c>
      <c r="R74">
        <f>ROUND(ROUND(Q74*Source!I224, 6)*1, 2)</f>
        <v>0</v>
      </c>
      <c r="S74">
        <f>SmtRes!AC103</f>
        <v>0</v>
      </c>
      <c r="T74">
        <f>ROUND(ROUND(Q74*Source!I224, 6)*SmtRes!AK103, 2)</f>
        <v>0</v>
      </c>
      <c r="U74">
        <f>SmtRes!X103</f>
        <v>1130308456</v>
      </c>
      <c r="V74">
        <v>-1954327797</v>
      </c>
      <c r="W74">
        <v>-1954327797</v>
      </c>
    </row>
    <row r="75" spans="1:23">
      <c r="A75">
        <f>Source!A258</f>
        <v>4</v>
      </c>
      <c r="B75">
        <v>258</v>
      </c>
      <c r="G75" t="str">
        <f>Source!G258</f>
        <v>Ремонт газона (посевной) - 550м2 ( вокруг цветника с кустами и деревьями)</v>
      </c>
    </row>
    <row r="76" spans="1:23">
      <c r="A76">
        <f>Source!A262</f>
        <v>17</v>
      </c>
      <c r="C76">
        <v>3</v>
      </c>
      <c r="D76">
        <v>0</v>
      </c>
      <c r="E76">
        <f>SmtRes!AV114</f>
        <v>0</v>
      </c>
      <c r="F76" t="str">
        <f>SmtRes!I114</f>
        <v>21.4-6-5</v>
      </c>
      <c r="G76" t="str">
        <f>SmtRes!K114</f>
        <v>Земля растительная</v>
      </c>
      <c r="H76" t="str">
        <f>SmtRes!O114</f>
        <v>м3</v>
      </c>
      <c r="I76">
        <f>SmtRes!Y114*Source!I262</f>
        <v>61.875</v>
      </c>
      <c r="J76">
        <f>SmtRes!AO114</f>
        <v>1</v>
      </c>
      <c r="K76">
        <f>SmtRes!AE114</f>
        <v>753.67</v>
      </c>
      <c r="L76">
        <f>SmtRes!DB114</f>
        <v>11305.05</v>
      </c>
      <c r="M76">
        <f>ROUND(ROUND(L76*Source!I262, 6)*1, 2)</f>
        <v>46633.33</v>
      </c>
      <c r="N76">
        <f>SmtRes!AA114</f>
        <v>753.67</v>
      </c>
      <c r="O76">
        <f>ROUND(ROUND(L76*Source!I262, 6)*SmtRes!DA114, 2)</f>
        <v>46633.33</v>
      </c>
      <c r="P76">
        <f>SmtRes!AG114</f>
        <v>0</v>
      </c>
      <c r="Q76">
        <f>SmtRes!DC114</f>
        <v>0</v>
      </c>
      <c r="R76">
        <f>ROUND(ROUND(Q76*Source!I262, 6)*1, 2)</f>
        <v>0</v>
      </c>
      <c r="S76">
        <f>SmtRes!AC114</f>
        <v>0</v>
      </c>
      <c r="T76">
        <f>ROUND(ROUND(Q76*Source!I262, 6)*SmtRes!AK114, 2)</f>
        <v>0</v>
      </c>
      <c r="U76">
        <f>SmtRes!X114</f>
        <v>-1172857595</v>
      </c>
      <c r="V76">
        <v>-353567041</v>
      </c>
      <c r="W76">
        <v>-353567041</v>
      </c>
    </row>
    <row r="77" spans="1:23">
      <c r="A77">
        <f>Source!A263</f>
        <v>17</v>
      </c>
      <c r="C77">
        <v>3</v>
      </c>
      <c r="D77">
        <v>0</v>
      </c>
      <c r="E77">
        <f>SmtRes!AV116</f>
        <v>0</v>
      </c>
      <c r="F77" t="str">
        <f>SmtRes!I116</f>
        <v>21.4-6-5</v>
      </c>
      <c r="G77" t="str">
        <f>SmtRes!K116</f>
        <v>Земля растительная</v>
      </c>
      <c r="H77" t="str">
        <f>SmtRes!O116</f>
        <v>м3</v>
      </c>
      <c r="I77">
        <f>SmtRes!Y116*Source!I263</f>
        <v>20.625</v>
      </c>
      <c r="J77">
        <f>SmtRes!AO116</f>
        <v>1</v>
      </c>
      <c r="K77">
        <f>SmtRes!AE116</f>
        <v>753.67</v>
      </c>
      <c r="L77">
        <f>SmtRes!DB116</f>
        <v>11305.05</v>
      </c>
      <c r="M77">
        <f>ROUND(ROUND(L77*Source!I263, 6)*1, 2)</f>
        <v>15544.44</v>
      </c>
      <c r="N77">
        <f>SmtRes!AA116</f>
        <v>753.67</v>
      </c>
      <c r="O77">
        <f>ROUND(ROUND(L77*Source!I263, 6)*SmtRes!DA116, 2)</f>
        <v>15544.44</v>
      </c>
      <c r="P77">
        <f>SmtRes!AG116</f>
        <v>0</v>
      </c>
      <c r="Q77">
        <f>SmtRes!DC116</f>
        <v>0</v>
      </c>
      <c r="R77">
        <f>ROUND(ROUND(Q77*Source!I263, 6)*1, 2)</f>
        <v>0</v>
      </c>
      <c r="S77">
        <f>SmtRes!AC116</f>
        <v>0</v>
      </c>
      <c r="T77">
        <f>ROUND(ROUND(Q77*Source!I263, 6)*SmtRes!AK116, 2)</f>
        <v>0</v>
      </c>
      <c r="U77">
        <f>SmtRes!X116</f>
        <v>-1172857595</v>
      </c>
      <c r="V77">
        <v>-353567041</v>
      </c>
      <c r="W77">
        <v>-353567041</v>
      </c>
    </row>
    <row r="78" spans="1:23">
      <c r="A78">
        <f>Source!A264</f>
        <v>17</v>
      </c>
      <c r="C78">
        <v>3</v>
      </c>
      <c r="D78">
        <v>0</v>
      </c>
      <c r="E78">
        <f>SmtRes!AV118</f>
        <v>0</v>
      </c>
      <c r="F78" t="str">
        <f>SmtRes!I118</f>
        <v>21.4-6-5</v>
      </c>
      <c r="G78" t="str">
        <f>SmtRes!K118</f>
        <v>Земля растительная</v>
      </c>
      <c r="H78" t="str">
        <f>SmtRes!O118</f>
        <v>м3</v>
      </c>
      <c r="I78">
        <f>SmtRes!Y118*Source!I264</f>
        <v>-27.5</v>
      </c>
      <c r="J78">
        <f>SmtRes!AO118</f>
        <v>1</v>
      </c>
      <c r="K78">
        <f>SmtRes!AE118</f>
        <v>753.67</v>
      </c>
      <c r="L78">
        <f>SmtRes!DB118</f>
        <v>3768.35</v>
      </c>
      <c r="M78">
        <f>ROUND(ROUND(L78*Source!I264, 6)*1, 2)</f>
        <v>-20725.93</v>
      </c>
      <c r="N78">
        <f>SmtRes!AA118</f>
        <v>753.67</v>
      </c>
      <c r="O78">
        <f>ROUND(ROUND(L78*Source!I264, 6)*SmtRes!DA118, 2)</f>
        <v>-20725.93</v>
      </c>
      <c r="P78">
        <f>SmtRes!AG118</f>
        <v>0</v>
      </c>
      <c r="Q78">
        <f>SmtRes!DC118</f>
        <v>0</v>
      </c>
      <c r="R78">
        <f>ROUND(ROUND(Q78*Source!I264, 6)*1, 2)</f>
        <v>0</v>
      </c>
      <c r="S78">
        <f>SmtRes!AC118</f>
        <v>0</v>
      </c>
      <c r="T78">
        <f>ROUND(ROUND(Q78*Source!I264, 6)*SmtRes!AK118, 2)</f>
        <v>0</v>
      </c>
      <c r="U78">
        <f>SmtRes!X118</f>
        <v>-1172857595</v>
      </c>
      <c r="V78">
        <v>-353567041</v>
      </c>
      <c r="W78">
        <v>-353567041</v>
      </c>
    </row>
    <row r="79" spans="1:23">
      <c r="A79">
        <f>Source!A265</f>
        <v>17</v>
      </c>
      <c r="C79">
        <v>3</v>
      </c>
      <c r="D79">
        <v>0</v>
      </c>
      <c r="E79">
        <f>SmtRes!AV121</f>
        <v>0</v>
      </c>
      <c r="F79" t="str">
        <f>SmtRes!I121</f>
        <v>21.4-6-11</v>
      </c>
      <c r="G79" t="str">
        <f>SmtRes!K121</f>
        <v>Семена (смесь универсальная) газонных трав</v>
      </c>
      <c r="H79" t="str">
        <f>SmtRes!O121</f>
        <v>кг</v>
      </c>
      <c r="I79">
        <f>SmtRes!Y121*Source!I265</f>
        <v>22</v>
      </c>
      <c r="J79">
        <f>SmtRes!AO121</f>
        <v>1</v>
      </c>
      <c r="K79">
        <f>SmtRes!AE121</f>
        <v>303.08999999999997</v>
      </c>
      <c r="L79">
        <f>SmtRes!DB121</f>
        <v>1212.3599999999999</v>
      </c>
      <c r="M79">
        <f>ROUND(ROUND(L79*Source!I265, 6)*1, 2)</f>
        <v>6667.98</v>
      </c>
      <c r="N79">
        <f>SmtRes!AA121</f>
        <v>303.08999999999997</v>
      </c>
      <c r="O79">
        <f>ROUND(ROUND(L79*Source!I265, 6)*SmtRes!DA121, 2)</f>
        <v>6667.98</v>
      </c>
      <c r="P79">
        <f>SmtRes!AG121</f>
        <v>0</v>
      </c>
      <c r="Q79">
        <f>SmtRes!DC121</f>
        <v>0</v>
      </c>
      <c r="R79">
        <f>ROUND(ROUND(Q79*Source!I265, 6)*1, 2)</f>
        <v>0</v>
      </c>
      <c r="S79">
        <f>SmtRes!AC121</f>
        <v>0</v>
      </c>
      <c r="T79">
        <f>ROUND(ROUND(Q79*Source!I265, 6)*SmtRes!AK121, 2)</f>
        <v>0</v>
      </c>
      <c r="U79">
        <f>SmtRes!X121</f>
        <v>-835995803</v>
      </c>
      <c r="V79">
        <v>-431507376</v>
      </c>
      <c r="W79">
        <v>-431507376</v>
      </c>
    </row>
    <row r="80" spans="1:23">
      <c r="A80">
        <f>Source!A265</f>
        <v>17</v>
      </c>
      <c r="C80">
        <v>3</v>
      </c>
      <c r="D80">
        <v>0</v>
      </c>
      <c r="E80">
        <f>SmtRes!AV120</f>
        <v>0</v>
      </c>
      <c r="F80" t="str">
        <f>SmtRes!I120</f>
        <v>21.1-25-13</v>
      </c>
      <c r="G80" t="str">
        <f>SmtRes!K120</f>
        <v>Вода</v>
      </c>
      <c r="H80" t="str">
        <f>SmtRes!O120</f>
        <v>м3</v>
      </c>
      <c r="I80">
        <f>SmtRes!Y120*Source!I265</f>
        <v>55</v>
      </c>
      <c r="J80">
        <f>SmtRes!AO120</f>
        <v>1</v>
      </c>
      <c r="K80">
        <f>SmtRes!AE120</f>
        <v>35.25</v>
      </c>
      <c r="L80">
        <f>SmtRes!DB120</f>
        <v>352.5</v>
      </c>
      <c r="M80">
        <f>ROUND(ROUND(L80*Source!I265, 6)*1, 2)</f>
        <v>1938.75</v>
      </c>
      <c r="N80">
        <f>SmtRes!AA120</f>
        <v>35.25</v>
      </c>
      <c r="O80">
        <f>ROUND(ROUND(L80*Source!I265, 6)*SmtRes!DA120, 2)</f>
        <v>1938.75</v>
      </c>
      <c r="P80">
        <f>SmtRes!AG120</f>
        <v>0</v>
      </c>
      <c r="Q80">
        <f>SmtRes!DC120</f>
        <v>0</v>
      </c>
      <c r="R80">
        <f>ROUND(ROUND(Q80*Source!I265, 6)*1, 2)</f>
        <v>0</v>
      </c>
      <c r="S80">
        <f>SmtRes!AC120</f>
        <v>0</v>
      </c>
      <c r="T80">
        <f>ROUND(ROUND(Q80*Source!I265, 6)*SmtRes!AK120, 2)</f>
        <v>0</v>
      </c>
      <c r="U80">
        <f>SmtRes!X120</f>
        <v>1927597627</v>
      </c>
      <c r="V80">
        <v>-1829664509</v>
      </c>
      <c r="W80">
        <v>-1829664509</v>
      </c>
    </row>
    <row r="81" spans="1:1">
      <c r="A81">
        <v>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Q73"/>
  <sheetViews>
    <sheetView workbookViewId="0">
      <selection activeCell="L78" sqref="L78"/>
    </sheetView>
  </sheetViews>
  <sheetFormatPr defaultRowHeight="12.75"/>
  <cols>
    <col min="1" max="1" width="14.85546875" style="29" customWidth="1"/>
    <col min="2" max="2" width="47" style="29" customWidth="1"/>
    <col min="3" max="6" width="12.7109375" style="36" customWidth="1"/>
    <col min="7" max="14" width="9.140625" style="29"/>
    <col min="15" max="15" width="103.7109375" style="29" hidden="1" customWidth="1"/>
    <col min="16" max="18" width="0" style="29" hidden="1" customWidth="1"/>
    <col min="19" max="16384" width="9.140625" style="29"/>
  </cols>
  <sheetData>
    <row r="2" spans="1:17" ht="17.25" customHeight="1">
      <c r="A2" s="88" t="s">
        <v>422</v>
      </c>
      <c r="B2" s="89"/>
      <c r="C2" s="89"/>
      <c r="D2" s="89"/>
      <c r="E2" s="89"/>
      <c r="F2" s="89"/>
    </row>
    <row r="3" spans="1:17" ht="46.5" customHeight="1">
      <c r="A3" s="88" t="str">
        <f>Source!G20</f>
        <v>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Кировоградская, д.24, корп.1, со строны м. "Пражская"</v>
      </c>
      <c r="B3" s="89"/>
      <c r="C3" s="89"/>
      <c r="D3" s="89"/>
      <c r="E3" s="89"/>
      <c r="F3" s="89"/>
    </row>
    <row r="4" spans="1:17">
      <c r="A4" s="92" t="s">
        <v>423</v>
      </c>
      <c r="B4" s="92" t="s">
        <v>424</v>
      </c>
      <c r="C4" s="92" t="s">
        <v>354</v>
      </c>
      <c r="D4" s="92" t="s">
        <v>425</v>
      </c>
      <c r="E4" s="95" t="s">
        <v>426</v>
      </c>
      <c r="F4" s="96"/>
    </row>
    <row r="5" spans="1:17">
      <c r="A5" s="93"/>
      <c r="B5" s="93"/>
      <c r="C5" s="93"/>
      <c r="D5" s="93"/>
      <c r="E5" s="97"/>
      <c r="F5" s="98"/>
    </row>
    <row r="6" spans="1:17">
      <c r="A6" s="94"/>
      <c r="B6" s="94"/>
      <c r="C6" s="94"/>
      <c r="D6" s="94"/>
      <c r="E6" s="30" t="s">
        <v>427</v>
      </c>
      <c r="F6" s="30" t="s">
        <v>428</v>
      </c>
    </row>
    <row r="7" spans="1:17">
      <c r="A7" s="30">
        <v>1</v>
      </c>
      <c r="B7" s="30">
        <v>2</v>
      </c>
      <c r="C7" s="30">
        <v>3</v>
      </c>
      <c r="D7" s="30">
        <v>4</v>
      </c>
      <c r="E7" s="30">
        <v>5</v>
      </c>
      <c r="F7" s="30">
        <v>6</v>
      </c>
    </row>
    <row r="8" spans="1:17" hidden="1">
      <c r="A8" s="88" t="str">
        <f>CONCATENATE("Раздел: ",IF(Source!G26&lt;&gt;"Новый раздел", Source!G26, ""))</f>
        <v>Раздел: Устройство цветника - 58м2</v>
      </c>
      <c r="B8" s="89"/>
      <c r="C8" s="89"/>
      <c r="D8" s="89"/>
      <c r="E8" s="89"/>
      <c r="F8" s="89"/>
    </row>
    <row r="9" spans="1:17">
      <c r="A9" s="90" t="s">
        <v>429</v>
      </c>
      <c r="B9" s="91"/>
      <c r="C9" s="91"/>
      <c r="D9" s="91"/>
      <c r="E9" s="91"/>
      <c r="F9" s="91"/>
    </row>
    <row r="10" spans="1:17">
      <c r="A10" s="32" t="s">
        <v>258</v>
      </c>
      <c r="B10" s="33" t="s">
        <v>260</v>
      </c>
      <c r="C10" s="34" t="s">
        <v>261</v>
      </c>
      <c r="D10" s="34">
        <f>ROUND(SUMIF(RV_DATA!W8:'RV_DATA'!W17, 749401340, RV_DATA!I8:'RV_DATA'!I17), 6)</f>
        <v>0.298286</v>
      </c>
      <c r="E10" s="35">
        <f>ROUND(RV_DATA!N13, 6)</f>
        <v>171.21</v>
      </c>
      <c r="F10" s="35">
        <f>ROUND(SUMIF(RV_DATA!W8:'RV_DATA'!W17, 749401340, RV_DATA!O8:'RV_DATA'!O17), 6)</f>
        <v>51.07</v>
      </c>
      <c r="Q10" s="29">
        <v>3</v>
      </c>
    </row>
    <row r="11" spans="1:17">
      <c r="A11" s="32" t="s">
        <v>262</v>
      </c>
      <c r="B11" s="33" t="s">
        <v>264</v>
      </c>
      <c r="C11" s="34" t="s">
        <v>257</v>
      </c>
      <c r="D11" s="34">
        <f>ROUND(SUMIF(RV_DATA!W8:'RV_DATA'!W17, -1829664509, RV_DATA!I8:'RV_DATA'!I17), 6)</f>
        <v>17.399999999999999</v>
      </c>
      <c r="E11" s="35">
        <f>ROUND(RV_DATA!N12, 6)</f>
        <v>35.25</v>
      </c>
      <c r="F11" s="35">
        <f>ROUND(SUMIF(RV_DATA!W8:'RV_DATA'!W17, -1829664509, RV_DATA!O8:'RV_DATA'!O17), 6)</f>
        <v>613.35</v>
      </c>
      <c r="Q11" s="29">
        <v>3</v>
      </c>
    </row>
    <row r="12" spans="1:17" ht="25.5">
      <c r="A12" s="32" t="s">
        <v>265</v>
      </c>
      <c r="B12" s="33" t="s">
        <v>267</v>
      </c>
      <c r="C12" s="34" t="s">
        <v>257</v>
      </c>
      <c r="D12" s="34">
        <f>ROUND(SUMIF(RV_DATA!W8:'RV_DATA'!W17, 1167723416, RV_DATA!I8:'RV_DATA'!I17), 6)</f>
        <v>2.983E-3</v>
      </c>
      <c r="E12" s="35">
        <f>ROUND(RV_DATA!N11, 6)</f>
        <v>7098.7</v>
      </c>
      <c r="F12" s="35">
        <f>ROUND(SUMIF(RV_DATA!W8:'RV_DATA'!W17, 1167723416, RV_DATA!O8:'RV_DATA'!O17), 6)</f>
        <v>21.18</v>
      </c>
      <c r="Q12" s="29">
        <v>3</v>
      </c>
    </row>
    <row r="13" spans="1:17" ht="25.5">
      <c r="A13" s="32" t="s">
        <v>52</v>
      </c>
      <c r="B13" s="33" t="s">
        <v>53</v>
      </c>
      <c r="C13" s="34" t="s">
        <v>50</v>
      </c>
      <c r="D13" s="34">
        <f>ROUND(SUMIF(RV_DATA!W8:'RV_DATA'!W17, -1883756741, RV_DATA!I8:'RV_DATA'!I17), 6)</f>
        <v>207</v>
      </c>
      <c r="E13" s="35">
        <f>ROUND(RV_DATA!N14, 6)</f>
        <v>189</v>
      </c>
      <c r="F13" s="35">
        <f>ROUND(SUMIF(RV_DATA!W8:'RV_DATA'!W17, -1883756741, RV_DATA!O8:'RV_DATA'!O17), 6)</f>
        <v>39123</v>
      </c>
      <c r="Q13" s="29">
        <v>3</v>
      </c>
    </row>
    <row r="14" spans="1:17">
      <c r="A14" s="32" t="s">
        <v>254</v>
      </c>
      <c r="B14" s="33" t="s">
        <v>256</v>
      </c>
      <c r="C14" s="34" t="s">
        <v>257</v>
      </c>
      <c r="D14" s="34">
        <f>ROUND(SUMIF(RV_DATA!W8:'RV_DATA'!W17, 1365262818, RV_DATA!I8:'RV_DATA'!I17), 6)</f>
        <v>17.399999999999999</v>
      </c>
      <c r="E14" s="35">
        <f>ROUND(RV_DATA!N8, 6)</f>
        <v>753.67</v>
      </c>
      <c r="F14" s="35">
        <f>ROUND(SUMIF(RV_DATA!W8:'RV_DATA'!W17, 1365262818, RV_DATA!O8:'RV_DATA'!O17), 6)</f>
        <v>13113.86</v>
      </c>
      <c r="Q14" s="29">
        <v>3</v>
      </c>
    </row>
    <row r="15" spans="1:17">
      <c r="A15" s="32" t="s">
        <v>268</v>
      </c>
      <c r="B15" s="33" t="s">
        <v>270</v>
      </c>
      <c r="C15" s="34" t="s">
        <v>257</v>
      </c>
      <c r="D15" s="34">
        <f>ROUND(SUMIF(RV_DATA!W8:'RV_DATA'!W17, -1661362736, RV_DATA!I8:'RV_DATA'!I17), 6)</f>
        <v>1.1599999999999999</v>
      </c>
      <c r="E15" s="35">
        <f>ROUND(RV_DATA!N10, 6)</f>
        <v>1105</v>
      </c>
      <c r="F15" s="35">
        <f>ROUND(SUMIF(RV_DATA!W8:'RV_DATA'!W17, -1661362736, RV_DATA!O8:'RV_DATA'!O17), 6)</f>
        <v>1281.8</v>
      </c>
      <c r="Q15" s="29">
        <v>3</v>
      </c>
    </row>
    <row r="16" spans="1:17" ht="25.5">
      <c r="A16" s="32" t="s">
        <v>56</v>
      </c>
      <c r="B16" s="33" t="s">
        <v>57</v>
      </c>
      <c r="C16" s="34" t="s">
        <v>50</v>
      </c>
      <c r="D16" s="34">
        <f>ROUND(SUMIF(RV_DATA!W8:'RV_DATA'!W17, 1878437229, RV_DATA!I8:'RV_DATA'!I17), 6)</f>
        <v>420</v>
      </c>
      <c r="E16" s="35">
        <f>ROUND(RV_DATA!N15, 6)</f>
        <v>124.17</v>
      </c>
      <c r="F16" s="35">
        <f>ROUND(SUMIF(RV_DATA!W8:'RV_DATA'!W17, 1878437229, RV_DATA!O8:'RV_DATA'!O17), 6)</f>
        <v>52151.4</v>
      </c>
      <c r="Q16" s="29">
        <v>3</v>
      </c>
    </row>
    <row r="17" spans="1:17" hidden="1">
      <c r="A17" s="85" t="s">
        <v>430</v>
      </c>
      <c r="B17" s="85"/>
      <c r="C17" s="85"/>
      <c r="D17" s="85"/>
      <c r="E17" s="86">
        <f>SUMIF(Q10:Q16, 3, F10:F16)</f>
        <v>106355.66</v>
      </c>
      <c r="F17" s="87"/>
    </row>
    <row r="18" spans="1:17" hidden="1">
      <c r="A18" s="88" t="str">
        <f>CONCATENATE("Раздел: ",IF(Source!G75&lt;&gt;"Новый раздел", Source!G75, ""))</f>
        <v>Раздел: Посадка кустарников - 50шт.</v>
      </c>
      <c r="B18" s="89"/>
      <c r="C18" s="89"/>
      <c r="D18" s="89"/>
      <c r="E18" s="89"/>
      <c r="F18" s="89"/>
    </row>
    <row r="19" spans="1:17" hidden="1">
      <c r="A19" s="90" t="s">
        <v>429</v>
      </c>
      <c r="B19" s="91"/>
      <c r="C19" s="91"/>
      <c r="D19" s="91"/>
      <c r="E19" s="91"/>
      <c r="F19" s="91"/>
    </row>
    <row r="20" spans="1:17">
      <c r="A20" s="32" t="s">
        <v>262</v>
      </c>
      <c r="B20" s="33" t="s">
        <v>264</v>
      </c>
      <c r="C20" s="34" t="s">
        <v>257</v>
      </c>
      <c r="D20" s="34">
        <f>ROUND(SUMIF(RV_DATA!W19:'RV_DATA'!W30, -1829664509, RV_DATA!I19:'RV_DATA'!I30), 6)</f>
        <v>5.35</v>
      </c>
      <c r="E20" s="35">
        <f>ROUND(RV_DATA!N23, 6)</f>
        <v>35.25</v>
      </c>
      <c r="F20" s="35">
        <f>ROUND(SUMIF(RV_DATA!W19:'RV_DATA'!W30, -1829664509, RV_DATA!O19:'RV_DATA'!O30), 6)</f>
        <v>188.6</v>
      </c>
      <c r="Q20" s="29">
        <v>3</v>
      </c>
    </row>
    <row r="21" spans="1:17" ht="38.25">
      <c r="A21" s="32" t="s">
        <v>142</v>
      </c>
      <c r="B21" s="33" t="s">
        <v>143</v>
      </c>
      <c r="C21" s="34" t="s">
        <v>50</v>
      </c>
      <c r="D21" s="34">
        <f>ROUND(SUMIF(RV_DATA!W19:'RV_DATA'!W30, 1346715213, RV_DATA!I19:'RV_DATA'!I30), 6)</f>
        <v>26</v>
      </c>
      <c r="E21" s="35">
        <f>ROUND(RV_DATA!N24, 6)</f>
        <v>1409.36</v>
      </c>
      <c r="F21" s="35">
        <f>ROUND(SUMIF(RV_DATA!W19:'RV_DATA'!W30, 1346715213, RV_DATA!O19:'RV_DATA'!O30), 6)</f>
        <v>36643.360000000001</v>
      </c>
      <c r="Q21" s="29">
        <v>3</v>
      </c>
    </row>
    <row r="22" spans="1:17">
      <c r="A22" s="32" t="s">
        <v>277</v>
      </c>
      <c r="B22" s="33" t="s">
        <v>279</v>
      </c>
      <c r="C22" s="34" t="s">
        <v>257</v>
      </c>
      <c r="D22" s="34">
        <f>ROUND(SUMIF(RV_DATA!W19:'RV_DATA'!W30, -1744796367, RV_DATA!I19:'RV_DATA'!I30), 6)</f>
        <v>3.5</v>
      </c>
      <c r="E22" s="35">
        <f>ROUND(RV_DATA!N20, 6)</f>
        <v>810.33</v>
      </c>
      <c r="F22" s="35">
        <f>ROUND(SUMIF(RV_DATA!W19:'RV_DATA'!W30, -1744796367, RV_DATA!O19:'RV_DATA'!O30), 6)</f>
        <v>2836.15</v>
      </c>
      <c r="Q22" s="29">
        <v>3</v>
      </c>
    </row>
    <row r="23" spans="1:17">
      <c r="A23" s="32" t="s">
        <v>254</v>
      </c>
      <c r="B23" s="33" t="s">
        <v>256</v>
      </c>
      <c r="C23" s="34" t="s">
        <v>257</v>
      </c>
      <c r="D23" s="34">
        <f>ROUND(SUMIF(RV_DATA!W19:'RV_DATA'!W30, -353567041, RV_DATA!I19:'RV_DATA'!I30), 6)</f>
        <v>10</v>
      </c>
      <c r="E23" s="35">
        <f>ROUND(RV_DATA!N19, 6)</f>
        <v>753.67</v>
      </c>
      <c r="F23" s="35">
        <f>ROUND(SUMIF(RV_DATA!W19:'RV_DATA'!W30, -353567041, RV_DATA!O19:'RV_DATA'!O30), 6)</f>
        <v>7536.7</v>
      </c>
      <c r="Q23" s="29">
        <v>3</v>
      </c>
    </row>
    <row r="24" spans="1:17" ht="38.25">
      <c r="A24" s="32" t="s">
        <v>56</v>
      </c>
      <c r="B24" s="33" t="s">
        <v>146</v>
      </c>
      <c r="C24" s="34" t="s">
        <v>50</v>
      </c>
      <c r="D24" s="34">
        <f>ROUND(SUMIF(RV_DATA!W19:'RV_DATA'!W30, -447326058, RV_DATA!I19:'RV_DATA'!I30), 6)</f>
        <v>6</v>
      </c>
      <c r="E24" s="35">
        <f>ROUND(RV_DATA!N25, 6)</f>
        <v>875</v>
      </c>
      <c r="F24" s="35">
        <f>ROUND(SUMIF(RV_DATA!W19:'RV_DATA'!W30, -447326058, RV_DATA!O19:'RV_DATA'!O30), 6)</f>
        <v>5250</v>
      </c>
      <c r="Q24" s="29">
        <v>3</v>
      </c>
    </row>
    <row r="25" spans="1:17" ht="38.25">
      <c r="A25" s="32" t="s">
        <v>56</v>
      </c>
      <c r="B25" s="33" t="s">
        <v>148</v>
      </c>
      <c r="C25" s="34" t="s">
        <v>50</v>
      </c>
      <c r="D25" s="34">
        <f>ROUND(SUMIF(RV_DATA!W19:'RV_DATA'!W30, -991493271, RV_DATA!I19:'RV_DATA'!I30), 6)</f>
        <v>3</v>
      </c>
      <c r="E25" s="35">
        <f>ROUND(RV_DATA!N26, 6)</f>
        <v>1150</v>
      </c>
      <c r="F25" s="35">
        <f>ROUND(SUMIF(RV_DATA!W19:'RV_DATA'!W30, -991493271, RV_DATA!O19:'RV_DATA'!O30), 6)</f>
        <v>3450</v>
      </c>
      <c r="Q25" s="29">
        <v>3</v>
      </c>
    </row>
    <row r="26" spans="1:17" ht="38.25">
      <c r="A26" s="32" t="s">
        <v>56</v>
      </c>
      <c r="B26" s="33" t="s">
        <v>150</v>
      </c>
      <c r="C26" s="34" t="s">
        <v>50</v>
      </c>
      <c r="D26" s="34">
        <f>ROUND(SUMIF(RV_DATA!W19:'RV_DATA'!W30, -696244099, RV_DATA!I19:'RV_DATA'!I30), 6)</f>
        <v>6</v>
      </c>
      <c r="E26" s="35">
        <f>ROUND(RV_DATA!N27, 6)</f>
        <v>741.67</v>
      </c>
      <c r="F26" s="35">
        <f>ROUND(SUMIF(RV_DATA!W19:'RV_DATA'!W30, -696244099, RV_DATA!O19:'RV_DATA'!O30), 6)</f>
        <v>4450.0200000000004</v>
      </c>
      <c r="Q26" s="29">
        <v>3</v>
      </c>
    </row>
    <row r="27" spans="1:17" ht="38.25">
      <c r="A27" s="32" t="s">
        <v>56</v>
      </c>
      <c r="B27" s="33" t="s">
        <v>152</v>
      </c>
      <c r="C27" s="34" t="s">
        <v>50</v>
      </c>
      <c r="D27" s="34">
        <f>ROUND(SUMIF(RV_DATA!W19:'RV_DATA'!W30, 250283196, RV_DATA!I19:'RV_DATA'!I30), 6)</f>
        <v>3</v>
      </c>
      <c r="E27" s="35">
        <f>ROUND(RV_DATA!N28, 6)</f>
        <v>1358.33</v>
      </c>
      <c r="F27" s="35">
        <f>ROUND(SUMIF(RV_DATA!W19:'RV_DATA'!W30, 250283196, RV_DATA!O19:'RV_DATA'!O30), 6)</f>
        <v>4074.99</v>
      </c>
      <c r="Q27" s="29">
        <v>3</v>
      </c>
    </row>
    <row r="28" spans="1:17" ht="38.25">
      <c r="A28" s="32" t="s">
        <v>56</v>
      </c>
      <c r="B28" s="33" t="s">
        <v>154</v>
      </c>
      <c r="C28" s="34" t="s">
        <v>50</v>
      </c>
      <c r="D28" s="34">
        <f>ROUND(SUMIF(RV_DATA!W19:'RV_DATA'!W30, 1544184942, RV_DATA!I19:'RV_DATA'!I30), 6)</f>
        <v>3</v>
      </c>
      <c r="E28" s="35">
        <f>ROUND(RV_DATA!N29, 6)</f>
        <v>1433.33</v>
      </c>
      <c r="F28" s="35">
        <f>ROUND(SUMIF(RV_DATA!W19:'RV_DATA'!W30, 1544184942, RV_DATA!O19:'RV_DATA'!O30), 6)</f>
        <v>4299.99</v>
      </c>
      <c r="Q28" s="29">
        <v>3</v>
      </c>
    </row>
    <row r="29" spans="1:17" ht="38.25">
      <c r="A29" s="32" t="s">
        <v>56</v>
      </c>
      <c r="B29" s="33" t="s">
        <v>156</v>
      </c>
      <c r="C29" s="34" t="s">
        <v>50</v>
      </c>
      <c r="D29" s="34">
        <f>ROUND(SUMIF(RV_DATA!W19:'RV_DATA'!W30, 1989623849, RV_DATA!I19:'RV_DATA'!I30), 6)</f>
        <v>3</v>
      </c>
      <c r="E29" s="35">
        <f>ROUND(RV_DATA!N30, 6)</f>
        <v>1316.67</v>
      </c>
      <c r="F29" s="35">
        <f>ROUND(SUMIF(RV_DATA!W19:'RV_DATA'!W30, 1989623849, RV_DATA!O19:'RV_DATA'!O30), 6)</f>
        <v>3950.01</v>
      </c>
      <c r="Q29" s="29">
        <v>3</v>
      </c>
    </row>
    <row r="30" spans="1:17" hidden="1">
      <c r="A30" s="85" t="s">
        <v>430</v>
      </c>
      <c r="B30" s="85"/>
      <c r="C30" s="85"/>
      <c r="D30" s="85"/>
      <c r="E30" s="86">
        <f>SUMIF(Q20:Q29, 3, F20:F29)</f>
        <v>72679.819999999992</v>
      </c>
      <c r="F30" s="87"/>
    </row>
    <row r="31" spans="1:17" hidden="1">
      <c r="A31" s="88" t="str">
        <f>CONCATENATE("Раздел: ",IF(Source!G124&lt;&gt;"Новый раздел", Source!G124, ""))</f>
        <v>Раздел: Посадка деревьев лиственных - 8шт.</v>
      </c>
      <c r="B31" s="89"/>
      <c r="C31" s="89"/>
      <c r="D31" s="89"/>
      <c r="E31" s="89"/>
      <c r="F31" s="89"/>
    </row>
    <row r="32" spans="1:17" hidden="1">
      <c r="A32" s="90" t="s">
        <v>429</v>
      </c>
      <c r="B32" s="91"/>
      <c r="C32" s="91"/>
      <c r="D32" s="91"/>
      <c r="E32" s="91"/>
      <c r="F32" s="91"/>
    </row>
    <row r="33" spans="1:17">
      <c r="A33" s="32" t="s">
        <v>288</v>
      </c>
      <c r="B33" s="33" t="s">
        <v>290</v>
      </c>
      <c r="C33" s="34" t="s">
        <v>291</v>
      </c>
      <c r="D33" s="34">
        <f>ROUND(SUMIF(RV_DATA!W32:'RV_DATA'!W41, -1336012766, RV_DATA!I32:'RV_DATA'!I41), 6)</f>
        <v>1.2</v>
      </c>
      <c r="E33" s="35">
        <f>ROUND(RV_DATA!N39, 6)</f>
        <v>91.89</v>
      </c>
      <c r="F33" s="35">
        <f>ROUND(SUMIF(RV_DATA!W32:'RV_DATA'!W41, -1336012766, RV_DATA!O32:'RV_DATA'!O41), 6)</f>
        <v>110.27</v>
      </c>
      <c r="Q33" s="29">
        <v>3</v>
      </c>
    </row>
    <row r="34" spans="1:17">
      <c r="A34" s="32" t="s">
        <v>258</v>
      </c>
      <c r="B34" s="33" t="s">
        <v>260</v>
      </c>
      <c r="C34" s="34" t="s">
        <v>261</v>
      </c>
      <c r="D34" s="34">
        <f>ROUND(SUMIF(RV_DATA!W32:'RV_DATA'!W41, 749401340, RV_DATA!I32:'RV_DATA'!I41), 6)</f>
        <v>0.24</v>
      </c>
      <c r="E34" s="35">
        <f>ROUND(RV_DATA!N38, 6)</f>
        <v>171.21</v>
      </c>
      <c r="F34" s="35">
        <f>ROUND(SUMIF(RV_DATA!W32:'RV_DATA'!W41, 749401340, RV_DATA!O32:'RV_DATA'!O41), 6)</f>
        <v>41.09</v>
      </c>
      <c r="Q34" s="29">
        <v>3</v>
      </c>
    </row>
    <row r="35" spans="1:17">
      <c r="A35" s="32" t="s">
        <v>262</v>
      </c>
      <c r="B35" s="33" t="s">
        <v>264</v>
      </c>
      <c r="C35" s="34" t="s">
        <v>257</v>
      </c>
      <c r="D35" s="34">
        <f>ROUND(SUMIF(RV_DATA!W32:'RV_DATA'!W41, -1829664509, RV_DATA!I32:'RV_DATA'!I41), 6)</f>
        <v>2.08</v>
      </c>
      <c r="E35" s="35">
        <f>ROUND(RV_DATA!N37, 6)</f>
        <v>35.25</v>
      </c>
      <c r="F35" s="35">
        <f>ROUND(SUMIF(RV_DATA!W32:'RV_DATA'!W41, -1829664509, RV_DATA!O32:'RV_DATA'!O41), 6)</f>
        <v>73.319999999999993</v>
      </c>
      <c r="Q35" s="29">
        <v>3</v>
      </c>
    </row>
    <row r="36" spans="1:17" ht="38.25">
      <c r="A36" s="32" t="s">
        <v>174</v>
      </c>
      <c r="B36" s="33" t="s">
        <v>175</v>
      </c>
      <c r="C36" s="34" t="s">
        <v>50</v>
      </c>
      <c r="D36" s="34">
        <f>ROUND(SUMIF(RV_DATA!W32:'RV_DATA'!W41, 259602863, RV_DATA!I32:'RV_DATA'!I41), 6)</f>
        <v>4</v>
      </c>
      <c r="E36" s="35">
        <f>ROUND(RV_DATA!N40, 6)</f>
        <v>2961.58</v>
      </c>
      <c r="F36" s="35">
        <f>ROUND(SUMIF(RV_DATA!W32:'RV_DATA'!W41, 259602863, RV_DATA!O32:'RV_DATA'!O41), 6)</f>
        <v>11846.32</v>
      </c>
      <c r="Q36" s="29">
        <v>3</v>
      </c>
    </row>
    <row r="37" spans="1:17">
      <c r="A37" s="32" t="s">
        <v>277</v>
      </c>
      <c r="B37" s="33" t="s">
        <v>279</v>
      </c>
      <c r="C37" s="34" t="s">
        <v>257</v>
      </c>
      <c r="D37" s="34">
        <f>ROUND(SUMIF(RV_DATA!W32:'RV_DATA'!W41, -1744796367, RV_DATA!I32:'RV_DATA'!I41), 6)</f>
        <v>1.68</v>
      </c>
      <c r="E37" s="35">
        <f>ROUND(RV_DATA!N33, 6)</f>
        <v>810.33</v>
      </c>
      <c r="F37" s="35">
        <f>ROUND(SUMIF(RV_DATA!W32:'RV_DATA'!W41, -1744796367, RV_DATA!O32:'RV_DATA'!O41), 6)</f>
        <v>1361.35</v>
      </c>
      <c r="Q37" s="29">
        <v>3</v>
      </c>
    </row>
    <row r="38" spans="1:17">
      <c r="A38" s="32" t="s">
        <v>254</v>
      </c>
      <c r="B38" s="33" t="s">
        <v>256</v>
      </c>
      <c r="C38" s="34" t="s">
        <v>257</v>
      </c>
      <c r="D38" s="34">
        <f>ROUND(SUMIF(RV_DATA!W32:'RV_DATA'!W41, -353567041, RV_DATA!I32:'RV_DATA'!I41), 6)</f>
        <v>4.96</v>
      </c>
      <c r="E38" s="35">
        <f>ROUND(RV_DATA!N32, 6)</f>
        <v>753.67</v>
      </c>
      <c r="F38" s="35">
        <f>ROUND(SUMIF(RV_DATA!W32:'RV_DATA'!W41, -353567041, RV_DATA!O32:'RV_DATA'!O41), 6)</f>
        <v>3738.2</v>
      </c>
      <c r="Q38" s="29">
        <v>3</v>
      </c>
    </row>
    <row r="39" spans="1:17">
      <c r="A39" s="32" t="s">
        <v>292</v>
      </c>
      <c r="B39" s="33" t="s">
        <v>294</v>
      </c>
      <c r="C39" s="34" t="s">
        <v>257</v>
      </c>
      <c r="D39" s="34">
        <f>ROUND(SUMIF(RV_DATA!W32:'RV_DATA'!W41, 1475258042, RV_DATA!I32:'RV_DATA'!I41), 6)</f>
        <v>0.12672</v>
      </c>
      <c r="E39" s="35">
        <f>ROUND(RV_DATA!N36, 6)</f>
        <v>3467</v>
      </c>
      <c r="F39" s="35">
        <f>ROUND(SUMIF(RV_DATA!W32:'RV_DATA'!W41, 1475258042, RV_DATA!O32:'RV_DATA'!O41), 6)</f>
        <v>439.34</v>
      </c>
      <c r="Q39" s="29">
        <v>3</v>
      </c>
    </row>
    <row r="40" spans="1:17" ht="51">
      <c r="A40" s="32" t="s">
        <v>56</v>
      </c>
      <c r="B40" s="33" t="s">
        <v>178</v>
      </c>
      <c r="C40" s="34" t="s">
        <v>50</v>
      </c>
      <c r="D40" s="34">
        <f>ROUND(SUMIF(RV_DATA!W32:'RV_DATA'!W41, -61347243, RV_DATA!I32:'RV_DATA'!I41), 6)</f>
        <v>4</v>
      </c>
      <c r="E40" s="35">
        <f>ROUND(RV_DATA!N41, 6)</f>
        <v>2833.33</v>
      </c>
      <c r="F40" s="35">
        <f>ROUND(SUMIF(RV_DATA!W32:'RV_DATA'!W41, -61347243, RV_DATA!O32:'RV_DATA'!O41), 6)</f>
        <v>11333.32</v>
      </c>
      <c r="Q40" s="29">
        <v>3</v>
      </c>
    </row>
    <row r="41" spans="1:17" hidden="1">
      <c r="A41" s="85" t="s">
        <v>430</v>
      </c>
      <c r="B41" s="85"/>
      <c r="C41" s="85"/>
      <c r="D41" s="85"/>
      <c r="E41" s="86">
        <f>SUMIF(Q33:Q40, 3, F33:F40)</f>
        <v>28943.21</v>
      </c>
      <c r="F41" s="87"/>
    </row>
    <row r="42" spans="1:17" hidden="1">
      <c r="A42" s="88" t="str">
        <f>CONCATENATE("Раздел: ",IF(Source!G168&lt;&gt;"Новый раздел", Source!G168, ""))</f>
        <v>Раздел: Посадка деревьев хвойных - 21шт.</v>
      </c>
      <c r="B42" s="89"/>
      <c r="C42" s="89"/>
      <c r="D42" s="89"/>
      <c r="E42" s="89"/>
      <c r="F42" s="89"/>
    </row>
    <row r="43" spans="1:17" hidden="1">
      <c r="A43" s="90" t="s">
        <v>429</v>
      </c>
      <c r="B43" s="91"/>
      <c r="C43" s="91"/>
      <c r="D43" s="91"/>
      <c r="E43" s="91"/>
      <c r="F43" s="91"/>
    </row>
    <row r="44" spans="1:17">
      <c r="A44" s="32" t="s">
        <v>288</v>
      </c>
      <c r="B44" s="33" t="s">
        <v>290</v>
      </c>
      <c r="C44" s="34" t="s">
        <v>291</v>
      </c>
      <c r="D44" s="34">
        <f>ROUND(SUMIF(RV_DATA!W43:'RV_DATA'!W63, -1336012766, RV_DATA!I43:'RV_DATA'!I63), 6)</f>
        <v>3.15</v>
      </c>
      <c r="E44" s="35">
        <f>ROUND(RV_DATA!N50, 6)</f>
        <v>91.89</v>
      </c>
      <c r="F44" s="35">
        <f>ROUND(SUMIF(RV_DATA!W43:'RV_DATA'!W63, -1336012766, RV_DATA!O43:'RV_DATA'!O63), 6)</f>
        <v>289.45999999999998</v>
      </c>
      <c r="Q44" s="29">
        <v>3</v>
      </c>
    </row>
    <row r="45" spans="1:17">
      <c r="A45" s="32" t="s">
        <v>258</v>
      </c>
      <c r="B45" s="33" t="s">
        <v>260</v>
      </c>
      <c r="C45" s="34" t="s">
        <v>261</v>
      </c>
      <c r="D45" s="34">
        <f>ROUND(SUMIF(RV_DATA!W43:'RV_DATA'!W63, 749401340, RV_DATA!I43:'RV_DATA'!I63), 6)</f>
        <v>0.63</v>
      </c>
      <c r="E45" s="35">
        <f>ROUND(RV_DATA!N49, 6)</f>
        <v>171.21</v>
      </c>
      <c r="F45" s="35">
        <f>ROUND(SUMIF(RV_DATA!W43:'RV_DATA'!W63, 749401340, RV_DATA!O43:'RV_DATA'!O63), 6)</f>
        <v>107.86</v>
      </c>
      <c r="Q45" s="29">
        <v>3</v>
      </c>
    </row>
    <row r="46" spans="1:17">
      <c r="A46" s="32" t="s">
        <v>262</v>
      </c>
      <c r="B46" s="33" t="s">
        <v>264</v>
      </c>
      <c r="C46" s="34" t="s">
        <v>257</v>
      </c>
      <c r="D46" s="34">
        <f>ROUND(SUMIF(RV_DATA!W43:'RV_DATA'!W63, -1829664509, RV_DATA!I43:'RV_DATA'!I63), 6)</f>
        <v>4.66</v>
      </c>
      <c r="E46" s="35">
        <f>ROUND(RV_DATA!N48, 6)</f>
        <v>35.25</v>
      </c>
      <c r="F46" s="35">
        <f>ROUND(SUMIF(RV_DATA!W43:'RV_DATA'!W63, -1829664509, RV_DATA!O43:'RV_DATA'!O63), 6)</f>
        <v>164.27</v>
      </c>
      <c r="Q46" s="29">
        <v>3</v>
      </c>
    </row>
    <row r="47" spans="1:17">
      <c r="A47" s="32" t="s">
        <v>277</v>
      </c>
      <c r="B47" s="33" t="s">
        <v>279</v>
      </c>
      <c r="C47" s="34" t="s">
        <v>257</v>
      </c>
      <c r="D47" s="34">
        <f>ROUND(SUMIF(RV_DATA!W43:'RV_DATA'!W63, -1744796367, RV_DATA!I43:'RV_DATA'!I63), 6)</f>
        <v>2.37</v>
      </c>
      <c r="E47" s="35">
        <f>ROUND(RV_DATA!N44, 6)</f>
        <v>810.33</v>
      </c>
      <c r="F47" s="35">
        <f>ROUND(SUMIF(RV_DATA!W43:'RV_DATA'!W63, -1744796367, RV_DATA!O43:'RV_DATA'!O63), 6)</f>
        <v>1920.49</v>
      </c>
      <c r="Q47" s="29">
        <v>3</v>
      </c>
    </row>
    <row r="48" spans="1:17">
      <c r="A48" s="32" t="s">
        <v>254</v>
      </c>
      <c r="B48" s="33" t="s">
        <v>256</v>
      </c>
      <c r="C48" s="34" t="s">
        <v>257</v>
      </c>
      <c r="D48" s="34">
        <f>ROUND(SUMIF(RV_DATA!W43:'RV_DATA'!W63, -353567041, RV_DATA!I43:'RV_DATA'!I63), 6)</f>
        <v>7.08</v>
      </c>
      <c r="E48" s="35">
        <f>ROUND(RV_DATA!N43, 6)</f>
        <v>753.67</v>
      </c>
      <c r="F48" s="35">
        <f>ROUND(SUMIF(RV_DATA!W43:'RV_DATA'!W63, -353567041, RV_DATA!O43:'RV_DATA'!O63), 6)</f>
        <v>5335.98</v>
      </c>
      <c r="Q48" s="29">
        <v>3</v>
      </c>
    </row>
    <row r="49" spans="1:17">
      <c r="A49" s="32" t="s">
        <v>292</v>
      </c>
      <c r="B49" s="33" t="s">
        <v>294</v>
      </c>
      <c r="C49" s="34" t="s">
        <v>257</v>
      </c>
      <c r="D49" s="34">
        <f>ROUND(SUMIF(RV_DATA!W43:'RV_DATA'!W63, 1475258042, RV_DATA!I43:'RV_DATA'!I63), 6)</f>
        <v>0.33263999999999999</v>
      </c>
      <c r="E49" s="35">
        <f>ROUND(RV_DATA!N47, 6)</f>
        <v>3467</v>
      </c>
      <c r="F49" s="35">
        <f>ROUND(SUMIF(RV_DATA!W43:'RV_DATA'!W63, 1475258042, RV_DATA!O43:'RV_DATA'!O63), 6)</f>
        <v>1153.26</v>
      </c>
      <c r="Q49" s="29">
        <v>3</v>
      </c>
    </row>
    <row r="50" spans="1:17" ht="38.25">
      <c r="A50" s="32" t="s">
        <v>187</v>
      </c>
      <c r="B50" s="33" t="s">
        <v>188</v>
      </c>
      <c r="C50" s="34" t="s">
        <v>50</v>
      </c>
      <c r="D50" s="34">
        <f>ROUND(SUMIF(RV_DATA!W43:'RV_DATA'!W63, -1167612586, RV_DATA!I43:'RV_DATA'!I63), 6)</f>
        <v>1</v>
      </c>
      <c r="E50" s="35">
        <f>ROUND(RV_DATA!N51, 6)</f>
        <v>7845.83</v>
      </c>
      <c r="F50" s="35">
        <f>ROUND(SUMIF(RV_DATA!W43:'RV_DATA'!W63, -1167612586, RV_DATA!O43:'RV_DATA'!O63), 6)</f>
        <v>7845.83</v>
      </c>
      <c r="Q50" s="29">
        <v>3</v>
      </c>
    </row>
    <row r="51" spans="1:17" ht="38.25">
      <c r="A51" s="32" t="s">
        <v>187</v>
      </c>
      <c r="B51" s="33" t="s">
        <v>205</v>
      </c>
      <c r="C51" s="34" t="s">
        <v>50</v>
      </c>
      <c r="D51" s="34">
        <f>ROUND(SUMIF(RV_DATA!W43:'RV_DATA'!W63, 814502955, RV_DATA!I43:'RV_DATA'!I63), 6)</f>
        <v>10</v>
      </c>
      <c r="E51" s="35">
        <f>ROUND(RV_DATA!N60, 6)</f>
        <v>4250</v>
      </c>
      <c r="F51" s="35">
        <f>ROUND(SUMIF(RV_DATA!W43:'RV_DATA'!W63, 814502955, RV_DATA!O43:'RV_DATA'!O63), 6)</f>
        <v>42500</v>
      </c>
      <c r="Q51" s="29">
        <v>3</v>
      </c>
    </row>
    <row r="52" spans="1:17" ht="38.25">
      <c r="A52" s="32" t="s">
        <v>187</v>
      </c>
      <c r="B52" s="33" t="s">
        <v>207</v>
      </c>
      <c r="C52" s="34" t="s">
        <v>50</v>
      </c>
      <c r="D52" s="34">
        <f>ROUND(SUMIF(RV_DATA!W43:'RV_DATA'!W63, -1599592628, RV_DATA!I43:'RV_DATA'!I63), 6)</f>
        <v>3</v>
      </c>
      <c r="E52" s="35">
        <f>ROUND(RV_DATA!N61, 6)</f>
        <v>2250</v>
      </c>
      <c r="F52" s="35">
        <f>ROUND(SUMIF(RV_DATA!W43:'RV_DATA'!W63, -1599592628, RV_DATA!O43:'RV_DATA'!O63), 6)</f>
        <v>6750</v>
      </c>
      <c r="Q52" s="29">
        <v>3</v>
      </c>
    </row>
    <row r="53" spans="1:17" ht="38.25">
      <c r="A53" s="32" t="s">
        <v>187</v>
      </c>
      <c r="B53" s="33" t="s">
        <v>209</v>
      </c>
      <c r="C53" s="34" t="s">
        <v>50</v>
      </c>
      <c r="D53" s="34">
        <f>ROUND(SUMIF(RV_DATA!W43:'RV_DATA'!W63, 2027105266, RV_DATA!I43:'RV_DATA'!I63), 6)</f>
        <v>4</v>
      </c>
      <c r="E53" s="35">
        <f>ROUND(RV_DATA!N62, 6)</f>
        <v>2458.33</v>
      </c>
      <c r="F53" s="35">
        <f>ROUND(SUMIF(RV_DATA!W43:'RV_DATA'!W63, 2027105266, RV_DATA!O43:'RV_DATA'!O63), 6)</f>
        <v>9833.32</v>
      </c>
      <c r="Q53" s="29">
        <v>3</v>
      </c>
    </row>
    <row r="54" spans="1:17" ht="38.25">
      <c r="A54" s="32" t="s">
        <v>187</v>
      </c>
      <c r="B54" s="33" t="s">
        <v>211</v>
      </c>
      <c r="C54" s="34" t="s">
        <v>50</v>
      </c>
      <c r="D54" s="34">
        <f>ROUND(SUMIF(RV_DATA!W43:'RV_DATA'!W63, 1758199083, RV_DATA!I43:'RV_DATA'!I63), 6)</f>
        <v>3</v>
      </c>
      <c r="E54" s="35">
        <f>ROUND(RV_DATA!N63, 6)</f>
        <v>3583.33</v>
      </c>
      <c r="F54" s="35">
        <f>ROUND(SUMIF(RV_DATA!W43:'RV_DATA'!W63, 1758199083, RV_DATA!O43:'RV_DATA'!O63), 6)</f>
        <v>10749.99</v>
      </c>
      <c r="Q54" s="29">
        <v>3</v>
      </c>
    </row>
    <row r="55" spans="1:17" hidden="1">
      <c r="A55" s="85" t="s">
        <v>430</v>
      </c>
      <c r="B55" s="85"/>
      <c r="C55" s="85"/>
      <c r="D55" s="85"/>
      <c r="E55" s="86">
        <f>SUMIF(Q44:Q54, 3, F44:F54)</f>
        <v>86650.46</v>
      </c>
      <c r="F55" s="87"/>
    </row>
    <row r="56" spans="1:17" hidden="1">
      <c r="A56" s="88" t="str">
        <f>CONCATENATE("Раздел: ",IF(Source!G220&lt;&gt;"Новый раздел", Source!G220, ""))</f>
        <v>Раздел: Декоративное украшение территори озеленения</v>
      </c>
      <c r="B56" s="89"/>
      <c r="C56" s="89"/>
      <c r="D56" s="89"/>
      <c r="E56" s="89"/>
      <c r="F56" s="89"/>
    </row>
    <row r="57" spans="1:17" hidden="1">
      <c r="A57" s="90" t="s">
        <v>429</v>
      </c>
      <c r="B57" s="91"/>
      <c r="C57" s="91"/>
      <c r="D57" s="91"/>
      <c r="E57" s="91"/>
      <c r="F57" s="91"/>
    </row>
    <row r="58" spans="1:17">
      <c r="A58" s="32" t="s">
        <v>304</v>
      </c>
      <c r="B58" s="33" t="s">
        <v>306</v>
      </c>
      <c r="C58" s="34" t="s">
        <v>307</v>
      </c>
      <c r="D58" s="34">
        <f>ROUND(SUMIF(RV_DATA!W65:'RV_DATA'!W74, -1954327797, RV_DATA!I65:'RV_DATA'!I74), 6)</f>
        <v>5.5E-2</v>
      </c>
      <c r="E58" s="35">
        <f>ROUND(RV_DATA!N74, 6)</f>
        <v>53313.54</v>
      </c>
      <c r="F58" s="35">
        <f>ROUND(SUMIF(RV_DATA!W65:'RV_DATA'!W74, -1954327797, RV_DATA!O65:'RV_DATA'!O74), 6)</f>
        <v>2932.25</v>
      </c>
      <c r="Q58" s="29">
        <v>3</v>
      </c>
    </row>
    <row r="59" spans="1:17">
      <c r="A59" s="32" t="s">
        <v>308</v>
      </c>
      <c r="B59" s="33" t="s">
        <v>310</v>
      </c>
      <c r="C59" s="34" t="s">
        <v>257</v>
      </c>
      <c r="D59" s="34">
        <f>ROUND(SUMIF(RV_DATA!W65:'RV_DATA'!W74, 339149647, RV_DATA!I65:'RV_DATA'!I74), 6)</f>
        <v>1.7</v>
      </c>
      <c r="E59" s="35">
        <f>ROUND(RV_DATA!N73, 6)</f>
        <v>590.78</v>
      </c>
      <c r="F59" s="35">
        <f>ROUND(SUMIF(RV_DATA!W65:'RV_DATA'!W74, 339149647, RV_DATA!O65:'RV_DATA'!O74), 6)</f>
        <v>1004.33</v>
      </c>
      <c r="Q59" s="29">
        <v>3</v>
      </c>
    </row>
    <row r="60" spans="1:17" ht="25.5">
      <c r="A60" s="32" t="s">
        <v>311</v>
      </c>
      <c r="B60" s="33" t="s">
        <v>313</v>
      </c>
      <c r="C60" s="34" t="s">
        <v>257</v>
      </c>
      <c r="D60" s="34">
        <f>ROUND(SUMIF(RV_DATA!W65:'RV_DATA'!W74, -1342251475, RV_DATA!I65:'RV_DATA'!I74), 6)</f>
        <v>1.7</v>
      </c>
      <c r="E60" s="35">
        <f>ROUND(RV_DATA!N72, 6)</f>
        <v>1436.5</v>
      </c>
      <c r="F60" s="35">
        <f>ROUND(SUMIF(RV_DATA!W65:'RV_DATA'!W74, -1342251475, RV_DATA!O65:'RV_DATA'!O74), 6)</f>
        <v>2442.0500000000002</v>
      </c>
      <c r="Q60" s="29">
        <v>3</v>
      </c>
    </row>
    <row r="61" spans="1:17" ht="25.5">
      <c r="A61" s="32" t="s">
        <v>314</v>
      </c>
      <c r="B61" s="33" t="s">
        <v>316</v>
      </c>
      <c r="C61" s="34" t="s">
        <v>307</v>
      </c>
      <c r="D61" s="34">
        <f>ROUND(SUMIF(RV_DATA!W65:'RV_DATA'!W74, -1688624076, RV_DATA!I65:'RV_DATA'!I74), 6)</f>
        <v>0.73</v>
      </c>
      <c r="E61" s="35">
        <f>ROUND(RV_DATA!N71, 6)</f>
        <v>9548.1200000000008</v>
      </c>
      <c r="F61" s="35">
        <f>ROUND(SUMIF(RV_DATA!W65:'RV_DATA'!W74, -1688624076, RV_DATA!O65:'RV_DATA'!O74), 6)</f>
        <v>6970.13</v>
      </c>
      <c r="Q61" s="29">
        <v>3</v>
      </c>
    </row>
    <row r="62" spans="1:17" ht="38.25">
      <c r="A62" s="32" t="s">
        <v>317</v>
      </c>
      <c r="B62" s="33" t="s">
        <v>319</v>
      </c>
      <c r="C62" s="34" t="s">
        <v>291</v>
      </c>
      <c r="D62" s="34">
        <f>ROUND(SUMIF(RV_DATA!W65:'RV_DATA'!W74, 2001392356, RV_DATA!I65:'RV_DATA'!I74), 6)</f>
        <v>5</v>
      </c>
      <c r="E62" s="35">
        <f>ROUND(RV_DATA!N70, 6)</f>
        <v>4659.1099999999997</v>
      </c>
      <c r="F62" s="35">
        <f>ROUND(SUMIF(RV_DATA!W65:'RV_DATA'!W74, 2001392356, RV_DATA!O65:'RV_DATA'!O74), 6)</f>
        <v>23295.55</v>
      </c>
      <c r="Q62" s="29">
        <v>3</v>
      </c>
    </row>
    <row r="63" spans="1:17" ht="25.5">
      <c r="A63" s="32" t="s">
        <v>320</v>
      </c>
      <c r="B63" s="33" t="s">
        <v>322</v>
      </c>
      <c r="C63" s="34" t="s">
        <v>307</v>
      </c>
      <c r="D63" s="34">
        <f>ROUND(SUMIF(RV_DATA!W65:'RV_DATA'!W74, -1467502367, RV_DATA!I65:'RV_DATA'!I74), 6)</f>
        <v>0.65</v>
      </c>
      <c r="E63" s="35">
        <f>ROUND(RV_DATA!N69, 6)</f>
        <v>4207.5</v>
      </c>
      <c r="F63" s="35">
        <f>ROUND(SUMIF(RV_DATA!W65:'RV_DATA'!W74, -1467502367, RV_DATA!O65:'RV_DATA'!O74), 6)</f>
        <v>2734.88</v>
      </c>
      <c r="Q63" s="29">
        <v>3</v>
      </c>
    </row>
    <row r="64" spans="1:17">
      <c r="A64" s="32" t="s">
        <v>262</v>
      </c>
      <c r="B64" s="33" t="s">
        <v>264</v>
      </c>
      <c r="C64" s="34" t="s">
        <v>257</v>
      </c>
      <c r="D64" s="34">
        <f>ROUND(SUMIF(RV_DATA!W65:'RV_DATA'!W74, -1829664509, RV_DATA!I65:'RV_DATA'!I74), 6)</f>
        <v>0.5</v>
      </c>
      <c r="E64" s="35">
        <f>ROUND(RV_DATA!N68, 6)</f>
        <v>35.25</v>
      </c>
      <c r="F64" s="35">
        <f>ROUND(SUMIF(RV_DATA!W65:'RV_DATA'!W74, -1829664509, RV_DATA!O65:'RV_DATA'!O74), 6)</f>
        <v>17.63</v>
      </c>
      <c r="Q64" s="29">
        <v>3</v>
      </c>
    </row>
    <row r="65" spans="1:17" ht="51">
      <c r="A65" s="32" t="s">
        <v>323</v>
      </c>
      <c r="B65" s="33" t="s">
        <v>325</v>
      </c>
      <c r="C65" s="34" t="s">
        <v>307</v>
      </c>
      <c r="D65" s="34">
        <f>ROUND(SUMIF(RV_DATA!W65:'RV_DATA'!W74, -21417460, RV_DATA!I65:'RV_DATA'!I74), 6)</f>
        <v>1.4999999999999999E-2</v>
      </c>
      <c r="E65" s="35">
        <f>ROUND(RV_DATA!N67, 6)</f>
        <v>36434</v>
      </c>
      <c r="F65" s="35">
        <f>ROUND(SUMIF(RV_DATA!W65:'RV_DATA'!W74, -21417460, RV_DATA!O65:'RV_DATA'!O74), 6)</f>
        <v>546.51</v>
      </c>
      <c r="Q65" s="29">
        <v>3</v>
      </c>
    </row>
    <row r="66" spans="1:17" ht="25.5">
      <c r="A66" s="32" t="s">
        <v>295</v>
      </c>
      <c r="B66" s="33" t="s">
        <v>297</v>
      </c>
      <c r="C66" s="34" t="s">
        <v>261</v>
      </c>
      <c r="D66" s="34">
        <f>ROUND(SUMIF(RV_DATA!W65:'RV_DATA'!W74, -1910259342, RV_DATA!I65:'RV_DATA'!I74), 6)</f>
        <v>144</v>
      </c>
      <c r="E66" s="35">
        <f>ROUND(RV_DATA!N65, 6)</f>
        <v>43.69</v>
      </c>
      <c r="F66" s="35">
        <f>ROUND(SUMIF(RV_DATA!W65:'RV_DATA'!W74, -1910259342, RV_DATA!O65:'RV_DATA'!O74), 6)</f>
        <v>6291.36</v>
      </c>
      <c r="Q66" s="29">
        <v>3</v>
      </c>
    </row>
    <row r="67" spans="1:17" hidden="1">
      <c r="A67" s="85" t="s">
        <v>430</v>
      </c>
      <c r="B67" s="85"/>
      <c r="C67" s="85"/>
      <c r="D67" s="85"/>
      <c r="E67" s="86">
        <f>SUMIF(Q58:Q66, 3, F58:F66)</f>
        <v>46234.689999999995</v>
      </c>
      <c r="F67" s="87"/>
    </row>
    <row r="68" spans="1:17" hidden="1">
      <c r="A68" s="88" t="str">
        <f>CONCATENATE("Раздел: ",IF(Source!G260&lt;&gt;"Новый раздел", Source!G260, ""))</f>
        <v>Раздел: Ремонт газона (посевной) - 550м2 ( вокруг цветника с кустами и деревьями)</v>
      </c>
      <c r="B68" s="89"/>
      <c r="C68" s="89"/>
      <c r="D68" s="89"/>
      <c r="E68" s="89"/>
      <c r="F68" s="89"/>
      <c r="O68" s="31" t="s">
        <v>431</v>
      </c>
    </row>
    <row r="69" spans="1:17" hidden="1">
      <c r="A69" s="90" t="s">
        <v>429</v>
      </c>
      <c r="B69" s="91"/>
      <c r="C69" s="91"/>
      <c r="D69" s="91"/>
      <c r="E69" s="91"/>
      <c r="F69" s="91"/>
    </row>
    <row r="70" spans="1:17">
      <c r="A70" s="32" t="s">
        <v>262</v>
      </c>
      <c r="B70" s="33" t="s">
        <v>264</v>
      </c>
      <c r="C70" s="34" t="s">
        <v>257</v>
      </c>
      <c r="D70" s="34">
        <f>ROUND(SUMIF(RV_DATA!W76:'RV_DATA'!W80, -1829664509, RV_DATA!I76:'RV_DATA'!I80), 6)</f>
        <v>55</v>
      </c>
      <c r="E70" s="35">
        <f>ROUND(RV_DATA!N80, 6)</f>
        <v>35.25</v>
      </c>
      <c r="F70" s="35">
        <f>ROUND(SUMIF(RV_DATA!W76:'RV_DATA'!W80, -1829664509, RV_DATA!O76:'RV_DATA'!O80), 6)</f>
        <v>1938.75</v>
      </c>
      <c r="Q70" s="29">
        <v>3</v>
      </c>
    </row>
    <row r="71" spans="1:17">
      <c r="A71" s="32" t="s">
        <v>329</v>
      </c>
      <c r="B71" s="33" t="s">
        <v>331</v>
      </c>
      <c r="C71" s="34" t="s">
        <v>261</v>
      </c>
      <c r="D71" s="34">
        <f>ROUND(SUMIF(RV_DATA!W76:'RV_DATA'!W80, -431507376, RV_DATA!I76:'RV_DATA'!I80), 6)</f>
        <v>22</v>
      </c>
      <c r="E71" s="35">
        <f>ROUND(RV_DATA!N79, 6)</f>
        <v>303.08999999999997</v>
      </c>
      <c r="F71" s="35">
        <f>ROUND(SUMIF(RV_DATA!W76:'RV_DATA'!W80, -431507376, RV_DATA!O76:'RV_DATA'!O80), 6)</f>
        <v>6667.98</v>
      </c>
      <c r="Q71" s="29">
        <v>3</v>
      </c>
    </row>
    <row r="72" spans="1:17">
      <c r="A72" s="32" t="s">
        <v>254</v>
      </c>
      <c r="B72" s="33" t="s">
        <v>256</v>
      </c>
      <c r="C72" s="34" t="s">
        <v>257</v>
      </c>
      <c r="D72" s="34">
        <f>ROUND(SUMIF(RV_DATA!W76:'RV_DATA'!W80, -353567041, RV_DATA!I76:'RV_DATA'!I80), 6)</f>
        <v>55</v>
      </c>
      <c r="E72" s="35">
        <f>ROUND(RV_DATA!N76, 6)</f>
        <v>753.67</v>
      </c>
      <c r="F72" s="35">
        <f>ROUND(SUMIF(RV_DATA!W76:'RV_DATA'!W80, -353567041, RV_DATA!O76:'RV_DATA'!O80), 6)</f>
        <v>41451.839999999997</v>
      </c>
      <c r="Q72" s="29">
        <v>3</v>
      </c>
    </row>
    <row r="73" spans="1:17" hidden="1">
      <c r="A73" s="85" t="s">
        <v>430</v>
      </c>
      <c r="B73" s="85"/>
      <c r="C73" s="85"/>
      <c r="D73" s="85"/>
      <c r="E73" s="86">
        <f>SUMIF(Q70:Q72, 3, F70:F72)</f>
        <v>50058.569999999992</v>
      </c>
      <c r="F73" s="87"/>
    </row>
  </sheetData>
  <sortState ref="A71:R73">
    <sortCondition ref="A71"/>
  </sortState>
  <mergeCells count="31">
    <mergeCell ref="A18:F18"/>
    <mergeCell ref="A2:F2"/>
    <mergeCell ref="A3:F3"/>
    <mergeCell ref="A4:A6"/>
    <mergeCell ref="B4:B6"/>
    <mergeCell ref="C4:C6"/>
    <mergeCell ref="D4:D6"/>
    <mergeCell ref="E4:F5"/>
    <mergeCell ref="A8:F8"/>
    <mergeCell ref="A9:F9"/>
    <mergeCell ref="A17:D17"/>
    <mergeCell ref="E17:F17"/>
    <mergeCell ref="A57:F57"/>
    <mergeCell ref="A19:F19"/>
    <mergeCell ref="A30:D30"/>
    <mergeCell ref="E30:F30"/>
    <mergeCell ref="A31:F31"/>
    <mergeCell ref="A32:F32"/>
    <mergeCell ref="A41:D41"/>
    <mergeCell ref="E41:F41"/>
    <mergeCell ref="A42:F42"/>
    <mergeCell ref="A43:F43"/>
    <mergeCell ref="A55:D55"/>
    <mergeCell ref="E55:F55"/>
    <mergeCell ref="A56:F56"/>
    <mergeCell ref="A67:D67"/>
    <mergeCell ref="E67:F67"/>
    <mergeCell ref="A68:F68"/>
    <mergeCell ref="A69:F69"/>
    <mergeCell ref="A73:D73"/>
    <mergeCell ref="E73:F73"/>
  </mergeCells>
  <pageMargins left="0.6" right="0.4" top="0.65" bottom="0.4" header="0.4" footer="0.4"/>
  <pageSetup paperSize="9" scale="96" fitToHeight="0" orientation="portrait" horizontalDpi="0" verticalDpi="0" r:id="rId1"/>
  <headerFooter>
    <oddHeader>&amp;C&amp;P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K368"/>
  <sheetViews>
    <sheetView workbookViewId="0">
      <selection activeCell="F12" sqref="F12"/>
    </sheetView>
  </sheetViews>
  <sheetFormatPr defaultColWidth="9.140625" defaultRowHeight="12.75"/>
  <cols>
    <col min="1" max="256" width="9.140625" customWidth="1"/>
  </cols>
  <sheetData>
    <row r="1" spans="1:133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36063</v>
      </c>
      <c r="M1">
        <v>10</v>
      </c>
      <c r="N1">
        <v>10</v>
      </c>
      <c r="O1">
        <v>1</v>
      </c>
      <c r="P1">
        <v>0</v>
      </c>
      <c r="Q1">
        <v>11</v>
      </c>
    </row>
    <row r="12" spans="1:133">
      <c r="A12" s="1">
        <v>1</v>
      </c>
      <c r="B12" s="1">
        <v>364</v>
      </c>
      <c r="C12" s="1">
        <v>0</v>
      </c>
      <c r="D12" s="1">
        <f>ROW(A328)</f>
        <v>328</v>
      </c>
      <c r="E12" s="1">
        <v>0</v>
      </c>
      <c r="F12" s="1"/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8</v>
      </c>
      <c r="BZ12" s="1" t="s">
        <v>9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11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1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45">
      <c r="A18" s="2">
        <v>52</v>
      </c>
      <c r="B18" s="2">
        <f t="shared" ref="B18:G18" si="0">B328</f>
        <v>364</v>
      </c>
      <c r="C18" s="2">
        <f t="shared" si="0"/>
        <v>1</v>
      </c>
      <c r="D18" s="2">
        <f t="shared" si="0"/>
        <v>12</v>
      </c>
      <c r="E18" s="2">
        <f t="shared" si="0"/>
        <v>0</v>
      </c>
      <c r="F18" s="2" t="str">
        <f t="shared" si="0"/>
        <v/>
      </c>
      <c r="G18" s="2" t="str">
        <f t="shared" si="0"/>
        <v>Цветник № 11 Кировоградская 24-1_лот</v>
      </c>
      <c r="H18" s="2"/>
      <c r="I18" s="2"/>
      <c r="J18" s="2"/>
      <c r="K18" s="2"/>
      <c r="L18" s="2"/>
      <c r="M18" s="2"/>
      <c r="N18" s="2"/>
      <c r="O18" s="2">
        <f t="shared" ref="O18:AT18" si="1">O328</f>
        <v>524739.4</v>
      </c>
      <c r="P18" s="2">
        <f t="shared" si="1"/>
        <v>390922.38</v>
      </c>
      <c r="Q18" s="2">
        <f t="shared" si="1"/>
        <v>9934.4699999999993</v>
      </c>
      <c r="R18" s="2">
        <f t="shared" si="1"/>
        <v>2867.72</v>
      </c>
      <c r="S18" s="2">
        <f t="shared" si="1"/>
        <v>123882.55</v>
      </c>
      <c r="T18" s="2">
        <f t="shared" si="1"/>
        <v>0</v>
      </c>
      <c r="U18" s="2">
        <f t="shared" si="1"/>
        <v>639.1280230019662</v>
      </c>
      <c r="V18" s="2">
        <f t="shared" si="1"/>
        <v>0</v>
      </c>
      <c r="W18" s="2">
        <f t="shared" si="1"/>
        <v>0</v>
      </c>
      <c r="X18" s="2">
        <f t="shared" si="1"/>
        <v>86717.81</v>
      </c>
      <c r="Y18" s="2">
        <f t="shared" si="1"/>
        <v>12388.27</v>
      </c>
      <c r="Z18" s="2">
        <f t="shared" si="1"/>
        <v>0</v>
      </c>
      <c r="AA18" s="2">
        <f t="shared" si="1"/>
        <v>0</v>
      </c>
      <c r="AB18" s="2">
        <f t="shared" si="1"/>
        <v>0</v>
      </c>
      <c r="AC18" s="2">
        <f t="shared" si="1"/>
        <v>0</v>
      </c>
      <c r="AD18" s="2">
        <f t="shared" si="1"/>
        <v>0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0</v>
      </c>
      <c r="AI18" s="2">
        <f t="shared" si="1"/>
        <v>0</v>
      </c>
      <c r="AJ18" s="2">
        <f t="shared" si="1"/>
        <v>0</v>
      </c>
      <c r="AK18" s="2">
        <f t="shared" si="1"/>
        <v>0</v>
      </c>
      <c r="AL18" s="2">
        <f t="shared" si="1"/>
        <v>0</v>
      </c>
      <c r="AM18" s="2">
        <f t="shared" si="1"/>
        <v>0</v>
      </c>
      <c r="AN18" s="2">
        <f t="shared" si="1"/>
        <v>0</v>
      </c>
      <c r="AO18" s="2">
        <f t="shared" si="1"/>
        <v>0</v>
      </c>
      <c r="AP18" s="2">
        <f t="shared" si="1"/>
        <v>0</v>
      </c>
      <c r="AQ18" s="2">
        <f t="shared" si="1"/>
        <v>0</v>
      </c>
      <c r="AR18" s="2">
        <f t="shared" si="1"/>
        <v>626942.62</v>
      </c>
      <c r="AS18" s="2">
        <f t="shared" si="1"/>
        <v>0</v>
      </c>
      <c r="AT18" s="2">
        <f t="shared" si="1"/>
        <v>0</v>
      </c>
      <c r="AU18" s="2">
        <f t="shared" ref="AU18:BZ18" si="2">AU328</f>
        <v>626942.62</v>
      </c>
      <c r="AV18" s="2">
        <f t="shared" si="2"/>
        <v>390922.38</v>
      </c>
      <c r="AW18" s="2">
        <f t="shared" si="2"/>
        <v>390922.38</v>
      </c>
      <c r="AX18" s="2">
        <f t="shared" si="2"/>
        <v>0</v>
      </c>
      <c r="AY18" s="2">
        <f t="shared" si="2"/>
        <v>390922.38</v>
      </c>
      <c r="AZ18" s="2">
        <f t="shared" si="2"/>
        <v>0</v>
      </c>
      <c r="BA18" s="2">
        <f t="shared" si="2"/>
        <v>0</v>
      </c>
      <c r="BB18" s="2">
        <f t="shared" si="2"/>
        <v>0</v>
      </c>
      <c r="BC18" s="2">
        <f t="shared" si="2"/>
        <v>0</v>
      </c>
      <c r="BD18" s="2">
        <f t="shared" si="2"/>
        <v>0</v>
      </c>
      <c r="BE18" s="2">
        <f t="shared" si="2"/>
        <v>0</v>
      </c>
      <c r="BF18" s="2">
        <f t="shared" si="2"/>
        <v>0</v>
      </c>
      <c r="BG18" s="2">
        <f t="shared" si="2"/>
        <v>0</v>
      </c>
      <c r="BH18" s="2">
        <f t="shared" si="2"/>
        <v>0</v>
      </c>
      <c r="BI18" s="2">
        <f t="shared" si="2"/>
        <v>0</v>
      </c>
      <c r="BJ18" s="2">
        <f t="shared" si="2"/>
        <v>0</v>
      </c>
      <c r="BK18" s="2">
        <f t="shared" si="2"/>
        <v>0</v>
      </c>
      <c r="BL18" s="2">
        <f t="shared" si="2"/>
        <v>0</v>
      </c>
      <c r="BM18" s="2">
        <f t="shared" si="2"/>
        <v>0</v>
      </c>
      <c r="BN18" s="2">
        <f t="shared" si="2"/>
        <v>0</v>
      </c>
      <c r="BO18" s="2">
        <f t="shared" si="2"/>
        <v>0</v>
      </c>
      <c r="BP18" s="2">
        <f t="shared" si="2"/>
        <v>0</v>
      </c>
      <c r="BQ18" s="2">
        <f t="shared" si="2"/>
        <v>0</v>
      </c>
      <c r="BR18" s="2">
        <f t="shared" si="2"/>
        <v>0</v>
      </c>
      <c r="BS18" s="2">
        <f t="shared" si="2"/>
        <v>0</v>
      </c>
      <c r="BT18" s="2">
        <f t="shared" si="2"/>
        <v>0</v>
      </c>
      <c r="BU18" s="2">
        <f t="shared" si="2"/>
        <v>0</v>
      </c>
      <c r="BV18" s="2">
        <f t="shared" si="2"/>
        <v>0</v>
      </c>
      <c r="BW18" s="2">
        <f t="shared" si="2"/>
        <v>0</v>
      </c>
      <c r="BX18" s="2">
        <f t="shared" si="2"/>
        <v>0</v>
      </c>
      <c r="BY18" s="2">
        <f t="shared" si="2"/>
        <v>0</v>
      </c>
      <c r="BZ18" s="2">
        <f t="shared" si="2"/>
        <v>0</v>
      </c>
      <c r="CA18" s="2">
        <f t="shared" ref="CA18:DF18" si="3">CA328</f>
        <v>0</v>
      </c>
      <c r="CB18" s="2">
        <f t="shared" si="3"/>
        <v>0</v>
      </c>
      <c r="CC18" s="2">
        <f t="shared" si="3"/>
        <v>0</v>
      </c>
      <c r="CD18" s="2">
        <f t="shared" si="3"/>
        <v>0</v>
      </c>
      <c r="CE18" s="2">
        <f t="shared" si="3"/>
        <v>0</v>
      </c>
      <c r="CF18" s="2">
        <f t="shared" si="3"/>
        <v>0</v>
      </c>
      <c r="CG18" s="2">
        <f t="shared" si="3"/>
        <v>0</v>
      </c>
      <c r="CH18" s="2">
        <f t="shared" si="3"/>
        <v>0</v>
      </c>
      <c r="CI18" s="2">
        <f t="shared" si="3"/>
        <v>0</v>
      </c>
      <c r="CJ18" s="2">
        <f t="shared" si="3"/>
        <v>0</v>
      </c>
      <c r="CK18" s="2">
        <f t="shared" si="3"/>
        <v>0</v>
      </c>
      <c r="CL18" s="2">
        <f t="shared" si="3"/>
        <v>0</v>
      </c>
      <c r="CM18" s="2">
        <f t="shared" si="3"/>
        <v>0</v>
      </c>
      <c r="CN18" s="2">
        <f t="shared" si="3"/>
        <v>0</v>
      </c>
      <c r="CO18" s="2">
        <f t="shared" si="3"/>
        <v>0</v>
      </c>
      <c r="CP18" s="2">
        <f t="shared" si="3"/>
        <v>0</v>
      </c>
      <c r="CQ18" s="2">
        <f t="shared" si="3"/>
        <v>0</v>
      </c>
      <c r="CR18" s="2">
        <f t="shared" si="3"/>
        <v>0</v>
      </c>
      <c r="CS18" s="2">
        <f t="shared" si="3"/>
        <v>0</v>
      </c>
      <c r="CT18" s="2">
        <f t="shared" si="3"/>
        <v>0</v>
      </c>
      <c r="CU18" s="2">
        <f t="shared" si="3"/>
        <v>0</v>
      </c>
      <c r="CV18" s="2">
        <f t="shared" si="3"/>
        <v>0</v>
      </c>
      <c r="CW18" s="2">
        <f t="shared" si="3"/>
        <v>0</v>
      </c>
      <c r="CX18" s="2">
        <f t="shared" si="3"/>
        <v>0</v>
      </c>
      <c r="CY18" s="2">
        <f t="shared" si="3"/>
        <v>0</v>
      </c>
      <c r="CZ18" s="2">
        <f t="shared" si="3"/>
        <v>0</v>
      </c>
      <c r="DA18" s="2">
        <f t="shared" si="3"/>
        <v>0</v>
      </c>
      <c r="DB18" s="2">
        <f t="shared" si="3"/>
        <v>0</v>
      </c>
      <c r="DC18" s="2">
        <f t="shared" si="3"/>
        <v>0</v>
      </c>
      <c r="DD18" s="2">
        <f t="shared" si="3"/>
        <v>0</v>
      </c>
      <c r="DE18" s="2">
        <f t="shared" si="3"/>
        <v>0</v>
      </c>
      <c r="DF18" s="2">
        <f t="shared" si="3"/>
        <v>0</v>
      </c>
      <c r="DG18" s="3">
        <f t="shared" ref="DG18:EL18" si="4">DG328</f>
        <v>0</v>
      </c>
      <c r="DH18" s="3">
        <f t="shared" si="4"/>
        <v>0</v>
      </c>
      <c r="DI18" s="3">
        <f t="shared" si="4"/>
        <v>0</v>
      </c>
      <c r="DJ18" s="3">
        <f t="shared" si="4"/>
        <v>0</v>
      </c>
      <c r="DK18" s="3">
        <f t="shared" si="4"/>
        <v>0</v>
      </c>
      <c r="DL18" s="3">
        <f t="shared" si="4"/>
        <v>0</v>
      </c>
      <c r="DM18" s="3">
        <f t="shared" si="4"/>
        <v>0</v>
      </c>
      <c r="DN18" s="3">
        <f t="shared" si="4"/>
        <v>0</v>
      </c>
      <c r="DO18" s="3">
        <f t="shared" si="4"/>
        <v>0</v>
      </c>
      <c r="DP18" s="3">
        <f t="shared" si="4"/>
        <v>0</v>
      </c>
      <c r="DQ18" s="3">
        <f t="shared" si="4"/>
        <v>0</v>
      </c>
      <c r="DR18" s="3">
        <f t="shared" si="4"/>
        <v>0</v>
      </c>
      <c r="DS18" s="3">
        <f t="shared" si="4"/>
        <v>0</v>
      </c>
      <c r="DT18" s="3">
        <f t="shared" si="4"/>
        <v>0</v>
      </c>
      <c r="DU18" s="3">
        <f t="shared" si="4"/>
        <v>0</v>
      </c>
      <c r="DV18" s="3">
        <f t="shared" si="4"/>
        <v>0</v>
      </c>
      <c r="DW18" s="3">
        <f t="shared" si="4"/>
        <v>0</v>
      </c>
      <c r="DX18" s="3">
        <f t="shared" si="4"/>
        <v>0</v>
      </c>
      <c r="DY18" s="3">
        <f t="shared" si="4"/>
        <v>0</v>
      </c>
      <c r="DZ18" s="3">
        <f t="shared" si="4"/>
        <v>0</v>
      </c>
      <c r="EA18" s="3">
        <f t="shared" si="4"/>
        <v>0</v>
      </c>
      <c r="EB18" s="3">
        <f t="shared" si="4"/>
        <v>0</v>
      </c>
      <c r="EC18" s="3">
        <f t="shared" si="4"/>
        <v>0</v>
      </c>
      <c r="ED18" s="3">
        <f t="shared" si="4"/>
        <v>0</v>
      </c>
      <c r="EE18" s="3">
        <f t="shared" si="4"/>
        <v>0</v>
      </c>
      <c r="EF18" s="3">
        <f t="shared" si="4"/>
        <v>0</v>
      </c>
      <c r="EG18" s="3">
        <f t="shared" si="4"/>
        <v>0</v>
      </c>
      <c r="EH18" s="3">
        <f t="shared" si="4"/>
        <v>0</v>
      </c>
      <c r="EI18" s="3">
        <f t="shared" si="4"/>
        <v>0</v>
      </c>
      <c r="EJ18" s="3">
        <f t="shared" si="4"/>
        <v>0</v>
      </c>
      <c r="EK18" s="3">
        <f t="shared" si="4"/>
        <v>0</v>
      </c>
      <c r="EL18" s="3">
        <f t="shared" si="4"/>
        <v>0</v>
      </c>
      <c r="EM18" s="3">
        <f t="shared" ref="EM18:FR18" si="5">EM328</f>
        <v>0</v>
      </c>
      <c r="EN18" s="3">
        <f t="shared" si="5"/>
        <v>0</v>
      </c>
      <c r="EO18" s="3">
        <f t="shared" si="5"/>
        <v>0</v>
      </c>
      <c r="EP18" s="3">
        <f t="shared" si="5"/>
        <v>0</v>
      </c>
      <c r="EQ18" s="3">
        <f t="shared" si="5"/>
        <v>0</v>
      </c>
      <c r="ER18" s="3">
        <f t="shared" si="5"/>
        <v>0</v>
      </c>
      <c r="ES18" s="3">
        <f t="shared" si="5"/>
        <v>0</v>
      </c>
      <c r="ET18" s="3">
        <f t="shared" si="5"/>
        <v>0</v>
      </c>
      <c r="EU18" s="3">
        <f t="shared" si="5"/>
        <v>0</v>
      </c>
      <c r="EV18" s="3">
        <f t="shared" si="5"/>
        <v>0</v>
      </c>
      <c r="EW18" s="3">
        <f t="shared" si="5"/>
        <v>0</v>
      </c>
      <c r="EX18" s="3">
        <f t="shared" si="5"/>
        <v>0</v>
      </c>
      <c r="EY18" s="3">
        <f t="shared" si="5"/>
        <v>0</v>
      </c>
      <c r="EZ18" s="3">
        <f t="shared" si="5"/>
        <v>0</v>
      </c>
      <c r="FA18" s="3">
        <f t="shared" si="5"/>
        <v>0</v>
      </c>
      <c r="FB18" s="3">
        <f t="shared" si="5"/>
        <v>0</v>
      </c>
      <c r="FC18" s="3">
        <f t="shared" si="5"/>
        <v>0</v>
      </c>
      <c r="FD18" s="3">
        <f t="shared" si="5"/>
        <v>0</v>
      </c>
      <c r="FE18" s="3">
        <f t="shared" si="5"/>
        <v>0</v>
      </c>
      <c r="FF18" s="3">
        <f t="shared" si="5"/>
        <v>0</v>
      </c>
      <c r="FG18" s="3">
        <f t="shared" si="5"/>
        <v>0</v>
      </c>
      <c r="FH18" s="3">
        <f t="shared" si="5"/>
        <v>0</v>
      </c>
      <c r="FI18" s="3">
        <f t="shared" si="5"/>
        <v>0</v>
      </c>
      <c r="FJ18" s="3">
        <f t="shared" si="5"/>
        <v>0</v>
      </c>
      <c r="FK18" s="3">
        <f t="shared" si="5"/>
        <v>0</v>
      </c>
      <c r="FL18" s="3">
        <f t="shared" si="5"/>
        <v>0</v>
      </c>
      <c r="FM18" s="3">
        <f t="shared" si="5"/>
        <v>0</v>
      </c>
      <c r="FN18" s="3">
        <f t="shared" si="5"/>
        <v>0</v>
      </c>
      <c r="FO18" s="3">
        <f t="shared" si="5"/>
        <v>0</v>
      </c>
      <c r="FP18" s="3">
        <f t="shared" si="5"/>
        <v>0</v>
      </c>
      <c r="FQ18" s="3">
        <f t="shared" si="5"/>
        <v>0</v>
      </c>
      <c r="FR18" s="3">
        <f t="shared" si="5"/>
        <v>0</v>
      </c>
      <c r="FS18" s="3">
        <f t="shared" ref="FS18:GX18" si="6">FS328</f>
        <v>0</v>
      </c>
      <c r="FT18" s="3">
        <f t="shared" si="6"/>
        <v>0</v>
      </c>
      <c r="FU18" s="3">
        <f t="shared" si="6"/>
        <v>0</v>
      </c>
      <c r="FV18" s="3">
        <f t="shared" si="6"/>
        <v>0</v>
      </c>
      <c r="FW18" s="3">
        <f t="shared" si="6"/>
        <v>0</v>
      </c>
      <c r="FX18" s="3">
        <f t="shared" si="6"/>
        <v>0</v>
      </c>
      <c r="FY18" s="3">
        <f t="shared" si="6"/>
        <v>0</v>
      </c>
      <c r="FZ18" s="3">
        <f t="shared" si="6"/>
        <v>0</v>
      </c>
      <c r="GA18" s="3">
        <f t="shared" si="6"/>
        <v>0</v>
      </c>
      <c r="GB18" s="3">
        <f t="shared" si="6"/>
        <v>0</v>
      </c>
      <c r="GC18" s="3">
        <f t="shared" si="6"/>
        <v>0</v>
      </c>
      <c r="GD18" s="3">
        <f t="shared" si="6"/>
        <v>0</v>
      </c>
      <c r="GE18" s="3">
        <f t="shared" si="6"/>
        <v>0</v>
      </c>
      <c r="GF18" s="3">
        <f t="shared" si="6"/>
        <v>0</v>
      </c>
      <c r="GG18" s="3">
        <f t="shared" si="6"/>
        <v>0</v>
      </c>
      <c r="GH18" s="3">
        <f t="shared" si="6"/>
        <v>0</v>
      </c>
      <c r="GI18" s="3">
        <f t="shared" si="6"/>
        <v>0</v>
      </c>
      <c r="GJ18" s="3">
        <f t="shared" si="6"/>
        <v>0</v>
      </c>
      <c r="GK18" s="3">
        <f t="shared" si="6"/>
        <v>0</v>
      </c>
      <c r="GL18" s="3">
        <f t="shared" si="6"/>
        <v>0</v>
      </c>
      <c r="GM18" s="3">
        <f t="shared" si="6"/>
        <v>0</v>
      </c>
      <c r="GN18" s="3">
        <f t="shared" si="6"/>
        <v>0</v>
      </c>
      <c r="GO18" s="3">
        <f t="shared" si="6"/>
        <v>0</v>
      </c>
      <c r="GP18" s="3">
        <f t="shared" si="6"/>
        <v>0</v>
      </c>
      <c r="GQ18" s="3">
        <f t="shared" si="6"/>
        <v>0</v>
      </c>
      <c r="GR18" s="3">
        <f t="shared" si="6"/>
        <v>0</v>
      </c>
      <c r="GS18" s="3">
        <f t="shared" si="6"/>
        <v>0</v>
      </c>
      <c r="GT18" s="3">
        <f t="shared" si="6"/>
        <v>0</v>
      </c>
      <c r="GU18" s="3">
        <f t="shared" si="6"/>
        <v>0</v>
      </c>
      <c r="GV18" s="3">
        <f t="shared" si="6"/>
        <v>0</v>
      </c>
      <c r="GW18" s="3">
        <f t="shared" si="6"/>
        <v>0</v>
      </c>
      <c r="GX18" s="3">
        <f t="shared" si="6"/>
        <v>0</v>
      </c>
    </row>
    <row r="20" spans="1:245">
      <c r="A20" s="1">
        <v>3</v>
      </c>
      <c r="B20" s="1">
        <v>1</v>
      </c>
      <c r="C20" s="1"/>
      <c r="D20" s="1">
        <f>ROW(A299)</f>
        <v>299</v>
      </c>
      <c r="E20" s="1"/>
      <c r="F20" s="1" t="s">
        <v>12</v>
      </c>
      <c r="G20" s="1" t="s">
        <v>334</v>
      </c>
      <c r="H20" s="1" t="s">
        <v>3</v>
      </c>
      <c r="I20" s="1">
        <v>0</v>
      </c>
      <c r="J20" s="1" t="s">
        <v>3</v>
      </c>
      <c r="K20" s="1">
        <v>-1</v>
      </c>
      <c r="L20" s="1" t="s">
        <v>3</v>
      </c>
      <c r="M20" s="1"/>
      <c r="N20" s="1"/>
      <c r="O20" s="1"/>
      <c r="P20" s="1"/>
      <c r="Q20" s="1"/>
      <c r="R20" s="1"/>
      <c r="S20" s="1"/>
      <c r="T20" s="1"/>
      <c r="U20" s="1" t="s">
        <v>3</v>
      </c>
      <c r="V20" s="1">
        <v>0</v>
      </c>
      <c r="W20" s="1"/>
      <c r="X20" s="1"/>
      <c r="Y20" s="1"/>
      <c r="Z20" s="1"/>
      <c r="AA20" s="1"/>
      <c r="AB20" s="1" t="s">
        <v>3</v>
      </c>
      <c r="AC20" s="1" t="s">
        <v>3</v>
      </c>
      <c r="AD20" s="1" t="s">
        <v>3</v>
      </c>
      <c r="AE20" s="1" t="s">
        <v>3</v>
      </c>
      <c r="AF20" s="1" t="s">
        <v>3</v>
      </c>
      <c r="AG20" s="1" t="s">
        <v>3</v>
      </c>
      <c r="AH20" s="1"/>
      <c r="AI20" s="1"/>
      <c r="AJ20" s="1"/>
      <c r="AK20" s="1"/>
      <c r="AL20" s="1"/>
      <c r="AM20" s="1"/>
      <c r="AN20" s="1"/>
      <c r="AO20" s="1"/>
      <c r="AP20" s="1" t="s">
        <v>3</v>
      </c>
      <c r="AQ20" s="1" t="s">
        <v>3</v>
      </c>
      <c r="AR20" s="1" t="s">
        <v>3</v>
      </c>
      <c r="AS20" s="1"/>
      <c r="AT20" s="1"/>
      <c r="AU20" s="1"/>
      <c r="AV20" s="1"/>
      <c r="AW20" s="1"/>
      <c r="AX20" s="1"/>
      <c r="AY20" s="1"/>
      <c r="AZ20" s="1" t="s">
        <v>3</v>
      </c>
      <c r="BA20" s="1"/>
      <c r="BB20" s="1" t="s">
        <v>3</v>
      </c>
      <c r="BC20" s="1" t="s">
        <v>3</v>
      </c>
      <c r="BD20" s="1" t="s">
        <v>3</v>
      </c>
      <c r="BE20" s="1" t="s">
        <v>3</v>
      </c>
      <c r="BF20" s="1" t="s">
        <v>3</v>
      </c>
      <c r="BG20" s="1" t="s">
        <v>3</v>
      </c>
      <c r="BH20" s="1" t="s">
        <v>3</v>
      </c>
      <c r="BI20" s="1" t="s">
        <v>3</v>
      </c>
      <c r="BJ20" s="1" t="s">
        <v>3</v>
      </c>
      <c r="BK20" s="1" t="s">
        <v>3</v>
      </c>
      <c r="BL20" s="1" t="s">
        <v>3</v>
      </c>
      <c r="BM20" s="1" t="s">
        <v>3</v>
      </c>
      <c r="BN20" s="1" t="s">
        <v>3</v>
      </c>
      <c r="BO20" s="1" t="s">
        <v>3</v>
      </c>
      <c r="BP20" s="1" t="s">
        <v>3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3</v>
      </c>
      <c r="CJ20" s="1" t="s">
        <v>3</v>
      </c>
    </row>
    <row r="22" spans="1:245">
      <c r="A22" s="2">
        <v>52</v>
      </c>
      <c r="B22" s="2">
        <f t="shared" ref="B22:G22" si="7">B299</f>
        <v>1</v>
      </c>
      <c r="C22" s="2">
        <f t="shared" si="7"/>
        <v>3</v>
      </c>
      <c r="D22" s="2">
        <f t="shared" si="7"/>
        <v>20</v>
      </c>
      <c r="E22" s="2">
        <f t="shared" si="7"/>
        <v>0</v>
      </c>
      <c r="F22" s="2" t="str">
        <f t="shared" si="7"/>
        <v>Новая локальная смета</v>
      </c>
      <c r="G22" s="2" t="str">
        <f t="shared" si="7"/>
        <v>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Кировоградская, д.24, корп.1, со строны м. "Пражская"</v>
      </c>
      <c r="H22" s="2"/>
      <c r="I22" s="2"/>
      <c r="J22" s="2"/>
      <c r="K22" s="2"/>
      <c r="L22" s="2"/>
      <c r="M22" s="2"/>
      <c r="N22" s="2"/>
      <c r="O22" s="2">
        <f t="shared" ref="O22:AT22" si="8">O299</f>
        <v>524739.4</v>
      </c>
      <c r="P22" s="2">
        <f t="shared" si="8"/>
        <v>390922.38</v>
      </c>
      <c r="Q22" s="2">
        <f t="shared" si="8"/>
        <v>9934.4699999999993</v>
      </c>
      <c r="R22" s="2">
        <f t="shared" si="8"/>
        <v>2867.72</v>
      </c>
      <c r="S22" s="2">
        <f t="shared" si="8"/>
        <v>123882.55</v>
      </c>
      <c r="T22" s="2">
        <f t="shared" si="8"/>
        <v>0</v>
      </c>
      <c r="U22" s="2">
        <f t="shared" si="8"/>
        <v>639.1280230019662</v>
      </c>
      <c r="V22" s="2">
        <f t="shared" si="8"/>
        <v>0</v>
      </c>
      <c r="W22" s="2">
        <f t="shared" si="8"/>
        <v>0</v>
      </c>
      <c r="X22" s="2">
        <f t="shared" si="8"/>
        <v>86717.81</v>
      </c>
      <c r="Y22" s="2">
        <f t="shared" si="8"/>
        <v>12388.27</v>
      </c>
      <c r="Z22" s="2">
        <f t="shared" si="8"/>
        <v>0</v>
      </c>
      <c r="AA22" s="2">
        <f t="shared" si="8"/>
        <v>0</v>
      </c>
      <c r="AB22" s="2">
        <f t="shared" si="8"/>
        <v>0</v>
      </c>
      <c r="AC22" s="2">
        <f t="shared" si="8"/>
        <v>0</v>
      </c>
      <c r="AD22" s="2">
        <f t="shared" si="8"/>
        <v>0</v>
      </c>
      <c r="AE22" s="2">
        <f t="shared" si="8"/>
        <v>0</v>
      </c>
      <c r="AF22" s="2">
        <f t="shared" si="8"/>
        <v>0</v>
      </c>
      <c r="AG22" s="2">
        <f t="shared" si="8"/>
        <v>0</v>
      </c>
      <c r="AH22" s="2">
        <f t="shared" si="8"/>
        <v>0</v>
      </c>
      <c r="AI22" s="2">
        <f t="shared" si="8"/>
        <v>0</v>
      </c>
      <c r="AJ22" s="2">
        <f t="shared" si="8"/>
        <v>0</v>
      </c>
      <c r="AK22" s="2">
        <f t="shared" si="8"/>
        <v>0</v>
      </c>
      <c r="AL22" s="2">
        <f t="shared" si="8"/>
        <v>0</v>
      </c>
      <c r="AM22" s="2">
        <f t="shared" si="8"/>
        <v>0</v>
      </c>
      <c r="AN22" s="2">
        <f t="shared" si="8"/>
        <v>0</v>
      </c>
      <c r="AO22" s="2">
        <f t="shared" si="8"/>
        <v>0</v>
      </c>
      <c r="AP22" s="2">
        <f t="shared" si="8"/>
        <v>0</v>
      </c>
      <c r="AQ22" s="2">
        <f t="shared" si="8"/>
        <v>0</v>
      </c>
      <c r="AR22" s="2">
        <f t="shared" si="8"/>
        <v>626942.62</v>
      </c>
      <c r="AS22" s="2">
        <f t="shared" si="8"/>
        <v>0</v>
      </c>
      <c r="AT22" s="2">
        <f t="shared" si="8"/>
        <v>0</v>
      </c>
      <c r="AU22" s="2">
        <f t="shared" ref="AU22:BZ22" si="9">AU299</f>
        <v>626942.62</v>
      </c>
      <c r="AV22" s="2">
        <f t="shared" si="9"/>
        <v>390922.38</v>
      </c>
      <c r="AW22" s="2">
        <f t="shared" si="9"/>
        <v>390922.38</v>
      </c>
      <c r="AX22" s="2">
        <f t="shared" si="9"/>
        <v>0</v>
      </c>
      <c r="AY22" s="2">
        <f t="shared" si="9"/>
        <v>390922.38</v>
      </c>
      <c r="AZ22" s="2">
        <f t="shared" si="9"/>
        <v>0</v>
      </c>
      <c r="BA22" s="2">
        <f t="shared" si="9"/>
        <v>0</v>
      </c>
      <c r="BB22" s="2">
        <f t="shared" si="9"/>
        <v>0</v>
      </c>
      <c r="BC22" s="2">
        <f t="shared" si="9"/>
        <v>0</v>
      </c>
      <c r="BD22" s="2">
        <f t="shared" si="9"/>
        <v>0</v>
      </c>
      <c r="BE22" s="2">
        <f t="shared" si="9"/>
        <v>0</v>
      </c>
      <c r="BF22" s="2">
        <f t="shared" si="9"/>
        <v>0</v>
      </c>
      <c r="BG22" s="2">
        <f t="shared" si="9"/>
        <v>0</v>
      </c>
      <c r="BH22" s="2">
        <f t="shared" si="9"/>
        <v>0</v>
      </c>
      <c r="BI22" s="2">
        <f t="shared" si="9"/>
        <v>0</v>
      </c>
      <c r="BJ22" s="2">
        <f t="shared" si="9"/>
        <v>0</v>
      </c>
      <c r="BK22" s="2">
        <f t="shared" si="9"/>
        <v>0</v>
      </c>
      <c r="BL22" s="2">
        <f t="shared" si="9"/>
        <v>0</v>
      </c>
      <c r="BM22" s="2">
        <f t="shared" si="9"/>
        <v>0</v>
      </c>
      <c r="BN22" s="2">
        <f t="shared" si="9"/>
        <v>0</v>
      </c>
      <c r="BO22" s="2">
        <f t="shared" si="9"/>
        <v>0</v>
      </c>
      <c r="BP22" s="2">
        <f t="shared" si="9"/>
        <v>0</v>
      </c>
      <c r="BQ22" s="2">
        <f t="shared" si="9"/>
        <v>0</v>
      </c>
      <c r="BR22" s="2">
        <f t="shared" si="9"/>
        <v>0</v>
      </c>
      <c r="BS22" s="2">
        <f t="shared" si="9"/>
        <v>0</v>
      </c>
      <c r="BT22" s="2">
        <f t="shared" si="9"/>
        <v>0</v>
      </c>
      <c r="BU22" s="2">
        <f t="shared" si="9"/>
        <v>0</v>
      </c>
      <c r="BV22" s="2">
        <f t="shared" si="9"/>
        <v>0</v>
      </c>
      <c r="BW22" s="2">
        <f t="shared" si="9"/>
        <v>0</v>
      </c>
      <c r="BX22" s="2">
        <f t="shared" si="9"/>
        <v>0</v>
      </c>
      <c r="BY22" s="2">
        <f t="shared" si="9"/>
        <v>0</v>
      </c>
      <c r="BZ22" s="2">
        <f t="shared" si="9"/>
        <v>0</v>
      </c>
      <c r="CA22" s="2">
        <f t="shared" ref="CA22:DF22" si="10">CA299</f>
        <v>0</v>
      </c>
      <c r="CB22" s="2">
        <f t="shared" si="10"/>
        <v>0</v>
      </c>
      <c r="CC22" s="2">
        <f t="shared" si="10"/>
        <v>0</v>
      </c>
      <c r="CD22" s="2">
        <f t="shared" si="10"/>
        <v>0</v>
      </c>
      <c r="CE22" s="2">
        <f t="shared" si="10"/>
        <v>0</v>
      </c>
      <c r="CF22" s="2">
        <f t="shared" si="10"/>
        <v>0</v>
      </c>
      <c r="CG22" s="2">
        <f t="shared" si="10"/>
        <v>0</v>
      </c>
      <c r="CH22" s="2">
        <f t="shared" si="10"/>
        <v>0</v>
      </c>
      <c r="CI22" s="2">
        <f t="shared" si="10"/>
        <v>0</v>
      </c>
      <c r="CJ22" s="2">
        <f t="shared" si="10"/>
        <v>0</v>
      </c>
      <c r="CK22" s="2">
        <f t="shared" si="10"/>
        <v>0</v>
      </c>
      <c r="CL22" s="2">
        <f t="shared" si="10"/>
        <v>0</v>
      </c>
      <c r="CM22" s="2">
        <f t="shared" si="10"/>
        <v>0</v>
      </c>
      <c r="CN22" s="2">
        <f t="shared" si="10"/>
        <v>0</v>
      </c>
      <c r="CO22" s="2">
        <f t="shared" si="10"/>
        <v>0</v>
      </c>
      <c r="CP22" s="2">
        <f t="shared" si="10"/>
        <v>0</v>
      </c>
      <c r="CQ22" s="2">
        <f t="shared" si="10"/>
        <v>0</v>
      </c>
      <c r="CR22" s="2">
        <f t="shared" si="10"/>
        <v>0</v>
      </c>
      <c r="CS22" s="2">
        <f t="shared" si="10"/>
        <v>0</v>
      </c>
      <c r="CT22" s="2">
        <f t="shared" si="10"/>
        <v>0</v>
      </c>
      <c r="CU22" s="2">
        <f t="shared" si="10"/>
        <v>0</v>
      </c>
      <c r="CV22" s="2">
        <f t="shared" si="10"/>
        <v>0</v>
      </c>
      <c r="CW22" s="2">
        <f t="shared" si="10"/>
        <v>0</v>
      </c>
      <c r="CX22" s="2">
        <f t="shared" si="10"/>
        <v>0</v>
      </c>
      <c r="CY22" s="2">
        <f t="shared" si="10"/>
        <v>0</v>
      </c>
      <c r="CZ22" s="2">
        <f t="shared" si="10"/>
        <v>0</v>
      </c>
      <c r="DA22" s="2">
        <f t="shared" si="10"/>
        <v>0</v>
      </c>
      <c r="DB22" s="2">
        <f t="shared" si="10"/>
        <v>0</v>
      </c>
      <c r="DC22" s="2">
        <f t="shared" si="10"/>
        <v>0</v>
      </c>
      <c r="DD22" s="2">
        <f t="shared" si="10"/>
        <v>0</v>
      </c>
      <c r="DE22" s="2">
        <f t="shared" si="10"/>
        <v>0</v>
      </c>
      <c r="DF22" s="2">
        <f t="shared" si="10"/>
        <v>0</v>
      </c>
      <c r="DG22" s="3">
        <f t="shared" ref="DG22:EL22" si="11">DG299</f>
        <v>0</v>
      </c>
      <c r="DH22" s="3">
        <f t="shared" si="11"/>
        <v>0</v>
      </c>
      <c r="DI22" s="3">
        <f t="shared" si="11"/>
        <v>0</v>
      </c>
      <c r="DJ22" s="3">
        <f t="shared" si="11"/>
        <v>0</v>
      </c>
      <c r="DK22" s="3">
        <f t="shared" si="11"/>
        <v>0</v>
      </c>
      <c r="DL22" s="3">
        <f t="shared" si="11"/>
        <v>0</v>
      </c>
      <c r="DM22" s="3">
        <f t="shared" si="11"/>
        <v>0</v>
      </c>
      <c r="DN22" s="3">
        <f t="shared" si="11"/>
        <v>0</v>
      </c>
      <c r="DO22" s="3">
        <f t="shared" si="11"/>
        <v>0</v>
      </c>
      <c r="DP22" s="3">
        <f t="shared" si="11"/>
        <v>0</v>
      </c>
      <c r="DQ22" s="3">
        <f t="shared" si="11"/>
        <v>0</v>
      </c>
      <c r="DR22" s="3">
        <f t="shared" si="11"/>
        <v>0</v>
      </c>
      <c r="DS22" s="3">
        <f t="shared" si="11"/>
        <v>0</v>
      </c>
      <c r="DT22" s="3">
        <f t="shared" si="11"/>
        <v>0</v>
      </c>
      <c r="DU22" s="3">
        <f t="shared" si="11"/>
        <v>0</v>
      </c>
      <c r="DV22" s="3">
        <f t="shared" si="11"/>
        <v>0</v>
      </c>
      <c r="DW22" s="3">
        <f t="shared" si="11"/>
        <v>0</v>
      </c>
      <c r="DX22" s="3">
        <f t="shared" si="11"/>
        <v>0</v>
      </c>
      <c r="DY22" s="3">
        <f t="shared" si="11"/>
        <v>0</v>
      </c>
      <c r="DZ22" s="3">
        <f t="shared" si="11"/>
        <v>0</v>
      </c>
      <c r="EA22" s="3">
        <f t="shared" si="11"/>
        <v>0</v>
      </c>
      <c r="EB22" s="3">
        <f t="shared" si="11"/>
        <v>0</v>
      </c>
      <c r="EC22" s="3">
        <f t="shared" si="11"/>
        <v>0</v>
      </c>
      <c r="ED22" s="3">
        <f t="shared" si="11"/>
        <v>0</v>
      </c>
      <c r="EE22" s="3">
        <f t="shared" si="11"/>
        <v>0</v>
      </c>
      <c r="EF22" s="3">
        <f t="shared" si="11"/>
        <v>0</v>
      </c>
      <c r="EG22" s="3">
        <f t="shared" si="11"/>
        <v>0</v>
      </c>
      <c r="EH22" s="3">
        <f t="shared" si="11"/>
        <v>0</v>
      </c>
      <c r="EI22" s="3">
        <f t="shared" si="11"/>
        <v>0</v>
      </c>
      <c r="EJ22" s="3">
        <f t="shared" si="11"/>
        <v>0</v>
      </c>
      <c r="EK22" s="3">
        <f t="shared" si="11"/>
        <v>0</v>
      </c>
      <c r="EL22" s="3">
        <f t="shared" si="11"/>
        <v>0</v>
      </c>
      <c r="EM22" s="3">
        <f t="shared" ref="EM22:FR22" si="12">EM299</f>
        <v>0</v>
      </c>
      <c r="EN22" s="3">
        <f t="shared" si="12"/>
        <v>0</v>
      </c>
      <c r="EO22" s="3">
        <f t="shared" si="12"/>
        <v>0</v>
      </c>
      <c r="EP22" s="3">
        <f t="shared" si="12"/>
        <v>0</v>
      </c>
      <c r="EQ22" s="3">
        <f t="shared" si="12"/>
        <v>0</v>
      </c>
      <c r="ER22" s="3">
        <f t="shared" si="12"/>
        <v>0</v>
      </c>
      <c r="ES22" s="3">
        <f t="shared" si="12"/>
        <v>0</v>
      </c>
      <c r="ET22" s="3">
        <f t="shared" si="12"/>
        <v>0</v>
      </c>
      <c r="EU22" s="3">
        <f t="shared" si="12"/>
        <v>0</v>
      </c>
      <c r="EV22" s="3">
        <f t="shared" si="12"/>
        <v>0</v>
      </c>
      <c r="EW22" s="3">
        <f t="shared" si="12"/>
        <v>0</v>
      </c>
      <c r="EX22" s="3">
        <f t="shared" si="12"/>
        <v>0</v>
      </c>
      <c r="EY22" s="3">
        <f t="shared" si="12"/>
        <v>0</v>
      </c>
      <c r="EZ22" s="3">
        <f t="shared" si="12"/>
        <v>0</v>
      </c>
      <c r="FA22" s="3">
        <f t="shared" si="12"/>
        <v>0</v>
      </c>
      <c r="FB22" s="3">
        <f t="shared" si="12"/>
        <v>0</v>
      </c>
      <c r="FC22" s="3">
        <f t="shared" si="12"/>
        <v>0</v>
      </c>
      <c r="FD22" s="3">
        <f t="shared" si="12"/>
        <v>0</v>
      </c>
      <c r="FE22" s="3">
        <f t="shared" si="12"/>
        <v>0</v>
      </c>
      <c r="FF22" s="3">
        <f t="shared" si="12"/>
        <v>0</v>
      </c>
      <c r="FG22" s="3">
        <f t="shared" si="12"/>
        <v>0</v>
      </c>
      <c r="FH22" s="3">
        <f t="shared" si="12"/>
        <v>0</v>
      </c>
      <c r="FI22" s="3">
        <f t="shared" si="12"/>
        <v>0</v>
      </c>
      <c r="FJ22" s="3">
        <f t="shared" si="12"/>
        <v>0</v>
      </c>
      <c r="FK22" s="3">
        <f t="shared" si="12"/>
        <v>0</v>
      </c>
      <c r="FL22" s="3">
        <f t="shared" si="12"/>
        <v>0</v>
      </c>
      <c r="FM22" s="3">
        <f t="shared" si="12"/>
        <v>0</v>
      </c>
      <c r="FN22" s="3">
        <f t="shared" si="12"/>
        <v>0</v>
      </c>
      <c r="FO22" s="3">
        <f t="shared" si="12"/>
        <v>0</v>
      </c>
      <c r="FP22" s="3">
        <f t="shared" si="12"/>
        <v>0</v>
      </c>
      <c r="FQ22" s="3">
        <f t="shared" si="12"/>
        <v>0</v>
      </c>
      <c r="FR22" s="3">
        <f t="shared" si="12"/>
        <v>0</v>
      </c>
      <c r="FS22" s="3">
        <f t="shared" ref="FS22:GX22" si="13">FS299</f>
        <v>0</v>
      </c>
      <c r="FT22" s="3">
        <f t="shared" si="13"/>
        <v>0</v>
      </c>
      <c r="FU22" s="3">
        <f t="shared" si="13"/>
        <v>0</v>
      </c>
      <c r="FV22" s="3">
        <f t="shared" si="13"/>
        <v>0</v>
      </c>
      <c r="FW22" s="3">
        <f t="shared" si="13"/>
        <v>0</v>
      </c>
      <c r="FX22" s="3">
        <f t="shared" si="13"/>
        <v>0</v>
      </c>
      <c r="FY22" s="3">
        <f t="shared" si="13"/>
        <v>0</v>
      </c>
      <c r="FZ22" s="3">
        <f t="shared" si="13"/>
        <v>0</v>
      </c>
      <c r="GA22" s="3">
        <f t="shared" si="13"/>
        <v>0</v>
      </c>
      <c r="GB22" s="3">
        <f t="shared" si="13"/>
        <v>0</v>
      </c>
      <c r="GC22" s="3">
        <f t="shared" si="13"/>
        <v>0</v>
      </c>
      <c r="GD22" s="3">
        <f t="shared" si="13"/>
        <v>0</v>
      </c>
      <c r="GE22" s="3">
        <f t="shared" si="13"/>
        <v>0</v>
      </c>
      <c r="GF22" s="3">
        <f t="shared" si="13"/>
        <v>0</v>
      </c>
      <c r="GG22" s="3">
        <f t="shared" si="13"/>
        <v>0</v>
      </c>
      <c r="GH22" s="3">
        <f t="shared" si="13"/>
        <v>0</v>
      </c>
      <c r="GI22" s="3">
        <f t="shared" si="13"/>
        <v>0</v>
      </c>
      <c r="GJ22" s="3">
        <f t="shared" si="13"/>
        <v>0</v>
      </c>
      <c r="GK22" s="3">
        <f t="shared" si="13"/>
        <v>0</v>
      </c>
      <c r="GL22" s="3">
        <f t="shared" si="13"/>
        <v>0</v>
      </c>
      <c r="GM22" s="3">
        <f t="shared" si="13"/>
        <v>0</v>
      </c>
      <c r="GN22" s="3">
        <f t="shared" si="13"/>
        <v>0</v>
      </c>
      <c r="GO22" s="3">
        <f t="shared" si="13"/>
        <v>0</v>
      </c>
      <c r="GP22" s="3">
        <f t="shared" si="13"/>
        <v>0</v>
      </c>
      <c r="GQ22" s="3">
        <f t="shared" si="13"/>
        <v>0</v>
      </c>
      <c r="GR22" s="3">
        <f t="shared" si="13"/>
        <v>0</v>
      </c>
      <c r="GS22" s="3">
        <f t="shared" si="13"/>
        <v>0</v>
      </c>
      <c r="GT22" s="3">
        <f t="shared" si="13"/>
        <v>0</v>
      </c>
      <c r="GU22" s="3">
        <f t="shared" si="13"/>
        <v>0</v>
      </c>
      <c r="GV22" s="3">
        <f t="shared" si="13"/>
        <v>0</v>
      </c>
      <c r="GW22" s="3">
        <f t="shared" si="13"/>
        <v>0</v>
      </c>
      <c r="GX22" s="3">
        <f t="shared" si="13"/>
        <v>0</v>
      </c>
    </row>
    <row r="24" spans="1:245">
      <c r="A24" s="1">
        <v>4</v>
      </c>
      <c r="B24" s="1">
        <v>1</v>
      </c>
      <c r="C24" s="1"/>
      <c r="D24" s="1">
        <f>ROW(A41)</f>
        <v>41</v>
      </c>
      <c r="E24" s="1"/>
      <c r="F24" s="1" t="s">
        <v>13</v>
      </c>
      <c r="G24" s="1" t="s">
        <v>14</v>
      </c>
      <c r="H24" s="1" t="s">
        <v>3</v>
      </c>
      <c r="I24" s="1">
        <v>0</v>
      </c>
      <c r="J24" s="1"/>
      <c r="K24" s="1">
        <v>-1</v>
      </c>
      <c r="L24" s="1"/>
      <c r="M24" s="1"/>
      <c r="N24" s="1"/>
      <c r="O24" s="1"/>
      <c r="P24" s="1"/>
      <c r="Q24" s="1"/>
      <c r="R24" s="1"/>
      <c r="S24" s="1"/>
      <c r="T24" s="1"/>
      <c r="U24" s="1" t="s">
        <v>3</v>
      </c>
      <c r="V24" s="1">
        <v>0</v>
      </c>
      <c r="W24" s="1"/>
      <c r="X24" s="1"/>
      <c r="Y24" s="1"/>
      <c r="Z24" s="1"/>
      <c r="AA24" s="1"/>
      <c r="AB24" s="1" t="s">
        <v>3</v>
      </c>
      <c r="AC24" s="1" t="s">
        <v>3</v>
      </c>
      <c r="AD24" s="1" t="s">
        <v>3</v>
      </c>
      <c r="AE24" s="1" t="s">
        <v>3</v>
      </c>
      <c r="AF24" s="1" t="s">
        <v>3</v>
      </c>
      <c r="AG24" s="1" t="s">
        <v>3</v>
      </c>
      <c r="AH24" s="1"/>
      <c r="AI24" s="1"/>
      <c r="AJ24" s="1"/>
      <c r="AK24" s="1"/>
      <c r="AL24" s="1"/>
      <c r="AM24" s="1"/>
      <c r="AN24" s="1"/>
      <c r="AO24" s="1"/>
      <c r="AP24" s="1" t="s">
        <v>3</v>
      </c>
      <c r="AQ24" s="1" t="s">
        <v>3</v>
      </c>
      <c r="AR24" s="1" t="s">
        <v>3</v>
      </c>
      <c r="AS24" s="1"/>
      <c r="AT24" s="1"/>
      <c r="AU24" s="1"/>
      <c r="AV24" s="1"/>
      <c r="AW24" s="1"/>
      <c r="AX24" s="1"/>
      <c r="AY24" s="1"/>
      <c r="AZ24" s="1" t="s">
        <v>3</v>
      </c>
      <c r="BA24" s="1"/>
      <c r="BB24" s="1" t="s">
        <v>3</v>
      </c>
      <c r="BC24" s="1" t="s">
        <v>3</v>
      </c>
      <c r="BD24" s="1" t="s">
        <v>3</v>
      </c>
      <c r="BE24" s="1" t="s">
        <v>3</v>
      </c>
      <c r="BF24" s="1" t="s">
        <v>3</v>
      </c>
      <c r="BG24" s="1" t="s">
        <v>3</v>
      </c>
      <c r="BH24" s="1" t="s">
        <v>3</v>
      </c>
      <c r="BI24" s="1" t="s">
        <v>3</v>
      </c>
      <c r="BJ24" s="1" t="s">
        <v>3</v>
      </c>
      <c r="BK24" s="1" t="s">
        <v>3</v>
      </c>
      <c r="BL24" s="1" t="s">
        <v>3</v>
      </c>
      <c r="BM24" s="1" t="s">
        <v>3</v>
      </c>
      <c r="BN24" s="1" t="s">
        <v>3</v>
      </c>
      <c r="BO24" s="1" t="s">
        <v>3</v>
      </c>
      <c r="BP24" s="1" t="s">
        <v>3</v>
      </c>
      <c r="BQ24" s="1"/>
      <c r="BR24" s="1"/>
      <c r="BS24" s="1"/>
      <c r="BT24" s="1"/>
      <c r="BU24" s="1"/>
      <c r="BV24" s="1"/>
      <c r="BW24" s="1"/>
      <c r="BX24" s="1">
        <v>0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>
        <v>0</v>
      </c>
    </row>
    <row r="26" spans="1:245">
      <c r="A26" s="2">
        <v>52</v>
      </c>
      <c r="B26" s="2">
        <f t="shared" ref="B26:G26" si="14">B41</f>
        <v>1</v>
      </c>
      <c r="C26" s="2">
        <f t="shared" si="14"/>
        <v>4</v>
      </c>
      <c r="D26" s="2">
        <f t="shared" si="14"/>
        <v>24</v>
      </c>
      <c r="E26" s="2">
        <f t="shared" si="14"/>
        <v>0</v>
      </c>
      <c r="F26" s="2" t="str">
        <f t="shared" si="14"/>
        <v>Новый раздел</v>
      </c>
      <c r="G26" s="2" t="str">
        <f t="shared" si="14"/>
        <v>Устройство цветника - 58м2</v>
      </c>
      <c r="H26" s="2"/>
      <c r="I26" s="2"/>
      <c r="J26" s="2"/>
      <c r="K26" s="2"/>
      <c r="L26" s="2"/>
      <c r="M26" s="2"/>
      <c r="N26" s="2"/>
      <c r="O26" s="2">
        <f t="shared" ref="O26:AT26" si="15">O41</f>
        <v>134782.53</v>
      </c>
      <c r="P26" s="2">
        <f t="shared" si="15"/>
        <v>106355.65</v>
      </c>
      <c r="Q26" s="2">
        <f t="shared" si="15"/>
        <v>487.54</v>
      </c>
      <c r="R26" s="2">
        <f t="shared" si="15"/>
        <v>269.22000000000003</v>
      </c>
      <c r="S26" s="2">
        <f t="shared" si="15"/>
        <v>27939.34</v>
      </c>
      <c r="T26" s="2">
        <f t="shared" si="15"/>
        <v>0</v>
      </c>
      <c r="U26" s="2">
        <f t="shared" si="15"/>
        <v>149.55155000196621</v>
      </c>
      <c r="V26" s="2">
        <f t="shared" si="15"/>
        <v>0</v>
      </c>
      <c r="W26" s="2">
        <f t="shared" si="15"/>
        <v>0</v>
      </c>
      <c r="X26" s="2">
        <f t="shared" si="15"/>
        <v>19557.55</v>
      </c>
      <c r="Y26" s="2">
        <f t="shared" si="15"/>
        <v>2793.94</v>
      </c>
      <c r="Z26" s="2">
        <f t="shared" si="15"/>
        <v>0</v>
      </c>
      <c r="AA26" s="2">
        <f t="shared" si="15"/>
        <v>0</v>
      </c>
      <c r="AB26" s="2">
        <f t="shared" si="15"/>
        <v>134782.53</v>
      </c>
      <c r="AC26" s="2">
        <f t="shared" si="15"/>
        <v>106355.65</v>
      </c>
      <c r="AD26" s="2">
        <f t="shared" si="15"/>
        <v>487.54</v>
      </c>
      <c r="AE26" s="2">
        <f t="shared" si="15"/>
        <v>269.22000000000003</v>
      </c>
      <c r="AF26" s="2">
        <f t="shared" si="15"/>
        <v>27939.34</v>
      </c>
      <c r="AG26" s="2">
        <f t="shared" si="15"/>
        <v>0</v>
      </c>
      <c r="AH26" s="2">
        <f t="shared" si="15"/>
        <v>149.55155000196621</v>
      </c>
      <c r="AI26" s="2">
        <f t="shared" si="15"/>
        <v>0</v>
      </c>
      <c r="AJ26" s="2">
        <f t="shared" si="15"/>
        <v>0</v>
      </c>
      <c r="AK26" s="2">
        <f t="shared" si="15"/>
        <v>19557.55</v>
      </c>
      <c r="AL26" s="2">
        <f t="shared" si="15"/>
        <v>2793.94</v>
      </c>
      <c r="AM26" s="2">
        <f t="shared" si="15"/>
        <v>0</v>
      </c>
      <c r="AN26" s="2">
        <f t="shared" si="15"/>
        <v>0</v>
      </c>
      <c r="AO26" s="2">
        <f t="shared" si="15"/>
        <v>0</v>
      </c>
      <c r="AP26" s="2">
        <f t="shared" si="15"/>
        <v>0</v>
      </c>
      <c r="AQ26" s="2">
        <f t="shared" si="15"/>
        <v>0</v>
      </c>
      <c r="AR26" s="2">
        <f t="shared" si="15"/>
        <v>157424.78</v>
      </c>
      <c r="AS26" s="2">
        <f t="shared" si="15"/>
        <v>0</v>
      </c>
      <c r="AT26" s="2">
        <f t="shared" si="15"/>
        <v>0</v>
      </c>
      <c r="AU26" s="2">
        <f t="shared" ref="AU26:BZ26" si="16">AU41</f>
        <v>157424.78</v>
      </c>
      <c r="AV26" s="2">
        <f t="shared" si="16"/>
        <v>106355.65</v>
      </c>
      <c r="AW26" s="2">
        <f t="shared" si="16"/>
        <v>106355.65</v>
      </c>
      <c r="AX26" s="2">
        <f t="shared" si="16"/>
        <v>0</v>
      </c>
      <c r="AY26" s="2">
        <f t="shared" si="16"/>
        <v>106355.65</v>
      </c>
      <c r="AZ26" s="2">
        <f t="shared" si="16"/>
        <v>0</v>
      </c>
      <c r="BA26" s="2">
        <f t="shared" si="16"/>
        <v>0</v>
      </c>
      <c r="BB26" s="2">
        <f t="shared" si="16"/>
        <v>0</v>
      </c>
      <c r="BC26" s="2">
        <f t="shared" si="16"/>
        <v>0</v>
      </c>
      <c r="BD26" s="2">
        <f t="shared" si="16"/>
        <v>0</v>
      </c>
      <c r="BE26" s="2">
        <f t="shared" si="16"/>
        <v>0</v>
      </c>
      <c r="BF26" s="2">
        <f t="shared" si="16"/>
        <v>0</v>
      </c>
      <c r="BG26" s="2">
        <f t="shared" si="16"/>
        <v>0</v>
      </c>
      <c r="BH26" s="2">
        <f t="shared" si="16"/>
        <v>0</v>
      </c>
      <c r="BI26" s="2">
        <f t="shared" si="16"/>
        <v>0</v>
      </c>
      <c r="BJ26" s="2">
        <f t="shared" si="16"/>
        <v>0</v>
      </c>
      <c r="BK26" s="2">
        <f t="shared" si="16"/>
        <v>0</v>
      </c>
      <c r="BL26" s="2">
        <f t="shared" si="16"/>
        <v>0</v>
      </c>
      <c r="BM26" s="2">
        <f t="shared" si="16"/>
        <v>0</v>
      </c>
      <c r="BN26" s="2">
        <f t="shared" si="16"/>
        <v>0</v>
      </c>
      <c r="BO26" s="2">
        <f t="shared" si="16"/>
        <v>0</v>
      </c>
      <c r="BP26" s="2">
        <f t="shared" si="16"/>
        <v>0</v>
      </c>
      <c r="BQ26" s="2">
        <f t="shared" si="16"/>
        <v>0</v>
      </c>
      <c r="BR26" s="2">
        <f t="shared" si="16"/>
        <v>0</v>
      </c>
      <c r="BS26" s="2">
        <f t="shared" si="16"/>
        <v>0</v>
      </c>
      <c r="BT26" s="2">
        <f t="shared" si="16"/>
        <v>0</v>
      </c>
      <c r="BU26" s="2">
        <f t="shared" si="16"/>
        <v>0</v>
      </c>
      <c r="BV26" s="2">
        <f t="shared" si="16"/>
        <v>0</v>
      </c>
      <c r="BW26" s="2">
        <f t="shared" si="16"/>
        <v>0</v>
      </c>
      <c r="BX26" s="2">
        <f t="shared" si="16"/>
        <v>0</v>
      </c>
      <c r="BY26" s="2">
        <f t="shared" si="16"/>
        <v>0</v>
      </c>
      <c r="BZ26" s="2">
        <f t="shared" si="16"/>
        <v>0</v>
      </c>
      <c r="CA26" s="2">
        <f t="shared" ref="CA26:DF26" si="17">CA41</f>
        <v>157424.78</v>
      </c>
      <c r="CB26" s="2">
        <f t="shared" si="17"/>
        <v>0</v>
      </c>
      <c r="CC26" s="2">
        <f t="shared" si="17"/>
        <v>0</v>
      </c>
      <c r="CD26" s="2">
        <f t="shared" si="17"/>
        <v>157424.78</v>
      </c>
      <c r="CE26" s="2">
        <f t="shared" si="17"/>
        <v>106355.65</v>
      </c>
      <c r="CF26" s="2">
        <f t="shared" si="17"/>
        <v>106355.65</v>
      </c>
      <c r="CG26" s="2">
        <f t="shared" si="17"/>
        <v>0</v>
      </c>
      <c r="CH26" s="2">
        <f t="shared" si="17"/>
        <v>106355.65</v>
      </c>
      <c r="CI26" s="2">
        <f t="shared" si="17"/>
        <v>0</v>
      </c>
      <c r="CJ26" s="2">
        <f t="shared" si="17"/>
        <v>0</v>
      </c>
      <c r="CK26" s="2">
        <f t="shared" si="17"/>
        <v>0</v>
      </c>
      <c r="CL26" s="2">
        <f t="shared" si="17"/>
        <v>0</v>
      </c>
      <c r="CM26" s="2">
        <f t="shared" si="17"/>
        <v>0</v>
      </c>
      <c r="CN26" s="2">
        <f t="shared" si="17"/>
        <v>0</v>
      </c>
      <c r="CO26" s="2">
        <f t="shared" si="17"/>
        <v>0</v>
      </c>
      <c r="CP26" s="2">
        <f t="shared" si="17"/>
        <v>0</v>
      </c>
      <c r="CQ26" s="2">
        <f t="shared" si="17"/>
        <v>0</v>
      </c>
      <c r="CR26" s="2">
        <f t="shared" si="17"/>
        <v>0</v>
      </c>
      <c r="CS26" s="2">
        <f t="shared" si="17"/>
        <v>0</v>
      </c>
      <c r="CT26" s="2">
        <f t="shared" si="17"/>
        <v>0</v>
      </c>
      <c r="CU26" s="2">
        <f t="shared" si="17"/>
        <v>0</v>
      </c>
      <c r="CV26" s="2">
        <f t="shared" si="17"/>
        <v>0</v>
      </c>
      <c r="CW26" s="2">
        <f t="shared" si="17"/>
        <v>0</v>
      </c>
      <c r="CX26" s="2">
        <f t="shared" si="17"/>
        <v>0</v>
      </c>
      <c r="CY26" s="2">
        <f t="shared" si="17"/>
        <v>0</v>
      </c>
      <c r="CZ26" s="2">
        <f t="shared" si="17"/>
        <v>0</v>
      </c>
      <c r="DA26" s="2">
        <f t="shared" si="17"/>
        <v>0</v>
      </c>
      <c r="DB26" s="2">
        <f t="shared" si="17"/>
        <v>0</v>
      </c>
      <c r="DC26" s="2">
        <f t="shared" si="17"/>
        <v>0</v>
      </c>
      <c r="DD26" s="2">
        <f t="shared" si="17"/>
        <v>0</v>
      </c>
      <c r="DE26" s="2">
        <f t="shared" si="17"/>
        <v>0</v>
      </c>
      <c r="DF26" s="2">
        <f t="shared" si="17"/>
        <v>0</v>
      </c>
      <c r="DG26" s="3">
        <f t="shared" ref="DG26:EL26" si="18">DG41</f>
        <v>0</v>
      </c>
      <c r="DH26" s="3">
        <f t="shared" si="18"/>
        <v>0</v>
      </c>
      <c r="DI26" s="3">
        <f t="shared" si="18"/>
        <v>0</v>
      </c>
      <c r="DJ26" s="3">
        <f t="shared" si="18"/>
        <v>0</v>
      </c>
      <c r="DK26" s="3">
        <f t="shared" si="18"/>
        <v>0</v>
      </c>
      <c r="DL26" s="3">
        <f t="shared" si="18"/>
        <v>0</v>
      </c>
      <c r="DM26" s="3">
        <f t="shared" si="18"/>
        <v>0</v>
      </c>
      <c r="DN26" s="3">
        <f t="shared" si="18"/>
        <v>0</v>
      </c>
      <c r="DO26" s="3">
        <f t="shared" si="18"/>
        <v>0</v>
      </c>
      <c r="DP26" s="3">
        <f t="shared" si="18"/>
        <v>0</v>
      </c>
      <c r="DQ26" s="3">
        <f t="shared" si="18"/>
        <v>0</v>
      </c>
      <c r="DR26" s="3">
        <f t="shared" si="18"/>
        <v>0</v>
      </c>
      <c r="DS26" s="3">
        <f t="shared" si="18"/>
        <v>0</v>
      </c>
      <c r="DT26" s="3">
        <f t="shared" si="18"/>
        <v>0</v>
      </c>
      <c r="DU26" s="3">
        <f t="shared" si="18"/>
        <v>0</v>
      </c>
      <c r="DV26" s="3">
        <f t="shared" si="18"/>
        <v>0</v>
      </c>
      <c r="DW26" s="3">
        <f t="shared" si="18"/>
        <v>0</v>
      </c>
      <c r="DX26" s="3">
        <f t="shared" si="18"/>
        <v>0</v>
      </c>
      <c r="DY26" s="3">
        <f t="shared" si="18"/>
        <v>0</v>
      </c>
      <c r="DZ26" s="3">
        <f t="shared" si="18"/>
        <v>0</v>
      </c>
      <c r="EA26" s="3">
        <f t="shared" si="18"/>
        <v>0</v>
      </c>
      <c r="EB26" s="3">
        <f t="shared" si="18"/>
        <v>0</v>
      </c>
      <c r="EC26" s="3">
        <f t="shared" si="18"/>
        <v>0</v>
      </c>
      <c r="ED26" s="3">
        <f t="shared" si="18"/>
        <v>0</v>
      </c>
      <c r="EE26" s="3">
        <f t="shared" si="18"/>
        <v>0</v>
      </c>
      <c r="EF26" s="3">
        <f t="shared" si="18"/>
        <v>0</v>
      </c>
      <c r="EG26" s="3">
        <f t="shared" si="18"/>
        <v>0</v>
      </c>
      <c r="EH26" s="3">
        <f t="shared" si="18"/>
        <v>0</v>
      </c>
      <c r="EI26" s="3">
        <f t="shared" si="18"/>
        <v>0</v>
      </c>
      <c r="EJ26" s="3">
        <f t="shared" si="18"/>
        <v>0</v>
      </c>
      <c r="EK26" s="3">
        <f t="shared" si="18"/>
        <v>0</v>
      </c>
      <c r="EL26" s="3">
        <f t="shared" si="18"/>
        <v>0</v>
      </c>
      <c r="EM26" s="3">
        <f t="shared" ref="EM26:FR26" si="19">EM41</f>
        <v>0</v>
      </c>
      <c r="EN26" s="3">
        <f t="shared" si="19"/>
        <v>0</v>
      </c>
      <c r="EO26" s="3">
        <f t="shared" si="19"/>
        <v>0</v>
      </c>
      <c r="EP26" s="3">
        <f t="shared" si="19"/>
        <v>0</v>
      </c>
      <c r="EQ26" s="3">
        <f t="shared" si="19"/>
        <v>0</v>
      </c>
      <c r="ER26" s="3">
        <f t="shared" si="19"/>
        <v>0</v>
      </c>
      <c r="ES26" s="3">
        <f t="shared" si="19"/>
        <v>0</v>
      </c>
      <c r="ET26" s="3">
        <f t="shared" si="19"/>
        <v>0</v>
      </c>
      <c r="EU26" s="3">
        <f t="shared" si="19"/>
        <v>0</v>
      </c>
      <c r="EV26" s="3">
        <f t="shared" si="19"/>
        <v>0</v>
      </c>
      <c r="EW26" s="3">
        <f t="shared" si="19"/>
        <v>0</v>
      </c>
      <c r="EX26" s="3">
        <f t="shared" si="19"/>
        <v>0</v>
      </c>
      <c r="EY26" s="3">
        <f t="shared" si="19"/>
        <v>0</v>
      </c>
      <c r="EZ26" s="3">
        <f t="shared" si="19"/>
        <v>0</v>
      </c>
      <c r="FA26" s="3">
        <f t="shared" si="19"/>
        <v>0</v>
      </c>
      <c r="FB26" s="3">
        <f t="shared" si="19"/>
        <v>0</v>
      </c>
      <c r="FC26" s="3">
        <f t="shared" si="19"/>
        <v>0</v>
      </c>
      <c r="FD26" s="3">
        <f t="shared" si="19"/>
        <v>0</v>
      </c>
      <c r="FE26" s="3">
        <f t="shared" si="19"/>
        <v>0</v>
      </c>
      <c r="FF26" s="3">
        <f t="shared" si="19"/>
        <v>0</v>
      </c>
      <c r="FG26" s="3">
        <f t="shared" si="19"/>
        <v>0</v>
      </c>
      <c r="FH26" s="3">
        <f t="shared" si="19"/>
        <v>0</v>
      </c>
      <c r="FI26" s="3">
        <f t="shared" si="19"/>
        <v>0</v>
      </c>
      <c r="FJ26" s="3">
        <f t="shared" si="19"/>
        <v>0</v>
      </c>
      <c r="FK26" s="3">
        <f t="shared" si="19"/>
        <v>0</v>
      </c>
      <c r="FL26" s="3">
        <f t="shared" si="19"/>
        <v>0</v>
      </c>
      <c r="FM26" s="3">
        <f t="shared" si="19"/>
        <v>0</v>
      </c>
      <c r="FN26" s="3">
        <f t="shared" si="19"/>
        <v>0</v>
      </c>
      <c r="FO26" s="3">
        <f t="shared" si="19"/>
        <v>0</v>
      </c>
      <c r="FP26" s="3">
        <f t="shared" si="19"/>
        <v>0</v>
      </c>
      <c r="FQ26" s="3">
        <f t="shared" si="19"/>
        <v>0</v>
      </c>
      <c r="FR26" s="3">
        <f t="shared" si="19"/>
        <v>0</v>
      </c>
      <c r="FS26" s="3">
        <f t="shared" ref="FS26:GX26" si="20">FS41</f>
        <v>0</v>
      </c>
      <c r="FT26" s="3">
        <f t="shared" si="20"/>
        <v>0</v>
      </c>
      <c r="FU26" s="3">
        <f t="shared" si="20"/>
        <v>0</v>
      </c>
      <c r="FV26" s="3">
        <f t="shared" si="20"/>
        <v>0</v>
      </c>
      <c r="FW26" s="3">
        <f t="shared" si="20"/>
        <v>0</v>
      </c>
      <c r="FX26" s="3">
        <f t="shared" si="20"/>
        <v>0</v>
      </c>
      <c r="FY26" s="3">
        <f t="shared" si="20"/>
        <v>0</v>
      </c>
      <c r="FZ26" s="3">
        <f t="shared" si="20"/>
        <v>0</v>
      </c>
      <c r="GA26" s="3">
        <f t="shared" si="20"/>
        <v>0</v>
      </c>
      <c r="GB26" s="3">
        <f t="shared" si="20"/>
        <v>0</v>
      </c>
      <c r="GC26" s="3">
        <f t="shared" si="20"/>
        <v>0</v>
      </c>
      <c r="GD26" s="3">
        <f t="shared" si="20"/>
        <v>0</v>
      </c>
      <c r="GE26" s="3">
        <f t="shared" si="20"/>
        <v>0</v>
      </c>
      <c r="GF26" s="3">
        <f t="shared" si="20"/>
        <v>0</v>
      </c>
      <c r="GG26" s="3">
        <f t="shared" si="20"/>
        <v>0</v>
      </c>
      <c r="GH26" s="3">
        <f t="shared" si="20"/>
        <v>0</v>
      </c>
      <c r="GI26" s="3">
        <f t="shared" si="20"/>
        <v>0</v>
      </c>
      <c r="GJ26" s="3">
        <f t="shared" si="20"/>
        <v>0</v>
      </c>
      <c r="GK26" s="3">
        <f t="shared" si="20"/>
        <v>0</v>
      </c>
      <c r="GL26" s="3">
        <f t="shared" si="20"/>
        <v>0</v>
      </c>
      <c r="GM26" s="3">
        <f t="shared" si="20"/>
        <v>0</v>
      </c>
      <c r="GN26" s="3">
        <f t="shared" si="20"/>
        <v>0</v>
      </c>
      <c r="GO26" s="3">
        <f t="shared" si="20"/>
        <v>0</v>
      </c>
      <c r="GP26" s="3">
        <f t="shared" si="20"/>
        <v>0</v>
      </c>
      <c r="GQ26" s="3">
        <f t="shared" si="20"/>
        <v>0</v>
      </c>
      <c r="GR26" s="3">
        <f t="shared" si="20"/>
        <v>0</v>
      </c>
      <c r="GS26" s="3">
        <f t="shared" si="20"/>
        <v>0</v>
      </c>
      <c r="GT26" s="3">
        <f t="shared" si="20"/>
        <v>0</v>
      </c>
      <c r="GU26" s="3">
        <f t="shared" si="20"/>
        <v>0</v>
      </c>
      <c r="GV26" s="3">
        <f t="shared" si="20"/>
        <v>0</v>
      </c>
      <c r="GW26" s="3">
        <f t="shared" si="20"/>
        <v>0</v>
      </c>
      <c r="GX26" s="3">
        <f t="shared" si="20"/>
        <v>0</v>
      </c>
    </row>
    <row r="28" spans="1:245">
      <c r="A28">
        <v>17</v>
      </c>
      <c r="B28">
        <v>1</v>
      </c>
      <c r="C28">
        <f>ROW(SmtRes!A2)</f>
        <v>2</v>
      </c>
      <c r="D28">
        <f>ROW(EtalonRes!A2)</f>
        <v>2</v>
      </c>
      <c r="E28" t="s">
        <v>4</v>
      </c>
      <c r="F28" t="s">
        <v>15</v>
      </c>
      <c r="G28" t="s">
        <v>16</v>
      </c>
      <c r="H28" t="s">
        <v>17</v>
      </c>
      <c r="I28">
        <f>ROUND(58*0.75/100,9)</f>
        <v>0.435</v>
      </c>
      <c r="J28">
        <v>0</v>
      </c>
      <c r="O28">
        <f t="shared" ref="O28:O39" si="21">ROUND(CP28,2)</f>
        <v>3063.89</v>
      </c>
      <c r="P28">
        <f t="shared" ref="P28:P39" si="22">ROUND(CQ28*I28,2)</f>
        <v>0</v>
      </c>
      <c r="Q28">
        <f t="shared" ref="Q28:Q39" si="23">ROUND(CR28*I28,2)</f>
        <v>650.04999999999995</v>
      </c>
      <c r="R28">
        <f t="shared" ref="R28:R39" si="24">ROUND(CS28*I28,2)</f>
        <v>358.96</v>
      </c>
      <c r="S28">
        <f t="shared" ref="S28:S39" si="25">ROUND(CT28*I28,2)</f>
        <v>2413.84</v>
      </c>
      <c r="T28">
        <f t="shared" ref="T28:T39" si="26">ROUND(CU28*I28,2)</f>
        <v>0</v>
      </c>
      <c r="U28">
        <f t="shared" ref="U28:U39" si="27">CV28*I28</f>
        <v>18.000299999999999</v>
      </c>
      <c r="V28">
        <f t="shared" ref="V28:V39" si="28">CW28*I28</f>
        <v>0</v>
      </c>
      <c r="W28">
        <f t="shared" ref="W28:W39" si="29">ROUND(CX28*I28,2)</f>
        <v>0</v>
      </c>
      <c r="X28">
        <f t="shared" ref="X28:X39" si="30">ROUND(CY28,2)</f>
        <v>1689.69</v>
      </c>
      <c r="Y28">
        <f t="shared" ref="Y28:Y39" si="31">ROUND(CZ28,2)</f>
        <v>241.38</v>
      </c>
      <c r="AA28">
        <v>41858681</v>
      </c>
      <c r="AB28">
        <f t="shared" ref="AB28:AB39" si="32">ROUND((AC28+AD28+AF28),6)</f>
        <v>7043.43</v>
      </c>
      <c r="AC28">
        <f>ROUND((ES28),6)</f>
        <v>0</v>
      </c>
      <c r="AD28">
        <f>ROUND((((ET28)-(EU28))+AE28),6)</f>
        <v>1494.37</v>
      </c>
      <c r="AE28">
        <f t="shared" ref="AE28:AF32" si="33">ROUND((EU28),6)</f>
        <v>825.2</v>
      </c>
      <c r="AF28">
        <f t="shared" si="33"/>
        <v>5549.06</v>
      </c>
      <c r="AG28">
        <f t="shared" ref="AG28:AG39" si="34">ROUND((AP28),6)</f>
        <v>0</v>
      </c>
      <c r="AH28">
        <f t="shared" ref="AH28:AI32" si="35">(EW28)</f>
        <v>41.38</v>
      </c>
      <c r="AI28">
        <f t="shared" si="35"/>
        <v>0</v>
      </c>
      <c r="AJ28">
        <f t="shared" ref="AJ28:AJ39" si="36">(AS28)</f>
        <v>0</v>
      </c>
      <c r="AK28">
        <v>7043.43</v>
      </c>
      <c r="AL28">
        <v>0</v>
      </c>
      <c r="AM28">
        <v>1494.37</v>
      </c>
      <c r="AN28">
        <v>825.2</v>
      </c>
      <c r="AO28">
        <v>5549.06</v>
      </c>
      <c r="AP28">
        <v>0</v>
      </c>
      <c r="AQ28">
        <v>41.38</v>
      </c>
      <c r="AR28">
        <v>0</v>
      </c>
      <c r="AS28">
        <v>0</v>
      </c>
      <c r="AT28">
        <v>70</v>
      </c>
      <c r="AU28">
        <v>10</v>
      </c>
      <c r="AV28">
        <v>1</v>
      </c>
      <c r="AW28">
        <v>1</v>
      </c>
      <c r="AZ28">
        <v>1</v>
      </c>
      <c r="BA28">
        <v>1</v>
      </c>
      <c r="BB28">
        <v>1</v>
      </c>
      <c r="BC28">
        <v>1</v>
      </c>
      <c r="BD28" t="s">
        <v>3</v>
      </c>
      <c r="BE28" t="s">
        <v>3</v>
      </c>
      <c r="BF28" t="s">
        <v>3</v>
      </c>
      <c r="BG28" t="s">
        <v>3</v>
      </c>
      <c r="BH28">
        <v>0</v>
      </c>
      <c r="BI28">
        <v>4</v>
      </c>
      <c r="BJ28" t="s">
        <v>18</v>
      </c>
      <c r="BM28">
        <v>0</v>
      </c>
      <c r="BN28">
        <v>0</v>
      </c>
      <c r="BO28" t="s">
        <v>3</v>
      </c>
      <c r="BP28">
        <v>0</v>
      </c>
      <c r="BQ28">
        <v>1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 t="s">
        <v>3</v>
      </c>
      <c r="BZ28">
        <v>70</v>
      </c>
      <c r="CA28">
        <v>10</v>
      </c>
      <c r="CE28">
        <v>0</v>
      </c>
      <c r="CF28">
        <v>0</v>
      </c>
      <c r="CG28">
        <v>0</v>
      </c>
      <c r="CM28">
        <v>0</v>
      </c>
      <c r="CN28" t="s">
        <v>3</v>
      </c>
      <c r="CO28">
        <v>0</v>
      </c>
      <c r="CP28">
        <f t="shared" ref="CP28:CP39" si="37">(P28+Q28+S28)</f>
        <v>3063.8900000000003</v>
      </c>
      <c r="CQ28">
        <f t="shared" ref="CQ28:CQ39" si="38">(AC28*BC28*AW28)</f>
        <v>0</v>
      </c>
      <c r="CR28">
        <f>((((ET28)*BB28-(EU28)*BS28)+AE28*BS28)*AV28)</f>
        <v>1494.37</v>
      </c>
      <c r="CS28">
        <f t="shared" ref="CS28:CS39" si="39">(AE28*BS28*AV28)</f>
        <v>825.2</v>
      </c>
      <c r="CT28">
        <f t="shared" ref="CT28:CT39" si="40">(AF28*BA28*AV28)</f>
        <v>5549.06</v>
      </c>
      <c r="CU28">
        <f t="shared" ref="CU28:CU39" si="41">AG28</f>
        <v>0</v>
      </c>
      <c r="CV28">
        <f t="shared" ref="CV28:CV39" si="42">(AH28*AV28)</f>
        <v>41.38</v>
      </c>
      <c r="CW28">
        <f t="shared" ref="CW28:CW39" si="43">AI28</f>
        <v>0</v>
      </c>
      <c r="CX28">
        <f t="shared" ref="CX28:CX39" si="44">AJ28</f>
        <v>0</v>
      </c>
      <c r="CY28">
        <f t="shared" ref="CY28:CY39" si="45">((S28*BZ28)/100)</f>
        <v>1689.6880000000001</v>
      </c>
      <c r="CZ28">
        <f t="shared" ref="CZ28:CZ39" si="46">((S28*CA28)/100)</f>
        <v>241.38400000000001</v>
      </c>
      <c r="DC28" t="s">
        <v>3</v>
      </c>
      <c r="DD28" t="s">
        <v>3</v>
      </c>
      <c r="DE28" t="s">
        <v>3</v>
      </c>
      <c r="DF28" t="s">
        <v>3</v>
      </c>
      <c r="DG28" t="s">
        <v>3</v>
      </c>
      <c r="DH28" t="s">
        <v>3</v>
      </c>
      <c r="DI28" t="s">
        <v>3</v>
      </c>
      <c r="DJ28" t="s">
        <v>3</v>
      </c>
      <c r="DK28" t="s">
        <v>3</v>
      </c>
      <c r="DL28" t="s">
        <v>3</v>
      </c>
      <c r="DM28" t="s">
        <v>3</v>
      </c>
      <c r="DN28">
        <v>0</v>
      </c>
      <c r="DO28">
        <v>0</v>
      </c>
      <c r="DP28">
        <v>1</v>
      </c>
      <c r="DQ28">
        <v>1</v>
      </c>
      <c r="DU28">
        <v>1005</v>
      </c>
      <c r="DV28" t="s">
        <v>17</v>
      </c>
      <c r="DW28" t="s">
        <v>17</v>
      </c>
      <c r="DX28">
        <v>100</v>
      </c>
      <c r="EE28">
        <v>40050625</v>
      </c>
      <c r="EF28">
        <v>1</v>
      </c>
      <c r="EG28" t="s">
        <v>19</v>
      </c>
      <c r="EH28">
        <v>0</v>
      </c>
      <c r="EI28" t="s">
        <v>3</v>
      </c>
      <c r="EJ28">
        <v>4</v>
      </c>
      <c r="EK28">
        <v>0</v>
      </c>
      <c r="EL28" t="s">
        <v>20</v>
      </c>
      <c r="EM28" t="s">
        <v>21</v>
      </c>
      <c r="EO28" t="s">
        <v>3</v>
      </c>
      <c r="EQ28">
        <v>0</v>
      </c>
      <c r="ER28">
        <v>7043.43</v>
      </c>
      <c r="ES28">
        <v>0</v>
      </c>
      <c r="ET28">
        <v>1494.37</v>
      </c>
      <c r="EU28">
        <v>825.2</v>
      </c>
      <c r="EV28">
        <v>5549.06</v>
      </c>
      <c r="EW28">
        <v>41.38</v>
      </c>
      <c r="EX28">
        <v>0</v>
      </c>
      <c r="EY28">
        <v>0</v>
      </c>
      <c r="FQ28">
        <v>0</v>
      </c>
      <c r="FR28">
        <f t="shared" ref="FR28:FR39" si="47">ROUND(IF(AND(BH28=3,BI28=3),P28,0),2)</f>
        <v>0</v>
      </c>
      <c r="FS28">
        <v>0</v>
      </c>
      <c r="FX28">
        <v>70</v>
      </c>
      <c r="FY28">
        <v>10</v>
      </c>
      <c r="GA28" t="s">
        <v>3</v>
      </c>
      <c r="GD28">
        <v>0</v>
      </c>
      <c r="GF28">
        <v>1528900916</v>
      </c>
      <c r="GG28">
        <v>2</v>
      </c>
      <c r="GH28">
        <v>1</v>
      </c>
      <c r="GI28">
        <v>-2</v>
      </c>
      <c r="GJ28">
        <v>0</v>
      </c>
      <c r="GK28">
        <f>ROUND(R28*(R12)/100,2)</f>
        <v>387.68</v>
      </c>
      <c r="GL28">
        <f t="shared" ref="GL28:GL39" si="48">ROUND(IF(AND(BH28=3,BI28=3,FS28&lt;&gt;0),P28,0),2)</f>
        <v>0</v>
      </c>
      <c r="GM28">
        <f t="shared" ref="GM28:GM39" si="49">ROUND(O28+X28+Y28+GK28,2)+GX28</f>
        <v>5382.64</v>
      </c>
      <c r="GN28">
        <f t="shared" ref="GN28:GN39" si="50">IF(OR(BI28=0,BI28=1),ROUND(O28+X28+Y28+GK28,2),0)</f>
        <v>0</v>
      </c>
      <c r="GO28">
        <f t="shared" ref="GO28:GO39" si="51">IF(BI28=2,ROUND(O28+X28+Y28+GK28,2),0)</f>
        <v>0</v>
      </c>
      <c r="GP28">
        <f t="shared" ref="GP28:GP39" si="52">IF(BI28=4,ROUND(O28+X28+Y28+GK28,2)+GX28,0)</f>
        <v>5382.64</v>
      </c>
      <c r="GR28">
        <v>0</v>
      </c>
      <c r="GS28">
        <v>0</v>
      </c>
      <c r="GT28">
        <v>0</v>
      </c>
      <c r="GU28" t="s">
        <v>3</v>
      </c>
      <c r="GV28">
        <f t="shared" ref="GV28:GV39" si="53">ROUND((GT28),6)</f>
        <v>0</v>
      </c>
      <c r="GW28">
        <v>1</v>
      </c>
      <c r="GX28">
        <f t="shared" ref="GX28:GX39" si="54">ROUND(HC28*I28,2)</f>
        <v>0</v>
      </c>
      <c r="HA28">
        <v>0</v>
      </c>
      <c r="HB28">
        <v>0</v>
      </c>
      <c r="HC28">
        <f t="shared" ref="HC28:HC39" si="55">GV28*GW28</f>
        <v>0</v>
      </c>
      <c r="IK28">
        <v>0</v>
      </c>
    </row>
    <row r="29" spans="1:245">
      <c r="A29">
        <v>17</v>
      </c>
      <c r="B29">
        <v>1</v>
      </c>
      <c r="C29">
        <f>ROW(SmtRes!A4)</f>
        <v>4</v>
      </c>
      <c r="D29">
        <f>ROW(EtalonRes!A4)</f>
        <v>4</v>
      </c>
      <c r="E29" t="s">
        <v>22</v>
      </c>
      <c r="F29" t="s">
        <v>23</v>
      </c>
      <c r="G29" t="s">
        <v>24</v>
      </c>
      <c r="H29" t="s">
        <v>17</v>
      </c>
      <c r="I29">
        <f>ROUND(-58*0.75/100,9)</f>
        <v>-0.435</v>
      </c>
      <c r="J29">
        <v>0</v>
      </c>
      <c r="O29">
        <f t="shared" si="21"/>
        <v>-644.92999999999995</v>
      </c>
      <c r="P29">
        <f t="shared" si="22"/>
        <v>0</v>
      </c>
      <c r="Q29">
        <f t="shared" si="23"/>
        <v>-162.51</v>
      </c>
      <c r="R29">
        <f t="shared" si="24"/>
        <v>-89.74</v>
      </c>
      <c r="S29">
        <f t="shared" si="25"/>
        <v>-482.42</v>
      </c>
      <c r="T29">
        <f t="shared" si="26"/>
        <v>0</v>
      </c>
      <c r="U29">
        <f t="shared" si="27"/>
        <v>-3.5974499999999998</v>
      </c>
      <c r="V29">
        <f t="shared" si="28"/>
        <v>0</v>
      </c>
      <c r="W29">
        <f t="shared" si="29"/>
        <v>0</v>
      </c>
      <c r="X29">
        <f t="shared" si="30"/>
        <v>-337.69</v>
      </c>
      <c r="Y29">
        <f t="shared" si="31"/>
        <v>-48.24</v>
      </c>
      <c r="AA29">
        <v>41858681</v>
      </c>
      <c r="AB29">
        <f t="shared" si="32"/>
        <v>1482.6</v>
      </c>
      <c r="AC29">
        <f>ROUND((ES29),6)</f>
        <v>0</v>
      </c>
      <c r="AD29">
        <f>ROUND((((ET29)-(EU29))+AE29),6)</f>
        <v>373.59</v>
      </c>
      <c r="AE29">
        <f t="shared" si="33"/>
        <v>206.3</v>
      </c>
      <c r="AF29">
        <f t="shared" si="33"/>
        <v>1109.01</v>
      </c>
      <c r="AG29">
        <f t="shared" si="34"/>
        <v>0</v>
      </c>
      <c r="AH29">
        <f t="shared" si="35"/>
        <v>8.27</v>
      </c>
      <c r="AI29">
        <f t="shared" si="35"/>
        <v>0</v>
      </c>
      <c r="AJ29">
        <f t="shared" si="36"/>
        <v>0</v>
      </c>
      <c r="AK29">
        <v>1482.6</v>
      </c>
      <c r="AL29">
        <v>0</v>
      </c>
      <c r="AM29">
        <v>373.59</v>
      </c>
      <c r="AN29">
        <v>206.3</v>
      </c>
      <c r="AO29">
        <v>1109.01</v>
      </c>
      <c r="AP29">
        <v>0</v>
      </c>
      <c r="AQ29">
        <v>8.27</v>
      </c>
      <c r="AR29">
        <v>0</v>
      </c>
      <c r="AS29">
        <v>0</v>
      </c>
      <c r="AT29">
        <v>70</v>
      </c>
      <c r="AU29">
        <v>10</v>
      </c>
      <c r="AV29">
        <v>1</v>
      </c>
      <c r="AW29">
        <v>1</v>
      </c>
      <c r="AZ29">
        <v>1</v>
      </c>
      <c r="BA29">
        <v>1</v>
      </c>
      <c r="BB29">
        <v>1</v>
      </c>
      <c r="BC29">
        <v>1</v>
      </c>
      <c r="BD29" t="s">
        <v>3</v>
      </c>
      <c r="BE29" t="s">
        <v>3</v>
      </c>
      <c r="BF29" t="s">
        <v>3</v>
      </c>
      <c r="BG29" t="s">
        <v>3</v>
      </c>
      <c r="BH29">
        <v>0</v>
      </c>
      <c r="BI29">
        <v>4</v>
      </c>
      <c r="BJ29" t="s">
        <v>25</v>
      </c>
      <c r="BM29">
        <v>0</v>
      </c>
      <c r="BN29">
        <v>0</v>
      </c>
      <c r="BO29" t="s">
        <v>3</v>
      </c>
      <c r="BP29">
        <v>0</v>
      </c>
      <c r="BQ29">
        <v>1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 t="s">
        <v>3</v>
      </c>
      <c r="BZ29">
        <v>70</v>
      </c>
      <c r="CA29">
        <v>10</v>
      </c>
      <c r="CE29">
        <v>0</v>
      </c>
      <c r="CF29">
        <v>0</v>
      </c>
      <c r="CG29">
        <v>0</v>
      </c>
      <c r="CM29">
        <v>0</v>
      </c>
      <c r="CN29" t="s">
        <v>3</v>
      </c>
      <c r="CO29">
        <v>0</v>
      </c>
      <c r="CP29">
        <f t="shared" si="37"/>
        <v>-644.93000000000006</v>
      </c>
      <c r="CQ29">
        <f t="shared" si="38"/>
        <v>0</v>
      </c>
      <c r="CR29">
        <f>((((ET29)*BB29-(EU29)*BS29)+AE29*BS29)*AV29)</f>
        <v>373.59</v>
      </c>
      <c r="CS29">
        <f t="shared" si="39"/>
        <v>206.3</v>
      </c>
      <c r="CT29">
        <f t="shared" si="40"/>
        <v>1109.01</v>
      </c>
      <c r="CU29">
        <f t="shared" si="41"/>
        <v>0</v>
      </c>
      <c r="CV29">
        <f t="shared" si="42"/>
        <v>8.27</v>
      </c>
      <c r="CW29">
        <f t="shared" si="43"/>
        <v>0</v>
      </c>
      <c r="CX29">
        <f t="shared" si="44"/>
        <v>0</v>
      </c>
      <c r="CY29">
        <f t="shared" si="45"/>
        <v>-337.69400000000002</v>
      </c>
      <c r="CZ29">
        <f t="shared" si="46"/>
        <v>-48.241999999999997</v>
      </c>
      <c r="DC29" t="s">
        <v>3</v>
      </c>
      <c r="DD29" t="s">
        <v>3</v>
      </c>
      <c r="DE29" t="s">
        <v>3</v>
      </c>
      <c r="DF29" t="s">
        <v>3</v>
      </c>
      <c r="DG29" t="s">
        <v>3</v>
      </c>
      <c r="DH29" t="s">
        <v>3</v>
      </c>
      <c r="DI29" t="s">
        <v>3</v>
      </c>
      <c r="DJ29" t="s">
        <v>3</v>
      </c>
      <c r="DK29" t="s">
        <v>3</v>
      </c>
      <c r="DL29" t="s">
        <v>3</v>
      </c>
      <c r="DM29" t="s">
        <v>3</v>
      </c>
      <c r="DN29">
        <v>0</v>
      </c>
      <c r="DO29">
        <v>0</v>
      </c>
      <c r="DP29">
        <v>1</v>
      </c>
      <c r="DQ29">
        <v>1</v>
      </c>
      <c r="DU29">
        <v>1005</v>
      </c>
      <c r="DV29" t="s">
        <v>17</v>
      </c>
      <c r="DW29" t="s">
        <v>17</v>
      </c>
      <c r="DX29">
        <v>100</v>
      </c>
      <c r="EE29">
        <v>40050625</v>
      </c>
      <c r="EF29">
        <v>1</v>
      </c>
      <c r="EG29" t="s">
        <v>19</v>
      </c>
      <c r="EH29">
        <v>0</v>
      </c>
      <c r="EI29" t="s">
        <v>3</v>
      </c>
      <c r="EJ29">
        <v>4</v>
      </c>
      <c r="EK29">
        <v>0</v>
      </c>
      <c r="EL29" t="s">
        <v>20</v>
      </c>
      <c r="EM29" t="s">
        <v>21</v>
      </c>
      <c r="EO29" t="s">
        <v>3</v>
      </c>
      <c r="EQ29">
        <v>0</v>
      </c>
      <c r="ER29">
        <v>1482.6</v>
      </c>
      <c r="ES29">
        <v>0</v>
      </c>
      <c r="ET29">
        <v>373.59</v>
      </c>
      <c r="EU29">
        <v>206.3</v>
      </c>
      <c r="EV29">
        <v>1109.01</v>
      </c>
      <c r="EW29">
        <v>8.27</v>
      </c>
      <c r="EX29">
        <v>0</v>
      </c>
      <c r="EY29">
        <v>0</v>
      </c>
      <c r="FQ29">
        <v>0</v>
      </c>
      <c r="FR29">
        <f t="shared" si="47"/>
        <v>0</v>
      </c>
      <c r="FS29">
        <v>0</v>
      </c>
      <c r="FX29">
        <v>70</v>
      </c>
      <c r="FY29">
        <v>10</v>
      </c>
      <c r="GA29" t="s">
        <v>3</v>
      </c>
      <c r="GD29">
        <v>0</v>
      </c>
      <c r="GF29">
        <v>-2132329099</v>
      </c>
      <c r="GG29">
        <v>2</v>
      </c>
      <c r="GH29">
        <v>1</v>
      </c>
      <c r="GI29">
        <v>-2</v>
      </c>
      <c r="GJ29">
        <v>0</v>
      </c>
      <c r="GK29">
        <f>ROUND(R29*(R12)/100,2)</f>
        <v>-96.92</v>
      </c>
      <c r="GL29">
        <f t="shared" si="48"/>
        <v>0</v>
      </c>
      <c r="GM29">
        <f t="shared" si="49"/>
        <v>-1127.78</v>
      </c>
      <c r="GN29">
        <f t="shared" si="50"/>
        <v>0</v>
      </c>
      <c r="GO29">
        <f t="shared" si="51"/>
        <v>0</v>
      </c>
      <c r="GP29">
        <f t="shared" si="52"/>
        <v>-1127.78</v>
      </c>
      <c r="GR29">
        <v>0</v>
      </c>
      <c r="GS29">
        <v>0</v>
      </c>
      <c r="GT29">
        <v>0</v>
      </c>
      <c r="GU29" t="s">
        <v>3</v>
      </c>
      <c r="GV29">
        <f t="shared" si="53"/>
        <v>0</v>
      </c>
      <c r="GW29">
        <v>1</v>
      </c>
      <c r="GX29">
        <f t="shared" si="54"/>
        <v>0</v>
      </c>
      <c r="HA29">
        <v>0</v>
      </c>
      <c r="HB29">
        <v>0</v>
      </c>
      <c r="HC29">
        <f t="shared" si="55"/>
        <v>0</v>
      </c>
      <c r="IK29">
        <v>0</v>
      </c>
    </row>
    <row r="30" spans="1:245">
      <c r="A30">
        <v>17</v>
      </c>
      <c r="B30">
        <v>1</v>
      </c>
      <c r="C30">
        <f>ROW(SmtRes!A5)</f>
        <v>5</v>
      </c>
      <c r="D30">
        <f>ROW(EtalonRes!A5)</f>
        <v>5</v>
      </c>
      <c r="E30" t="s">
        <v>26</v>
      </c>
      <c r="F30" t="s">
        <v>27</v>
      </c>
      <c r="G30" t="s">
        <v>28</v>
      </c>
      <c r="H30" t="s">
        <v>17</v>
      </c>
      <c r="I30">
        <f>ROUND(58*0.25/100,9)</f>
        <v>0.14499999999999999</v>
      </c>
      <c r="J30">
        <v>0</v>
      </c>
      <c r="O30">
        <f t="shared" si="21"/>
        <v>1961.41</v>
      </c>
      <c r="P30">
        <f t="shared" si="22"/>
        <v>0</v>
      </c>
      <c r="Q30">
        <f t="shared" si="23"/>
        <v>0</v>
      </c>
      <c r="R30">
        <f t="shared" si="24"/>
        <v>0</v>
      </c>
      <c r="S30">
        <f t="shared" si="25"/>
        <v>1961.41</v>
      </c>
      <c r="T30">
        <f t="shared" si="26"/>
        <v>0</v>
      </c>
      <c r="U30">
        <f t="shared" si="27"/>
        <v>12.4613</v>
      </c>
      <c r="V30">
        <f t="shared" si="28"/>
        <v>0</v>
      </c>
      <c r="W30">
        <f t="shared" si="29"/>
        <v>0</v>
      </c>
      <c r="X30">
        <f t="shared" si="30"/>
        <v>1372.99</v>
      </c>
      <c r="Y30">
        <f t="shared" si="31"/>
        <v>196.14</v>
      </c>
      <c r="AA30">
        <v>41858681</v>
      </c>
      <c r="AB30">
        <f t="shared" si="32"/>
        <v>13526.96</v>
      </c>
      <c r="AC30">
        <f>ROUND((ES30),6)</f>
        <v>0</v>
      </c>
      <c r="AD30">
        <f>ROUND((((ET30)-(EU30))+AE30),6)</f>
        <v>0</v>
      </c>
      <c r="AE30">
        <f t="shared" si="33"/>
        <v>0</v>
      </c>
      <c r="AF30">
        <f t="shared" si="33"/>
        <v>13526.96</v>
      </c>
      <c r="AG30">
        <f t="shared" si="34"/>
        <v>0</v>
      </c>
      <c r="AH30">
        <f t="shared" si="35"/>
        <v>85.94</v>
      </c>
      <c r="AI30">
        <f t="shared" si="35"/>
        <v>0</v>
      </c>
      <c r="AJ30">
        <f t="shared" si="36"/>
        <v>0</v>
      </c>
      <c r="AK30">
        <v>13526.96</v>
      </c>
      <c r="AL30">
        <v>0</v>
      </c>
      <c r="AM30">
        <v>0</v>
      </c>
      <c r="AN30">
        <v>0</v>
      </c>
      <c r="AO30">
        <v>13526.96</v>
      </c>
      <c r="AP30">
        <v>0</v>
      </c>
      <c r="AQ30">
        <v>85.94</v>
      </c>
      <c r="AR30">
        <v>0</v>
      </c>
      <c r="AS30">
        <v>0</v>
      </c>
      <c r="AT30">
        <v>70</v>
      </c>
      <c r="AU30">
        <v>10</v>
      </c>
      <c r="AV30">
        <v>1</v>
      </c>
      <c r="AW30">
        <v>1</v>
      </c>
      <c r="AZ30">
        <v>1</v>
      </c>
      <c r="BA30">
        <v>1</v>
      </c>
      <c r="BB30">
        <v>1</v>
      </c>
      <c r="BC30">
        <v>1</v>
      </c>
      <c r="BD30" t="s">
        <v>3</v>
      </c>
      <c r="BE30" t="s">
        <v>3</v>
      </c>
      <c r="BF30" t="s">
        <v>3</v>
      </c>
      <c r="BG30" t="s">
        <v>3</v>
      </c>
      <c r="BH30">
        <v>0</v>
      </c>
      <c r="BI30">
        <v>4</v>
      </c>
      <c r="BJ30" t="s">
        <v>29</v>
      </c>
      <c r="BM30">
        <v>0</v>
      </c>
      <c r="BN30">
        <v>0</v>
      </c>
      <c r="BO30" t="s">
        <v>3</v>
      </c>
      <c r="BP30">
        <v>0</v>
      </c>
      <c r="BQ30">
        <v>1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 t="s">
        <v>3</v>
      </c>
      <c r="BZ30">
        <v>70</v>
      </c>
      <c r="CA30">
        <v>10</v>
      </c>
      <c r="CE30">
        <v>0</v>
      </c>
      <c r="CF30">
        <v>0</v>
      </c>
      <c r="CG30">
        <v>0</v>
      </c>
      <c r="CM30">
        <v>0</v>
      </c>
      <c r="CN30" t="s">
        <v>3</v>
      </c>
      <c r="CO30">
        <v>0</v>
      </c>
      <c r="CP30">
        <f t="shared" si="37"/>
        <v>1961.41</v>
      </c>
      <c r="CQ30">
        <f t="shared" si="38"/>
        <v>0</v>
      </c>
      <c r="CR30">
        <f>((((ET30)*BB30-(EU30)*BS30)+AE30*BS30)*AV30)</f>
        <v>0</v>
      </c>
      <c r="CS30">
        <f t="shared" si="39"/>
        <v>0</v>
      </c>
      <c r="CT30">
        <f t="shared" si="40"/>
        <v>13526.96</v>
      </c>
      <c r="CU30">
        <f t="shared" si="41"/>
        <v>0</v>
      </c>
      <c r="CV30">
        <f t="shared" si="42"/>
        <v>85.94</v>
      </c>
      <c r="CW30">
        <f t="shared" si="43"/>
        <v>0</v>
      </c>
      <c r="CX30">
        <f t="shared" si="44"/>
        <v>0</v>
      </c>
      <c r="CY30">
        <f t="shared" si="45"/>
        <v>1372.9870000000001</v>
      </c>
      <c r="CZ30">
        <f t="shared" si="46"/>
        <v>196.14100000000002</v>
      </c>
      <c r="DC30" t="s">
        <v>3</v>
      </c>
      <c r="DD30" t="s">
        <v>3</v>
      </c>
      <c r="DE30" t="s">
        <v>3</v>
      </c>
      <c r="DF30" t="s">
        <v>3</v>
      </c>
      <c r="DG30" t="s">
        <v>3</v>
      </c>
      <c r="DH30" t="s">
        <v>3</v>
      </c>
      <c r="DI30" t="s">
        <v>3</v>
      </c>
      <c r="DJ30" t="s">
        <v>3</v>
      </c>
      <c r="DK30" t="s">
        <v>3</v>
      </c>
      <c r="DL30" t="s">
        <v>3</v>
      </c>
      <c r="DM30" t="s">
        <v>3</v>
      </c>
      <c r="DN30">
        <v>0</v>
      </c>
      <c r="DO30">
        <v>0</v>
      </c>
      <c r="DP30">
        <v>1</v>
      </c>
      <c r="DQ30">
        <v>1</v>
      </c>
      <c r="DU30">
        <v>1005</v>
      </c>
      <c r="DV30" t="s">
        <v>17</v>
      </c>
      <c r="DW30" t="s">
        <v>17</v>
      </c>
      <c r="DX30">
        <v>100</v>
      </c>
      <c r="EE30">
        <v>40050625</v>
      </c>
      <c r="EF30">
        <v>1</v>
      </c>
      <c r="EG30" t="s">
        <v>19</v>
      </c>
      <c r="EH30">
        <v>0</v>
      </c>
      <c r="EI30" t="s">
        <v>3</v>
      </c>
      <c r="EJ30">
        <v>4</v>
      </c>
      <c r="EK30">
        <v>0</v>
      </c>
      <c r="EL30" t="s">
        <v>20</v>
      </c>
      <c r="EM30" t="s">
        <v>21</v>
      </c>
      <c r="EO30" t="s">
        <v>3</v>
      </c>
      <c r="EQ30">
        <v>0</v>
      </c>
      <c r="ER30">
        <v>13526.96</v>
      </c>
      <c r="ES30">
        <v>0</v>
      </c>
      <c r="ET30">
        <v>0</v>
      </c>
      <c r="EU30">
        <v>0</v>
      </c>
      <c r="EV30">
        <v>13526.96</v>
      </c>
      <c r="EW30">
        <v>85.94</v>
      </c>
      <c r="EX30">
        <v>0</v>
      </c>
      <c r="EY30">
        <v>0</v>
      </c>
      <c r="FQ30">
        <v>0</v>
      </c>
      <c r="FR30">
        <f t="shared" si="47"/>
        <v>0</v>
      </c>
      <c r="FS30">
        <v>0</v>
      </c>
      <c r="FX30">
        <v>70</v>
      </c>
      <c r="FY30">
        <v>10</v>
      </c>
      <c r="GA30" t="s">
        <v>3</v>
      </c>
      <c r="GD30">
        <v>0</v>
      </c>
      <c r="GF30">
        <v>-505051938</v>
      </c>
      <c r="GG30">
        <v>2</v>
      </c>
      <c r="GH30">
        <v>1</v>
      </c>
      <c r="GI30">
        <v>-2</v>
      </c>
      <c r="GJ30">
        <v>0</v>
      </c>
      <c r="GK30">
        <f>ROUND(R30*(R12)/100,2)</f>
        <v>0</v>
      </c>
      <c r="GL30">
        <f t="shared" si="48"/>
        <v>0</v>
      </c>
      <c r="GM30">
        <f t="shared" si="49"/>
        <v>3530.54</v>
      </c>
      <c r="GN30">
        <f t="shared" si="50"/>
        <v>0</v>
      </c>
      <c r="GO30">
        <f t="shared" si="51"/>
        <v>0</v>
      </c>
      <c r="GP30">
        <f t="shared" si="52"/>
        <v>3530.54</v>
      </c>
      <c r="GR30">
        <v>0</v>
      </c>
      <c r="GS30">
        <v>0</v>
      </c>
      <c r="GT30">
        <v>0</v>
      </c>
      <c r="GU30" t="s">
        <v>3</v>
      </c>
      <c r="GV30">
        <f t="shared" si="53"/>
        <v>0</v>
      </c>
      <c r="GW30">
        <v>1</v>
      </c>
      <c r="GX30">
        <f t="shared" si="54"/>
        <v>0</v>
      </c>
      <c r="HA30">
        <v>0</v>
      </c>
      <c r="HB30">
        <v>0</v>
      </c>
      <c r="HC30">
        <f t="shared" si="55"/>
        <v>0</v>
      </c>
      <c r="IK30">
        <v>0</v>
      </c>
    </row>
    <row r="31" spans="1:245">
      <c r="A31">
        <v>17</v>
      </c>
      <c r="B31">
        <v>1</v>
      </c>
      <c r="C31">
        <f>ROW(SmtRes!A6)</f>
        <v>6</v>
      </c>
      <c r="D31">
        <f>ROW(EtalonRes!A6)</f>
        <v>6</v>
      </c>
      <c r="E31" t="s">
        <v>30</v>
      </c>
      <c r="F31" t="s">
        <v>31</v>
      </c>
      <c r="G31" t="s">
        <v>32</v>
      </c>
      <c r="H31" t="s">
        <v>17</v>
      </c>
      <c r="I31">
        <f>ROUND(-58*0.25/100,9)</f>
        <v>-0.14499999999999999</v>
      </c>
      <c r="J31">
        <v>0</v>
      </c>
      <c r="O31">
        <f t="shared" si="21"/>
        <v>-490.24</v>
      </c>
      <c r="P31">
        <f t="shared" si="22"/>
        <v>0</v>
      </c>
      <c r="Q31">
        <f t="shared" si="23"/>
        <v>0</v>
      </c>
      <c r="R31">
        <f t="shared" si="24"/>
        <v>0</v>
      </c>
      <c r="S31">
        <f t="shared" si="25"/>
        <v>-490.24</v>
      </c>
      <c r="T31">
        <f t="shared" si="26"/>
        <v>0</v>
      </c>
      <c r="U31">
        <f t="shared" si="27"/>
        <v>-3.1145999999999998</v>
      </c>
      <c r="V31">
        <f t="shared" si="28"/>
        <v>0</v>
      </c>
      <c r="W31">
        <f t="shared" si="29"/>
        <v>0</v>
      </c>
      <c r="X31">
        <f t="shared" si="30"/>
        <v>-343.17</v>
      </c>
      <c r="Y31">
        <f t="shared" si="31"/>
        <v>-49.02</v>
      </c>
      <c r="AA31">
        <v>41858681</v>
      </c>
      <c r="AB31">
        <f t="shared" si="32"/>
        <v>3380.95</v>
      </c>
      <c r="AC31">
        <f>ROUND((ES31),6)</f>
        <v>0</v>
      </c>
      <c r="AD31">
        <f>ROUND((((ET31)-(EU31))+AE31),6)</f>
        <v>0</v>
      </c>
      <c r="AE31">
        <f t="shared" si="33"/>
        <v>0</v>
      </c>
      <c r="AF31">
        <f t="shared" si="33"/>
        <v>3380.95</v>
      </c>
      <c r="AG31">
        <f t="shared" si="34"/>
        <v>0</v>
      </c>
      <c r="AH31">
        <f t="shared" si="35"/>
        <v>21.48</v>
      </c>
      <c r="AI31">
        <f t="shared" si="35"/>
        <v>0</v>
      </c>
      <c r="AJ31">
        <f t="shared" si="36"/>
        <v>0</v>
      </c>
      <c r="AK31">
        <v>3380.95</v>
      </c>
      <c r="AL31">
        <v>0</v>
      </c>
      <c r="AM31">
        <v>0</v>
      </c>
      <c r="AN31">
        <v>0</v>
      </c>
      <c r="AO31">
        <v>3380.95</v>
      </c>
      <c r="AP31">
        <v>0</v>
      </c>
      <c r="AQ31">
        <v>21.48</v>
      </c>
      <c r="AR31">
        <v>0</v>
      </c>
      <c r="AS31">
        <v>0</v>
      </c>
      <c r="AT31">
        <v>70</v>
      </c>
      <c r="AU31">
        <v>10</v>
      </c>
      <c r="AV31">
        <v>1</v>
      </c>
      <c r="AW31">
        <v>1</v>
      </c>
      <c r="AZ31">
        <v>1</v>
      </c>
      <c r="BA31">
        <v>1</v>
      </c>
      <c r="BB31">
        <v>1</v>
      </c>
      <c r="BC31">
        <v>1</v>
      </c>
      <c r="BD31" t="s">
        <v>3</v>
      </c>
      <c r="BE31" t="s">
        <v>3</v>
      </c>
      <c r="BF31" t="s">
        <v>3</v>
      </c>
      <c r="BG31" t="s">
        <v>3</v>
      </c>
      <c r="BH31">
        <v>0</v>
      </c>
      <c r="BI31">
        <v>4</v>
      </c>
      <c r="BJ31" t="s">
        <v>33</v>
      </c>
      <c r="BM31">
        <v>0</v>
      </c>
      <c r="BN31">
        <v>0</v>
      </c>
      <c r="BO31" t="s">
        <v>3</v>
      </c>
      <c r="BP31">
        <v>0</v>
      </c>
      <c r="BQ31">
        <v>1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 t="s">
        <v>3</v>
      </c>
      <c r="BZ31">
        <v>70</v>
      </c>
      <c r="CA31">
        <v>10</v>
      </c>
      <c r="CE31">
        <v>0</v>
      </c>
      <c r="CF31">
        <v>0</v>
      </c>
      <c r="CG31">
        <v>0</v>
      </c>
      <c r="CM31">
        <v>0</v>
      </c>
      <c r="CN31" t="s">
        <v>3</v>
      </c>
      <c r="CO31">
        <v>0</v>
      </c>
      <c r="CP31">
        <f t="shared" si="37"/>
        <v>-490.24</v>
      </c>
      <c r="CQ31">
        <f t="shared" si="38"/>
        <v>0</v>
      </c>
      <c r="CR31">
        <f>((((ET31)*BB31-(EU31)*BS31)+AE31*BS31)*AV31)</f>
        <v>0</v>
      </c>
      <c r="CS31">
        <f t="shared" si="39"/>
        <v>0</v>
      </c>
      <c r="CT31">
        <f t="shared" si="40"/>
        <v>3380.95</v>
      </c>
      <c r="CU31">
        <f t="shared" si="41"/>
        <v>0</v>
      </c>
      <c r="CV31">
        <f t="shared" si="42"/>
        <v>21.48</v>
      </c>
      <c r="CW31">
        <f t="shared" si="43"/>
        <v>0</v>
      </c>
      <c r="CX31">
        <f t="shared" si="44"/>
        <v>0</v>
      </c>
      <c r="CY31">
        <f t="shared" si="45"/>
        <v>-343.16800000000001</v>
      </c>
      <c r="CZ31">
        <f t="shared" si="46"/>
        <v>-49.023999999999994</v>
      </c>
      <c r="DC31" t="s">
        <v>3</v>
      </c>
      <c r="DD31" t="s">
        <v>3</v>
      </c>
      <c r="DE31" t="s">
        <v>3</v>
      </c>
      <c r="DF31" t="s">
        <v>3</v>
      </c>
      <c r="DG31" t="s">
        <v>3</v>
      </c>
      <c r="DH31" t="s">
        <v>3</v>
      </c>
      <c r="DI31" t="s">
        <v>3</v>
      </c>
      <c r="DJ31" t="s">
        <v>3</v>
      </c>
      <c r="DK31" t="s">
        <v>3</v>
      </c>
      <c r="DL31" t="s">
        <v>3</v>
      </c>
      <c r="DM31" t="s">
        <v>3</v>
      </c>
      <c r="DN31">
        <v>0</v>
      </c>
      <c r="DO31">
        <v>0</v>
      </c>
      <c r="DP31">
        <v>1</v>
      </c>
      <c r="DQ31">
        <v>1</v>
      </c>
      <c r="DU31">
        <v>1005</v>
      </c>
      <c r="DV31" t="s">
        <v>17</v>
      </c>
      <c r="DW31" t="s">
        <v>17</v>
      </c>
      <c r="DX31">
        <v>100</v>
      </c>
      <c r="EE31">
        <v>40050625</v>
      </c>
      <c r="EF31">
        <v>1</v>
      </c>
      <c r="EG31" t="s">
        <v>19</v>
      </c>
      <c r="EH31">
        <v>0</v>
      </c>
      <c r="EI31" t="s">
        <v>3</v>
      </c>
      <c r="EJ31">
        <v>4</v>
      </c>
      <c r="EK31">
        <v>0</v>
      </c>
      <c r="EL31" t="s">
        <v>20</v>
      </c>
      <c r="EM31" t="s">
        <v>21</v>
      </c>
      <c r="EO31" t="s">
        <v>3</v>
      </c>
      <c r="EQ31">
        <v>0</v>
      </c>
      <c r="ER31">
        <v>3380.95</v>
      </c>
      <c r="ES31">
        <v>0</v>
      </c>
      <c r="ET31">
        <v>0</v>
      </c>
      <c r="EU31">
        <v>0</v>
      </c>
      <c r="EV31">
        <v>3380.95</v>
      </c>
      <c r="EW31">
        <v>21.48</v>
      </c>
      <c r="EX31">
        <v>0</v>
      </c>
      <c r="EY31">
        <v>0</v>
      </c>
      <c r="FQ31">
        <v>0</v>
      </c>
      <c r="FR31">
        <f t="shared" si="47"/>
        <v>0</v>
      </c>
      <c r="FS31">
        <v>0</v>
      </c>
      <c r="FX31">
        <v>70</v>
      </c>
      <c r="FY31">
        <v>10</v>
      </c>
      <c r="GA31" t="s">
        <v>3</v>
      </c>
      <c r="GD31">
        <v>0</v>
      </c>
      <c r="GF31">
        <v>764291226</v>
      </c>
      <c r="GG31">
        <v>2</v>
      </c>
      <c r="GH31">
        <v>1</v>
      </c>
      <c r="GI31">
        <v>-2</v>
      </c>
      <c r="GJ31">
        <v>0</v>
      </c>
      <c r="GK31">
        <f>ROUND(R31*(R12)/100,2)</f>
        <v>0</v>
      </c>
      <c r="GL31">
        <f t="shared" si="48"/>
        <v>0</v>
      </c>
      <c r="GM31">
        <f t="shared" si="49"/>
        <v>-882.43</v>
      </c>
      <c r="GN31">
        <f t="shared" si="50"/>
        <v>0</v>
      </c>
      <c r="GO31">
        <f t="shared" si="51"/>
        <v>0</v>
      </c>
      <c r="GP31">
        <f t="shared" si="52"/>
        <v>-882.43</v>
      </c>
      <c r="GR31">
        <v>0</v>
      </c>
      <c r="GS31">
        <v>0</v>
      </c>
      <c r="GT31">
        <v>0</v>
      </c>
      <c r="GU31" t="s">
        <v>3</v>
      </c>
      <c r="GV31">
        <f t="shared" si="53"/>
        <v>0</v>
      </c>
      <c r="GW31">
        <v>1</v>
      </c>
      <c r="GX31">
        <f t="shared" si="54"/>
        <v>0</v>
      </c>
      <c r="HA31">
        <v>0</v>
      </c>
      <c r="HB31">
        <v>0</v>
      </c>
      <c r="HC31">
        <f t="shared" si="55"/>
        <v>0</v>
      </c>
      <c r="IK31">
        <v>0</v>
      </c>
    </row>
    <row r="32" spans="1:245">
      <c r="A32">
        <v>17</v>
      </c>
      <c r="B32">
        <v>1</v>
      </c>
      <c r="C32">
        <f>ROW(SmtRes!A8)</f>
        <v>8</v>
      </c>
      <c r="D32">
        <f>ROW(EtalonRes!A8)</f>
        <v>8</v>
      </c>
      <c r="E32" t="s">
        <v>34</v>
      </c>
      <c r="F32" t="s">
        <v>35</v>
      </c>
      <c r="G32" t="s">
        <v>36</v>
      </c>
      <c r="H32" t="s">
        <v>17</v>
      </c>
      <c r="I32">
        <f>ROUND(58/100,9)</f>
        <v>0.57999999999999996</v>
      </c>
      <c r="J32">
        <v>0</v>
      </c>
      <c r="O32">
        <f t="shared" si="21"/>
        <v>14505.2</v>
      </c>
      <c r="P32">
        <f t="shared" si="22"/>
        <v>8742.57</v>
      </c>
      <c r="Q32">
        <f t="shared" si="23"/>
        <v>0</v>
      </c>
      <c r="R32">
        <f t="shared" si="24"/>
        <v>0</v>
      </c>
      <c r="S32">
        <f t="shared" si="25"/>
        <v>5762.63</v>
      </c>
      <c r="T32">
        <f t="shared" si="26"/>
        <v>0</v>
      </c>
      <c r="U32">
        <f t="shared" si="27"/>
        <v>31.146000000000001</v>
      </c>
      <c r="V32">
        <f t="shared" si="28"/>
        <v>0</v>
      </c>
      <c r="W32">
        <f t="shared" si="29"/>
        <v>0</v>
      </c>
      <c r="X32">
        <f t="shared" si="30"/>
        <v>4033.84</v>
      </c>
      <c r="Y32">
        <f t="shared" si="31"/>
        <v>576.26</v>
      </c>
      <c r="AA32">
        <v>41858681</v>
      </c>
      <c r="AB32">
        <f t="shared" si="32"/>
        <v>25008.97</v>
      </c>
      <c r="AC32">
        <f>ROUND((ES32),6)</f>
        <v>15073.4</v>
      </c>
      <c r="AD32">
        <f>ROUND((((ET32)-(EU32))+AE32),6)</f>
        <v>0</v>
      </c>
      <c r="AE32">
        <f t="shared" si="33"/>
        <v>0</v>
      </c>
      <c r="AF32">
        <f t="shared" si="33"/>
        <v>9935.57</v>
      </c>
      <c r="AG32">
        <f t="shared" si="34"/>
        <v>0</v>
      </c>
      <c r="AH32">
        <f t="shared" si="35"/>
        <v>53.7</v>
      </c>
      <c r="AI32">
        <f t="shared" si="35"/>
        <v>0</v>
      </c>
      <c r="AJ32">
        <f t="shared" si="36"/>
        <v>0</v>
      </c>
      <c r="AK32">
        <v>25008.97</v>
      </c>
      <c r="AL32">
        <v>15073.4</v>
      </c>
      <c r="AM32">
        <v>0</v>
      </c>
      <c r="AN32">
        <v>0</v>
      </c>
      <c r="AO32">
        <v>9935.57</v>
      </c>
      <c r="AP32">
        <v>0</v>
      </c>
      <c r="AQ32">
        <v>53.7</v>
      </c>
      <c r="AR32">
        <v>0</v>
      </c>
      <c r="AS32">
        <v>0</v>
      </c>
      <c r="AT32">
        <v>70</v>
      </c>
      <c r="AU32">
        <v>10</v>
      </c>
      <c r="AV32">
        <v>1</v>
      </c>
      <c r="AW32">
        <v>1</v>
      </c>
      <c r="AZ32">
        <v>1</v>
      </c>
      <c r="BA32">
        <v>1</v>
      </c>
      <c r="BB32">
        <v>1</v>
      </c>
      <c r="BC32">
        <v>1</v>
      </c>
      <c r="BD32" t="s">
        <v>3</v>
      </c>
      <c r="BE32" t="s">
        <v>3</v>
      </c>
      <c r="BF32" t="s">
        <v>3</v>
      </c>
      <c r="BG32" t="s">
        <v>3</v>
      </c>
      <c r="BH32">
        <v>0</v>
      </c>
      <c r="BI32">
        <v>4</v>
      </c>
      <c r="BJ32" t="s">
        <v>37</v>
      </c>
      <c r="BM32">
        <v>0</v>
      </c>
      <c r="BN32">
        <v>0</v>
      </c>
      <c r="BO32" t="s">
        <v>3</v>
      </c>
      <c r="BP32">
        <v>0</v>
      </c>
      <c r="BQ32">
        <v>1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 t="s">
        <v>3</v>
      </c>
      <c r="BZ32">
        <v>70</v>
      </c>
      <c r="CA32">
        <v>10</v>
      </c>
      <c r="CE32">
        <v>0</v>
      </c>
      <c r="CF32">
        <v>0</v>
      </c>
      <c r="CG32">
        <v>0</v>
      </c>
      <c r="CM32">
        <v>0</v>
      </c>
      <c r="CN32" t="s">
        <v>3</v>
      </c>
      <c r="CO32">
        <v>0</v>
      </c>
      <c r="CP32">
        <f t="shared" si="37"/>
        <v>14505.2</v>
      </c>
      <c r="CQ32">
        <f t="shared" si="38"/>
        <v>15073.4</v>
      </c>
      <c r="CR32">
        <f>((((ET32)*BB32-(EU32)*BS32)+AE32*BS32)*AV32)</f>
        <v>0</v>
      </c>
      <c r="CS32">
        <f t="shared" si="39"/>
        <v>0</v>
      </c>
      <c r="CT32">
        <f t="shared" si="40"/>
        <v>9935.57</v>
      </c>
      <c r="CU32">
        <f t="shared" si="41"/>
        <v>0</v>
      </c>
      <c r="CV32">
        <f t="shared" si="42"/>
        <v>53.7</v>
      </c>
      <c r="CW32">
        <f t="shared" si="43"/>
        <v>0</v>
      </c>
      <c r="CX32">
        <f t="shared" si="44"/>
        <v>0</v>
      </c>
      <c r="CY32">
        <f t="shared" si="45"/>
        <v>4033.8410000000003</v>
      </c>
      <c r="CZ32">
        <f t="shared" si="46"/>
        <v>576.26300000000003</v>
      </c>
      <c r="DC32" t="s">
        <v>3</v>
      </c>
      <c r="DD32" t="s">
        <v>3</v>
      </c>
      <c r="DE32" t="s">
        <v>3</v>
      </c>
      <c r="DF32" t="s">
        <v>3</v>
      </c>
      <c r="DG32" t="s">
        <v>3</v>
      </c>
      <c r="DH32" t="s">
        <v>3</v>
      </c>
      <c r="DI32" t="s">
        <v>3</v>
      </c>
      <c r="DJ32" t="s">
        <v>3</v>
      </c>
      <c r="DK32" t="s">
        <v>3</v>
      </c>
      <c r="DL32" t="s">
        <v>3</v>
      </c>
      <c r="DM32" t="s">
        <v>3</v>
      </c>
      <c r="DN32">
        <v>0</v>
      </c>
      <c r="DO32">
        <v>0</v>
      </c>
      <c r="DP32">
        <v>1</v>
      </c>
      <c r="DQ32">
        <v>1</v>
      </c>
      <c r="DU32">
        <v>1005</v>
      </c>
      <c r="DV32" t="s">
        <v>17</v>
      </c>
      <c r="DW32" t="s">
        <v>17</v>
      </c>
      <c r="DX32">
        <v>100</v>
      </c>
      <c r="EE32">
        <v>40050625</v>
      </c>
      <c r="EF32">
        <v>1</v>
      </c>
      <c r="EG32" t="s">
        <v>19</v>
      </c>
      <c r="EH32">
        <v>0</v>
      </c>
      <c r="EI32" t="s">
        <v>3</v>
      </c>
      <c r="EJ32">
        <v>4</v>
      </c>
      <c r="EK32">
        <v>0</v>
      </c>
      <c r="EL32" t="s">
        <v>20</v>
      </c>
      <c r="EM32" t="s">
        <v>21</v>
      </c>
      <c r="EO32" t="s">
        <v>3</v>
      </c>
      <c r="EQ32">
        <v>0</v>
      </c>
      <c r="ER32">
        <v>25008.97</v>
      </c>
      <c r="ES32">
        <v>15073.4</v>
      </c>
      <c r="ET32">
        <v>0</v>
      </c>
      <c r="EU32">
        <v>0</v>
      </c>
      <c r="EV32">
        <v>9935.57</v>
      </c>
      <c r="EW32">
        <v>53.7</v>
      </c>
      <c r="EX32">
        <v>0</v>
      </c>
      <c r="EY32">
        <v>0</v>
      </c>
      <c r="FQ32">
        <v>0</v>
      </c>
      <c r="FR32">
        <f t="shared" si="47"/>
        <v>0</v>
      </c>
      <c r="FS32">
        <v>0</v>
      </c>
      <c r="FX32">
        <v>70</v>
      </c>
      <c r="FY32">
        <v>10</v>
      </c>
      <c r="GA32" t="s">
        <v>3</v>
      </c>
      <c r="GD32">
        <v>0</v>
      </c>
      <c r="GF32">
        <v>-1666003609</v>
      </c>
      <c r="GG32">
        <v>2</v>
      </c>
      <c r="GH32">
        <v>1</v>
      </c>
      <c r="GI32">
        <v>-2</v>
      </c>
      <c r="GJ32">
        <v>0</v>
      </c>
      <c r="GK32">
        <f>ROUND(R32*(R12)/100,2)</f>
        <v>0</v>
      </c>
      <c r="GL32">
        <f t="shared" si="48"/>
        <v>0</v>
      </c>
      <c r="GM32">
        <f t="shared" si="49"/>
        <v>19115.3</v>
      </c>
      <c r="GN32">
        <f t="shared" si="50"/>
        <v>0</v>
      </c>
      <c r="GO32">
        <f t="shared" si="51"/>
        <v>0</v>
      </c>
      <c r="GP32">
        <f t="shared" si="52"/>
        <v>19115.3</v>
      </c>
      <c r="GR32">
        <v>0</v>
      </c>
      <c r="GS32">
        <v>0</v>
      </c>
      <c r="GT32">
        <v>0</v>
      </c>
      <c r="GU32" t="s">
        <v>3</v>
      </c>
      <c r="GV32">
        <f t="shared" si="53"/>
        <v>0</v>
      </c>
      <c r="GW32">
        <v>1</v>
      </c>
      <c r="GX32">
        <f t="shared" si="54"/>
        <v>0</v>
      </c>
      <c r="HA32">
        <v>0</v>
      </c>
      <c r="HB32">
        <v>0</v>
      </c>
      <c r="HC32">
        <f t="shared" si="55"/>
        <v>0</v>
      </c>
      <c r="IK32">
        <v>0</v>
      </c>
    </row>
    <row r="33" spans="1:245">
      <c r="A33">
        <v>17</v>
      </c>
      <c r="B33">
        <v>1</v>
      </c>
      <c r="C33">
        <f>ROW(SmtRes!A10)</f>
        <v>10</v>
      </c>
      <c r="D33">
        <f>ROW(EtalonRes!A10)</f>
        <v>10</v>
      </c>
      <c r="E33" t="s">
        <v>38</v>
      </c>
      <c r="F33" t="s">
        <v>39</v>
      </c>
      <c r="G33" t="s">
        <v>40</v>
      </c>
      <c r="H33" t="s">
        <v>17</v>
      </c>
      <c r="I33">
        <f>ROUND(58/100,9)</f>
        <v>0.57999999999999996</v>
      </c>
      <c r="J33">
        <v>0</v>
      </c>
      <c r="O33">
        <f t="shared" si="21"/>
        <v>5708.39</v>
      </c>
      <c r="P33">
        <f t="shared" si="22"/>
        <v>4371.29</v>
      </c>
      <c r="Q33">
        <f t="shared" si="23"/>
        <v>0</v>
      </c>
      <c r="R33">
        <f t="shared" si="24"/>
        <v>0</v>
      </c>
      <c r="S33">
        <f t="shared" si="25"/>
        <v>1337.1</v>
      </c>
      <c r="T33">
        <f t="shared" si="26"/>
        <v>0</v>
      </c>
      <c r="U33">
        <f t="shared" si="27"/>
        <v>7.2267999999999999</v>
      </c>
      <c r="V33">
        <f t="shared" si="28"/>
        <v>0</v>
      </c>
      <c r="W33">
        <f t="shared" si="29"/>
        <v>0</v>
      </c>
      <c r="X33">
        <f t="shared" si="30"/>
        <v>935.97</v>
      </c>
      <c r="Y33">
        <f t="shared" si="31"/>
        <v>133.71</v>
      </c>
      <c r="AA33">
        <v>41858681</v>
      </c>
      <c r="AB33">
        <f t="shared" si="32"/>
        <v>9842.0400000000009</v>
      </c>
      <c r="AC33">
        <f>ROUND(((ES33*2)),6)</f>
        <v>7536.7</v>
      </c>
      <c r="AD33">
        <f>ROUND(((((ET33*2))-((EU33*2)))+AE33),6)</f>
        <v>0</v>
      </c>
      <c r="AE33">
        <f>ROUND(((EU33*2)),6)</f>
        <v>0</v>
      </c>
      <c r="AF33">
        <f>ROUND(((EV33*2)),6)</f>
        <v>2305.34</v>
      </c>
      <c r="AG33">
        <f t="shared" si="34"/>
        <v>0</v>
      </c>
      <c r="AH33">
        <f>((EW33*2))</f>
        <v>12.46</v>
      </c>
      <c r="AI33">
        <f>((EX33*2))</f>
        <v>0</v>
      </c>
      <c r="AJ33">
        <f t="shared" si="36"/>
        <v>0</v>
      </c>
      <c r="AK33">
        <v>4921.0200000000004</v>
      </c>
      <c r="AL33">
        <v>3768.35</v>
      </c>
      <c r="AM33">
        <v>0</v>
      </c>
      <c r="AN33">
        <v>0</v>
      </c>
      <c r="AO33">
        <v>1152.67</v>
      </c>
      <c r="AP33">
        <v>0</v>
      </c>
      <c r="AQ33">
        <v>6.23</v>
      </c>
      <c r="AR33">
        <v>0</v>
      </c>
      <c r="AS33">
        <v>0</v>
      </c>
      <c r="AT33">
        <v>70</v>
      </c>
      <c r="AU33">
        <v>10</v>
      </c>
      <c r="AV33">
        <v>1</v>
      </c>
      <c r="AW33">
        <v>1</v>
      </c>
      <c r="AZ33">
        <v>1</v>
      </c>
      <c r="BA33">
        <v>1</v>
      </c>
      <c r="BB33">
        <v>1</v>
      </c>
      <c r="BC33">
        <v>1</v>
      </c>
      <c r="BD33" t="s">
        <v>3</v>
      </c>
      <c r="BE33" t="s">
        <v>3</v>
      </c>
      <c r="BF33" t="s">
        <v>3</v>
      </c>
      <c r="BG33" t="s">
        <v>3</v>
      </c>
      <c r="BH33">
        <v>0</v>
      </c>
      <c r="BI33">
        <v>4</v>
      </c>
      <c r="BJ33" t="s">
        <v>41</v>
      </c>
      <c r="BM33">
        <v>0</v>
      </c>
      <c r="BN33">
        <v>0</v>
      </c>
      <c r="BO33" t="s">
        <v>3</v>
      </c>
      <c r="BP33">
        <v>0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3</v>
      </c>
      <c r="BZ33">
        <v>70</v>
      </c>
      <c r="CA33">
        <v>10</v>
      </c>
      <c r="CE33">
        <v>0</v>
      </c>
      <c r="CF33">
        <v>0</v>
      </c>
      <c r="CG33">
        <v>0</v>
      </c>
      <c r="CM33">
        <v>0</v>
      </c>
      <c r="CN33" t="s">
        <v>3</v>
      </c>
      <c r="CO33">
        <v>0</v>
      </c>
      <c r="CP33">
        <f t="shared" si="37"/>
        <v>5708.3899999999994</v>
      </c>
      <c r="CQ33">
        <f t="shared" si="38"/>
        <v>7536.7</v>
      </c>
      <c r="CR33">
        <f>(((((ET33*2))*BB33-((EU33*2))*BS33)+AE33*BS33)*AV33)</f>
        <v>0</v>
      </c>
      <c r="CS33">
        <f t="shared" si="39"/>
        <v>0</v>
      </c>
      <c r="CT33">
        <f t="shared" si="40"/>
        <v>2305.34</v>
      </c>
      <c r="CU33">
        <f t="shared" si="41"/>
        <v>0</v>
      </c>
      <c r="CV33">
        <f t="shared" si="42"/>
        <v>12.46</v>
      </c>
      <c r="CW33">
        <f t="shared" si="43"/>
        <v>0</v>
      </c>
      <c r="CX33">
        <f t="shared" si="44"/>
        <v>0</v>
      </c>
      <c r="CY33">
        <f t="shared" si="45"/>
        <v>935.97</v>
      </c>
      <c r="CZ33">
        <f t="shared" si="46"/>
        <v>133.71</v>
      </c>
      <c r="DC33" t="s">
        <v>3</v>
      </c>
      <c r="DD33" t="s">
        <v>42</v>
      </c>
      <c r="DE33" t="s">
        <v>42</v>
      </c>
      <c r="DF33" t="s">
        <v>42</v>
      </c>
      <c r="DG33" t="s">
        <v>42</v>
      </c>
      <c r="DH33" t="s">
        <v>3</v>
      </c>
      <c r="DI33" t="s">
        <v>42</v>
      </c>
      <c r="DJ33" t="s">
        <v>42</v>
      </c>
      <c r="DK33" t="s">
        <v>3</v>
      </c>
      <c r="DL33" t="s">
        <v>3</v>
      </c>
      <c r="DM33" t="s">
        <v>3</v>
      </c>
      <c r="DN33">
        <v>0</v>
      </c>
      <c r="DO33">
        <v>0</v>
      </c>
      <c r="DP33">
        <v>1</v>
      </c>
      <c r="DQ33">
        <v>1</v>
      </c>
      <c r="DU33">
        <v>1005</v>
      </c>
      <c r="DV33" t="s">
        <v>17</v>
      </c>
      <c r="DW33" t="s">
        <v>17</v>
      </c>
      <c r="DX33">
        <v>100</v>
      </c>
      <c r="EE33">
        <v>40050625</v>
      </c>
      <c r="EF33">
        <v>1</v>
      </c>
      <c r="EG33" t="s">
        <v>19</v>
      </c>
      <c r="EH33">
        <v>0</v>
      </c>
      <c r="EI33" t="s">
        <v>3</v>
      </c>
      <c r="EJ33">
        <v>4</v>
      </c>
      <c r="EK33">
        <v>0</v>
      </c>
      <c r="EL33" t="s">
        <v>20</v>
      </c>
      <c r="EM33" t="s">
        <v>21</v>
      </c>
      <c r="EO33" t="s">
        <v>3</v>
      </c>
      <c r="EQ33">
        <v>0</v>
      </c>
      <c r="ER33">
        <v>4921.0200000000004</v>
      </c>
      <c r="ES33">
        <v>3768.35</v>
      </c>
      <c r="ET33">
        <v>0</v>
      </c>
      <c r="EU33">
        <v>0</v>
      </c>
      <c r="EV33">
        <v>1152.67</v>
      </c>
      <c r="EW33">
        <v>6.23</v>
      </c>
      <c r="EX33">
        <v>0</v>
      </c>
      <c r="EY33">
        <v>0</v>
      </c>
      <c r="FQ33">
        <v>0</v>
      </c>
      <c r="FR33">
        <f t="shared" si="47"/>
        <v>0</v>
      </c>
      <c r="FS33">
        <v>0</v>
      </c>
      <c r="FX33">
        <v>70</v>
      </c>
      <c r="FY33">
        <v>10</v>
      </c>
      <c r="GA33" t="s">
        <v>3</v>
      </c>
      <c r="GD33">
        <v>0</v>
      </c>
      <c r="GF33">
        <v>676035378</v>
      </c>
      <c r="GG33">
        <v>2</v>
      </c>
      <c r="GH33">
        <v>1</v>
      </c>
      <c r="GI33">
        <v>-2</v>
      </c>
      <c r="GJ33">
        <v>0</v>
      </c>
      <c r="GK33">
        <f>ROUND(R33*(R12)/100,2)</f>
        <v>0</v>
      </c>
      <c r="GL33">
        <f t="shared" si="48"/>
        <v>0</v>
      </c>
      <c r="GM33">
        <f t="shared" si="49"/>
        <v>6778.07</v>
      </c>
      <c r="GN33">
        <f t="shared" si="50"/>
        <v>0</v>
      </c>
      <c r="GO33">
        <f t="shared" si="51"/>
        <v>0</v>
      </c>
      <c r="GP33">
        <f t="shared" si="52"/>
        <v>6778.07</v>
      </c>
      <c r="GR33">
        <v>0</v>
      </c>
      <c r="GS33">
        <v>0</v>
      </c>
      <c r="GT33">
        <v>0</v>
      </c>
      <c r="GU33" t="s">
        <v>3</v>
      </c>
      <c r="GV33">
        <f t="shared" si="53"/>
        <v>0</v>
      </c>
      <c r="GW33">
        <v>1</v>
      </c>
      <c r="GX33">
        <f t="shared" si="54"/>
        <v>0</v>
      </c>
      <c r="HA33">
        <v>0</v>
      </c>
      <c r="HB33">
        <v>0</v>
      </c>
      <c r="HC33">
        <f t="shared" si="55"/>
        <v>0</v>
      </c>
      <c r="IK33">
        <v>0</v>
      </c>
    </row>
    <row r="34" spans="1:245">
      <c r="A34">
        <v>17</v>
      </c>
      <c r="B34">
        <v>1</v>
      </c>
      <c r="C34">
        <f>ROW(SmtRes!A18)</f>
        <v>18</v>
      </c>
      <c r="D34">
        <f>ROW(EtalonRes!A16)</f>
        <v>16</v>
      </c>
      <c r="E34" t="s">
        <v>43</v>
      </c>
      <c r="F34" t="s">
        <v>44</v>
      </c>
      <c r="G34" t="s">
        <v>45</v>
      </c>
      <c r="H34" t="s">
        <v>17</v>
      </c>
      <c r="I34">
        <f>ROUND(58/100,9)</f>
        <v>0.57999999999999996</v>
      </c>
      <c r="J34">
        <v>0</v>
      </c>
      <c r="O34">
        <f t="shared" si="21"/>
        <v>19826.78</v>
      </c>
      <c r="P34">
        <f t="shared" si="22"/>
        <v>2007.53</v>
      </c>
      <c r="Q34">
        <f t="shared" si="23"/>
        <v>0</v>
      </c>
      <c r="R34">
        <f t="shared" si="24"/>
        <v>0</v>
      </c>
      <c r="S34">
        <f t="shared" si="25"/>
        <v>17819.25</v>
      </c>
      <c r="T34">
        <f t="shared" si="26"/>
        <v>0</v>
      </c>
      <c r="U34">
        <f t="shared" si="27"/>
        <v>90.050799999999995</v>
      </c>
      <c r="V34">
        <f t="shared" si="28"/>
        <v>0</v>
      </c>
      <c r="W34">
        <f t="shared" si="29"/>
        <v>0</v>
      </c>
      <c r="X34">
        <f t="shared" si="30"/>
        <v>12473.48</v>
      </c>
      <c r="Y34">
        <f t="shared" si="31"/>
        <v>1781.93</v>
      </c>
      <c r="AA34">
        <v>41858681</v>
      </c>
      <c r="AB34">
        <f t="shared" si="32"/>
        <v>34184.11</v>
      </c>
      <c r="AC34">
        <f>ROUND((ES34),6)</f>
        <v>3461.26</v>
      </c>
      <c r="AD34">
        <f t="shared" ref="AD34:AD39" si="56">ROUND((((ET34)-(EU34))+AE34),6)</f>
        <v>0</v>
      </c>
      <c r="AE34">
        <f t="shared" ref="AE34:AF37" si="57">ROUND((EU34),6)</f>
        <v>0</v>
      </c>
      <c r="AF34">
        <f t="shared" si="57"/>
        <v>30722.85</v>
      </c>
      <c r="AG34">
        <f t="shared" si="34"/>
        <v>0</v>
      </c>
      <c r="AH34">
        <f t="shared" ref="AH34:AI37" si="58">(EW34)</f>
        <v>155.26</v>
      </c>
      <c r="AI34">
        <f t="shared" si="58"/>
        <v>0</v>
      </c>
      <c r="AJ34">
        <f t="shared" si="36"/>
        <v>0</v>
      </c>
      <c r="AK34">
        <v>34184.11</v>
      </c>
      <c r="AL34">
        <v>3461.26</v>
      </c>
      <c r="AM34">
        <v>0</v>
      </c>
      <c r="AN34">
        <v>0</v>
      </c>
      <c r="AO34">
        <v>30722.85</v>
      </c>
      <c r="AP34">
        <v>0</v>
      </c>
      <c r="AQ34">
        <v>155.26</v>
      </c>
      <c r="AR34">
        <v>0</v>
      </c>
      <c r="AS34">
        <v>0</v>
      </c>
      <c r="AT34">
        <v>70</v>
      </c>
      <c r="AU34">
        <v>10</v>
      </c>
      <c r="AV34">
        <v>1</v>
      </c>
      <c r="AW34">
        <v>1</v>
      </c>
      <c r="AZ34">
        <v>1</v>
      </c>
      <c r="BA34">
        <v>1</v>
      </c>
      <c r="BB34">
        <v>1</v>
      </c>
      <c r="BC34">
        <v>1</v>
      </c>
      <c r="BD34" t="s">
        <v>3</v>
      </c>
      <c r="BE34" t="s">
        <v>3</v>
      </c>
      <c r="BF34" t="s">
        <v>3</v>
      </c>
      <c r="BG34" t="s">
        <v>3</v>
      </c>
      <c r="BH34">
        <v>0</v>
      </c>
      <c r="BI34">
        <v>4</v>
      </c>
      <c r="BJ34" t="s">
        <v>46</v>
      </c>
      <c r="BM34">
        <v>0</v>
      </c>
      <c r="BN34">
        <v>0</v>
      </c>
      <c r="BO34" t="s">
        <v>3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 t="s">
        <v>3</v>
      </c>
      <c r="BZ34">
        <v>70</v>
      </c>
      <c r="CA34">
        <v>10</v>
      </c>
      <c r="CE34">
        <v>0</v>
      </c>
      <c r="CF34">
        <v>0</v>
      </c>
      <c r="CG34">
        <v>0</v>
      </c>
      <c r="CM34">
        <v>0</v>
      </c>
      <c r="CN34" t="s">
        <v>3</v>
      </c>
      <c r="CO34">
        <v>0</v>
      </c>
      <c r="CP34">
        <f t="shared" si="37"/>
        <v>19826.78</v>
      </c>
      <c r="CQ34">
        <f t="shared" si="38"/>
        <v>3461.26</v>
      </c>
      <c r="CR34">
        <f t="shared" ref="CR34:CR39" si="59">((((ET34)*BB34-(EU34)*BS34)+AE34*BS34)*AV34)</f>
        <v>0</v>
      </c>
      <c r="CS34">
        <f t="shared" si="39"/>
        <v>0</v>
      </c>
      <c r="CT34">
        <f t="shared" si="40"/>
        <v>30722.85</v>
      </c>
      <c r="CU34">
        <f t="shared" si="41"/>
        <v>0</v>
      </c>
      <c r="CV34">
        <f t="shared" si="42"/>
        <v>155.26</v>
      </c>
      <c r="CW34">
        <f t="shared" si="43"/>
        <v>0</v>
      </c>
      <c r="CX34">
        <f t="shared" si="44"/>
        <v>0</v>
      </c>
      <c r="CY34">
        <f t="shared" si="45"/>
        <v>12473.475</v>
      </c>
      <c r="CZ34">
        <f t="shared" si="46"/>
        <v>1781.925</v>
      </c>
      <c r="DC34" t="s">
        <v>3</v>
      </c>
      <c r="DD34" t="s">
        <v>3</v>
      </c>
      <c r="DE34" t="s">
        <v>3</v>
      </c>
      <c r="DF34" t="s">
        <v>3</v>
      </c>
      <c r="DG34" t="s">
        <v>3</v>
      </c>
      <c r="DH34" t="s">
        <v>3</v>
      </c>
      <c r="DI34" t="s">
        <v>3</v>
      </c>
      <c r="DJ34" t="s">
        <v>3</v>
      </c>
      <c r="DK34" t="s">
        <v>3</v>
      </c>
      <c r="DL34" t="s">
        <v>3</v>
      </c>
      <c r="DM34" t="s">
        <v>3</v>
      </c>
      <c r="DN34">
        <v>0</v>
      </c>
      <c r="DO34">
        <v>0</v>
      </c>
      <c r="DP34">
        <v>1</v>
      </c>
      <c r="DQ34">
        <v>1</v>
      </c>
      <c r="DU34">
        <v>1005</v>
      </c>
      <c r="DV34" t="s">
        <v>17</v>
      </c>
      <c r="DW34" t="s">
        <v>17</v>
      </c>
      <c r="DX34">
        <v>100</v>
      </c>
      <c r="EE34">
        <v>40050625</v>
      </c>
      <c r="EF34">
        <v>1</v>
      </c>
      <c r="EG34" t="s">
        <v>19</v>
      </c>
      <c r="EH34">
        <v>0</v>
      </c>
      <c r="EI34" t="s">
        <v>3</v>
      </c>
      <c r="EJ34">
        <v>4</v>
      </c>
      <c r="EK34">
        <v>0</v>
      </c>
      <c r="EL34" t="s">
        <v>20</v>
      </c>
      <c r="EM34" t="s">
        <v>21</v>
      </c>
      <c r="EO34" t="s">
        <v>3</v>
      </c>
      <c r="EQ34">
        <v>0</v>
      </c>
      <c r="ER34">
        <v>34184.11</v>
      </c>
      <c r="ES34">
        <v>3461.26</v>
      </c>
      <c r="ET34">
        <v>0</v>
      </c>
      <c r="EU34">
        <v>0</v>
      </c>
      <c r="EV34">
        <v>30722.85</v>
      </c>
      <c r="EW34">
        <v>155.26</v>
      </c>
      <c r="EX34">
        <v>0</v>
      </c>
      <c r="EY34">
        <v>0</v>
      </c>
      <c r="FQ34">
        <v>0</v>
      </c>
      <c r="FR34">
        <f t="shared" si="47"/>
        <v>0</v>
      </c>
      <c r="FS34">
        <v>0</v>
      </c>
      <c r="FX34">
        <v>70</v>
      </c>
      <c r="FY34">
        <v>10</v>
      </c>
      <c r="GA34" t="s">
        <v>3</v>
      </c>
      <c r="GD34">
        <v>0</v>
      </c>
      <c r="GF34">
        <v>2094736964</v>
      </c>
      <c r="GG34">
        <v>2</v>
      </c>
      <c r="GH34">
        <v>1</v>
      </c>
      <c r="GI34">
        <v>-2</v>
      </c>
      <c r="GJ34">
        <v>0</v>
      </c>
      <c r="GK34">
        <f>ROUND(R34*(R12)/100,2)</f>
        <v>0</v>
      </c>
      <c r="GL34">
        <f t="shared" si="48"/>
        <v>0</v>
      </c>
      <c r="GM34">
        <f t="shared" si="49"/>
        <v>34082.19</v>
      </c>
      <c r="GN34">
        <f t="shared" si="50"/>
        <v>0</v>
      </c>
      <c r="GO34">
        <f t="shared" si="51"/>
        <v>0</v>
      </c>
      <c r="GP34">
        <f t="shared" si="52"/>
        <v>34082.19</v>
      </c>
      <c r="GR34">
        <v>0</v>
      </c>
      <c r="GS34">
        <v>0</v>
      </c>
      <c r="GT34">
        <v>0</v>
      </c>
      <c r="GU34" t="s">
        <v>3</v>
      </c>
      <c r="GV34">
        <f t="shared" si="53"/>
        <v>0</v>
      </c>
      <c r="GW34">
        <v>1</v>
      </c>
      <c r="GX34">
        <f t="shared" si="54"/>
        <v>0</v>
      </c>
      <c r="HA34">
        <v>0</v>
      </c>
      <c r="HB34">
        <v>0</v>
      </c>
      <c r="HC34">
        <f t="shared" si="55"/>
        <v>0</v>
      </c>
      <c r="IK34">
        <v>0</v>
      </c>
    </row>
    <row r="35" spans="1:245">
      <c r="A35">
        <v>18</v>
      </c>
      <c r="B35">
        <v>1</v>
      </c>
      <c r="C35">
        <v>17</v>
      </c>
      <c r="E35" t="s">
        <v>47</v>
      </c>
      <c r="F35" t="s">
        <v>48</v>
      </c>
      <c r="G35" t="s">
        <v>49</v>
      </c>
      <c r="H35" t="s">
        <v>50</v>
      </c>
      <c r="I35">
        <f>I34*J35</f>
        <v>974.4</v>
      </c>
      <c r="J35">
        <v>1680</v>
      </c>
      <c r="O35">
        <f t="shared" si="21"/>
        <v>0</v>
      </c>
      <c r="P35">
        <f t="shared" si="22"/>
        <v>0</v>
      </c>
      <c r="Q35">
        <f t="shared" si="23"/>
        <v>0</v>
      </c>
      <c r="R35">
        <f t="shared" si="24"/>
        <v>0</v>
      </c>
      <c r="S35">
        <f t="shared" si="25"/>
        <v>0</v>
      </c>
      <c r="T35">
        <f t="shared" si="26"/>
        <v>0</v>
      </c>
      <c r="U35">
        <f t="shared" si="27"/>
        <v>0</v>
      </c>
      <c r="V35">
        <f t="shared" si="28"/>
        <v>0</v>
      </c>
      <c r="W35">
        <f t="shared" si="29"/>
        <v>0</v>
      </c>
      <c r="X35">
        <f t="shared" si="30"/>
        <v>0</v>
      </c>
      <c r="Y35">
        <f t="shared" si="31"/>
        <v>0</v>
      </c>
      <c r="AA35">
        <v>41858681</v>
      </c>
      <c r="AB35">
        <f t="shared" si="32"/>
        <v>0</v>
      </c>
      <c r="AC35">
        <f>ROUND((ES35),6)</f>
        <v>0</v>
      </c>
      <c r="AD35">
        <f t="shared" si="56"/>
        <v>0</v>
      </c>
      <c r="AE35">
        <f t="shared" si="57"/>
        <v>0</v>
      </c>
      <c r="AF35">
        <f t="shared" si="57"/>
        <v>0</v>
      </c>
      <c r="AG35">
        <f t="shared" si="34"/>
        <v>0</v>
      </c>
      <c r="AH35">
        <f t="shared" si="58"/>
        <v>0</v>
      </c>
      <c r="AI35">
        <f t="shared" si="58"/>
        <v>0</v>
      </c>
      <c r="AJ35">
        <f t="shared" si="36"/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70</v>
      </c>
      <c r="AU35">
        <v>10</v>
      </c>
      <c r="AV35">
        <v>1</v>
      </c>
      <c r="AW35">
        <v>1</v>
      </c>
      <c r="AZ35">
        <v>1</v>
      </c>
      <c r="BA35">
        <v>1</v>
      </c>
      <c r="BB35">
        <v>1</v>
      </c>
      <c r="BC35">
        <v>1</v>
      </c>
      <c r="BD35" t="s">
        <v>3</v>
      </c>
      <c r="BE35" t="s">
        <v>3</v>
      </c>
      <c r="BF35" t="s">
        <v>3</v>
      </c>
      <c r="BG35" t="s">
        <v>3</v>
      </c>
      <c r="BH35">
        <v>3</v>
      </c>
      <c r="BI35">
        <v>4</v>
      </c>
      <c r="BJ35" t="s">
        <v>3</v>
      </c>
      <c r="BM35">
        <v>0</v>
      </c>
      <c r="BN35">
        <v>0</v>
      </c>
      <c r="BO35" t="s">
        <v>3</v>
      </c>
      <c r="BP35">
        <v>0</v>
      </c>
      <c r="BQ35">
        <v>1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 t="s">
        <v>3</v>
      </c>
      <c r="BZ35">
        <v>70</v>
      </c>
      <c r="CA35">
        <v>10</v>
      </c>
      <c r="CE35">
        <v>0</v>
      </c>
      <c r="CF35">
        <v>0</v>
      </c>
      <c r="CG35">
        <v>0</v>
      </c>
      <c r="CM35">
        <v>0</v>
      </c>
      <c r="CN35" t="s">
        <v>3</v>
      </c>
      <c r="CO35">
        <v>0</v>
      </c>
      <c r="CP35">
        <f t="shared" si="37"/>
        <v>0</v>
      </c>
      <c r="CQ35">
        <f t="shared" si="38"/>
        <v>0</v>
      </c>
      <c r="CR35">
        <f t="shared" si="59"/>
        <v>0</v>
      </c>
      <c r="CS35">
        <f t="shared" si="39"/>
        <v>0</v>
      </c>
      <c r="CT35">
        <f t="shared" si="40"/>
        <v>0</v>
      </c>
      <c r="CU35">
        <f t="shared" si="41"/>
        <v>0</v>
      </c>
      <c r="CV35">
        <f t="shared" si="42"/>
        <v>0</v>
      </c>
      <c r="CW35">
        <f t="shared" si="43"/>
        <v>0</v>
      </c>
      <c r="CX35">
        <f t="shared" si="44"/>
        <v>0</v>
      </c>
      <c r="CY35">
        <f t="shared" si="45"/>
        <v>0</v>
      </c>
      <c r="CZ35">
        <f t="shared" si="46"/>
        <v>0</v>
      </c>
      <c r="DC35" t="s">
        <v>3</v>
      </c>
      <c r="DD35" t="s">
        <v>3</v>
      </c>
      <c r="DE35" t="s">
        <v>3</v>
      </c>
      <c r="DF35" t="s">
        <v>3</v>
      </c>
      <c r="DG35" t="s">
        <v>3</v>
      </c>
      <c r="DH35" t="s">
        <v>3</v>
      </c>
      <c r="DI35" t="s">
        <v>3</v>
      </c>
      <c r="DJ35" t="s">
        <v>3</v>
      </c>
      <c r="DK35" t="s">
        <v>3</v>
      </c>
      <c r="DL35" t="s">
        <v>3</v>
      </c>
      <c r="DM35" t="s">
        <v>3</v>
      </c>
      <c r="DN35">
        <v>0</v>
      </c>
      <c r="DO35">
        <v>0</v>
      </c>
      <c r="DP35">
        <v>1</v>
      </c>
      <c r="DQ35">
        <v>1</v>
      </c>
      <c r="DU35">
        <v>1010</v>
      </c>
      <c r="DV35" t="s">
        <v>50</v>
      </c>
      <c r="DW35" t="s">
        <v>50</v>
      </c>
      <c r="DX35">
        <v>1</v>
      </c>
      <c r="EE35">
        <v>40050625</v>
      </c>
      <c r="EF35">
        <v>1</v>
      </c>
      <c r="EG35" t="s">
        <v>19</v>
      </c>
      <c r="EH35">
        <v>0</v>
      </c>
      <c r="EI35" t="s">
        <v>3</v>
      </c>
      <c r="EJ35">
        <v>4</v>
      </c>
      <c r="EK35">
        <v>0</v>
      </c>
      <c r="EL35" t="s">
        <v>20</v>
      </c>
      <c r="EM35" t="s">
        <v>21</v>
      </c>
      <c r="EO35" t="s">
        <v>3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FQ35">
        <v>0</v>
      </c>
      <c r="FR35">
        <f t="shared" si="47"/>
        <v>0</v>
      </c>
      <c r="FS35">
        <v>0</v>
      </c>
      <c r="FX35">
        <v>70</v>
      </c>
      <c r="FY35">
        <v>10</v>
      </c>
      <c r="GA35" t="s">
        <v>3</v>
      </c>
      <c r="GD35">
        <v>0</v>
      </c>
      <c r="GF35">
        <v>-2077348890</v>
      </c>
      <c r="GG35">
        <v>2</v>
      </c>
      <c r="GH35">
        <v>1</v>
      </c>
      <c r="GI35">
        <v>-2</v>
      </c>
      <c r="GJ35">
        <v>0</v>
      </c>
      <c r="GK35">
        <f>ROUND(R35*(R12)/100,2)</f>
        <v>0</v>
      </c>
      <c r="GL35">
        <f t="shared" si="48"/>
        <v>0</v>
      </c>
      <c r="GM35">
        <f t="shared" si="49"/>
        <v>0</v>
      </c>
      <c r="GN35">
        <f t="shared" si="50"/>
        <v>0</v>
      </c>
      <c r="GO35">
        <f t="shared" si="51"/>
        <v>0</v>
      </c>
      <c r="GP35">
        <f t="shared" si="52"/>
        <v>0</v>
      </c>
      <c r="GR35">
        <v>0</v>
      </c>
      <c r="GS35">
        <v>0</v>
      </c>
      <c r="GT35">
        <v>0</v>
      </c>
      <c r="GU35" t="s">
        <v>3</v>
      </c>
      <c r="GV35">
        <f t="shared" si="53"/>
        <v>0</v>
      </c>
      <c r="GW35">
        <v>1</v>
      </c>
      <c r="GX35">
        <f t="shared" si="54"/>
        <v>0</v>
      </c>
      <c r="HA35">
        <v>0</v>
      </c>
      <c r="HB35">
        <v>0</v>
      </c>
      <c r="HC35">
        <f t="shared" si="55"/>
        <v>0</v>
      </c>
      <c r="IK35">
        <v>0</v>
      </c>
    </row>
    <row r="36" spans="1:245">
      <c r="A36">
        <v>18</v>
      </c>
      <c r="B36">
        <v>1</v>
      </c>
      <c r="C36">
        <v>15</v>
      </c>
      <c r="E36" t="s">
        <v>51</v>
      </c>
      <c r="F36" t="s">
        <v>52</v>
      </c>
      <c r="G36" t="s">
        <v>53</v>
      </c>
      <c r="H36" t="s">
        <v>50</v>
      </c>
      <c r="I36">
        <f>I34*J36</f>
        <v>207</v>
      </c>
      <c r="J36">
        <v>356.89655172413796</v>
      </c>
      <c r="O36">
        <f t="shared" si="21"/>
        <v>39123</v>
      </c>
      <c r="P36">
        <f t="shared" si="22"/>
        <v>39123</v>
      </c>
      <c r="Q36">
        <f t="shared" si="23"/>
        <v>0</v>
      </c>
      <c r="R36">
        <f t="shared" si="24"/>
        <v>0</v>
      </c>
      <c r="S36">
        <f t="shared" si="25"/>
        <v>0</v>
      </c>
      <c r="T36">
        <f t="shared" si="26"/>
        <v>0</v>
      </c>
      <c r="U36">
        <f t="shared" si="27"/>
        <v>0</v>
      </c>
      <c r="V36">
        <f t="shared" si="28"/>
        <v>0</v>
      </c>
      <c r="W36">
        <f t="shared" si="29"/>
        <v>0</v>
      </c>
      <c r="X36">
        <f t="shared" si="30"/>
        <v>0</v>
      </c>
      <c r="Y36">
        <f t="shared" si="31"/>
        <v>0</v>
      </c>
      <c r="AA36">
        <v>41858681</v>
      </c>
      <c r="AB36">
        <f t="shared" si="32"/>
        <v>189</v>
      </c>
      <c r="AC36">
        <f>ROUND((ES36),6)</f>
        <v>189</v>
      </c>
      <c r="AD36">
        <f t="shared" si="56"/>
        <v>0</v>
      </c>
      <c r="AE36">
        <f t="shared" si="57"/>
        <v>0</v>
      </c>
      <c r="AF36">
        <f t="shared" si="57"/>
        <v>0</v>
      </c>
      <c r="AG36">
        <f t="shared" si="34"/>
        <v>0</v>
      </c>
      <c r="AH36">
        <f t="shared" si="58"/>
        <v>0</v>
      </c>
      <c r="AI36">
        <f t="shared" si="58"/>
        <v>0</v>
      </c>
      <c r="AJ36">
        <f t="shared" si="36"/>
        <v>0</v>
      </c>
      <c r="AK36">
        <v>189</v>
      </c>
      <c r="AL36">
        <v>189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70</v>
      </c>
      <c r="AU36">
        <v>10</v>
      </c>
      <c r="AV36">
        <v>1</v>
      </c>
      <c r="AW36">
        <v>1</v>
      </c>
      <c r="AZ36">
        <v>1</v>
      </c>
      <c r="BA36">
        <v>1</v>
      </c>
      <c r="BB36">
        <v>1</v>
      </c>
      <c r="BC36">
        <v>1</v>
      </c>
      <c r="BD36" t="s">
        <v>3</v>
      </c>
      <c r="BE36" t="s">
        <v>3</v>
      </c>
      <c r="BF36" t="s">
        <v>3</v>
      </c>
      <c r="BG36" t="s">
        <v>3</v>
      </c>
      <c r="BH36">
        <v>3</v>
      </c>
      <c r="BI36">
        <v>4</v>
      </c>
      <c r="BJ36" t="s">
        <v>54</v>
      </c>
      <c r="BM36">
        <v>0</v>
      </c>
      <c r="BN36">
        <v>0</v>
      </c>
      <c r="BO36" t="s">
        <v>3</v>
      </c>
      <c r="BP36">
        <v>0</v>
      </c>
      <c r="BQ36">
        <v>1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 t="s">
        <v>3</v>
      </c>
      <c r="BZ36">
        <v>70</v>
      </c>
      <c r="CA36">
        <v>10</v>
      </c>
      <c r="CE36">
        <v>0</v>
      </c>
      <c r="CF36">
        <v>0</v>
      </c>
      <c r="CG36">
        <v>0</v>
      </c>
      <c r="CM36">
        <v>0</v>
      </c>
      <c r="CN36" t="s">
        <v>3</v>
      </c>
      <c r="CO36">
        <v>0</v>
      </c>
      <c r="CP36">
        <f t="shared" si="37"/>
        <v>39123</v>
      </c>
      <c r="CQ36">
        <f t="shared" si="38"/>
        <v>189</v>
      </c>
      <c r="CR36">
        <f t="shared" si="59"/>
        <v>0</v>
      </c>
      <c r="CS36">
        <f t="shared" si="39"/>
        <v>0</v>
      </c>
      <c r="CT36">
        <f t="shared" si="40"/>
        <v>0</v>
      </c>
      <c r="CU36">
        <f t="shared" si="41"/>
        <v>0</v>
      </c>
      <c r="CV36">
        <f t="shared" si="42"/>
        <v>0</v>
      </c>
      <c r="CW36">
        <f t="shared" si="43"/>
        <v>0</v>
      </c>
      <c r="CX36">
        <f t="shared" si="44"/>
        <v>0</v>
      </c>
      <c r="CY36">
        <f t="shared" si="45"/>
        <v>0</v>
      </c>
      <c r="CZ36">
        <f t="shared" si="46"/>
        <v>0</v>
      </c>
      <c r="DC36" t="s">
        <v>3</v>
      </c>
      <c r="DD36" t="s">
        <v>3</v>
      </c>
      <c r="DE36" t="s">
        <v>3</v>
      </c>
      <c r="DF36" t="s">
        <v>3</v>
      </c>
      <c r="DG36" t="s">
        <v>3</v>
      </c>
      <c r="DH36" t="s">
        <v>3</v>
      </c>
      <c r="DI36" t="s">
        <v>3</v>
      </c>
      <c r="DJ36" t="s">
        <v>3</v>
      </c>
      <c r="DK36" t="s">
        <v>3</v>
      </c>
      <c r="DL36" t="s">
        <v>3</v>
      </c>
      <c r="DM36" t="s">
        <v>3</v>
      </c>
      <c r="DN36">
        <v>0</v>
      </c>
      <c r="DO36">
        <v>0</v>
      </c>
      <c r="DP36">
        <v>1</v>
      </c>
      <c r="DQ36">
        <v>1</v>
      </c>
      <c r="DU36">
        <v>1010</v>
      </c>
      <c r="DV36" t="s">
        <v>50</v>
      </c>
      <c r="DW36" t="s">
        <v>50</v>
      </c>
      <c r="DX36">
        <v>1</v>
      </c>
      <c r="EE36">
        <v>40050625</v>
      </c>
      <c r="EF36">
        <v>1</v>
      </c>
      <c r="EG36" t="s">
        <v>19</v>
      </c>
      <c r="EH36">
        <v>0</v>
      </c>
      <c r="EI36" t="s">
        <v>3</v>
      </c>
      <c r="EJ36">
        <v>4</v>
      </c>
      <c r="EK36">
        <v>0</v>
      </c>
      <c r="EL36" t="s">
        <v>20</v>
      </c>
      <c r="EM36" t="s">
        <v>21</v>
      </c>
      <c r="EO36" t="s">
        <v>3</v>
      </c>
      <c r="EQ36">
        <v>0</v>
      </c>
      <c r="ER36">
        <v>189</v>
      </c>
      <c r="ES36">
        <v>189</v>
      </c>
      <c r="ET36">
        <v>0</v>
      </c>
      <c r="EU36">
        <v>0</v>
      </c>
      <c r="EV36">
        <v>0</v>
      </c>
      <c r="EW36">
        <v>0</v>
      </c>
      <c r="EX36">
        <v>0</v>
      </c>
      <c r="FQ36">
        <v>0</v>
      </c>
      <c r="FR36">
        <f t="shared" si="47"/>
        <v>0</v>
      </c>
      <c r="FS36">
        <v>0</v>
      </c>
      <c r="FX36">
        <v>70</v>
      </c>
      <c r="FY36">
        <v>10</v>
      </c>
      <c r="GA36" t="s">
        <v>3</v>
      </c>
      <c r="GD36">
        <v>0</v>
      </c>
      <c r="GF36">
        <v>-849394457</v>
      </c>
      <c r="GG36">
        <v>2</v>
      </c>
      <c r="GH36">
        <v>1</v>
      </c>
      <c r="GI36">
        <v>-2</v>
      </c>
      <c r="GJ36">
        <v>0</v>
      </c>
      <c r="GK36">
        <f>ROUND(R36*(R12)/100,2)</f>
        <v>0</v>
      </c>
      <c r="GL36">
        <f t="shared" si="48"/>
        <v>0</v>
      </c>
      <c r="GM36">
        <f t="shared" si="49"/>
        <v>39123</v>
      </c>
      <c r="GN36">
        <f t="shared" si="50"/>
        <v>0</v>
      </c>
      <c r="GO36">
        <f t="shared" si="51"/>
        <v>0</v>
      </c>
      <c r="GP36">
        <f t="shared" si="52"/>
        <v>39123</v>
      </c>
      <c r="GR36">
        <v>0</v>
      </c>
      <c r="GS36">
        <v>0</v>
      </c>
      <c r="GT36">
        <v>0</v>
      </c>
      <c r="GU36" t="s">
        <v>3</v>
      </c>
      <c r="GV36">
        <f t="shared" si="53"/>
        <v>0</v>
      </c>
      <c r="GW36">
        <v>1</v>
      </c>
      <c r="GX36">
        <f t="shared" si="54"/>
        <v>0</v>
      </c>
      <c r="HA36">
        <v>0</v>
      </c>
      <c r="HB36">
        <v>0</v>
      </c>
      <c r="HC36">
        <f t="shared" si="55"/>
        <v>0</v>
      </c>
      <c r="IK36">
        <v>0</v>
      </c>
    </row>
    <row r="37" spans="1:245">
      <c r="A37">
        <v>18</v>
      </c>
      <c r="B37">
        <v>1</v>
      </c>
      <c r="C37">
        <v>18</v>
      </c>
      <c r="E37" t="s">
        <v>55</v>
      </c>
      <c r="F37" t="s">
        <v>56</v>
      </c>
      <c r="G37" t="s">
        <v>57</v>
      </c>
      <c r="H37" t="s">
        <v>50</v>
      </c>
      <c r="I37">
        <f>I34*J37</f>
        <v>420</v>
      </c>
      <c r="J37">
        <v>724.13793103448279</v>
      </c>
      <c r="O37">
        <f t="shared" si="21"/>
        <v>52151.4</v>
      </c>
      <c r="P37">
        <f t="shared" si="22"/>
        <v>52151.4</v>
      </c>
      <c r="Q37">
        <f t="shared" si="23"/>
        <v>0</v>
      </c>
      <c r="R37">
        <f t="shared" si="24"/>
        <v>0</v>
      </c>
      <c r="S37">
        <f t="shared" si="25"/>
        <v>0</v>
      </c>
      <c r="T37">
        <f t="shared" si="26"/>
        <v>0</v>
      </c>
      <c r="U37">
        <f t="shared" si="27"/>
        <v>0</v>
      </c>
      <c r="V37">
        <f t="shared" si="28"/>
        <v>0</v>
      </c>
      <c r="W37">
        <f t="shared" si="29"/>
        <v>0</v>
      </c>
      <c r="X37">
        <f t="shared" si="30"/>
        <v>0</v>
      </c>
      <c r="Y37">
        <f t="shared" si="31"/>
        <v>0</v>
      </c>
      <c r="AA37">
        <v>41858681</v>
      </c>
      <c r="AB37">
        <f t="shared" si="32"/>
        <v>124.17</v>
      </c>
      <c r="AC37">
        <f>ROUND((ES37),6)</f>
        <v>124.17</v>
      </c>
      <c r="AD37">
        <f t="shared" si="56"/>
        <v>0</v>
      </c>
      <c r="AE37">
        <f t="shared" si="57"/>
        <v>0</v>
      </c>
      <c r="AF37">
        <f t="shared" si="57"/>
        <v>0</v>
      </c>
      <c r="AG37">
        <f t="shared" si="34"/>
        <v>0</v>
      </c>
      <c r="AH37">
        <f t="shared" si="58"/>
        <v>0</v>
      </c>
      <c r="AI37">
        <f t="shared" si="58"/>
        <v>0</v>
      </c>
      <c r="AJ37">
        <f t="shared" si="36"/>
        <v>0</v>
      </c>
      <c r="AK37">
        <v>124.17</v>
      </c>
      <c r="AL37">
        <v>124.17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70</v>
      </c>
      <c r="AU37">
        <v>10</v>
      </c>
      <c r="AV37">
        <v>1</v>
      </c>
      <c r="AW37">
        <v>1</v>
      </c>
      <c r="AZ37">
        <v>1</v>
      </c>
      <c r="BA37">
        <v>1</v>
      </c>
      <c r="BB37">
        <v>1</v>
      </c>
      <c r="BC37">
        <v>1</v>
      </c>
      <c r="BD37" t="s">
        <v>3</v>
      </c>
      <c r="BE37" t="s">
        <v>3</v>
      </c>
      <c r="BF37" t="s">
        <v>3</v>
      </c>
      <c r="BG37" t="s">
        <v>3</v>
      </c>
      <c r="BH37">
        <v>3</v>
      </c>
      <c r="BI37">
        <v>4</v>
      </c>
      <c r="BJ37" t="s">
        <v>3</v>
      </c>
      <c r="BM37">
        <v>0</v>
      </c>
      <c r="BN37">
        <v>0</v>
      </c>
      <c r="BO37" t="s">
        <v>3</v>
      </c>
      <c r="BP37">
        <v>0</v>
      </c>
      <c r="BQ37">
        <v>1</v>
      </c>
      <c r="BR37">
        <v>0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 t="s">
        <v>3</v>
      </c>
      <c r="BZ37">
        <v>70</v>
      </c>
      <c r="CA37">
        <v>10</v>
      </c>
      <c r="CE37">
        <v>0</v>
      </c>
      <c r="CF37">
        <v>0</v>
      </c>
      <c r="CG37">
        <v>0</v>
      </c>
      <c r="CM37">
        <v>0</v>
      </c>
      <c r="CN37" t="s">
        <v>3</v>
      </c>
      <c r="CO37">
        <v>0</v>
      </c>
      <c r="CP37">
        <f t="shared" si="37"/>
        <v>52151.4</v>
      </c>
      <c r="CQ37">
        <f t="shared" si="38"/>
        <v>124.17</v>
      </c>
      <c r="CR37">
        <f t="shared" si="59"/>
        <v>0</v>
      </c>
      <c r="CS37">
        <f t="shared" si="39"/>
        <v>0</v>
      </c>
      <c r="CT37">
        <f t="shared" si="40"/>
        <v>0</v>
      </c>
      <c r="CU37">
        <f t="shared" si="41"/>
        <v>0</v>
      </c>
      <c r="CV37">
        <f t="shared" si="42"/>
        <v>0</v>
      </c>
      <c r="CW37">
        <f t="shared" si="43"/>
        <v>0</v>
      </c>
      <c r="CX37">
        <f t="shared" si="44"/>
        <v>0</v>
      </c>
      <c r="CY37">
        <f t="shared" si="45"/>
        <v>0</v>
      </c>
      <c r="CZ37">
        <f t="shared" si="46"/>
        <v>0</v>
      </c>
      <c r="DC37" t="s">
        <v>3</v>
      </c>
      <c r="DD37" t="s">
        <v>3</v>
      </c>
      <c r="DE37" t="s">
        <v>3</v>
      </c>
      <c r="DF37" t="s">
        <v>3</v>
      </c>
      <c r="DG37" t="s">
        <v>3</v>
      </c>
      <c r="DH37" t="s">
        <v>3</v>
      </c>
      <c r="DI37" t="s">
        <v>3</v>
      </c>
      <c r="DJ37" t="s">
        <v>3</v>
      </c>
      <c r="DK37" t="s">
        <v>3</v>
      </c>
      <c r="DL37" t="s">
        <v>3</v>
      </c>
      <c r="DM37" t="s">
        <v>3</v>
      </c>
      <c r="DN37">
        <v>0</v>
      </c>
      <c r="DO37">
        <v>0</v>
      </c>
      <c r="DP37">
        <v>1</v>
      </c>
      <c r="DQ37">
        <v>1</v>
      </c>
      <c r="DU37">
        <v>1010</v>
      </c>
      <c r="DV37" t="s">
        <v>50</v>
      </c>
      <c r="DW37" t="s">
        <v>50</v>
      </c>
      <c r="DX37">
        <v>1</v>
      </c>
      <c r="EE37">
        <v>40050625</v>
      </c>
      <c r="EF37">
        <v>1</v>
      </c>
      <c r="EG37" t="s">
        <v>19</v>
      </c>
      <c r="EH37">
        <v>0</v>
      </c>
      <c r="EI37" t="s">
        <v>3</v>
      </c>
      <c r="EJ37">
        <v>4</v>
      </c>
      <c r="EK37">
        <v>0</v>
      </c>
      <c r="EL37" t="s">
        <v>20</v>
      </c>
      <c r="EM37" t="s">
        <v>21</v>
      </c>
      <c r="EO37" t="s">
        <v>3</v>
      </c>
      <c r="EQ37">
        <v>0</v>
      </c>
      <c r="ER37">
        <v>124.17</v>
      </c>
      <c r="ES37">
        <v>124.17</v>
      </c>
      <c r="ET37">
        <v>0</v>
      </c>
      <c r="EU37">
        <v>0</v>
      </c>
      <c r="EV37">
        <v>0</v>
      </c>
      <c r="EW37">
        <v>0</v>
      </c>
      <c r="EX37">
        <v>0</v>
      </c>
      <c r="FQ37">
        <v>0</v>
      </c>
      <c r="FR37">
        <f t="shared" si="47"/>
        <v>0</v>
      </c>
      <c r="FS37">
        <v>0</v>
      </c>
      <c r="FX37">
        <v>70</v>
      </c>
      <c r="FY37">
        <v>10</v>
      </c>
      <c r="GA37" t="s">
        <v>3</v>
      </c>
      <c r="GD37">
        <v>0</v>
      </c>
      <c r="GF37">
        <v>1132781643</v>
      </c>
      <c r="GG37">
        <v>2</v>
      </c>
      <c r="GH37">
        <v>0</v>
      </c>
      <c r="GI37">
        <v>-2</v>
      </c>
      <c r="GJ37">
        <v>0</v>
      </c>
      <c r="GK37">
        <f>ROUND(R37*(R12)/100,2)</f>
        <v>0</v>
      </c>
      <c r="GL37">
        <f t="shared" si="48"/>
        <v>0</v>
      </c>
      <c r="GM37">
        <f t="shared" si="49"/>
        <v>52151.4</v>
      </c>
      <c r="GN37">
        <f t="shared" si="50"/>
        <v>0</v>
      </c>
      <c r="GO37">
        <f t="shared" si="51"/>
        <v>0</v>
      </c>
      <c r="GP37">
        <f t="shared" si="52"/>
        <v>52151.4</v>
      </c>
      <c r="GR37">
        <v>0</v>
      </c>
      <c r="GS37">
        <v>0</v>
      </c>
      <c r="GT37">
        <v>0</v>
      </c>
      <c r="GU37" t="s">
        <v>3</v>
      </c>
      <c r="GV37">
        <f t="shared" si="53"/>
        <v>0</v>
      </c>
      <c r="GW37">
        <v>1</v>
      </c>
      <c r="GX37">
        <f t="shared" si="54"/>
        <v>0</v>
      </c>
      <c r="HA37">
        <v>0</v>
      </c>
      <c r="HB37">
        <v>0</v>
      </c>
      <c r="HC37">
        <f t="shared" si="55"/>
        <v>0</v>
      </c>
      <c r="IK37">
        <v>0</v>
      </c>
    </row>
    <row r="38" spans="1:245">
      <c r="A38">
        <v>17</v>
      </c>
      <c r="B38">
        <v>1</v>
      </c>
      <c r="C38">
        <f>ROW(SmtRes!A22)</f>
        <v>22</v>
      </c>
      <c r="D38">
        <f>ROW(EtalonRes!A20)</f>
        <v>20</v>
      </c>
      <c r="E38" t="s">
        <v>58</v>
      </c>
      <c r="F38" t="s">
        <v>59</v>
      </c>
      <c r="G38" t="s">
        <v>60</v>
      </c>
      <c r="H38" t="s">
        <v>17</v>
      </c>
      <c r="I38">
        <f>ROUND(-58/100,9)</f>
        <v>-0.57999999999999996</v>
      </c>
      <c r="J38">
        <v>0</v>
      </c>
      <c r="O38">
        <f t="shared" si="21"/>
        <v>-422.37</v>
      </c>
      <c r="P38">
        <f t="shared" si="22"/>
        <v>-40.14</v>
      </c>
      <c r="Q38">
        <f t="shared" si="23"/>
        <v>0</v>
      </c>
      <c r="R38">
        <f t="shared" si="24"/>
        <v>0</v>
      </c>
      <c r="S38">
        <f t="shared" si="25"/>
        <v>-382.23</v>
      </c>
      <c r="T38">
        <f t="shared" si="26"/>
        <v>0</v>
      </c>
      <c r="U38">
        <f t="shared" si="27"/>
        <v>-2.6215999980337998</v>
      </c>
      <c r="V38">
        <f t="shared" si="28"/>
        <v>0</v>
      </c>
      <c r="W38">
        <f t="shared" si="29"/>
        <v>0</v>
      </c>
      <c r="X38">
        <f t="shared" si="30"/>
        <v>-267.56</v>
      </c>
      <c r="Y38">
        <f t="shared" si="31"/>
        <v>-38.22</v>
      </c>
      <c r="AA38">
        <v>41858681</v>
      </c>
      <c r="AB38">
        <f t="shared" si="32"/>
        <v>728.21714199999997</v>
      </c>
      <c r="AC38">
        <f>ROUND(((ES38*0.571428571)),6)</f>
        <v>69.2</v>
      </c>
      <c r="AD38">
        <f t="shared" si="56"/>
        <v>0</v>
      </c>
      <c r="AE38">
        <f>ROUND((EU38),6)</f>
        <v>0</v>
      </c>
      <c r="AF38">
        <f>ROUND(((EV38*0.571428571)),6)</f>
        <v>659.01714200000004</v>
      </c>
      <c r="AG38">
        <f t="shared" si="34"/>
        <v>0</v>
      </c>
      <c r="AH38">
        <f>((EW38*0.571428571))</f>
        <v>4.5199999966100002</v>
      </c>
      <c r="AI38">
        <f>(EX38)</f>
        <v>0</v>
      </c>
      <c r="AJ38">
        <f t="shared" si="36"/>
        <v>0</v>
      </c>
      <c r="AK38">
        <v>1274.3800000000001</v>
      </c>
      <c r="AL38">
        <v>121.1</v>
      </c>
      <c r="AM38">
        <v>0</v>
      </c>
      <c r="AN38">
        <v>0</v>
      </c>
      <c r="AO38">
        <v>1153.28</v>
      </c>
      <c r="AP38">
        <v>0</v>
      </c>
      <c r="AQ38">
        <v>7.91</v>
      </c>
      <c r="AR38">
        <v>0</v>
      </c>
      <c r="AS38">
        <v>0</v>
      </c>
      <c r="AT38">
        <v>70</v>
      </c>
      <c r="AU38">
        <v>10</v>
      </c>
      <c r="AV38">
        <v>1</v>
      </c>
      <c r="AW38">
        <v>1</v>
      </c>
      <c r="AZ38">
        <v>1</v>
      </c>
      <c r="BA38">
        <v>1</v>
      </c>
      <c r="BB38">
        <v>1</v>
      </c>
      <c r="BC38">
        <v>1</v>
      </c>
      <c r="BD38" t="s">
        <v>3</v>
      </c>
      <c r="BE38" t="s">
        <v>3</v>
      </c>
      <c r="BF38" t="s">
        <v>3</v>
      </c>
      <c r="BG38" t="s">
        <v>3</v>
      </c>
      <c r="BH38">
        <v>0</v>
      </c>
      <c r="BI38">
        <v>4</v>
      </c>
      <c r="BJ38" t="s">
        <v>61</v>
      </c>
      <c r="BM38">
        <v>0</v>
      </c>
      <c r="BN38">
        <v>0</v>
      </c>
      <c r="BO38" t="s">
        <v>3</v>
      </c>
      <c r="BP38">
        <v>0</v>
      </c>
      <c r="BQ38">
        <v>1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 t="s">
        <v>3</v>
      </c>
      <c r="BZ38">
        <v>70</v>
      </c>
      <c r="CA38">
        <v>10</v>
      </c>
      <c r="CE38">
        <v>0</v>
      </c>
      <c r="CF38">
        <v>0</v>
      </c>
      <c r="CG38">
        <v>0</v>
      </c>
      <c r="CM38">
        <v>0</v>
      </c>
      <c r="CN38" t="s">
        <v>3</v>
      </c>
      <c r="CO38">
        <v>0</v>
      </c>
      <c r="CP38">
        <f t="shared" si="37"/>
        <v>-422.37</v>
      </c>
      <c r="CQ38">
        <f t="shared" si="38"/>
        <v>69.2</v>
      </c>
      <c r="CR38">
        <f t="shared" si="59"/>
        <v>0</v>
      </c>
      <c r="CS38">
        <f t="shared" si="39"/>
        <v>0</v>
      </c>
      <c r="CT38">
        <f t="shared" si="40"/>
        <v>659.01714200000004</v>
      </c>
      <c r="CU38">
        <f t="shared" si="41"/>
        <v>0</v>
      </c>
      <c r="CV38">
        <f t="shared" si="42"/>
        <v>4.5199999966100002</v>
      </c>
      <c r="CW38">
        <f t="shared" si="43"/>
        <v>0</v>
      </c>
      <c r="CX38">
        <f t="shared" si="44"/>
        <v>0</v>
      </c>
      <c r="CY38">
        <f t="shared" si="45"/>
        <v>-267.56100000000004</v>
      </c>
      <c r="CZ38">
        <f t="shared" si="46"/>
        <v>-38.222999999999999</v>
      </c>
      <c r="DC38" t="s">
        <v>3</v>
      </c>
      <c r="DD38" t="s">
        <v>62</v>
      </c>
      <c r="DE38" t="s">
        <v>3</v>
      </c>
      <c r="DF38" t="s">
        <v>3</v>
      </c>
      <c r="DG38" t="s">
        <v>62</v>
      </c>
      <c r="DH38" t="s">
        <v>3</v>
      </c>
      <c r="DI38" t="s">
        <v>62</v>
      </c>
      <c r="DJ38" t="s">
        <v>3</v>
      </c>
      <c r="DK38" t="s">
        <v>3</v>
      </c>
      <c r="DL38" t="s">
        <v>3</v>
      </c>
      <c r="DM38" t="s">
        <v>3</v>
      </c>
      <c r="DN38">
        <v>0</v>
      </c>
      <c r="DO38">
        <v>0</v>
      </c>
      <c r="DP38">
        <v>1</v>
      </c>
      <c r="DQ38">
        <v>1</v>
      </c>
      <c r="DU38">
        <v>1005</v>
      </c>
      <c r="DV38" t="s">
        <v>17</v>
      </c>
      <c r="DW38" t="s">
        <v>17</v>
      </c>
      <c r="DX38">
        <v>100</v>
      </c>
      <c r="EE38">
        <v>40050625</v>
      </c>
      <c r="EF38">
        <v>1</v>
      </c>
      <c r="EG38" t="s">
        <v>19</v>
      </c>
      <c r="EH38">
        <v>0</v>
      </c>
      <c r="EI38" t="s">
        <v>3</v>
      </c>
      <c r="EJ38">
        <v>4</v>
      </c>
      <c r="EK38">
        <v>0</v>
      </c>
      <c r="EL38" t="s">
        <v>20</v>
      </c>
      <c r="EM38" t="s">
        <v>21</v>
      </c>
      <c r="EO38" t="s">
        <v>3</v>
      </c>
      <c r="EQ38">
        <v>0</v>
      </c>
      <c r="ER38">
        <v>1274.3800000000001</v>
      </c>
      <c r="ES38">
        <v>121.1</v>
      </c>
      <c r="ET38">
        <v>0</v>
      </c>
      <c r="EU38">
        <v>0</v>
      </c>
      <c r="EV38">
        <v>1153.28</v>
      </c>
      <c r="EW38">
        <v>7.91</v>
      </c>
      <c r="EX38">
        <v>0</v>
      </c>
      <c r="EY38">
        <v>0</v>
      </c>
      <c r="FQ38">
        <v>0</v>
      </c>
      <c r="FR38">
        <f t="shared" si="47"/>
        <v>0</v>
      </c>
      <c r="FS38">
        <v>0</v>
      </c>
      <c r="FX38">
        <v>70</v>
      </c>
      <c r="FY38">
        <v>10</v>
      </c>
      <c r="GA38" t="s">
        <v>3</v>
      </c>
      <c r="GD38">
        <v>0</v>
      </c>
      <c r="GF38">
        <v>-249557281</v>
      </c>
      <c r="GG38">
        <v>2</v>
      </c>
      <c r="GH38">
        <v>1</v>
      </c>
      <c r="GI38">
        <v>-2</v>
      </c>
      <c r="GJ38">
        <v>0</v>
      </c>
      <c r="GK38">
        <f>ROUND(R38*(R12)/100,2)</f>
        <v>0</v>
      </c>
      <c r="GL38">
        <f t="shared" si="48"/>
        <v>0</v>
      </c>
      <c r="GM38">
        <f t="shared" si="49"/>
        <v>-728.15</v>
      </c>
      <c r="GN38">
        <f t="shared" si="50"/>
        <v>0</v>
      </c>
      <c r="GO38">
        <f t="shared" si="51"/>
        <v>0</v>
      </c>
      <c r="GP38">
        <f t="shared" si="52"/>
        <v>-728.15</v>
      </c>
      <c r="GR38">
        <v>0</v>
      </c>
      <c r="GS38">
        <v>0</v>
      </c>
      <c r="GT38">
        <v>0</v>
      </c>
      <c r="GU38" t="s">
        <v>3</v>
      </c>
      <c r="GV38">
        <f t="shared" si="53"/>
        <v>0</v>
      </c>
      <c r="GW38">
        <v>1</v>
      </c>
      <c r="GX38">
        <f t="shared" si="54"/>
        <v>0</v>
      </c>
      <c r="HA38">
        <v>0</v>
      </c>
      <c r="HB38">
        <v>0</v>
      </c>
      <c r="HC38">
        <f t="shared" si="55"/>
        <v>0</v>
      </c>
      <c r="IK38">
        <v>0</v>
      </c>
    </row>
    <row r="39" spans="1:245">
      <c r="A39">
        <v>18</v>
      </c>
      <c r="B39">
        <v>1</v>
      </c>
      <c r="C39">
        <v>22</v>
      </c>
      <c r="E39" t="s">
        <v>63</v>
      </c>
      <c r="F39" t="s">
        <v>48</v>
      </c>
      <c r="G39" t="s">
        <v>49</v>
      </c>
      <c r="H39" t="s">
        <v>50</v>
      </c>
      <c r="I39">
        <f>I38*J39</f>
        <v>-348</v>
      </c>
      <c r="J39">
        <v>600</v>
      </c>
      <c r="O39">
        <f t="shared" si="21"/>
        <v>0</v>
      </c>
      <c r="P39">
        <f t="shared" si="22"/>
        <v>0</v>
      </c>
      <c r="Q39">
        <f t="shared" si="23"/>
        <v>0</v>
      </c>
      <c r="R39">
        <f t="shared" si="24"/>
        <v>0</v>
      </c>
      <c r="S39">
        <f t="shared" si="25"/>
        <v>0</v>
      </c>
      <c r="T39">
        <f t="shared" si="26"/>
        <v>0</v>
      </c>
      <c r="U39">
        <f t="shared" si="27"/>
        <v>0</v>
      </c>
      <c r="V39">
        <f t="shared" si="28"/>
        <v>0</v>
      </c>
      <c r="W39">
        <f t="shared" si="29"/>
        <v>0</v>
      </c>
      <c r="X39">
        <f t="shared" si="30"/>
        <v>0</v>
      </c>
      <c r="Y39">
        <f t="shared" si="31"/>
        <v>0</v>
      </c>
      <c r="AA39">
        <v>41858681</v>
      </c>
      <c r="AB39">
        <f t="shared" si="32"/>
        <v>0</v>
      </c>
      <c r="AC39">
        <f>ROUND((ES39),6)</f>
        <v>0</v>
      </c>
      <c r="AD39">
        <f t="shared" si="56"/>
        <v>0</v>
      </c>
      <c r="AE39">
        <f>ROUND((EU39),6)</f>
        <v>0</v>
      </c>
      <c r="AF39">
        <f>ROUND((EV39),6)</f>
        <v>0</v>
      </c>
      <c r="AG39">
        <f t="shared" si="34"/>
        <v>0</v>
      </c>
      <c r="AH39">
        <f>(EW39)</f>
        <v>0</v>
      </c>
      <c r="AI39">
        <f>(EX39)</f>
        <v>0</v>
      </c>
      <c r="AJ39">
        <f t="shared" si="36"/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70</v>
      </c>
      <c r="AU39">
        <v>10</v>
      </c>
      <c r="AV39">
        <v>1</v>
      </c>
      <c r="AW39">
        <v>1</v>
      </c>
      <c r="AZ39">
        <v>1</v>
      </c>
      <c r="BA39">
        <v>1</v>
      </c>
      <c r="BB39">
        <v>1</v>
      </c>
      <c r="BC39">
        <v>1</v>
      </c>
      <c r="BD39" t="s">
        <v>3</v>
      </c>
      <c r="BE39" t="s">
        <v>3</v>
      </c>
      <c r="BF39" t="s">
        <v>3</v>
      </c>
      <c r="BG39" t="s">
        <v>3</v>
      </c>
      <c r="BH39">
        <v>3</v>
      </c>
      <c r="BI39">
        <v>4</v>
      </c>
      <c r="BJ39" t="s">
        <v>3</v>
      </c>
      <c r="BM39">
        <v>0</v>
      </c>
      <c r="BN39">
        <v>0</v>
      </c>
      <c r="BO39" t="s">
        <v>3</v>
      </c>
      <c r="BP39">
        <v>0</v>
      </c>
      <c r="BQ39">
        <v>1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 t="s">
        <v>3</v>
      </c>
      <c r="BZ39">
        <v>70</v>
      </c>
      <c r="CA39">
        <v>10</v>
      </c>
      <c r="CE39">
        <v>0</v>
      </c>
      <c r="CF39">
        <v>0</v>
      </c>
      <c r="CG39">
        <v>0</v>
      </c>
      <c r="CM39">
        <v>0</v>
      </c>
      <c r="CN39" t="s">
        <v>3</v>
      </c>
      <c r="CO39">
        <v>0</v>
      </c>
      <c r="CP39">
        <f t="shared" si="37"/>
        <v>0</v>
      </c>
      <c r="CQ39">
        <f t="shared" si="38"/>
        <v>0</v>
      </c>
      <c r="CR39">
        <f t="shared" si="59"/>
        <v>0</v>
      </c>
      <c r="CS39">
        <f t="shared" si="39"/>
        <v>0</v>
      </c>
      <c r="CT39">
        <f t="shared" si="40"/>
        <v>0</v>
      </c>
      <c r="CU39">
        <f t="shared" si="41"/>
        <v>0</v>
      </c>
      <c r="CV39">
        <f t="shared" si="42"/>
        <v>0</v>
      </c>
      <c r="CW39">
        <f t="shared" si="43"/>
        <v>0</v>
      </c>
      <c r="CX39">
        <f t="shared" si="44"/>
        <v>0</v>
      </c>
      <c r="CY39">
        <f t="shared" si="45"/>
        <v>0</v>
      </c>
      <c r="CZ39">
        <f t="shared" si="46"/>
        <v>0</v>
      </c>
      <c r="DC39" t="s">
        <v>3</v>
      </c>
      <c r="DD39" t="s">
        <v>3</v>
      </c>
      <c r="DE39" t="s">
        <v>3</v>
      </c>
      <c r="DF39" t="s">
        <v>3</v>
      </c>
      <c r="DG39" t="s">
        <v>3</v>
      </c>
      <c r="DH39" t="s">
        <v>3</v>
      </c>
      <c r="DI39" t="s">
        <v>3</v>
      </c>
      <c r="DJ39" t="s">
        <v>3</v>
      </c>
      <c r="DK39" t="s">
        <v>3</v>
      </c>
      <c r="DL39" t="s">
        <v>3</v>
      </c>
      <c r="DM39" t="s">
        <v>3</v>
      </c>
      <c r="DN39">
        <v>0</v>
      </c>
      <c r="DO39">
        <v>0</v>
      </c>
      <c r="DP39">
        <v>1</v>
      </c>
      <c r="DQ39">
        <v>1</v>
      </c>
      <c r="DU39">
        <v>1010</v>
      </c>
      <c r="DV39" t="s">
        <v>50</v>
      </c>
      <c r="DW39" t="s">
        <v>50</v>
      </c>
      <c r="DX39">
        <v>1</v>
      </c>
      <c r="EE39">
        <v>40050625</v>
      </c>
      <c r="EF39">
        <v>1</v>
      </c>
      <c r="EG39" t="s">
        <v>19</v>
      </c>
      <c r="EH39">
        <v>0</v>
      </c>
      <c r="EI39" t="s">
        <v>3</v>
      </c>
      <c r="EJ39">
        <v>4</v>
      </c>
      <c r="EK39">
        <v>0</v>
      </c>
      <c r="EL39" t="s">
        <v>20</v>
      </c>
      <c r="EM39" t="s">
        <v>21</v>
      </c>
      <c r="EO39" t="s">
        <v>3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FQ39">
        <v>0</v>
      </c>
      <c r="FR39">
        <f t="shared" si="47"/>
        <v>0</v>
      </c>
      <c r="FS39">
        <v>0</v>
      </c>
      <c r="FX39">
        <v>70</v>
      </c>
      <c r="FY39">
        <v>10</v>
      </c>
      <c r="GA39" t="s">
        <v>3</v>
      </c>
      <c r="GD39">
        <v>0</v>
      </c>
      <c r="GF39">
        <v>-2077348890</v>
      </c>
      <c r="GG39">
        <v>2</v>
      </c>
      <c r="GH39">
        <v>1</v>
      </c>
      <c r="GI39">
        <v>-2</v>
      </c>
      <c r="GJ39">
        <v>0</v>
      </c>
      <c r="GK39">
        <f>ROUND(R39*(R12)/100,2)</f>
        <v>0</v>
      </c>
      <c r="GL39">
        <f t="shared" si="48"/>
        <v>0</v>
      </c>
      <c r="GM39">
        <f t="shared" si="49"/>
        <v>0</v>
      </c>
      <c r="GN39">
        <f t="shared" si="50"/>
        <v>0</v>
      </c>
      <c r="GO39">
        <f t="shared" si="51"/>
        <v>0</v>
      </c>
      <c r="GP39">
        <f t="shared" si="52"/>
        <v>0</v>
      </c>
      <c r="GR39">
        <v>0</v>
      </c>
      <c r="GS39">
        <v>0</v>
      </c>
      <c r="GT39">
        <v>0</v>
      </c>
      <c r="GU39" t="s">
        <v>3</v>
      </c>
      <c r="GV39">
        <f t="shared" si="53"/>
        <v>0</v>
      </c>
      <c r="GW39">
        <v>1</v>
      </c>
      <c r="GX39">
        <f t="shared" si="54"/>
        <v>0</v>
      </c>
      <c r="HA39">
        <v>0</v>
      </c>
      <c r="HB39">
        <v>0</v>
      </c>
      <c r="HC39">
        <f t="shared" si="55"/>
        <v>0</v>
      </c>
      <c r="IK39">
        <v>0</v>
      </c>
    </row>
    <row r="41" spans="1:245">
      <c r="A41" s="2">
        <v>51</v>
      </c>
      <c r="B41" s="2">
        <f>B24</f>
        <v>1</v>
      </c>
      <c r="C41" s="2">
        <f>A24</f>
        <v>4</v>
      </c>
      <c r="D41" s="2">
        <f>ROW(A24)</f>
        <v>24</v>
      </c>
      <c r="E41" s="2"/>
      <c r="F41" s="2" t="str">
        <f>IF(F24&lt;&gt;"",F24,"")</f>
        <v>Новый раздел</v>
      </c>
      <c r="G41" s="2" t="str">
        <f>IF(G24&lt;&gt;"",G24,"")</f>
        <v>Устройство цветника - 58м2</v>
      </c>
      <c r="H41" s="2">
        <v>0</v>
      </c>
      <c r="I41" s="2"/>
      <c r="J41" s="2"/>
      <c r="K41" s="2"/>
      <c r="L41" s="2"/>
      <c r="M41" s="2"/>
      <c r="N41" s="2"/>
      <c r="O41" s="2">
        <f t="shared" ref="O41:T41" si="60">ROUND(AB41,2)</f>
        <v>134782.53</v>
      </c>
      <c r="P41" s="2">
        <f t="shared" si="60"/>
        <v>106355.65</v>
      </c>
      <c r="Q41" s="2">
        <f t="shared" si="60"/>
        <v>487.54</v>
      </c>
      <c r="R41" s="2">
        <f t="shared" si="60"/>
        <v>269.22000000000003</v>
      </c>
      <c r="S41" s="2">
        <f t="shared" si="60"/>
        <v>27939.34</v>
      </c>
      <c r="T41" s="2">
        <f t="shared" si="60"/>
        <v>0</v>
      </c>
      <c r="U41" s="2">
        <f>AH41</f>
        <v>149.55155000196621</v>
      </c>
      <c r="V41" s="2">
        <f>AI41</f>
        <v>0</v>
      </c>
      <c r="W41" s="2">
        <f>ROUND(AJ41,2)</f>
        <v>0</v>
      </c>
      <c r="X41" s="2">
        <f>ROUND(AK41,2)</f>
        <v>19557.55</v>
      </c>
      <c r="Y41" s="2">
        <f>ROUND(AL41,2)</f>
        <v>2793.94</v>
      </c>
      <c r="Z41" s="2"/>
      <c r="AA41" s="2"/>
      <c r="AB41" s="2">
        <f>ROUND(SUMIF(AA28:AA39,"=41858681",O28:O39),2)</f>
        <v>134782.53</v>
      </c>
      <c r="AC41" s="2">
        <f>ROUND(SUMIF(AA28:AA39,"=41858681",P28:P39),2)</f>
        <v>106355.65</v>
      </c>
      <c r="AD41" s="2">
        <f>ROUND(SUMIF(AA28:AA39,"=41858681",Q28:Q39),2)</f>
        <v>487.54</v>
      </c>
      <c r="AE41" s="2">
        <f>ROUND(SUMIF(AA28:AA39,"=41858681",R28:R39),2)</f>
        <v>269.22000000000003</v>
      </c>
      <c r="AF41" s="2">
        <f>ROUND(SUMIF(AA28:AA39,"=41858681",S28:S39),2)</f>
        <v>27939.34</v>
      </c>
      <c r="AG41" s="2">
        <f>ROUND(SUMIF(AA28:AA39,"=41858681",T28:T39),2)</f>
        <v>0</v>
      </c>
      <c r="AH41" s="2">
        <f>SUMIF(AA28:AA39,"=41858681",U28:U39)</f>
        <v>149.55155000196621</v>
      </c>
      <c r="AI41" s="2">
        <f>SUMIF(AA28:AA39,"=41858681",V28:V39)</f>
        <v>0</v>
      </c>
      <c r="AJ41" s="2">
        <f>ROUND(SUMIF(AA28:AA39,"=41858681",W28:W39),2)</f>
        <v>0</v>
      </c>
      <c r="AK41" s="2">
        <f>ROUND(SUMIF(AA28:AA39,"=41858681",X28:X39),2)</f>
        <v>19557.55</v>
      </c>
      <c r="AL41" s="2">
        <f>ROUND(SUMIF(AA28:AA39,"=41858681",Y28:Y39),2)</f>
        <v>2793.94</v>
      </c>
      <c r="AM41" s="2"/>
      <c r="AN41" s="2"/>
      <c r="AO41" s="2">
        <f t="shared" ref="AO41:BC41" si="61">ROUND(BX41,2)</f>
        <v>0</v>
      </c>
      <c r="AP41" s="2">
        <f t="shared" si="61"/>
        <v>0</v>
      </c>
      <c r="AQ41" s="2">
        <f t="shared" si="61"/>
        <v>0</v>
      </c>
      <c r="AR41" s="2">
        <f t="shared" si="61"/>
        <v>157424.78</v>
      </c>
      <c r="AS41" s="2">
        <f t="shared" si="61"/>
        <v>0</v>
      </c>
      <c r="AT41" s="2">
        <f t="shared" si="61"/>
        <v>0</v>
      </c>
      <c r="AU41" s="2">
        <f t="shared" si="61"/>
        <v>157424.78</v>
      </c>
      <c r="AV41" s="2">
        <f t="shared" si="61"/>
        <v>106355.65</v>
      </c>
      <c r="AW41" s="2">
        <f t="shared" si="61"/>
        <v>106355.65</v>
      </c>
      <c r="AX41" s="2">
        <f t="shared" si="61"/>
        <v>0</v>
      </c>
      <c r="AY41" s="2">
        <f t="shared" si="61"/>
        <v>106355.65</v>
      </c>
      <c r="AZ41" s="2">
        <f t="shared" si="61"/>
        <v>0</v>
      </c>
      <c r="BA41" s="2">
        <f t="shared" si="61"/>
        <v>0</v>
      </c>
      <c r="BB41" s="2">
        <f t="shared" si="61"/>
        <v>0</v>
      </c>
      <c r="BC41" s="2">
        <f t="shared" si="61"/>
        <v>0</v>
      </c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>
        <f>ROUND(SUMIF(AA28:AA39,"=41858681",FQ28:FQ39),2)</f>
        <v>0</v>
      </c>
      <c r="BY41" s="2">
        <f>ROUND(SUMIF(AA28:AA39,"=41858681",FR28:FR39),2)</f>
        <v>0</v>
      </c>
      <c r="BZ41" s="2">
        <f>ROUND(SUMIF(AA28:AA39,"=41858681",GL28:GL39),2)</f>
        <v>0</v>
      </c>
      <c r="CA41" s="2">
        <f>ROUND(SUMIF(AA28:AA39,"=41858681",GM28:GM39),2)</f>
        <v>157424.78</v>
      </c>
      <c r="CB41" s="2">
        <f>ROUND(SUMIF(AA28:AA39,"=41858681",GN28:GN39),2)</f>
        <v>0</v>
      </c>
      <c r="CC41" s="2">
        <f>ROUND(SUMIF(AA28:AA39,"=41858681",GO28:GO39),2)</f>
        <v>0</v>
      </c>
      <c r="CD41" s="2">
        <f>ROUND(SUMIF(AA28:AA39,"=41858681",GP28:GP39),2)</f>
        <v>157424.78</v>
      </c>
      <c r="CE41" s="2">
        <f>AC41-BX41</f>
        <v>106355.65</v>
      </c>
      <c r="CF41" s="2">
        <f>AC41-BY41</f>
        <v>106355.65</v>
      </c>
      <c r="CG41" s="2">
        <f>BX41-BZ41</f>
        <v>0</v>
      </c>
      <c r="CH41" s="2">
        <f>AC41-BX41-BY41+BZ41</f>
        <v>106355.65</v>
      </c>
      <c r="CI41" s="2">
        <f>BY41-BZ41</f>
        <v>0</v>
      </c>
      <c r="CJ41" s="2">
        <f>ROUND(SUMIF(AA28:AA39,"=41858681",GX28:GX39),2)</f>
        <v>0</v>
      </c>
      <c r="CK41" s="2">
        <f>ROUND(SUMIF(AA28:AA39,"=41858681",GY28:GY39),2)</f>
        <v>0</v>
      </c>
      <c r="CL41" s="2">
        <f>ROUND(SUMIF(AA28:AA39,"=41858681",GZ28:GZ39),2)</f>
        <v>0</v>
      </c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>
        <v>0</v>
      </c>
    </row>
    <row r="43" spans="1:245">
      <c r="A43" s="4">
        <v>50</v>
      </c>
      <c r="B43" s="4">
        <v>0</v>
      </c>
      <c r="C43" s="4">
        <v>0</v>
      </c>
      <c r="D43" s="4">
        <v>1</v>
      </c>
      <c r="E43" s="4">
        <v>201</v>
      </c>
      <c r="F43" s="4">
        <f>ROUND(Source!O41,O43)</f>
        <v>134782.53</v>
      </c>
      <c r="G43" s="4" t="s">
        <v>64</v>
      </c>
      <c r="H43" s="4" t="s">
        <v>65</v>
      </c>
      <c r="I43" s="4"/>
      <c r="J43" s="4"/>
      <c r="K43" s="4">
        <v>201</v>
      </c>
      <c r="L43" s="4">
        <v>1</v>
      </c>
      <c r="M43" s="4">
        <v>3</v>
      </c>
      <c r="N43" s="4" t="s">
        <v>3</v>
      </c>
      <c r="O43" s="4">
        <v>2</v>
      </c>
      <c r="P43" s="4"/>
      <c r="Q43" s="4"/>
      <c r="R43" s="4"/>
      <c r="S43" s="4"/>
      <c r="T43" s="4"/>
      <c r="U43" s="4"/>
      <c r="V43" s="4"/>
      <c r="W43" s="4"/>
    </row>
    <row r="44" spans="1:245">
      <c r="A44" s="4">
        <v>50</v>
      </c>
      <c r="B44" s="4">
        <v>0</v>
      </c>
      <c r="C44" s="4">
        <v>0</v>
      </c>
      <c r="D44" s="4">
        <v>1</v>
      </c>
      <c r="E44" s="4">
        <v>202</v>
      </c>
      <c r="F44" s="4">
        <f>ROUND(Source!P41,O44)</f>
        <v>106355.65</v>
      </c>
      <c r="G44" s="4" t="s">
        <v>66</v>
      </c>
      <c r="H44" s="4" t="s">
        <v>67</v>
      </c>
      <c r="I44" s="4"/>
      <c r="J44" s="4"/>
      <c r="K44" s="4">
        <v>202</v>
      </c>
      <c r="L44" s="4">
        <v>2</v>
      </c>
      <c r="M44" s="4">
        <v>3</v>
      </c>
      <c r="N44" s="4" t="s">
        <v>3</v>
      </c>
      <c r="O44" s="4">
        <v>2</v>
      </c>
      <c r="P44" s="4"/>
      <c r="Q44" s="4"/>
      <c r="R44" s="4"/>
      <c r="S44" s="4"/>
      <c r="T44" s="4"/>
      <c r="U44" s="4"/>
      <c r="V44" s="4"/>
      <c r="W44" s="4"/>
    </row>
    <row r="45" spans="1:245">
      <c r="A45" s="4">
        <v>50</v>
      </c>
      <c r="B45" s="4">
        <v>0</v>
      </c>
      <c r="C45" s="4">
        <v>0</v>
      </c>
      <c r="D45" s="4">
        <v>1</v>
      </c>
      <c r="E45" s="4">
        <v>222</v>
      </c>
      <c r="F45" s="4">
        <f>ROUND(Source!AO41,O45)</f>
        <v>0</v>
      </c>
      <c r="G45" s="4" t="s">
        <v>68</v>
      </c>
      <c r="H45" s="4" t="s">
        <v>69</v>
      </c>
      <c r="I45" s="4"/>
      <c r="J45" s="4"/>
      <c r="K45" s="4">
        <v>222</v>
      </c>
      <c r="L45" s="4">
        <v>3</v>
      </c>
      <c r="M45" s="4">
        <v>3</v>
      </c>
      <c r="N45" s="4" t="s">
        <v>3</v>
      </c>
      <c r="O45" s="4">
        <v>2</v>
      </c>
      <c r="P45" s="4"/>
      <c r="Q45" s="4"/>
      <c r="R45" s="4"/>
      <c r="S45" s="4"/>
      <c r="T45" s="4"/>
      <c r="U45" s="4"/>
      <c r="V45" s="4"/>
      <c r="W45" s="4"/>
    </row>
    <row r="46" spans="1:245">
      <c r="A46" s="4">
        <v>50</v>
      </c>
      <c r="B46" s="4">
        <v>0</v>
      </c>
      <c r="C46" s="4">
        <v>0</v>
      </c>
      <c r="D46" s="4">
        <v>1</v>
      </c>
      <c r="E46" s="4">
        <v>225</v>
      </c>
      <c r="F46" s="4">
        <f>ROUND(Source!AV41,O46)</f>
        <v>106355.65</v>
      </c>
      <c r="G46" s="4" t="s">
        <v>70</v>
      </c>
      <c r="H46" s="4" t="s">
        <v>71</v>
      </c>
      <c r="I46" s="4"/>
      <c r="J46" s="4"/>
      <c r="K46" s="4">
        <v>225</v>
      </c>
      <c r="L46" s="4">
        <v>4</v>
      </c>
      <c r="M46" s="4">
        <v>3</v>
      </c>
      <c r="N46" s="4" t="s">
        <v>3</v>
      </c>
      <c r="O46" s="4">
        <v>2</v>
      </c>
      <c r="P46" s="4"/>
      <c r="Q46" s="4"/>
      <c r="R46" s="4"/>
      <c r="S46" s="4"/>
      <c r="T46" s="4"/>
      <c r="U46" s="4"/>
      <c r="V46" s="4"/>
      <c r="W46" s="4"/>
    </row>
    <row r="47" spans="1:245">
      <c r="A47" s="4">
        <v>50</v>
      </c>
      <c r="B47" s="4">
        <v>0</v>
      </c>
      <c r="C47" s="4">
        <v>0</v>
      </c>
      <c r="D47" s="4">
        <v>1</v>
      </c>
      <c r="E47" s="4">
        <v>226</v>
      </c>
      <c r="F47" s="4">
        <f>ROUND(Source!AW41,O47)</f>
        <v>106355.65</v>
      </c>
      <c r="G47" s="4" t="s">
        <v>72</v>
      </c>
      <c r="H47" s="4" t="s">
        <v>73</v>
      </c>
      <c r="I47" s="4"/>
      <c r="J47" s="4"/>
      <c r="K47" s="4">
        <v>226</v>
      </c>
      <c r="L47" s="4">
        <v>5</v>
      </c>
      <c r="M47" s="4">
        <v>3</v>
      </c>
      <c r="N47" s="4" t="s">
        <v>3</v>
      </c>
      <c r="O47" s="4">
        <v>2</v>
      </c>
      <c r="P47" s="4"/>
      <c r="Q47" s="4"/>
      <c r="R47" s="4"/>
      <c r="S47" s="4"/>
      <c r="T47" s="4"/>
      <c r="U47" s="4"/>
      <c r="V47" s="4"/>
      <c r="W47" s="4"/>
    </row>
    <row r="48" spans="1:245">
      <c r="A48" s="4">
        <v>50</v>
      </c>
      <c r="B48" s="4">
        <v>0</v>
      </c>
      <c r="C48" s="4">
        <v>0</v>
      </c>
      <c r="D48" s="4">
        <v>1</v>
      </c>
      <c r="E48" s="4">
        <v>227</v>
      </c>
      <c r="F48" s="4">
        <f>ROUND(Source!AX41,O48)</f>
        <v>0</v>
      </c>
      <c r="G48" s="4" t="s">
        <v>74</v>
      </c>
      <c r="H48" s="4" t="s">
        <v>75</v>
      </c>
      <c r="I48" s="4"/>
      <c r="J48" s="4"/>
      <c r="K48" s="4">
        <v>227</v>
      </c>
      <c r="L48" s="4">
        <v>6</v>
      </c>
      <c r="M48" s="4">
        <v>3</v>
      </c>
      <c r="N48" s="4" t="s">
        <v>3</v>
      </c>
      <c r="O48" s="4">
        <v>2</v>
      </c>
      <c r="P48" s="4"/>
      <c r="Q48" s="4"/>
      <c r="R48" s="4"/>
      <c r="S48" s="4"/>
      <c r="T48" s="4"/>
      <c r="U48" s="4"/>
      <c r="V48" s="4"/>
      <c r="W48" s="4"/>
    </row>
    <row r="49" spans="1:23">
      <c r="A49" s="4">
        <v>50</v>
      </c>
      <c r="B49" s="4">
        <v>0</v>
      </c>
      <c r="C49" s="4">
        <v>0</v>
      </c>
      <c r="D49" s="4">
        <v>1</v>
      </c>
      <c r="E49" s="4">
        <v>228</v>
      </c>
      <c r="F49" s="4">
        <f>ROUND(Source!AY41,O49)</f>
        <v>106355.65</v>
      </c>
      <c r="G49" s="4" t="s">
        <v>76</v>
      </c>
      <c r="H49" s="4" t="s">
        <v>77</v>
      </c>
      <c r="I49" s="4"/>
      <c r="J49" s="4"/>
      <c r="K49" s="4">
        <v>228</v>
      </c>
      <c r="L49" s="4">
        <v>7</v>
      </c>
      <c r="M49" s="4">
        <v>3</v>
      </c>
      <c r="N49" s="4" t="s">
        <v>3</v>
      </c>
      <c r="O49" s="4">
        <v>2</v>
      </c>
      <c r="P49" s="4"/>
      <c r="Q49" s="4"/>
      <c r="R49" s="4"/>
      <c r="S49" s="4"/>
      <c r="T49" s="4"/>
      <c r="U49" s="4"/>
      <c r="V49" s="4"/>
      <c r="W49" s="4"/>
    </row>
    <row r="50" spans="1:23">
      <c r="A50" s="4">
        <v>50</v>
      </c>
      <c r="B50" s="4">
        <v>0</v>
      </c>
      <c r="C50" s="4">
        <v>0</v>
      </c>
      <c r="D50" s="4">
        <v>1</v>
      </c>
      <c r="E50" s="4">
        <v>216</v>
      </c>
      <c r="F50" s="4">
        <f>ROUND(Source!AP41,O50)</f>
        <v>0</v>
      </c>
      <c r="G50" s="4" t="s">
        <v>78</v>
      </c>
      <c r="H50" s="4" t="s">
        <v>79</v>
      </c>
      <c r="I50" s="4"/>
      <c r="J50" s="4"/>
      <c r="K50" s="4">
        <v>216</v>
      </c>
      <c r="L50" s="4">
        <v>8</v>
      </c>
      <c r="M50" s="4">
        <v>3</v>
      </c>
      <c r="N50" s="4" t="s">
        <v>3</v>
      </c>
      <c r="O50" s="4">
        <v>2</v>
      </c>
      <c r="P50" s="4"/>
      <c r="Q50" s="4"/>
      <c r="R50" s="4"/>
      <c r="S50" s="4"/>
      <c r="T50" s="4"/>
      <c r="U50" s="4"/>
      <c r="V50" s="4"/>
      <c r="W50" s="4"/>
    </row>
    <row r="51" spans="1:23">
      <c r="A51" s="4">
        <v>50</v>
      </c>
      <c r="B51" s="4">
        <v>0</v>
      </c>
      <c r="C51" s="4">
        <v>0</v>
      </c>
      <c r="D51" s="4">
        <v>1</v>
      </c>
      <c r="E51" s="4">
        <v>223</v>
      </c>
      <c r="F51" s="4">
        <f>ROUND(Source!AQ41,O51)</f>
        <v>0</v>
      </c>
      <c r="G51" s="4" t="s">
        <v>80</v>
      </c>
      <c r="H51" s="4" t="s">
        <v>81</v>
      </c>
      <c r="I51" s="4"/>
      <c r="J51" s="4"/>
      <c r="K51" s="4">
        <v>223</v>
      </c>
      <c r="L51" s="4">
        <v>9</v>
      </c>
      <c r="M51" s="4">
        <v>3</v>
      </c>
      <c r="N51" s="4" t="s">
        <v>3</v>
      </c>
      <c r="O51" s="4">
        <v>2</v>
      </c>
      <c r="P51" s="4"/>
      <c r="Q51" s="4"/>
      <c r="R51" s="4"/>
      <c r="S51" s="4"/>
      <c r="T51" s="4"/>
      <c r="U51" s="4"/>
      <c r="V51" s="4"/>
      <c r="W51" s="4"/>
    </row>
    <row r="52" spans="1:23">
      <c r="A52" s="4">
        <v>50</v>
      </c>
      <c r="B52" s="4">
        <v>0</v>
      </c>
      <c r="C52" s="4">
        <v>0</v>
      </c>
      <c r="D52" s="4">
        <v>1</v>
      </c>
      <c r="E52" s="4">
        <v>229</v>
      </c>
      <c r="F52" s="4">
        <f>ROUND(Source!AZ41,O52)</f>
        <v>0</v>
      </c>
      <c r="G52" s="4" t="s">
        <v>82</v>
      </c>
      <c r="H52" s="4" t="s">
        <v>83</v>
      </c>
      <c r="I52" s="4"/>
      <c r="J52" s="4"/>
      <c r="K52" s="4">
        <v>229</v>
      </c>
      <c r="L52" s="4">
        <v>10</v>
      </c>
      <c r="M52" s="4">
        <v>3</v>
      </c>
      <c r="N52" s="4" t="s">
        <v>3</v>
      </c>
      <c r="O52" s="4">
        <v>2</v>
      </c>
      <c r="P52" s="4"/>
      <c r="Q52" s="4"/>
      <c r="R52" s="4"/>
      <c r="S52" s="4"/>
      <c r="T52" s="4"/>
      <c r="U52" s="4"/>
      <c r="V52" s="4"/>
      <c r="W52" s="4"/>
    </row>
    <row r="53" spans="1:23">
      <c r="A53" s="4">
        <v>50</v>
      </c>
      <c r="B53" s="4">
        <v>0</v>
      </c>
      <c r="C53" s="4">
        <v>0</v>
      </c>
      <c r="D53" s="4">
        <v>1</v>
      </c>
      <c r="E53" s="4">
        <v>203</v>
      </c>
      <c r="F53" s="4">
        <f>ROUND(Source!Q41,O53)</f>
        <v>487.54</v>
      </c>
      <c r="G53" s="4" t="s">
        <v>84</v>
      </c>
      <c r="H53" s="4" t="s">
        <v>85</v>
      </c>
      <c r="I53" s="4"/>
      <c r="J53" s="4"/>
      <c r="K53" s="4">
        <v>203</v>
      </c>
      <c r="L53" s="4">
        <v>11</v>
      </c>
      <c r="M53" s="4">
        <v>3</v>
      </c>
      <c r="N53" s="4" t="s">
        <v>3</v>
      </c>
      <c r="O53" s="4">
        <v>2</v>
      </c>
      <c r="P53" s="4"/>
      <c r="Q53" s="4"/>
      <c r="R53" s="4"/>
      <c r="S53" s="4"/>
      <c r="T53" s="4"/>
      <c r="U53" s="4"/>
      <c r="V53" s="4"/>
      <c r="W53" s="4"/>
    </row>
    <row r="54" spans="1:23">
      <c r="A54" s="4">
        <v>50</v>
      </c>
      <c r="B54" s="4">
        <v>0</v>
      </c>
      <c r="C54" s="4">
        <v>0</v>
      </c>
      <c r="D54" s="4">
        <v>1</v>
      </c>
      <c r="E54" s="4">
        <v>231</v>
      </c>
      <c r="F54" s="4">
        <f>ROUND(Source!BB41,O54)</f>
        <v>0</v>
      </c>
      <c r="G54" s="4" t="s">
        <v>86</v>
      </c>
      <c r="H54" s="4" t="s">
        <v>87</v>
      </c>
      <c r="I54" s="4"/>
      <c r="J54" s="4"/>
      <c r="K54" s="4">
        <v>231</v>
      </c>
      <c r="L54" s="4">
        <v>12</v>
      </c>
      <c r="M54" s="4">
        <v>3</v>
      </c>
      <c r="N54" s="4" t="s">
        <v>3</v>
      </c>
      <c r="O54" s="4">
        <v>2</v>
      </c>
      <c r="P54" s="4"/>
      <c r="Q54" s="4"/>
      <c r="R54" s="4"/>
      <c r="S54" s="4"/>
      <c r="T54" s="4"/>
      <c r="U54" s="4"/>
      <c r="V54" s="4"/>
      <c r="W54" s="4"/>
    </row>
    <row r="55" spans="1:23">
      <c r="A55" s="4">
        <v>50</v>
      </c>
      <c r="B55" s="4">
        <v>0</v>
      </c>
      <c r="C55" s="4">
        <v>0</v>
      </c>
      <c r="D55" s="4">
        <v>1</v>
      </c>
      <c r="E55" s="4">
        <v>204</v>
      </c>
      <c r="F55" s="4">
        <f>ROUND(Source!R41,O55)</f>
        <v>269.22000000000003</v>
      </c>
      <c r="G55" s="4" t="s">
        <v>88</v>
      </c>
      <c r="H55" s="4" t="s">
        <v>89</v>
      </c>
      <c r="I55" s="4"/>
      <c r="J55" s="4"/>
      <c r="K55" s="4">
        <v>204</v>
      </c>
      <c r="L55" s="4">
        <v>13</v>
      </c>
      <c r="M55" s="4">
        <v>3</v>
      </c>
      <c r="N55" s="4" t="s">
        <v>3</v>
      </c>
      <c r="O55" s="4">
        <v>2</v>
      </c>
      <c r="P55" s="4"/>
      <c r="Q55" s="4"/>
      <c r="R55" s="4"/>
      <c r="S55" s="4"/>
      <c r="T55" s="4"/>
      <c r="U55" s="4"/>
      <c r="V55" s="4"/>
      <c r="W55" s="4"/>
    </row>
    <row r="56" spans="1:23">
      <c r="A56" s="4">
        <v>50</v>
      </c>
      <c r="B56" s="4">
        <v>0</v>
      </c>
      <c r="C56" s="4">
        <v>0</v>
      </c>
      <c r="D56" s="4">
        <v>1</v>
      </c>
      <c r="E56" s="4">
        <v>205</v>
      </c>
      <c r="F56" s="4">
        <f>ROUND(Source!S41,O56)</f>
        <v>27939.34</v>
      </c>
      <c r="G56" s="4" t="s">
        <v>90</v>
      </c>
      <c r="H56" s="4" t="s">
        <v>91</v>
      </c>
      <c r="I56" s="4"/>
      <c r="J56" s="4"/>
      <c r="K56" s="4">
        <v>205</v>
      </c>
      <c r="L56" s="4">
        <v>14</v>
      </c>
      <c r="M56" s="4">
        <v>3</v>
      </c>
      <c r="N56" s="4" t="s">
        <v>3</v>
      </c>
      <c r="O56" s="4">
        <v>2</v>
      </c>
      <c r="P56" s="4"/>
      <c r="Q56" s="4"/>
      <c r="R56" s="4"/>
      <c r="S56" s="4"/>
      <c r="T56" s="4"/>
      <c r="U56" s="4"/>
      <c r="V56" s="4"/>
      <c r="W56" s="4"/>
    </row>
    <row r="57" spans="1:23">
      <c r="A57" s="4">
        <v>50</v>
      </c>
      <c r="B57" s="4">
        <v>0</v>
      </c>
      <c r="C57" s="4">
        <v>0</v>
      </c>
      <c r="D57" s="4">
        <v>1</v>
      </c>
      <c r="E57" s="4">
        <v>232</v>
      </c>
      <c r="F57" s="4">
        <f>ROUND(Source!BC41,O57)</f>
        <v>0</v>
      </c>
      <c r="G57" s="4" t="s">
        <v>92</v>
      </c>
      <c r="H57" s="4" t="s">
        <v>93</v>
      </c>
      <c r="I57" s="4"/>
      <c r="J57" s="4"/>
      <c r="K57" s="4">
        <v>232</v>
      </c>
      <c r="L57" s="4">
        <v>15</v>
      </c>
      <c r="M57" s="4">
        <v>3</v>
      </c>
      <c r="N57" s="4" t="s">
        <v>3</v>
      </c>
      <c r="O57" s="4">
        <v>2</v>
      </c>
      <c r="P57" s="4"/>
      <c r="Q57" s="4"/>
      <c r="R57" s="4"/>
      <c r="S57" s="4"/>
      <c r="T57" s="4"/>
      <c r="U57" s="4"/>
      <c r="V57" s="4"/>
      <c r="W57" s="4"/>
    </row>
    <row r="58" spans="1:23">
      <c r="A58" s="4">
        <v>50</v>
      </c>
      <c r="B58" s="4">
        <v>0</v>
      </c>
      <c r="C58" s="4">
        <v>0</v>
      </c>
      <c r="D58" s="4">
        <v>1</v>
      </c>
      <c r="E58" s="4">
        <v>214</v>
      </c>
      <c r="F58" s="4">
        <f>ROUND(Source!AS41,O58)</f>
        <v>0</v>
      </c>
      <c r="G58" s="4" t="s">
        <v>94</v>
      </c>
      <c r="H58" s="4" t="s">
        <v>95</v>
      </c>
      <c r="I58" s="4"/>
      <c r="J58" s="4"/>
      <c r="K58" s="4">
        <v>214</v>
      </c>
      <c r="L58" s="4">
        <v>16</v>
      </c>
      <c r="M58" s="4">
        <v>3</v>
      </c>
      <c r="N58" s="4" t="s">
        <v>3</v>
      </c>
      <c r="O58" s="4">
        <v>2</v>
      </c>
      <c r="P58" s="4"/>
      <c r="Q58" s="4"/>
      <c r="R58" s="4"/>
      <c r="S58" s="4"/>
      <c r="T58" s="4"/>
      <c r="U58" s="4"/>
      <c r="V58" s="4"/>
      <c r="W58" s="4"/>
    </row>
    <row r="59" spans="1:23">
      <c r="A59" s="4">
        <v>50</v>
      </c>
      <c r="B59" s="4">
        <v>0</v>
      </c>
      <c r="C59" s="4">
        <v>0</v>
      </c>
      <c r="D59" s="4">
        <v>1</v>
      </c>
      <c r="E59" s="4">
        <v>215</v>
      </c>
      <c r="F59" s="4">
        <f>ROUND(Source!AT41,O59)</f>
        <v>0</v>
      </c>
      <c r="G59" s="4" t="s">
        <v>96</v>
      </c>
      <c r="H59" s="4" t="s">
        <v>97</v>
      </c>
      <c r="I59" s="4"/>
      <c r="J59" s="4"/>
      <c r="K59" s="4">
        <v>215</v>
      </c>
      <c r="L59" s="4">
        <v>17</v>
      </c>
      <c r="M59" s="4">
        <v>3</v>
      </c>
      <c r="N59" s="4" t="s">
        <v>3</v>
      </c>
      <c r="O59" s="4">
        <v>2</v>
      </c>
      <c r="P59" s="4"/>
      <c r="Q59" s="4"/>
      <c r="R59" s="4"/>
      <c r="S59" s="4"/>
      <c r="T59" s="4"/>
      <c r="U59" s="4"/>
      <c r="V59" s="4"/>
      <c r="W59" s="4"/>
    </row>
    <row r="60" spans="1:23">
      <c r="A60" s="4">
        <v>50</v>
      </c>
      <c r="B60" s="4">
        <v>0</v>
      </c>
      <c r="C60" s="4">
        <v>0</v>
      </c>
      <c r="D60" s="4">
        <v>1</v>
      </c>
      <c r="E60" s="4">
        <v>217</v>
      </c>
      <c r="F60" s="4">
        <f>ROUND(Source!AU41,O60)</f>
        <v>157424.78</v>
      </c>
      <c r="G60" s="4" t="s">
        <v>98</v>
      </c>
      <c r="H60" s="4" t="s">
        <v>99</v>
      </c>
      <c r="I60" s="4"/>
      <c r="J60" s="4"/>
      <c r="K60" s="4">
        <v>217</v>
      </c>
      <c r="L60" s="4">
        <v>18</v>
      </c>
      <c r="M60" s="4">
        <v>3</v>
      </c>
      <c r="N60" s="4" t="s">
        <v>3</v>
      </c>
      <c r="O60" s="4">
        <v>2</v>
      </c>
      <c r="P60" s="4"/>
      <c r="Q60" s="4"/>
      <c r="R60" s="4"/>
      <c r="S60" s="4"/>
      <c r="T60" s="4"/>
      <c r="U60" s="4"/>
      <c r="V60" s="4"/>
      <c r="W60" s="4"/>
    </row>
    <row r="61" spans="1:23">
      <c r="A61" s="4">
        <v>50</v>
      </c>
      <c r="B61" s="4">
        <v>0</v>
      </c>
      <c r="C61" s="4">
        <v>0</v>
      </c>
      <c r="D61" s="4">
        <v>1</v>
      </c>
      <c r="E61" s="4">
        <v>230</v>
      </c>
      <c r="F61" s="4">
        <f>ROUND(Source!BA41,O61)</f>
        <v>0</v>
      </c>
      <c r="G61" s="4" t="s">
        <v>100</v>
      </c>
      <c r="H61" s="4" t="s">
        <v>101</v>
      </c>
      <c r="I61" s="4"/>
      <c r="J61" s="4"/>
      <c r="K61" s="4">
        <v>230</v>
      </c>
      <c r="L61" s="4">
        <v>19</v>
      </c>
      <c r="M61" s="4">
        <v>3</v>
      </c>
      <c r="N61" s="4" t="s">
        <v>3</v>
      </c>
      <c r="O61" s="4">
        <v>2</v>
      </c>
      <c r="P61" s="4"/>
      <c r="Q61" s="4"/>
      <c r="R61" s="4"/>
      <c r="S61" s="4"/>
      <c r="T61" s="4"/>
      <c r="U61" s="4"/>
      <c r="V61" s="4"/>
      <c r="W61" s="4"/>
    </row>
    <row r="62" spans="1:23">
      <c r="A62" s="4">
        <v>50</v>
      </c>
      <c r="B62" s="4">
        <v>0</v>
      </c>
      <c r="C62" s="4">
        <v>0</v>
      </c>
      <c r="D62" s="4">
        <v>1</v>
      </c>
      <c r="E62" s="4">
        <v>206</v>
      </c>
      <c r="F62" s="4">
        <f>ROUND(Source!T41,O62)</f>
        <v>0</v>
      </c>
      <c r="G62" s="4" t="s">
        <v>102</v>
      </c>
      <c r="H62" s="4" t="s">
        <v>103</v>
      </c>
      <c r="I62" s="4"/>
      <c r="J62" s="4"/>
      <c r="K62" s="4">
        <v>206</v>
      </c>
      <c r="L62" s="4">
        <v>20</v>
      </c>
      <c r="M62" s="4">
        <v>3</v>
      </c>
      <c r="N62" s="4" t="s">
        <v>3</v>
      </c>
      <c r="O62" s="4">
        <v>2</v>
      </c>
      <c r="P62" s="4"/>
      <c r="Q62" s="4"/>
      <c r="R62" s="4"/>
      <c r="S62" s="4"/>
      <c r="T62" s="4"/>
      <c r="U62" s="4"/>
      <c r="V62" s="4"/>
      <c r="W62" s="4"/>
    </row>
    <row r="63" spans="1:23">
      <c r="A63" s="4">
        <v>50</v>
      </c>
      <c r="B63" s="4">
        <v>0</v>
      </c>
      <c r="C63" s="4">
        <v>0</v>
      </c>
      <c r="D63" s="4">
        <v>1</v>
      </c>
      <c r="E63" s="4">
        <v>207</v>
      </c>
      <c r="F63" s="4">
        <f>Source!U41</f>
        <v>149.55155000196621</v>
      </c>
      <c r="G63" s="4" t="s">
        <v>104</v>
      </c>
      <c r="H63" s="4" t="s">
        <v>105</v>
      </c>
      <c r="I63" s="4"/>
      <c r="J63" s="4"/>
      <c r="K63" s="4">
        <v>207</v>
      </c>
      <c r="L63" s="4">
        <v>21</v>
      </c>
      <c r="M63" s="4">
        <v>3</v>
      </c>
      <c r="N63" s="4" t="s">
        <v>3</v>
      </c>
      <c r="O63" s="4">
        <v>-1</v>
      </c>
      <c r="P63" s="4"/>
      <c r="Q63" s="4"/>
      <c r="R63" s="4"/>
      <c r="S63" s="4"/>
      <c r="T63" s="4"/>
      <c r="U63" s="4"/>
      <c r="V63" s="4"/>
      <c r="W63" s="4"/>
    </row>
    <row r="64" spans="1:23">
      <c r="A64" s="4">
        <v>50</v>
      </c>
      <c r="B64" s="4">
        <v>0</v>
      </c>
      <c r="C64" s="4">
        <v>0</v>
      </c>
      <c r="D64" s="4">
        <v>1</v>
      </c>
      <c r="E64" s="4">
        <v>208</v>
      </c>
      <c r="F64" s="4">
        <f>Source!V41</f>
        <v>0</v>
      </c>
      <c r="G64" s="4" t="s">
        <v>106</v>
      </c>
      <c r="H64" s="4" t="s">
        <v>107</v>
      </c>
      <c r="I64" s="4"/>
      <c r="J64" s="4"/>
      <c r="K64" s="4">
        <v>208</v>
      </c>
      <c r="L64" s="4">
        <v>22</v>
      </c>
      <c r="M64" s="4">
        <v>3</v>
      </c>
      <c r="N64" s="4" t="s">
        <v>3</v>
      </c>
      <c r="O64" s="4">
        <v>-1</v>
      </c>
      <c r="P64" s="4"/>
      <c r="Q64" s="4"/>
      <c r="R64" s="4"/>
      <c r="S64" s="4"/>
      <c r="T64" s="4"/>
      <c r="U64" s="4"/>
      <c r="V64" s="4"/>
      <c r="W64" s="4"/>
    </row>
    <row r="65" spans="1:245">
      <c r="A65" s="4">
        <v>50</v>
      </c>
      <c r="B65" s="4">
        <v>0</v>
      </c>
      <c r="C65" s="4">
        <v>0</v>
      </c>
      <c r="D65" s="4">
        <v>1</v>
      </c>
      <c r="E65" s="4">
        <v>209</v>
      </c>
      <c r="F65" s="4">
        <f>ROUND(Source!W41,O65)</f>
        <v>0</v>
      </c>
      <c r="G65" s="4" t="s">
        <v>108</v>
      </c>
      <c r="H65" s="4" t="s">
        <v>109</v>
      </c>
      <c r="I65" s="4"/>
      <c r="J65" s="4"/>
      <c r="K65" s="4">
        <v>209</v>
      </c>
      <c r="L65" s="4">
        <v>23</v>
      </c>
      <c r="M65" s="4">
        <v>3</v>
      </c>
      <c r="N65" s="4" t="s">
        <v>3</v>
      </c>
      <c r="O65" s="4">
        <v>2</v>
      </c>
      <c r="P65" s="4"/>
      <c r="Q65" s="4"/>
      <c r="R65" s="4"/>
      <c r="S65" s="4"/>
      <c r="T65" s="4"/>
      <c r="U65" s="4"/>
      <c r="V65" s="4"/>
      <c r="W65" s="4"/>
    </row>
    <row r="66" spans="1:245">
      <c r="A66" s="4">
        <v>50</v>
      </c>
      <c r="B66" s="4">
        <v>0</v>
      </c>
      <c r="C66" s="4">
        <v>0</v>
      </c>
      <c r="D66" s="4">
        <v>1</v>
      </c>
      <c r="E66" s="4">
        <v>210</v>
      </c>
      <c r="F66" s="4">
        <f>ROUND(Source!X41,O66)</f>
        <v>19557.55</v>
      </c>
      <c r="G66" s="4" t="s">
        <v>110</v>
      </c>
      <c r="H66" s="4" t="s">
        <v>111</v>
      </c>
      <c r="I66" s="4"/>
      <c r="J66" s="4"/>
      <c r="K66" s="4">
        <v>210</v>
      </c>
      <c r="L66" s="4">
        <v>24</v>
      </c>
      <c r="M66" s="4">
        <v>3</v>
      </c>
      <c r="N66" s="4" t="s">
        <v>3</v>
      </c>
      <c r="O66" s="4">
        <v>2</v>
      </c>
      <c r="P66" s="4"/>
      <c r="Q66" s="4"/>
      <c r="R66" s="4"/>
      <c r="S66" s="4"/>
      <c r="T66" s="4"/>
      <c r="U66" s="4"/>
      <c r="V66" s="4"/>
      <c r="W66" s="4"/>
    </row>
    <row r="67" spans="1:245">
      <c r="A67" s="4">
        <v>50</v>
      </c>
      <c r="B67" s="4">
        <v>0</v>
      </c>
      <c r="C67" s="4">
        <v>0</v>
      </c>
      <c r="D67" s="4">
        <v>1</v>
      </c>
      <c r="E67" s="4">
        <v>211</v>
      </c>
      <c r="F67" s="4">
        <f>ROUND(Source!Y41,O67)</f>
        <v>2793.94</v>
      </c>
      <c r="G67" s="4" t="s">
        <v>112</v>
      </c>
      <c r="H67" s="4" t="s">
        <v>113</v>
      </c>
      <c r="I67" s="4"/>
      <c r="J67" s="4"/>
      <c r="K67" s="4">
        <v>211</v>
      </c>
      <c r="L67" s="4">
        <v>25</v>
      </c>
      <c r="M67" s="4">
        <v>3</v>
      </c>
      <c r="N67" s="4" t="s">
        <v>3</v>
      </c>
      <c r="O67" s="4">
        <v>2</v>
      </c>
      <c r="P67" s="4"/>
      <c r="Q67" s="4"/>
      <c r="R67" s="4"/>
      <c r="S67" s="4"/>
      <c r="T67" s="4"/>
      <c r="U67" s="4"/>
      <c r="V67" s="4"/>
      <c r="W67" s="4"/>
    </row>
    <row r="68" spans="1:245">
      <c r="A68" s="4">
        <v>50</v>
      </c>
      <c r="B68" s="4">
        <v>0</v>
      </c>
      <c r="C68" s="4">
        <v>0</v>
      </c>
      <c r="D68" s="4">
        <v>1</v>
      </c>
      <c r="E68" s="4">
        <v>224</v>
      </c>
      <c r="F68" s="4">
        <f>ROUND(Source!AR41,O68)</f>
        <v>157424.78</v>
      </c>
      <c r="G68" s="4" t="s">
        <v>114</v>
      </c>
      <c r="H68" s="4" t="s">
        <v>115</v>
      </c>
      <c r="I68" s="4"/>
      <c r="J68" s="4"/>
      <c r="K68" s="4">
        <v>224</v>
      </c>
      <c r="L68" s="4">
        <v>26</v>
      </c>
      <c r="M68" s="4">
        <v>3</v>
      </c>
      <c r="N68" s="4" t="s">
        <v>3</v>
      </c>
      <c r="O68" s="4">
        <v>2</v>
      </c>
      <c r="P68" s="4"/>
      <c r="Q68" s="4"/>
      <c r="R68" s="4"/>
      <c r="S68" s="4"/>
      <c r="T68" s="4"/>
      <c r="U68" s="4"/>
      <c r="V68" s="4"/>
      <c r="W68" s="4"/>
    </row>
    <row r="69" spans="1:245">
      <c r="A69" s="4">
        <v>50</v>
      </c>
      <c r="B69" s="4">
        <v>1</v>
      </c>
      <c r="C69" s="4">
        <v>0</v>
      </c>
      <c r="D69" s="4">
        <v>2</v>
      </c>
      <c r="E69" s="4">
        <v>0</v>
      </c>
      <c r="F69" s="4">
        <f>ROUND(F68,O69)</f>
        <v>157424.78</v>
      </c>
      <c r="G69" s="4" t="s">
        <v>4</v>
      </c>
      <c r="H69" s="4" t="s">
        <v>116</v>
      </c>
      <c r="I69" s="4"/>
      <c r="J69" s="4"/>
      <c r="K69" s="4">
        <v>212</v>
      </c>
      <c r="L69" s="4">
        <v>27</v>
      </c>
      <c r="M69" s="4">
        <v>0</v>
      </c>
      <c r="N69" s="4" t="s">
        <v>3</v>
      </c>
      <c r="O69" s="4">
        <v>2</v>
      </c>
      <c r="P69" s="4"/>
      <c r="Q69" s="4"/>
      <c r="R69" s="4"/>
      <c r="S69" s="4"/>
      <c r="T69" s="4"/>
      <c r="U69" s="4"/>
      <c r="V69" s="4"/>
      <c r="W69" s="4"/>
    </row>
    <row r="70" spans="1:245">
      <c r="A70" s="4">
        <v>50</v>
      </c>
      <c r="B70" s="4">
        <v>1</v>
      </c>
      <c r="C70" s="4">
        <v>0</v>
      </c>
      <c r="D70" s="4">
        <v>2</v>
      </c>
      <c r="E70" s="4">
        <v>0</v>
      </c>
      <c r="F70" s="4">
        <f>ROUND(F69*0.2,O70)</f>
        <v>31484.959999999999</v>
      </c>
      <c r="G70" s="4" t="s">
        <v>22</v>
      </c>
      <c r="H70" s="4" t="s">
        <v>117</v>
      </c>
      <c r="I70" s="4"/>
      <c r="J70" s="4"/>
      <c r="K70" s="4">
        <v>212</v>
      </c>
      <c r="L70" s="4">
        <v>28</v>
      </c>
      <c r="M70" s="4">
        <v>0</v>
      </c>
      <c r="N70" s="4" t="s">
        <v>3</v>
      </c>
      <c r="O70" s="4">
        <v>2</v>
      </c>
      <c r="P70" s="4"/>
      <c r="Q70" s="4"/>
      <c r="R70" s="4"/>
      <c r="S70" s="4"/>
      <c r="T70" s="4"/>
      <c r="U70" s="4"/>
      <c r="V70" s="4"/>
      <c r="W70" s="4"/>
    </row>
    <row r="71" spans="1:245">
      <c r="A71" s="4">
        <v>50</v>
      </c>
      <c r="B71" s="4">
        <v>1</v>
      </c>
      <c r="C71" s="4">
        <v>0</v>
      </c>
      <c r="D71" s="4">
        <v>2</v>
      </c>
      <c r="E71" s="4">
        <v>0</v>
      </c>
      <c r="F71" s="4">
        <f>ROUND(F69+F70,O71)</f>
        <v>188909.74</v>
      </c>
      <c r="G71" s="4" t="s">
        <v>26</v>
      </c>
      <c r="H71" s="4" t="s">
        <v>118</v>
      </c>
      <c r="I71" s="4"/>
      <c r="J71" s="4"/>
      <c r="K71" s="4">
        <v>212</v>
      </c>
      <c r="L71" s="4">
        <v>29</v>
      </c>
      <c r="M71" s="4">
        <v>0</v>
      </c>
      <c r="N71" s="4" t="s">
        <v>3</v>
      </c>
      <c r="O71" s="4">
        <v>2</v>
      </c>
      <c r="P71" s="4"/>
      <c r="Q71" s="4"/>
      <c r="R71" s="4"/>
      <c r="S71" s="4"/>
      <c r="T71" s="4"/>
      <c r="U71" s="4"/>
      <c r="V71" s="4"/>
      <c r="W71" s="4"/>
    </row>
    <row r="73" spans="1:245">
      <c r="A73" s="1">
        <v>4</v>
      </c>
      <c r="B73" s="1">
        <v>1</v>
      </c>
      <c r="C73" s="1"/>
      <c r="D73" s="1">
        <f>ROW(A90)</f>
        <v>90</v>
      </c>
      <c r="E73" s="1"/>
      <c r="F73" s="1" t="s">
        <v>13</v>
      </c>
      <c r="G73" s="1" t="s">
        <v>119</v>
      </c>
      <c r="H73" s="1" t="s">
        <v>3</v>
      </c>
      <c r="I73" s="1">
        <v>0</v>
      </c>
      <c r="J73" s="1"/>
      <c r="K73" s="1">
        <v>-1</v>
      </c>
      <c r="L73" s="1"/>
      <c r="M73" s="1"/>
      <c r="N73" s="1"/>
      <c r="O73" s="1"/>
      <c r="P73" s="1"/>
      <c r="Q73" s="1"/>
      <c r="R73" s="1"/>
      <c r="S73" s="1"/>
      <c r="T73" s="1"/>
      <c r="U73" s="1" t="s">
        <v>3</v>
      </c>
      <c r="V73" s="1">
        <v>0</v>
      </c>
      <c r="W73" s="1"/>
      <c r="X73" s="1"/>
      <c r="Y73" s="1"/>
      <c r="Z73" s="1"/>
      <c r="AA73" s="1"/>
      <c r="AB73" s="1" t="s">
        <v>3</v>
      </c>
      <c r="AC73" s="1" t="s">
        <v>3</v>
      </c>
      <c r="AD73" s="1" t="s">
        <v>3</v>
      </c>
      <c r="AE73" s="1" t="s">
        <v>3</v>
      </c>
      <c r="AF73" s="1" t="s">
        <v>3</v>
      </c>
      <c r="AG73" s="1" t="s">
        <v>3</v>
      </c>
      <c r="AH73" s="1"/>
      <c r="AI73" s="1"/>
      <c r="AJ73" s="1"/>
      <c r="AK73" s="1"/>
      <c r="AL73" s="1"/>
      <c r="AM73" s="1"/>
      <c r="AN73" s="1"/>
      <c r="AO73" s="1"/>
      <c r="AP73" s="1" t="s">
        <v>3</v>
      </c>
      <c r="AQ73" s="1" t="s">
        <v>3</v>
      </c>
      <c r="AR73" s="1" t="s">
        <v>3</v>
      </c>
      <c r="AS73" s="1"/>
      <c r="AT73" s="1"/>
      <c r="AU73" s="1"/>
      <c r="AV73" s="1"/>
      <c r="AW73" s="1"/>
      <c r="AX73" s="1"/>
      <c r="AY73" s="1"/>
      <c r="AZ73" s="1" t="s">
        <v>3</v>
      </c>
      <c r="BA73" s="1"/>
      <c r="BB73" s="1" t="s">
        <v>3</v>
      </c>
      <c r="BC73" s="1" t="s">
        <v>3</v>
      </c>
      <c r="BD73" s="1" t="s">
        <v>3</v>
      </c>
      <c r="BE73" s="1" t="s">
        <v>3</v>
      </c>
      <c r="BF73" s="1" t="s">
        <v>3</v>
      </c>
      <c r="BG73" s="1" t="s">
        <v>3</v>
      </c>
      <c r="BH73" s="1" t="s">
        <v>3</v>
      </c>
      <c r="BI73" s="1" t="s">
        <v>3</v>
      </c>
      <c r="BJ73" s="1" t="s">
        <v>3</v>
      </c>
      <c r="BK73" s="1" t="s">
        <v>3</v>
      </c>
      <c r="BL73" s="1" t="s">
        <v>3</v>
      </c>
      <c r="BM73" s="1" t="s">
        <v>3</v>
      </c>
      <c r="BN73" s="1" t="s">
        <v>3</v>
      </c>
      <c r="BO73" s="1" t="s">
        <v>3</v>
      </c>
      <c r="BP73" s="1" t="s">
        <v>3</v>
      </c>
      <c r="BQ73" s="1"/>
      <c r="BR73" s="1"/>
      <c r="BS73" s="1"/>
      <c r="BT73" s="1"/>
      <c r="BU73" s="1"/>
      <c r="BV73" s="1"/>
      <c r="BW73" s="1"/>
      <c r="BX73" s="1">
        <v>0</v>
      </c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>
        <v>0</v>
      </c>
    </row>
    <row r="75" spans="1:245">
      <c r="A75" s="2">
        <v>52</v>
      </c>
      <c r="B75" s="2">
        <f t="shared" ref="B75:G75" si="62">B90</f>
        <v>1</v>
      </c>
      <c r="C75" s="2">
        <f t="shared" si="62"/>
        <v>4</v>
      </c>
      <c r="D75" s="2">
        <f t="shared" si="62"/>
        <v>73</v>
      </c>
      <c r="E75" s="2">
        <f t="shared" si="62"/>
        <v>0</v>
      </c>
      <c r="F75" s="2" t="str">
        <f t="shared" si="62"/>
        <v>Новый раздел</v>
      </c>
      <c r="G75" s="2" t="str">
        <f t="shared" si="62"/>
        <v>Посадка кустарников - 50шт.</v>
      </c>
      <c r="H75" s="2"/>
      <c r="I75" s="2"/>
      <c r="J75" s="2"/>
      <c r="K75" s="2"/>
      <c r="L75" s="2"/>
      <c r="M75" s="2"/>
      <c r="N75" s="2"/>
      <c r="O75" s="2">
        <f t="shared" ref="O75:AT75" si="63">O90</f>
        <v>98373.4</v>
      </c>
      <c r="P75" s="2">
        <f t="shared" si="63"/>
        <v>72679.820000000007</v>
      </c>
      <c r="Q75" s="2">
        <f t="shared" si="63"/>
        <v>3898.41</v>
      </c>
      <c r="R75" s="2">
        <f t="shared" si="63"/>
        <v>978.64</v>
      </c>
      <c r="S75" s="2">
        <f t="shared" si="63"/>
        <v>21795.17</v>
      </c>
      <c r="T75" s="2">
        <f t="shared" si="63"/>
        <v>0</v>
      </c>
      <c r="U75" s="2">
        <f t="shared" si="63"/>
        <v>110.04275000000001</v>
      </c>
      <c r="V75" s="2">
        <f t="shared" si="63"/>
        <v>0</v>
      </c>
      <c r="W75" s="2">
        <f t="shared" si="63"/>
        <v>0</v>
      </c>
      <c r="X75" s="2">
        <f t="shared" si="63"/>
        <v>15256.62</v>
      </c>
      <c r="Y75" s="2">
        <f t="shared" si="63"/>
        <v>2179.52</v>
      </c>
      <c r="Z75" s="2">
        <f t="shared" si="63"/>
        <v>0</v>
      </c>
      <c r="AA75" s="2">
        <f t="shared" si="63"/>
        <v>0</v>
      </c>
      <c r="AB75" s="2">
        <f t="shared" si="63"/>
        <v>98373.4</v>
      </c>
      <c r="AC75" s="2">
        <f t="shared" si="63"/>
        <v>72679.820000000007</v>
      </c>
      <c r="AD75" s="2">
        <f t="shared" si="63"/>
        <v>3898.41</v>
      </c>
      <c r="AE75" s="2">
        <f t="shared" si="63"/>
        <v>978.64</v>
      </c>
      <c r="AF75" s="2">
        <f t="shared" si="63"/>
        <v>21795.17</v>
      </c>
      <c r="AG75" s="2">
        <f t="shared" si="63"/>
        <v>0</v>
      </c>
      <c r="AH75" s="2">
        <f t="shared" si="63"/>
        <v>110.04275000000001</v>
      </c>
      <c r="AI75" s="2">
        <f t="shared" si="63"/>
        <v>0</v>
      </c>
      <c r="AJ75" s="2">
        <f t="shared" si="63"/>
        <v>0</v>
      </c>
      <c r="AK75" s="2">
        <f t="shared" si="63"/>
        <v>15256.62</v>
      </c>
      <c r="AL75" s="2">
        <f t="shared" si="63"/>
        <v>2179.52</v>
      </c>
      <c r="AM75" s="2">
        <f t="shared" si="63"/>
        <v>0</v>
      </c>
      <c r="AN75" s="2">
        <f t="shared" si="63"/>
        <v>0</v>
      </c>
      <c r="AO75" s="2">
        <f t="shared" si="63"/>
        <v>0</v>
      </c>
      <c r="AP75" s="2">
        <f t="shared" si="63"/>
        <v>0</v>
      </c>
      <c r="AQ75" s="2">
        <f t="shared" si="63"/>
        <v>0</v>
      </c>
      <c r="AR75" s="2">
        <f t="shared" si="63"/>
        <v>116866.48</v>
      </c>
      <c r="AS75" s="2">
        <f t="shared" si="63"/>
        <v>0</v>
      </c>
      <c r="AT75" s="2">
        <f t="shared" si="63"/>
        <v>0</v>
      </c>
      <c r="AU75" s="2">
        <f t="shared" ref="AU75:BZ75" si="64">AU90</f>
        <v>116866.48</v>
      </c>
      <c r="AV75" s="2">
        <f t="shared" si="64"/>
        <v>72679.820000000007</v>
      </c>
      <c r="AW75" s="2">
        <f t="shared" si="64"/>
        <v>72679.820000000007</v>
      </c>
      <c r="AX75" s="2">
        <f t="shared" si="64"/>
        <v>0</v>
      </c>
      <c r="AY75" s="2">
        <f t="shared" si="64"/>
        <v>72679.820000000007</v>
      </c>
      <c r="AZ75" s="2">
        <f t="shared" si="64"/>
        <v>0</v>
      </c>
      <c r="BA75" s="2">
        <f t="shared" si="64"/>
        <v>0</v>
      </c>
      <c r="BB75" s="2">
        <f t="shared" si="64"/>
        <v>0</v>
      </c>
      <c r="BC75" s="2">
        <f t="shared" si="64"/>
        <v>0</v>
      </c>
      <c r="BD75" s="2">
        <f t="shared" si="64"/>
        <v>0</v>
      </c>
      <c r="BE75" s="2">
        <f t="shared" si="64"/>
        <v>0</v>
      </c>
      <c r="BF75" s="2">
        <f t="shared" si="64"/>
        <v>0</v>
      </c>
      <c r="BG75" s="2">
        <f t="shared" si="64"/>
        <v>0</v>
      </c>
      <c r="BH75" s="2">
        <f t="shared" si="64"/>
        <v>0</v>
      </c>
      <c r="BI75" s="2">
        <f t="shared" si="64"/>
        <v>0</v>
      </c>
      <c r="BJ75" s="2">
        <f t="shared" si="64"/>
        <v>0</v>
      </c>
      <c r="BK75" s="2">
        <f t="shared" si="64"/>
        <v>0</v>
      </c>
      <c r="BL75" s="2">
        <f t="shared" si="64"/>
        <v>0</v>
      </c>
      <c r="BM75" s="2">
        <f t="shared" si="64"/>
        <v>0</v>
      </c>
      <c r="BN75" s="2">
        <f t="shared" si="64"/>
        <v>0</v>
      </c>
      <c r="BO75" s="2">
        <f t="shared" si="64"/>
        <v>0</v>
      </c>
      <c r="BP75" s="2">
        <f t="shared" si="64"/>
        <v>0</v>
      </c>
      <c r="BQ75" s="2">
        <f t="shared" si="64"/>
        <v>0</v>
      </c>
      <c r="BR75" s="2">
        <f t="shared" si="64"/>
        <v>0</v>
      </c>
      <c r="BS75" s="2">
        <f t="shared" si="64"/>
        <v>0</v>
      </c>
      <c r="BT75" s="2">
        <f t="shared" si="64"/>
        <v>0</v>
      </c>
      <c r="BU75" s="2">
        <f t="shared" si="64"/>
        <v>0</v>
      </c>
      <c r="BV75" s="2">
        <f t="shared" si="64"/>
        <v>0</v>
      </c>
      <c r="BW75" s="2">
        <f t="shared" si="64"/>
        <v>0</v>
      </c>
      <c r="BX75" s="2">
        <f t="shared" si="64"/>
        <v>0</v>
      </c>
      <c r="BY75" s="2">
        <f t="shared" si="64"/>
        <v>0</v>
      </c>
      <c r="BZ75" s="2">
        <f t="shared" si="64"/>
        <v>0</v>
      </c>
      <c r="CA75" s="2">
        <f t="shared" ref="CA75:DF75" si="65">CA90</f>
        <v>116866.48</v>
      </c>
      <c r="CB75" s="2">
        <f t="shared" si="65"/>
        <v>0</v>
      </c>
      <c r="CC75" s="2">
        <f t="shared" si="65"/>
        <v>0</v>
      </c>
      <c r="CD75" s="2">
        <f t="shared" si="65"/>
        <v>116866.48</v>
      </c>
      <c r="CE75" s="2">
        <f t="shared" si="65"/>
        <v>72679.820000000007</v>
      </c>
      <c r="CF75" s="2">
        <f t="shared" si="65"/>
        <v>72679.820000000007</v>
      </c>
      <c r="CG75" s="2">
        <f t="shared" si="65"/>
        <v>0</v>
      </c>
      <c r="CH75" s="2">
        <f t="shared" si="65"/>
        <v>72679.820000000007</v>
      </c>
      <c r="CI75" s="2">
        <f t="shared" si="65"/>
        <v>0</v>
      </c>
      <c r="CJ75" s="2">
        <f t="shared" si="65"/>
        <v>0</v>
      </c>
      <c r="CK75" s="2">
        <f t="shared" si="65"/>
        <v>0</v>
      </c>
      <c r="CL75" s="2">
        <f t="shared" si="65"/>
        <v>0</v>
      </c>
      <c r="CM75" s="2">
        <f t="shared" si="65"/>
        <v>0</v>
      </c>
      <c r="CN75" s="2">
        <f t="shared" si="65"/>
        <v>0</v>
      </c>
      <c r="CO75" s="2">
        <f t="shared" si="65"/>
        <v>0</v>
      </c>
      <c r="CP75" s="2">
        <f t="shared" si="65"/>
        <v>0</v>
      </c>
      <c r="CQ75" s="2">
        <f t="shared" si="65"/>
        <v>0</v>
      </c>
      <c r="CR75" s="2">
        <f t="shared" si="65"/>
        <v>0</v>
      </c>
      <c r="CS75" s="2">
        <f t="shared" si="65"/>
        <v>0</v>
      </c>
      <c r="CT75" s="2">
        <f t="shared" si="65"/>
        <v>0</v>
      </c>
      <c r="CU75" s="2">
        <f t="shared" si="65"/>
        <v>0</v>
      </c>
      <c r="CV75" s="2">
        <f t="shared" si="65"/>
        <v>0</v>
      </c>
      <c r="CW75" s="2">
        <f t="shared" si="65"/>
        <v>0</v>
      </c>
      <c r="CX75" s="2">
        <f t="shared" si="65"/>
        <v>0</v>
      </c>
      <c r="CY75" s="2">
        <f t="shared" si="65"/>
        <v>0</v>
      </c>
      <c r="CZ75" s="2">
        <f t="shared" si="65"/>
        <v>0</v>
      </c>
      <c r="DA75" s="2">
        <f t="shared" si="65"/>
        <v>0</v>
      </c>
      <c r="DB75" s="2">
        <f t="shared" si="65"/>
        <v>0</v>
      </c>
      <c r="DC75" s="2">
        <f t="shared" si="65"/>
        <v>0</v>
      </c>
      <c r="DD75" s="2">
        <f t="shared" si="65"/>
        <v>0</v>
      </c>
      <c r="DE75" s="2">
        <f t="shared" si="65"/>
        <v>0</v>
      </c>
      <c r="DF75" s="2">
        <f t="shared" si="65"/>
        <v>0</v>
      </c>
      <c r="DG75" s="3">
        <f t="shared" ref="DG75:EL75" si="66">DG90</f>
        <v>0</v>
      </c>
      <c r="DH75" s="3">
        <f t="shared" si="66"/>
        <v>0</v>
      </c>
      <c r="DI75" s="3">
        <f t="shared" si="66"/>
        <v>0</v>
      </c>
      <c r="DJ75" s="3">
        <f t="shared" si="66"/>
        <v>0</v>
      </c>
      <c r="DK75" s="3">
        <f t="shared" si="66"/>
        <v>0</v>
      </c>
      <c r="DL75" s="3">
        <f t="shared" si="66"/>
        <v>0</v>
      </c>
      <c r="DM75" s="3">
        <f t="shared" si="66"/>
        <v>0</v>
      </c>
      <c r="DN75" s="3">
        <f t="shared" si="66"/>
        <v>0</v>
      </c>
      <c r="DO75" s="3">
        <f t="shared" si="66"/>
        <v>0</v>
      </c>
      <c r="DP75" s="3">
        <f t="shared" si="66"/>
        <v>0</v>
      </c>
      <c r="DQ75" s="3">
        <f t="shared" si="66"/>
        <v>0</v>
      </c>
      <c r="DR75" s="3">
        <f t="shared" si="66"/>
        <v>0</v>
      </c>
      <c r="DS75" s="3">
        <f t="shared" si="66"/>
        <v>0</v>
      </c>
      <c r="DT75" s="3">
        <f t="shared" si="66"/>
        <v>0</v>
      </c>
      <c r="DU75" s="3">
        <f t="shared" si="66"/>
        <v>0</v>
      </c>
      <c r="DV75" s="3">
        <f t="shared" si="66"/>
        <v>0</v>
      </c>
      <c r="DW75" s="3">
        <f t="shared" si="66"/>
        <v>0</v>
      </c>
      <c r="DX75" s="3">
        <f t="shared" si="66"/>
        <v>0</v>
      </c>
      <c r="DY75" s="3">
        <f t="shared" si="66"/>
        <v>0</v>
      </c>
      <c r="DZ75" s="3">
        <f t="shared" si="66"/>
        <v>0</v>
      </c>
      <c r="EA75" s="3">
        <f t="shared" si="66"/>
        <v>0</v>
      </c>
      <c r="EB75" s="3">
        <f t="shared" si="66"/>
        <v>0</v>
      </c>
      <c r="EC75" s="3">
        <f t="shared" si="66"/>
        <v>0</v>
      </c>
      <c r="ED75" s="3">
        <f t="shared" si="66"/>
        <v>0</v>
      </c>
      <c r="EE75" s="3">
        <f t="shared" si="66"/>
        <v>0</v>
      </c>
      <c r="EF75" s="3">
        <f t="shared" si="66"/>
        <v>0</v>
      </c>
      <c r="EG75" s="3">
        <f t="shared" si="66"/>
        <v>0</v>
      </c>
      <c r="EH75" s="3">
        <f t="shared" si="66"/>
        <v>0</v>
      </c>
      <c r="EI75" s="3">
        <f t="shared" si="66"/>
        <v>0</v>
      </c>
      <c r="EJ75" s="3">
        <f t="shared" si="66"/>
        <v>0</v>
      </c>
      <c r="EK75" s="3">
        <f t="shared" si="66"/>
        <v>0</v>
      </c>
      <c r="EL75" s="3">
        <f t="shared" si="66"/>
        <v>0</v>
      </c>
      <c r="EM75" s="3">
        <f t="shared" ref="EM75:FR75" si="67">EM90</f>
        <v>0</v>
      </c>
      <c r="EN75" s="3">
        <f t="shared" si="67"/>
        <v>0</v>
      </c>
      <c r="EO75" s="3">
        <f t="shared" si="67"/>
        <v>0</v>
      </c>
      <c r="EP75" s="3">
        <f t="shared" si="67"/>
        <v>0</v>
      </c>
      <c r="EQ75" s="3">
        <f t="shared" si="67"/>
        <v>0</v>
      </c>
      <c r="ER75" s="3">
        <f t="shared" si="67"/>
        <v>0</v>
      </c>
      <c r="ES75" s="3">
        <f t="shared" si="67"/>
        <v>0</v>
      </c>
      <c r="ET75" s="3">
        <f t="shared" si="67"/>
        <v>0</v>
      </c>
      <c r="EU75" s="3">
        <f t="shared" si="67"/>
        <v>0</v>
      </c>
      <c r="EV75" s="3">
        <f t="shared" si="67"/>
        <v>0</v>
      </c>
      <c r="EW75" s="3">
        <f t="shared" si="67"/>
        <v>0</v>
      </c>
      <c r="EX75" s="3">
        <f t="shared" si="67"/>
        <v>0</v>
      </c>
      <c r="EY75" s="3">
        <f t="shared" si="67"/>
        <v>0</v>
      </c>
      <c r="EZ75" s="3">
        <f t="shared" si="67"/>
        <v>0</v>
      </c>
      <c r="FA75" s="3">
        <f t="shared" si="67"/>
        <v>0</v>
      </c>
      <c r="FB75" s="3">
        <f t="shared" si="67"/>
        <v>0</v>
      </c>
      <c r="FC75" s="3">
        <f t="shared" si="67"/>
        <v>0</v>
      </c>
      <c r="FD75" s="3">
        <f t="shared" si="67"/>
        <v>0</v>
      </c>
      <c r="FE75" s="3">
        <f t="shared" si="67"/>
        <v>0</v>
      </c>
      <c r="FF75" s="3">
        <f t="shared" si="67"/>
        <v>0</v>
      </c>
      <c r="FG75" s="3">
        <f t="shared" si="67"/>
        <v>0</v>
      </c>
      <c r="FH75" s="3">
        <f t="shared" si="67"/>
        <v>0</v>
      </c>
      <c r="FI75" s="3">
        <f t="shared" si="67"/>
        <v>0</v>
      </c>
      <c r="FJ75" s="3">
        <f t="shared" si="67"/>
        <v>0</v>
      </c>
      <c r="FK75" s="3">
        <f t="shared" si="67"/>
        <v>0</v>
      </c>
      <c r="FL75" s="3">
        <f t="shared" si="67"/>
        <v>0</v>
      </c>
      <c r="FM75" s="3">
        <f t="shared" si="67"/>
        <v>0</v>
      </c>
      <c r="FN75" s="3">
        <f t="shared" si="67"/>
        <v>0</v>
      </c>
      <c r="FO75" s="3">
        <f t="shared" si="67"/>
        <v>0</v>
      </c>
      <c r="FP75" s="3">
        <f t="shared" si="67"/>
        <v>0</v>
      </c>
      <c r="FQ75" s="3">
        <f t="shared" si="67"/>
        <v>0</v>
      </c>
      <c r="FR75" s="3">
        <f t="shared" si="67"/>
        <v>0</v>
      </c>
      <c r="FS75" s="3">
        <f t="shared" ref="FS75:GX75" si="68">FS90</f>
        <v>0</v>
      </c>
      <c r="FT75" s="3">
        <f t="shared" si="68"/>
        <v>0</v>
      </c>
      <c r="FU75" s="3">
        <f t="shared" si="68"/>
        <v>0</v>
      </c>
      <c r="FV75" s="3">
        <f t="shared" si="68"/>
        <v>0</v>
      </c>
      <c r="FW75" s="3">
        <f t="shared" si="68"/>
        <v>0</v>
      </c>
      <c r="FX75" s="3">
        <f t="shared" si="68"/>
        <v>0</v>
      </c>
      <c r="FY75" s="3">
        <f t="shared" si="68"/>
        <v>0</v>
      </c>
      <c r="FZ75" s="3">
        <f t="shared" si="68"/>
        <v>0</v>
      </c>
      <c r="GA75" s="3">
        <f t="shared" si="68"/>
        <v>0</v>
      </c>
      <c r="GB75" s="3">
        <f t="shared" si="68"/>
        <v>0</v>
      </c>
      <c r="GC75" s="3">
        <f t="shared" si="68"/>
        <v>0</v>
      </c>
      <c r="GD75" s="3">
        <f t="shared" si="68"/>
        <v>0</v>
      </c>
      <c r="GE75" s="3">
        <f t="shared" si="68"/>
        <v>0</v>
      </c>
      <c r="GF75" s="3">
        <f t="shared" si="68"/>
        <v>0</v>
      </c>
      <c r="GG75" s="3">
        <f t="shared" si="68"/>
        <v>0</v>
      </c>
      <c r="GH75" s="3">
        <f t="shared" si="68"/>
        <v>0</v>
      </c>
      <c r="GI75" s="3">
        <f t="shared" si="68"/>
        <v>0</v>
      </c>
      <c r="GJ75" s="3">
        <f t="shared" si="68"/>
        <v>0</v>
      </c>
      <c r="GK75" s="3">
        <f t="shared" si="68"/>
        <v>0</v>
      </c>
      <c r="GL75" s="3">
        <f t="shared" si="68"/>
        <v>0</v>
      </c>
      <c r="GM75" s="3">
        <f t="shared" si="68"/>
        <v>0</v>
      </c>
      <c r="GN75" s="3">
        <f t="shared" si="68"/>
        <v>0</v>
      </c>
      <c r="GO75" s="3">
        <f t="shared" si="68"/>
        <v>0</v>
      </c>
      <c r="GP75" s="3">
        <f t="shared" si="68"/>
        <v>0</v>
      </c>
      <c r="GQ75" s="3">
        <f t="shared" si="68"/>
        <v>0</v>
      </c>
      <c r="GR75" s="3">
        <f t="shared" si="68"/>
        <v>0</v>
      </c>
      <c r="GS75" s="3">
        <f t="shared" si="68"/>
        <v>0</v>
      </c>
      <c r="GT75" s="3">
        <f t="shared" si="68"/>
        <v>0</v>
      </c>
      <c r="GU75" s="3">
        <f t="shared" si="68"/>
        <v>0</v>
      </c>
      <c r="GV75" s="3">
        <f t="shared" si="68"/>
        <v>0</v>
      </c>
      <c r="GW75" s="3">
        <f t="shared" si="68"/>
        <v>0</v>
      </c>
      <c r="GX75" s="3">
        <f t="shared" si="68"/>
        <v>0</v>
      </c>
    </row>
    <row r="77" spans="1:245">
      <c r="A77">
        <v>17</v>
      </c>
      <c r="B77">
        <v>1</v>
      </c>
      <c r="C77">
        <f>ROW(SmtRes!A27)</f>
        <v>27</v>
      </c>
      <c r="D77">
        <f>ROW(EtalonRes!A25)</f>
        <v>25</v>
      </c>
      <c r="E77" t="s">
        <v>120</v>
      </c>
      <c r="F77" t="s">
        <v>121</v>
      </c>
      <c r="G77" t="s">
        <v>122</v>
      </c>
      <c r="H77" t="s">
        <v>123</v>
      </c>
      <c r="I77">
        <f>ROUND((50*0.4)/10,9)</f>
        <v>2</v>
      </c>
      <c r="J77">
        <v>0</v>
      </c>
      <c r="O77">
        <f t="shared" ref="O77:O88" si="69">ROUND(CP77,2)</f>
        <v>8416.2800000000007</v>
      </c>
      <c r="P77">
        <f t="shared" ref="P77:P88" si="70">ROUND(CQ77*I77,2)</f>
        <v>4149.1400000000003</v>
      </c>
      <c r="Q77">
        <f t="shared" ref="Q77:Q88" si="71">ROUND(CR77*I77,2)</f>
        <v>509.74</v>
      </c>
      <c r="R77">
        <f t="shared" ref="R77:R88" si="72">ROUND(CS77*I77,2)</f>
        <v>186.44</v>
      </c>
      <c r="S77">
        <f t="shared" ref="S77:S88" si="73">ROUND(CT77*I77,2)</f>
        <v>3757.4</v>
      </c>
      <c r="T77">
        <f t="shared" ref="T77:T88" si="74">ROUND(CU77*I77,2)</f>
        <v>0</v>
      </c>
      <c r="U77">
        <f t="shared" ref="U77:U88" si="75">CV77*I77</f>
        <v>22.22</v>
      </c>
      <c r="V77">
        <f t="shared" ref="V77:V88" si="76">CW77*I77</f>
        <v>0</v>
      </c>
      <c r="W77">
        <f t="shared" ref="W77:W88" si="77">ROUND(CX77*I77,2)</f>
        <v>0</v>
      </c>
      <c r="X77">
        <f t="shared" ref="X77:X88" si="78">ROUND(CY77,2)</f>
        <v>2630.18</v>
      </c>
      <c r="Y77">
        <f t="shared" ref="Y77:Y88" si="79">ROUND(CZ77,2)</f>
        <v>375.74</v>
      </c>
      <c r="AA77">
        <v>41858681</v>
      </c>
      <c r="AB77">
        <f t="shared" ref="AB77:AB88" si="80">ROUND((AC77+AD77+AF77),6)</f>
        <v>4208.1400000000003</v>
      </c>
      <c r="AC77">
        <f t="shared" ref="AC77:AC88" si="81">ROUND((ES77),6)</f>
        <v>2074.5700000000002</v>
      </c>
      <c r="AD77">
        <f t="shared" ref="AD77:AD88" si="82">ROUND((((ET77)-(EU77))+AE77),6)</f>
        <v>254.87</v>
      </c>
      <c r="AE77">
        <f t="shared" ref="AE77:AE88" si="83">ROUND((EU77),6)</f>
        <v>93.22</v>
      </c>
      <c r="AF77">
        <f t="shared" ref="AF77:AF88" si="84">ROUND((EV77),6)</f>
        <v>1878.7</v>
      </c>
      <c r="AG77">
        <f t="shared" ref="AG77:AG88" si="85">ROUND((AP77),6)</f>
        <v>0</v>
      </c>
      <c r="AH77">
        <f t="shared" ref="AH77:AH88" si="86">(EW77)</f>
        <v>11.11</v>
      </c>
      <c r="AI77">
        <f t="shared" ref="AI77:AI88" si="87">(EX77)</f>
        <v>0</v>
      </c>
      <c r="AJ77">
        <f t="shared" ref="AJ77:AJ88" si="88">(AS77)</f>
        <v>0</v>
      </c>
      <c r="AK77">
        <v>4208.1400000000003</v>
      </c>
      <c r="AL77">
        <v>2074.5700000000002</v>
      </c>
      <c r="AM77">
        <v>254.87</v>
      </c>
      <c r="AN77">
        <v>93.22</v>
      </c>
      <c r="AO77">
        <v>1878.7</v>
      </c>
      <c r="AP77">
        <v>0</v>
      </c>
      <c r="AQ77">
        <v>11.11</v>
      </c>
      <c r="AR77">
        <v>0</v>
      </c>
      <c r="AS77">
        <v>0</v>
      </c>
      <c r="AT77">
        <v>70</v>
      </c>
      <c r="AU77">
        <v>10</v>
      </c>
      <c r="AV77">
        <v>1</v>
      </c>
      <c r="AW77">
        <v>1</v>
      </c>
      <c r="AZ77">
        <v>1</v>
      </c>
      <c r="BA77">
        <v>1</v>
      </c>
      <c r="BB77">
        <v>1</v>
      </c>
      <c r="BC77">
        <v>1</v>
      </c>
      <c r="BD77" t="s">
        <v>3</v>
      </c>
      <c r="BE77" t="s">
        <v>3</v>
      </c>
      <c r="BF77" t="s">
        <v>3</v>
      </c>
      <c r="BG77" t="s">
        <v>3</v>
      </c>
      <c r="BH77">
        <v>0</v>
      </c>
      <c r="BI77">
        <v>4</v>
      </c>
      <c r="BJ77" t="s">
        <v>124</v>
      </c>
      <c r="BM77">
        <v>0</v>
      </c>
      <c r="BN77">
        <v>0</v>
      </c>
      <c r="BO77" t="s">
        <v>3</v>
      </c>
      <c r="BP77">
        <v>0</v>
      </c>
      <c r="BQ77">
        <v>1</v>
      </c>
      <c r="BR77">
        <v>0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 t="s">
        <v>3</v>
      </c>
      <c r="BZ77">
        <v>70</v>
      </c>
      <c r="CA77">
        <v>10</v>
      </c>
      <c r="CE77">
        <v>0</v>
      </c>
      <c r="CF77">
        <v>0</v>
      </c>
      <c r="CG77">
        <v>0</v>
      </c>
      <c r="CM77">
        <v>0</v>
      </c>
      <c r="CN77" t="s">
        <v>3</v>
      </c>
      <c r="CO77">
        <v>0</v>
      </c>
      <c r="CP77">
        <f t="shared" ref="CP77:CP88" si="89">(P77+Q77+S77)</f>
        <v>8416.2800000000007</v>
      </c>
      <c r="CQ77">
        <f t="shared" ref="CQ77:CQ88" si="90">(AC77*BC77*AW77)</f>
        <v>2074.5700000000002</v>
      </c>
      <c r="CR77">
        <f t="shared" ref="CR77:CR88" si="91">((((ET77)*BB77-(EU77)*BS77)+AE77*BS77)*AV77)</f>
        <v>254.87</v>
      </c>
      <c r="CS77">
        <f t="shared" ref="CS77:CS88" si="92">(AE77*BS77*AV77)</f>
        <v>93.22</v>
      </c>
      <c r="CT77">
        <f t="shared" ref="CT77:CT88" si="93">(AF77*BA77*AV77)</f>
        <v>1878.7</v>
      </c>
      <c r="CU77">
        <f t="shared" ref="CU77:CU88" si="94">AG77</f>
        <v>0</v>
      </c>
      <c r="CV77">
        <f t="shared" ref="CV77:CV88" si="95">(AH77*AV77)</f>
        <v>11.11</v>
      </c>
      <c r="CW77">
        <f t="shared" ref="CW77:CW88" si="96">AI77</f>
        <v>0</v>
      </c>
      <c r="CX77">
        <f t="shared" ref="CX77:CX88" si="97">AJ77</f>
        <v>0</v>
      </c>
      <c r="CY77">
        <f t="shared" ref="CY77:CY88" si="98">((S77*BZ77)/100)</f>
        <v>2630.18</v>
      </c>
      <c r="CZ77">
        <f t="shared" ref="CZ77:CZ88" si="99">((S77*CA77)/100)</f>
        <v>375.74</v>
      </c>
      <c r="DC77" t="s">
        <v>3</v>
      </c>
      <c r="DD77" t="s">
        <v>3</v>
      </c>
      <c r="DE77" t="s">
        <v>3</v>
      </c>
      <c r="DF77" t="s">
        <v>3</v>
      </c>
      <c r="DG77" t="s">
        <v>3</v>
      </c>
      <c r="DH77" t="s">
        <v>3</v>
      </c>
      <c r="DI77" t="s">
        <v>3</v>
      </c>
      <c r="DJ77" t="s">
        <v>3</v>
      </c>
      <c r="DK77" t="s">
        <v>3</v>
      </c>
      <c r="DL77" t="s">
        <v>3</v>
      </c>
      <c r="DM77" t="s">
        <v>3</v>
      </c>
      <c r="DN77">
        <v>0</v>
      </c>
      <c r="DO77">
        <v>0</v>
      </c>
      <c r="DP77">
        <v>1</v>
      </c>
      <c r="DQ77">
        <v>1</v>
      </c>
      <c r="DU77">
        <v>1013</v>
      </c>
      <c r="DV77" t="s">
        <v>123</v>
      </c>
      <c r="DW77" t="s">
        <v>123</v>
      </c>
      <c r="DX77">
        <v>1</v>
      </c>
      <c r="EE77">
        <v>40050625</v>
      </c>
      <c r="EF77">
        <v>1</v>
      </c>
      <c r="EG77" t="s">
        <v>19</v>
      </c>
      <c r="EH77">
        <v>0</v>
      </c>
      <c r="EI77" t="s">
        <v>3</v>
      </c>
      <c r="EJ77">
        <v>4</v>
      </c>
      <c r="EK77">
        <v>0</v>
      </c>
      <c r="EL77" t="s">
        <v>20</v>
      </c>
      <c r="EM77" t="s">
        <v>21</v>
      </c>
      <c r="EO77" t="s">
        <v>3</v>
      </c>
      <c r="EQ77">
        <v>0</v>
      </c>
      <c r="ER77">
        <v>4208.1400000000003</v>
      </c>
      <c r="ES77">
        <v>2074.5700000000002</v>
      </c>
      <c r="ET77">
        <v>254.87</v>
      </c>
      <c r="EU77">
        <v>93.22</v>
      </c>
      <c r="EV77">
        <v>1878.7</v>
      </c>
      <c r="EW77">
        <v>11.11</v>
      </c>
      <c r="EX77">
        <v>0</v>
      </c>
      <c r="EY77">
        <v>0</v>
      </c>
      <c r="FQ77">
        <v>0</v>
      </c>
      <c r="FR77">
        <f t="shared" ref="FR77:FR88" si="100">ROUND(IF(AND(BH77=3,BI77=3),P77,0),2)</f>
        <v>0</v>
      </c>
      <c r="FS77">
        <v>0</v>
      </c>
      <c r="FX77">
        <v>70</v>
      </c>
      <c r="FY77">
        <v>10</v>
      </c>
      <c r="GA77" t="s">
        <v>3</v>
      </c>
      <c r="GD77">
        <v>0</v>
      </c>
      <c r="GF77">
        <v>-1714821807</v>
      </c>
      <c r="GG77">
        <v>2</v>
      </c>
      <c r="GH77">
        <v>1</v>
      </c>
      <c r="GI77">
        <v>-2</v>
      </c>
      <c r="GJ77">
        <v>0</v>
      </c>
      <c r="GK77">
        <f>ROUND(R77*(R12)/100,2)</f>
        <v>201.36</v>
      </c>
      <c r="GL77">
        <f t="shared" ref="GL77:GL88" si="101">ROUND(IF(AND(BH77=3,BI77=3,FS77&lt;&gt;0),P77,0),2)</f>
        <v>0</v>
      </c>
      <c r="GM77">
        <f t="shared" ref="GM77:GM88" si="102">ROUND(O77+X77+Y77+GK77,2)+GX77</f>
        <v>11623.56</v>
      </c>
      <c r="GN77">
        <f t="shared" ref="GN77:GN88" si="103">IF(OR(BI77=0,BI77=1),ROUND(O77+X77+Y77+GK77,2),0)</f>
        <v>0</v>
      </c>
      <c r="GO77">
        <f t="shared" ref="GO77:GO88" si="104">IF(BI77=2,ROUND(O77+X77+Y77+GK77,2),0)</f>
        <v>0</v>
      </c>
      <c r="GP77">
        <f t="shared" ref="GP77:GP88" si="105">IF(BI77=4,ROUND(O77+X77+Y77+GK77,2)+GX77,0)</f>
        <v>11623.56</v>
      </c>
      <c r="GR77">
        <v>0</v>
      </c>
      <c r="GS77">
        <v>0</v>
      </c>
      <c r="GT77">
        <v>0</v>
      </c>
      <c r="GU77" t="s">
        <v>3</v>
      </c>
      <c r="GV77">
        <f t="shared" ref="GV77:GV88" si="106">ROUND((GT77),6)</f>
        <v>0</v>
      </c>
      <c r="GW77">
        <v>1</v>
      </c>
      <c r="GX77">
        <f t="shared" ref="GX77:GX88" si="107">ROUND(HC77*I77,2)</f>
        <v>0</v>
      </c>
      <c r="HA77">
        <v>0</v>
      </c>
      <c r="HB77">
        <v>0</v>
      </c>
      <c r="HC77">
        <f t="shared" ref="HC77:HC88" si="108">GV77*GW77</f>
        <v>0</v>
      </c>
      <c r="IK77">
        <v>0</v>
      </c>
    </row>
    <row r="78" spans="1:245">
      <c r="A78">
        <v>17</v>
      </c>
      <c r="B78">
        <v>1</v>
      </c>
      <c r="C78">
        <f>ROW(SmtRes!A30)</f>
        <v>30</v>
      </c>
      <c r="D78">
        <f>ROW(EtalonRes!A28)</f>
        <v>28</v>
      </c>
      <c r="E78" t="s">
        <v>125</v>
      </c>
      <c r="F78" t="s">
        <v>126</v>
      </c>
      <c r="G78" t="s">
        <v>127</v>
      </c>
      <c r="H78" t="s">
        <v>123</v>
      </c>
      <c r="I78">
        <f>ROUND((50*0.6)/10,9)</f>
        <v>3</v>
      </c>
      <c r="J78">
        <v>0</v>
      </c>
      <c r="O78">
        <f t="shared" si="69"/>
        <v>15327.57</v>
      </c>
      <c r="P78">
        <f t="shared" si="70"/>
        <v>6223.71</v>
      </c>
      <c r="Q78">
        <f t="shared" si="71"/>
        <v>0</v>
      </c>
      <c r="R78">
        <f t="shared" si="72"/>
        <v>0</v>
      </c>
      <c r="S78">
        <f t="shared" si="73"/>
        <v>9103.86</v>
      </c>
      <c r="T78">
        <f t="shared" si="74"/>
        <v>0</v>
      </c>
      <c r="U78">
        <f t="shared" si="75"/>
        <v>50.37</v>
      </c>
      <c r="V78">
        <f t="shared" si="76"/>
        <v>0</v>
      </c>
      <c r="W78">
        <f t="shared" si="77"/>
        <v>0</v>
      </c>
      <c r="X78">
        <f t="shared" si="78"/>
        <v>6372.7</v>
      </c>
      <c r="Y78">
        <f t="shared" si="79"/>
        <v>910.39</v>
      </c>
      <c r="AA78">
        <v>41858681</v>
      </c>
      <c r="AB78">
        <f t="shared" si="80"/>
        <v>5109.1899999999996</v>
      </c>
      <c r="AC78">
        <f t="shared" si="81"/>
        <v>2074.5700000000002</v>
      </c>
      <c r="AD78">
        <f t="shared" si="82"/>
        <v>0</v>
      </c>
      <c r="AE78">
        <f t="shared" si="83"/>
        <v>0</v>
      </c>
      <c r="AF78">
        <f t="shared" si="84"/>
        <v>3034.62</v>
      </c>
      <c r="AG78">
        <f t="shared" si="85"/>
        <v>0</v>
      </c>
      <c r="AH78">
        <f t="shared" si="86"/>
        <v>16.79</v>
      </c>
      <c r="AI78">
        <f t="shared" si="87"/>
        <v>0</v>
      </c>
      <c r="AJ78">
        <f t="shared" si="88"/>
        <v>0</v>
      </c>
      <c r="AK78">
        <v>5109.1899999999996</v>
      </c>
      <c r="AL78">
        <v>2074.5700000000002</v>
      </c>
      <c r="AM78">
        <v>0</v>
      </c>
      <c r="AN78">
        <v>0</v>
      </c>
      <c r="AO78">
        <v>3034.62</v>
      </c>
      <c r="AP78">
        <v>0</v>
      </c>
      <c r="AQ78">
        <v>16.79</v>
      </c>
      <c r="AR78">
        <v>0</v>
      </c>
      <c r="AS78">
        <v>0</v>
      </c>
      <c r="AT78">
        <v>70</v>
      </c>
      <c r="AU78">
        <v>10</v>
      </c>
      <c r="AV78">
        <v>1</v>
      </c>
      <c r="AW78">
        <v>1</v>
      </c>
      <c r="AZ78">
        <v>1</v>
      </c>
      <c r="BA78">
        <v>1</v>
      </c>
      <c r="BB78">
        <v>1</v>
      </c>
      <c r="BC78">
        <v>1</v>
      </c>
      <c r="BD78" t="s">
        <v>3</v>
      </c>
      <c r="BE78" t="s">
        <v>3</v>
      </c>
      <c r="BF78" t="s">
        <v>3</v>
      </c>
      <c r="BG78" t="s">
        <v>3</v>
      </c>
      <c r="BH78">
        <v>0</v>
      </c>
      <c r="BI78">
        <v>4</v>
      </c>
      <c r="BJ78" t="s">
        <v>128</v>
      </c>
      <c r="BM78">
        <v>0</v>
      </c>
      <c r="BN78">
        <v>0</v>
      </c>
      <c r="BO78" t="s">
        <v>3</v>
      </c>
      <c r="BP78">
        <v>0</v>
      </c>
      <c r="BQ78">
        <v>1</v>
      </c>
      <c r="BR78">
        <v>0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 t="s">
        <v>3</v>
      </c>
      <c r="BZ78">
        <v>70</v>
      </c>
      <c r="CA78">
        <v>10</v>
      </c>
      <c r="CE78">
        <v>0</v>
      </c>
      <c r="CF78">
        <v>0</v>
      </c>
      <c r="CG78">
        <v>0</v>
      </c>
      <c r="CM78">
        <v>0</v>
      </c>
      <c r="CN78" t="s">
        <v>3</v>
      </c>
      <c r="CO78">
        <v>0</v>
      </c>
      <c r="CP78">
        <f t="shared" si="89"/>
        <v>15327.57</v>
      </c>
      <c r="CQ78">
        <f t="shared" si="90"/>
        <v>2074.5700000000002</v>
      </c>
      <c r="CR78">
        <f t="shared" si="91"/>
        <v>0</v>
      </c>
      <c r="CS78">
        <f t="shared" si="92"/>
        <v>0</v>
      </c>
      <c r="CT78">
        <f t="shared" si="93"/>
        <v>3034.62</v>
      </c>
      <c r="CU78">
        <f t="shared" si="94"/>
        <v>0</v>
      </c>
      <c r="CV78">
        <f t="shared" si="95"/>
        <v>16.79</v>
      </c>
      <c r="CW78">
        <f t="shared" si="96"/>
        <v>0</v>
      </c>
      <c r="CX78">
        <f t="shared" si="97"/>
        <v>0</v>
      </c>
      <c r="CY78">
        <f t="shared" si="98"/>
        <v>6372.7020000000011</v>
      </c>
      <c r="CZ78">
        <f t="shared" si="99"/>
        <v>910.38600000000008</v>
      </c>
      <c r="DC78" t="s">
        <v>3</v>
      </c>
      <c r="DD78" t="s">
        <v>3</v>
      </c>
      <c r="DE78" t="s">
        <v>3</v>
      </c>
      <c r="DF78" t="s">
        <v>3</v>
      </c>
      <c r="DG78" t="s">
        <v>3</v>
      </c>
      <c r="DH78" t="s">
        <v>3</v>
      </c>
      <c r="DI78" t="s">
        <v>3</v>
      </c>
      <c r="DJ78" t="s">
        <v>3</v>
      </c>
      <c r="DK78" t="s">
        <v>3</v>
      </c>
      <c r="DL78" t="s">
        <v>3</v>
      </c>
      <c r="DM78" t="s">
        <v>3</v>
      </c>
      <c r="DN78">
        <v>0</v>
      </c>
      <c r="DO78">
        <v>0</v>
      </c>
      <c r="DP78">
        <v>1</v>
      </c>
      <c r="DQ78">
        <v>1</v>
      </c>
      <c r="DU78">
        <v>1013</v>
      </c>
      <c r="DV78" t="s">
        <v>123</v>
      </c>
      <c r="DW78" t="s">
        <v>123</v>
      </c>
      <c r="DX78">
        <v>1</v>
      </c>
      <c r="EE78">
        <v>40050625</v>
      </c>
      <c r="EF78">
        <v>1</v>
      </c>
      <c r="EG78" t="s">
        <v>19</v>
      </c>
      <c r="EH78">
        <v>0</v>
      </c>
      <c r="EI78" t="s">
        <v>3</v>
      </c>
      <c r="EJ78">
        <v>4</v>
      </c>
      <c r="EK78">
        <v>0</v>
      </c>
      <c r="EL78" t="s">
        <v>20</v>
      </c>
      <c r="EM78" t="s">
        <v>21</v>
      </c>
      <c r="EO78" t="s">
        <v>3</v>
      </c>
      <c r="EQ78">
        <v>0</v>
      </c>
      <c r="ER78">
        <v>5109.1899999999996</v>
      </c>
      <c r="ES78">
        <v>2074.5700000000002</v>
      </c>
      <c r="ET78">
        <v>0</v>
      </c>
      <c r="EU78">
        <v>0</v>
      </c>
      <c r="EV78">
        <v>3034.62</v>
      </c>
      <c r="EW78">
        <v>16.79</v>
      </c>
      <c r="EX78">
        <v>0</v>
      </c>
      <c r="EY78">
        <v>0</v>
      </c>
      <c r="FQ78">
        <v>0</v>
      </c>
      <c r="FR78">
        <f t="shared" si="100"/>
        <v>0</v>
      </c>
      <c r="FS78">
        <v>0</v>
      </c>
      <c r="FX78">
        <v>70</v>
      </c>
      <c r="FY78">
        <v>10</v>
      </c>
      <c r="GA78" t="s">
        <v>3</v>
      </c>
      <c r="GD78">
        <v>0</v>
      </c>
      <c r="GF78">
        <v>-1819128308</v>
      </c>
      <c r="GG78">
        <v>2</v>
      </c>
      <c r="GH78">
        <v>1</v>
      </c>
      <c r="GI78">
        <v>-2</v>
      </c>
      <c r="GJ78">
        <v>0</v>
      </c>
      <c r="GK78">
        <f>ROUND(R78*(R12)/100,2)</f>
        <v>0</v>
      </c>
      <c r="GL78">
        <f t="shared" si="101"/>
        <v>0</v>
      </c>
      <c r="GM78">
        <f t="shared" si="102"/>
        <v>22610.66</v>
      </c>
      <c r="GN78">
        <f t="shared" si="103"/>
        <v>0</v>
      </c>
      <c r="GO78">
        <f t="shared" si="104"/>
        <v>0</v>
      </c>
      <c r="GP78">
        <f t="shared" si="105"/>
        <v>22610.66</v>
      </c>
      <c r="GR78">
        <v>0</v>
      </c>
      <c r="GS78">
        <v>0</v>
      </c>
      <c r="GT78">
        <v>0</v>
      </c>
      <c r="GU78" t="s">
        <v>3</v>
      </c>
      <c r="GV78">
        <f t="shared" si="106"/>
        <v>0</v>
      </c>
      <c r="GW78">
        <v>1</v>
      </c>
      <c r="GX78">
        <f t="shared" si="107"/>
        <v>0</v>
      </c>
      <c r="HA78">
        <v>0</v>
      </c>
      <c r="HB78">
        <v>0</v>
      </c>
      <c r="HC78">
        <f t="shared" si="108"/>
        <v>0</v>
      </c>
      <c r="IK78">
        <v>0</v>
      </c>
    </row>
    <row r="79" spans="1:245">
      <c r="A79">
        <v>17</v>
      </c>
      <c r="B79">
        <v>1</v>
      </c>
      <c r="C79">
        <f>ROW(SmtRes!A31)</f>
        <v>31</v>
      </c>
      <c r="D79">
        <f>ROW(EtalonRes!A29)</f>
        <v>29</v>
      </c>
      <c r="E79" t="s">
        <v>129</v>
      </c>
      <c r="F79" t="s">
        <v>130</v>
      </c>
      <c r="G79" t="s">
        <v>335</v>
      </c>
      <c r="H79" t="s">
        <v>17</v>
      </c>
      <c r="I79">
        <f>ROUND(52.5/100,9)</f>
        <v>0.52500000000000002</v>
      </c>
      <c r="J79">
        <v>0</v>
      </c>
      <c r="O79">
        <f t="shared" si="69"/>
        <v>155.72</v>
      </c>
      <c r="P79">
        <f t="shared" si="70"/>
        <v>0</v>
      </c>
      <c r="Q79">
        <f t="shared" si="71"/>
        <v>155.72</v>
      </c>
      <c r="R79">
        <f t="shared" si="72"/>
        <v>58.5</v>
      </c>
      <c r="S79">
        <f t="shared" si="73"/>
        <v>0</v>
      </c>
      <c r="T79">
        <f t="shared" si="74"/>
        <v>0</v>
      </c>
      <c r="U79">
        <f t="shared" si="75"/>
        <v>0</v>
      </c>
      <c r="V79">
        <f t="shared" si="76"/>
        <v>0</v>
      </c>
      <c r="W79">
        <f t="shared" si="77"/>
        <v>0</v>
      </c>
      <c r="X79">
        <f t="shared" si="78"/>
        <v>0</v>
      </c>
      <c r="Y79">
        <f t="shared" si="79"/>
        <v>0</v>
      </c>
      <c r="AA79">
        <v>41858681</v>
      </c>
      <c r="AB79">
        <f t="shared" si="80"/>
        <v>296.60000000000002</v>
      </c>
      <c r="AC79">
        <f t="shared" si="81"/>
        <v>0</v>
      </c>
      <c r="AD79">
        <f t="shared" si="82"/>
        <v>296.60000000000002</v>
      </c>
      <c r="AE79">
        <f t="shared" si="83"/>
        <v>111.43</v>
      </c>
      <c r="AF79">
        <f t="shared" si="84"/>
        <v>0</v>
      </c>
      <c r="AG79">
        <f t="shared" si="85"/>
        <v>0</v>
      </c>
      <c r="AH79">
        <f t="shared" si="86"/>
        <v>0</v>
      </c>
      <c r="AI79">
        <f t="shared" si="87"/>
        <v>0</v>
      </c>
      <c r="AJ79">
        <f t="shared" si="88"/>
        <v>0</v>
      </c>
      <c r="AK79">
        <v>296.60000000000002</v>
      </c>
      <c r="AL79">
        <v>0</v>
      </c>
      <c r="AM79">
        <v>296.60000000000002</v>
      </c>
      <c r="AN79">
        <v>111.43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70</v>
      </c>
      <c r="AU79">
        <v>10</v>
      </c>
      <c r="AV79">
        <v>1</v>
      </c>
      <c r="AW79">
        <v>1</v>
      </c>
      <c r="AZ79">
        <v>1</v>
      </c>
      <c r="BA79">
        <v>1</v>
      </c>
      <c r="BB79">
        <v>1</v>
      </c>
      <c r="BC79">
        <v>1</v>
      </c>
      <c r="BD79" t="s">
        <v>3</v>
      </c>
      <c r="BE79" t="s">
        <v>3</v>
      </c>
      <c r="BF79" t="s">
        <v>3</v>
      </c>
      <c r="BG79" t="s">
        <v>3</v>
      </c>
      <c r="BH79">
        <v>0</v>
      </c>
      <c r="BI79">
        <v>4</v>
      </c>
      <c r="BJ79" t="s">
        <v>131</v>
      </c>
      <c r="BM79">
        <v>0</v>
      </c>
      <c r="BN79">
        <v>0</v>
      </c>
      <c r="BO79" t="s">
        <v>3</v>
      </c>
      <c r="BP79">
        <v>0</v>
      </c>
      <c r="BQ79">
        <v>1</v>
      </c>
      <c r="BR79">
        <v>0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 t="s">
        <v>3</v>
      </c>
      <c r="BZ79">
        <v>70</v>
      </c>
      <c r="CA79">
        <v>10</v>
      </c>
      <c r="CE79">
        <v>0</v>
      </c>
      <c r="CF79">
        <v>0</v>
      </c>
      <c r="CG79">
        <v>0</v>
      </c>
      <c r="CM79">
        <v>0</v>
      </c>
      <c r="CN79" t="s">
        <v>3</v>
      </c>
      <c r="CO79">
        <v>0</v>
      </c>
      <c r="CP79">
        <f t="shared" si="89"/>
        <v>155.72</v>
      </c>
      <c r="CQ79">
        <f t="shared" si="90"/>
        <v>0</v>
      </c>
      <c r="CR79">
        <f t="shared" si="91"/>
        <v>296.60000000000002</v>
      </c>
      <c r="CS79">
        <f t="shared" si="92"/>
        <v>111.43</v>
      </c>
      <c r="CT79">
        <f t="shared" si="93"/>
        <v>0</v>
      </c>
      <c r="CU79">
        <f t="shared" si="94"/>
        <v>0</v>
      </c>
      <c r="CV79">
        <f t="shared" si="95"/>
        <v>0</v>
      </c>
      <c r="CW79">
        <f t="shared" si="96"/>
        <v>0</v>
      </c>
      <c r="CX79">
        <f t="shared" si="97"/>
        <v>0</v>
      </c>
      <c r="CY79">
        <f t="shared" si="98"/>
        <v>0</v>
      </c>
      <c r="CZ79">
        <f t="shared" si="99"/>
        <v>0</v>
      </c>
      <c r="DC79" t="s">
        <v>3</v>
      </c>
      <c r="DD79" t="s">
        <v>3</v>
      </c>
      <c r="DE79" t="s">
        <v>3</v>
      </c>
      <c r="DF79" t="s">
        <v>3</v>
      </c>
      <c r="DG79" t="s">
        <v>3</v>
      </c>
      <c r="DH79" t="s">
        <v>3</v>
      </c>
      <c r="DI79" t="s">
        <v>3</v>
      </c>
      <c r="DJ79" t="s">
        <v>3</v>
      </c>
      <c r="DK79" t="s">
        <v>3</v>
      </c>
      <c r="DL79" t="s">
        <v>3</v>
      </c>
      <c r="DM79" t="s">
        <v>3</v>
      </c>
      <c r="DN79">
        <v>0</v>
      </c>
      <c r="DO79">
        <v>0</v>
      </c>
      <c r="DP79">
        <v>1</v>
      </c>
      <c r="DQ79">
        <v>1</v>
      </c>
      <c r="DU79">
        <v>1005</v>
      </c>
      <c r="DV79" t="s">
        <v>17</v>
      </c>
      <c r="DW79" t="s">
        <v>17</v>
      </c>
      <c r="DX79">
        <v>100</v>
      </c>
      <c r="EE79">
        <v>40050625</v>
      </c>
      <c r="EF79">
        <v>1</v>
      </c>
      <c r="EG79" t="s">
        <v>19</v>
      </c>
      <c r="EH79">
        <v>0</v>
      </c>
      <c r="EI79" t="s">
        <v>3</v>
      </c>
      <c r="EJ79">
        <v>4</v>
      </c>
      <c r="EK79">
        <v>0</v>
      </c>
      <c r="EL79" t="s">
        <v>20</v>
      </c>
      <c r="EM79" t="s">
        <v>21</v>
      </c>
      <c r="EO79" t="s">
        <v>3</v>
      </c>
      <c r="EQ79">
        <v>0</v>
      </c>
      <c r="ER79">
        <v>296.60000000000002</v>
      </c>
      <c r="ES79">
        <v>0</v>
      </c>
      <c r="ET79">
        <v>296.60000000000002</v>
      </c>
      <c r="EU79">
        <v>111.43</v>
      </c>
      <c r="EV79">
        <v>0</v>
      </c>
      <c r="EW79">
        <v>0</v>
      </c>
      <c r="EX79">
        <v>0</v>
      </c>
      <c r="EY79">
        <v>0</v>
      </c>
      <c r="FQ79">
        <v>0</v>
      </c>
      <c r="FR79">
        <f t="shared" si="100"/>
        <v>0</v>
      </c>
      <c r="FS79">
        <v>0</v>
      </c>
      <c r="FX79">
        <v>70</v>
      </c>
      <c r="FY79">
        <v>10</v>
      </c>
      <c r="GA79" t="s">
        <v>3</v>
      </c>
      <c r="GD79">
        <v>0</v>
      </c>
      <c r="GF79">
        <v>8826925</v>
      </c>
      <c r="GG79">
        <v>2</v>
      </c>
      <c r="GH79">
        <v>1</v>
      </c>
      <c r="GI79">
        <v>-2</v>
      </c>
      <c r="GJ79">
        <v>0</v>
      </c>
      <c r="GK79">
        <f>ROUND(R79*(R12)/100,2)</f>
        <v>63.18</v>
      </c>
      <c r="GL79">
        <f t="shared" si="101"/>
        <v>0</v>
      </c>
      <c r="GM79">
        <f t="shared" si="102"/>
        <v>218.9</v>
      </c>
      <c r="GN79">
        <f t="shared" si="103"/>
        <v>0</v>
      </c>
      <c r="GO79">
        <f t="shared" si="104"/>
        <v>0</v>
      </c>
      <c r="GP79">
        <f t="shared" si="105"/>
        <v>218.9</v>
      </c>
      <c r="GR79">
        <v>0</v>
      </c>
      <c r="GS79">
        <v>0</v>
      </c>
      <c r="GT79">
        <v>0</v>
      </c>
      <c r="GU79" t="s">
        <v>3</v>
      </c>
      <c r="GV79">
        <f t="shared" si="106"/>
        <v>0</v>
      </c>
      <c r="GW79">
        <v>1</v>
      </c>
      <c r="GX79">
        <f t="shared" si="107"/>
        <v>0</v>
      </c>
      <c r="HA79">
        <v>0</v>
      </c>
      <c r="HB79">
        <v>0</v>
      </c>
      <c r="HC79">
        <f t="shared" si="108"/>
        <v>0</v>
      </c>
      <c r="IK79">
        <v>0</v>
      </c>
    </row>
    <row r="80" spans="1:245">
      <c r="A80">
        <v>17</v>
      </c>
      <c r="B80">
        <v>1</v>
      </c>
      <c r="C80">
        <f>ROW(SmtRes!A32)</f>
        <v>32</v>
      </c>
      <c r="D80">
        <f>ROW(EtalonRes!A30)</f>
        <v>30</v>
      </c>
      <c r="E80" t="s">
        <v>132</v>
      </c>
      <c r="F80" t="s">
        <v>133</v>
      </c>
      <c r="G80" t="s">
        <v>134</v>
      </c>
      <c r="H80" t="s">
        <v>17</v>
      </c>
      <c r="I80">
        <f>ROUND(17.5/100,9)</f>
        <v>0.17499999999999999</v>
      </c>
      <c r="J80">
        <v>0</v>
      </c>
      <c r="O80">
        <f t="shared" si="69"/>
        <v>371.01</v>
      </c>
      <c r="P80">
        <f t="shared" si="70"/>
        <v>0</v>
      </c>
      <c r="Q80">
        <f t="shared" si="71"/>
        <v>0</v>
      </c>
      <c r="R80">
        <f t="shared" si="72"/>
        <v>0</v>
      </c>
      <c r="S80">
        <f t="shared" si="73"/>
        <v>371.01</v>
      </c>
      <c r="T80">
        <f t="shared" si="74"/>
        <v>0</v>
      </c>
      <c r="U80">
        <f t="shared" si="75"/>
        <v>2.0527500000000001</v>
      </c>
      <c r="V80">
        <f t="shared" si="76"/>
        <v>0</v>
      </c>
      <c r="W80">
        <f t="shared" si="77"/>
        <v>0</v>
      </c>
      <c r="X80">
        <f t="shared" si="78"/>
        <v>259.70999999999998</v>
      </c>
      <c r="Y80">
        <f t="shared" si="79"/>
        <v>37.1</v>
      </c>
      <c r="AA80">
        <v>41858681</v>
      </c>
      <c r="AB80">
        <f t="shared" si="80"/>
        <v>2120.08</v>
      </c>
      <c r="AC80">
        <f t="shared" si="81"/>
        <v>0</v>
      </c>
      <c r="AD80">
        <f t="shared" si="82"/>
        <v>0</v>
      </c>
      <c r="AE80">
        <f t="shared" si="83"/>
        <v>0</v>
      </c>
      <c r="AF80">
        <f t="shared" si="84"/>
        <v>2120.08</v>
      </c>
      <c r="AG80">
        <f t="shared" si="85"/>
        <v>0</v>
      </c>
      <c r="AH80">
        <f t="shared" si="86"/>
        <v>11.73</v>
      </c>
      <c r="AI80">
        <f t="shared" si="87"/>
        <v>0</v>
      </c>
      <c r="AJ80">
        <f t="shared" si="88"/>
        <v>0</v>
      </c>
      <c r="AK80">
        <v>2120.08</v>
      </c>
      <c r="AL80">
        <v>0</v>
      </c>
      <c r="AM80">
        <v>0</v>
      </c>
      <c r="AN80">
        <v>0</v>
      </c>
      <c r="AO80">
        <v>2120.08</v>
      </c>
      <c r="AP80">
        <v>0</v>
      </c>
      <c r="AQ80">
        <v>11.73</v>
      </c>
      <c r="AR80">
        <v>0</v>
      </c>
      <c r="AS80">
        <v>0</v>
      </c>
      <c r="AT80">
        <v>70</v>
      </c>
      <c r="AU80">
        <v>10</v>
      </c>
      <c r="AV80">
        <v>1</v>
      </c>
      <c r="AW80">
        <v>1</v>
      </c>
      <c r="AZ80">
        <v>1</v>
      </c>
      <c r="BA80">
        <v>1</v>
      </c>
      <c r="BB80">
        <v>1</v>
      </c>
      <c r="BC80">
        <v>1</v>
      </c>
      <c r="BD80" t="s">
        <v>3</v>
      </c>
      <c r="BE80" t="s">
        <v>3</v>
      </c>
      <c r="BF80" t="s">
        <v>3</v>
      </c>
      <c r="BG80" t="s">
        <v>3</v>
      </c>
      <c r="BH80">
        <v>0</v>
      </c>
      <c r="BI80">
        <v>4</v>
      </c>
      <c r="BJ80" t="s">
        <v>135</v>
      </c>
      <c r="BM80">
        <v>0</v>
      </c>
      <c r="BN80">
        <v>0</v>
      </c>
      <c r="BO80" t="s">
        <v>3</v>
      </c>
      <c r="BP80">
        <v>0</v>
      </c>
      <c r="BQ80">
        <v>1</v>
      </c>
      <c r="BR80">
        <v>0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 t="s">
        <v>3</v>
      </c>
      <c r="BZ80">
        <v>70</v>
      </c>
      <c r="CA80">
        <v>10</v>
      </c>
      <c r="CE80">
        <v>0</v>
      </c>
      <c r="CF80">
        <v>0</v>
      </c>
      <c r="CG80">
        <v>0</v>
      </c>
      <c r="CM80">
        <v>0</v>
      </c>
      <c r="CN80" t="s">
        <v>3</v>
      </c>
      <c r="CO80">
        <v>0</v>
      </c>
      <c r="CP80">
        <f t="shared" si="89"/>
        <v>371.01</v>
      </c>
      <c r="CQ80">
        <f t="shared" si="90"/>
        <v>0</v>
      </c>
      <c r="CR80">
        <f t="shared" si="91"/>
        <v>0</v>
      </c>
      <c r="CS80">
        <f t="shared" si="92"/>
        <v>0</v>
      </c>
      <c r="CT80">
        <f t="shared" si="93"/>
        <v>2120.08</v>
      </c>
      <c r="CU80">
        <f t="shared" si="94"/>
        <v>0</v>
      </c>
      <c r="CV80">
        <f t="shared" si="95"/>
        <v>11.73</v>
      </c>
      <c r="CW80">
        <f t="shared" si="96"/>
        <v>0</v>
      </c>
      <c r="CX80">
        <f t="shared" si="97"/>
        <v>0</v>
      </c>
      <c r="CY80">
        <f t="shared" si="98"/>
        <v>259.70699999999999</v>
      </c>
      <c r="CZ80">
        <f t="shared" si="99"/>
        <v>37.100999999999999</v>
      </c>
      <c r="DC80" t="s">
        <v>3</v>
      </c>
      <c r="DD80" t="s">
        <v>3</v>
      </c>
      <c r="DE80" t="s">
        <v>3</v>
      </c>
      <c r="DF80" t="s">
        <v>3</v>
      </c>
      <c r="DG80" t="s">
        <v>3</v>
      </c>
      <c r="DH80" t="s">
        <v>3</v>
      </c>
      <c r="DI80" t="s">
        <v>3</v>
      </c>
      <c r="DJ80" t="s">
        <v>3</v>
      </c>
      <c r="DK80" t="s">
        <v>3</v>
      </c>
      <c r="DL80" t="s">
        <v>3</v>
      </c>
      <c r="DM80" t="s">
        <v>3</v>
      </c>
      <c r="DN80">
        <v>0</v>
      </c>
      <c r="DO80">
        <v>0</v>
      </c>
      <c r="DP80">
        <v>1</v>
      </c>
      <c r="DQ80">
        <v>1</v>
      </c>
      <c r="DU80">
        <v>1005</v>
      </c>
      <c r="DV80" t="s">
        <v>17</v>
      </c>
      <c r="DW80" t="s">
        <v>17</v>
      </c>
      <c r="DX80">
        <v>100</v>
      </c>
      <c r="EE80">
        <v>40050625</v>
      </c>
      <c r="EF80">
        <v>1</v>
      </c>
      <c r="EG80" t="s">
        <v>19</v>
      </c>
      <c r="EH80">
        <v>0</v>
      </c>
      <c r="EI80" t="s">
        <v>3</v>
      </c>
      <c r="EJ80">
        <v>4</v>
      </c>
      <c r="EK80">
        <v>0</v>
      </c>
      <c r="EL80" t="s">
        <v>20</v>
      </c>
      <c r="EM80" t="s">
        <v>21</v>
      </c>
      <c r="EO80" t="s">
        <v>3</v>
      </c>
      <c r="EQ80">
        <v>0</v>
      </c>
      <c r="ER80">
        <v>2120.08</v>
      </c>
      <c r="ES80">
        <v>0</v>
      </c>
      <c r="ET80">
        <v>0</v>
      </c>
      <c r="EU80">
        <v>0</v>
      </c>
      <c r="EV80">
        <v>2120.08</v>
      </c>
      <c r="EW80">
        <v>11.73</v>
      </c>
      <c r="EX80">
        <v>0</v>
      </c>
      <c r="EY80">
        <v>0</v>
      </c>
      <c r="FQ80">
        <v>0</v>
      </c>
      <c r="FR80">
        <f t="shared" si="100"/>
        <v>0</v>
      </c>
      <c r="FS80">
        <v>0</v>
      </c>
      <c r="FX80">
        <v>70</v>
      </c>
      <c r="FY80">
        <v>10</v>
      </c>
      <c r="GA80" t="s">
        <v>3</v>
      </c>
      <c r="GD80">
        <v>0</v>
      </c>
      <c r="GF80">
        <v>569471320</v>
      </c>
      <c r="GG80">
        <v>2</v>
      </c>
      <c r="GH80">
        <v>1</v>
      </c>
      <c r="GI80">
        <v>-2</v>
      </c>
      <c r="GJ80">
        <v>0</v>
      </c>
      <c r="GK80">
        <f>ROUND(R80*(R12)/100,2)</f>
        <v>0</v>
      </c>
      <c r="GL80">
        <f t="shared" si="101"/>
        <v>0</v>
      </c>
      <c r="GM80">
        <f t="shared" si="102"/>
        <v>667.82</v>
      </c>
      <c r="GN80">
        <f t="shared" si="103"/>
        <v>0</v>
      </c>
      <c r="GO80">
        <f t="shared" si="104"/>
        <v>0</v>
      </c>
      <c r="GP80">
        <f t="shared" si="105"/>
        <v>667.82</v>
      </c>
      <c r="GR80">
        <v>0</v>
      </c>
      <c r="GS80">
        <v>0</v>
      </c>
      <c r="GT80">
        <v>0</v>
      </c>
      <c r="GU80" t="s">
        <v>3</v>
      </c>
      <c r="GV80">
        <f t="shared" si="106"/>
        <v>0</v>
      </c>
      <c r="GW80">
        <v>1</v>
      </c>
      <c r="GX80">
        <f t="shared" si="107"/>
        <v>0</v>
      </c>
      <c r="HA80">
        <v>0</v>
      </c>
      <c r="HB80">
        <v>0</v>
      </c>
      <c r="HC80">
        <f t="shared" si="108"/>
        <v>0</v>
      </c>
      <c r="IK80">
        <v>0</v>
      </c>
    </row>
    <row r="81" spans="1:245">
      <c r="A81">
        <v>17</v>
      </c>
      <c r="B81">
        <v>1</v>
      </c>
      <c r="C81">
        <f>ROW(SmtRes!A42)</f>
        <v>42</v>
      </c>
      <c r="D81">
        <f>ROW(EtalonRes!A34)</f>
        <v>34</v>
      </c>
      <c r="E81" t="s">
        <v>136</v>
      </c>
      <c r="F81" t="s">
        <v>137</v>
      </c>
      <c r="G81" t="s">
        <v>138</v>
      </c>
      <c r="H81" t="s">
        <v>139</v>
      </c>
      <c r="I81">
        <f>ROUND(50/10,9)</f>
        <v>5</v>
      </c>
      <c r="J81">
        <v>0</v>
      </c>
      <c r="O81">
        <f t="shared" si="69"/>
        <v>11984.45</v>
      </c>
      <c r="P81">
        <f t="shared" si="70"/>
        <v>188.6</v>
      </c>
      <c r="Q81">
        <f t="shared" si="71"/>
        <v>3232.95</v>
      </c>
      <c r="R81">
        <f t="shared" si="72"/>
        <v>733.7</v>
      </c>
      <c r="S81">
        <f t="shared" si="73"/>
        <v>8562.9</v>
      </c>
      <c r="T81">
        <f t="shared" si="74"/>
        <v>0</v>
      </c>
      <c r="U81">
        <f t="shared" si="75"/>
        <v>35.4</v>
      </c>
      <c r="V81">
        <f t="shared" si="76"/>
        <v>0</v>
      </c>
      <c r="W81">
        <f t="shared" si="77"/>
        <v>0</v>
      </c>
      <c r="X81">
        <f t="shared" si="78"/>
        <v>5994.03</v>
      </c>
      <c r="Y81">
        <f t="shared" si="79"/>
        <v>856.29</v>
      </c>
      <c r="AA81">
        <v>41858681</v>
      </c>
      <c r="AB81">
        <f t="shared" si="80"/>
        <v>2396.89</v>
      </c>
      <c r="AC81">
        <f t="shared" si="81"/>
        <v>37.72</v>
      </c>
      <c r="AD81">
        <f t="shared" si="82"/>
        <v>646.59</v>
      </c>
      <c r="AE81">
        <f t="shared" si="83"/>
        <v>146.74</v>
      </c>
      <c r="AF81">
        <f t="shared" si="84"/>
        <v>1712.58</v>
      </c>
      <c r="AG81">
        <f t="shared" si="85"/>
        <v>0</v>
      </c>
      <c r="AH81">
        <f t="shared" si="86"/>
        <v>7.08</v>
      </c>
      <c r="AI81">
        <f t="shared" si="87"/>
        <v>0</v>
      </c>
      <c r="AJ81">
        <f t="shared" si="88"/>
        <v>0</v>
      </c>
      <c r="AK81">
        <v>2396.89</v>
      </c>
      <c r="AL81">
        <v>37.72</v>
      </c>
      <c r="AM81">
        <v>646.59</v>
      </c>
      <c r="AN81">
        <v>146.74</v>
      </c>
      <c r="AO81">
        <v>1712.58</v>
      </c>
      <c r="AP81">
        <v>0</v>
      </c>
      <c r="AQ81">
        <v>7.08</v>
      </c>
      <c r="AR81">
        <v>0</v>
      </c>
      <c r="AS81">
        <v>0</v>
      </c>
      <c r="AT81">
        <v>70</v>
      </c>
      <c r="AU81">
        <v>10</v>
      </c>
      <c r="AV81">
        <v>1</v>
      </c>
      <c r="AW81">
        <v>1</v>
      </c>
      <c r="AZ81">
        <v>1</v>
      </c>
      <c r="BA81">
        <v>1</v>
      </c>
      <c r="BB81">
        <v>1</v>
      </c>
      <c r="BC81">
        <v>1</v>
      </c>
      <c r="BD81" t="s">
        <v>3</v>
      </c>
      <c r="BE81" t="s">
        <v>3</v>
      </c>
      <c r="BF81" t="s">
        <v>3</v>
      </c>
      <c r="BG81" t="s">
        <v>3</v>
      </c>
      <c r="BH81">
        <v>0</v>
      </c>
      <c r="BI81">
        <v>4</v>
      </c>
      <c r="BJ81" t="s">
        <v>140</v>
      </c>
      <c r="BM81">
        <v>0</v>
      </c>
      <c r="BN81">
        <v>0</v>
      </c>
      <c r="BO81" t="s">
        <v>3</v>
      </c>
      <c r="BP81">
        <v>0</v>
      </c>
      <c r="BQ81">
        <v>1</v>
      </c>
      <c r="BR81">
        <v>0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 t="s">
        <v>3</v>
      </c>
      <c r="BZ81">
        <v>70</v>
      </c>
      <c r="CA81">
        <v>10</v>
      </c>
      <c r="CE81">
        <v>0</v>
      </c>
      <c r="CF81">
        <v>0</v>
      </c>
      <c r="CG81">
        <v>0</v>
      </c>
      <c r="CM81">
        <v>0</v>
      </c>
      <c r="CN81" t="s">
        <v>3</v>
      </c>
      <c r="CO81">
        <v>0</v>
      </c>
      <c r="CP81">
        <f t="shared" si="89"/>
        <v>11984.449999999999</v>
      </c>
      <c r="CQ81">
        <f t="shared" si="90"/>
        <v>37.72</v>
      </c>
      <c r="CR81">
        <f t="shared" si="91"/>
        <v>646.59</v>
      </c>
      <c r="CS81">
        <f t="shared" si="92"/>
        <v>146.74</v>
      </c>
      <c r="CT81">
        <f t="shared" si="93"/>
        <v>1712.58</v>
      </c>
      <c r="CU81">
        <f t="shared" si="94"/>
        <v>0</v>
      </c>
      <c r="CV81">
        <f t="shared" si="95"/>
        <v>7.08</v>
      </c>
      <c r="CW81">
        <f t="shared" si="96"/>
        <v>0</v>
      </c>
      <c r="CX81">
        <f t="shared" si="97"/>
        <v>0</v>
      </c>
      <c r="CY81">
        <f t="shared" si="98"/>
        <v>5994.03</v>
      </c>
      <c r="CZ81">
        <f t="shared" si="99"/>
        <v>856.29</v>
      </c>
      <c r="DC81" t="s">
        <v>3</v>
      </c>
      <c r="DD81" t="s">
        <v>3</v>
      </c>
      <c r="DE81" t="s">
        <v>3</v>
      </c>
      <c r="DF81" t="s">
        <v>3</v>
      </c>
      <c r="DG81" t="s">
        <v>3</v>
      </c>
      <c r="DH81" t="s">
        <v>3</v>
      </c>
      <c r="DI81" t="s">
        <v>3</v>
      </c>
      <c r="DJ81" t="s">
        <v>3</v>
      </c>
      <c r="DK81" t="s">
        <v>3</v>
      </c>
      <c r="DL81" t="s">
        <v>3</v>
      </c>
      <c r="DM81" t="s">
        <v>3</v>
      </c>
      <c r="DN81">
        <v>0</v>
      </c>
      <c r="DO81">
        <v>0</v>
      </c>
      <c r="DP81">
        <v>1</v>
      </c>
      <c r="DQ81">
        <v>1</v>
      </c>
      <c r="DU81">
        <v>1010</v>
      </c>
      <c r="DV81" t="s">
        <v>139</v>
      </c>
      <c r="DW81" t="s">
        <v>139</v>
      </c>
      <c r="DX81">
        <v>10</v>
      </c>
      <c r="EE81">
        <v>40050625</v>
      </c>
      <c r="EF81">
        <v>1</v>
      </c>
      <c r="EG81" t="s">
        <v>19</v>
      </c>
      <c r="EH81">
        <v>0</v>
      </c>
      <c r="EI81" t="s">
        <v>3</v>
      </c>
      <c r="EJ81">
        <v>4</v>
      </c>
      <c r="EK81">
        <v>0</v>
      </c>
      <c r="EL81" t="s">
        <v>20</v>
      </c>
      <c r="EM81" t="s">
        <v>21</v>
      </c>
      <c r="EO81" t="s">
        <v>3</v>
      </c>
      <c r="EQ81">
        <v>0</v>
      </c>
      <c r="ER81">
        <v>2396.89</v>
      </c>
      <c r="ES81">
        <v>37.72</v>
      </c>
      <c r="ET81">
        <v>646.59</v>
      </c>
      <c r="EU81">
        <v>146.74</v>
      </c>
      <c r="EV81">
        <v>1712.58</v>
      </c>
      <c r="EW81">
        <v>7.08</v>
      </c>
      <c r="EX81">
        <v>0</v>
      </c>
      <c r="EY81">
        <v>0</v>
      </c>
      <c r="FQ81">
        <v>0</v>
      </c>
      <c r="FR81">
        <f t="shared" si="100"/>
        <v>0</v>
      </c>
      <c r="FS81">
        <v>0</v>
      </c>
      <c r="FX81">
        <v>70</v>
      </c>
      <c r="FY81">
        <v>10</v>
      </c>
      <c r="GA81" t="s">
        <v>3</v>
      </c>
      <c r="GD81">
        <v>0</v>
      </c>
      <c r="GF81">
        <v>-572515647</v>
      </c>
      <c r="GG81">
        <v>2</v>
      </c>
      <c r="GH81">
        <v>1</v>
      </c>
      <c r="GI81">
        <v>-2</v>
      </c>
      <c r="GJ81">
        <v>0</v>
      </c>
      <c r="GK81">
        <f>ROUND(R81*(R12)/100,2)</f>
        <v>792.4</v>
      </c>
      <c r="GL81">
        <f t="shared" si="101"/>
        <v>0</v>
      </c>
      <c r="GM81">
        <f t="shared" si="102"/>
        <v>19627.169999999998</v>
      </c>
      <c r="GN81">
        <f t="shared" si="103"/>
        <v>0</v>
      </c>
      <c r="GO81">
        <f t="shared" si="104"/>
        <v>0</v>
      </c>
      <c r="GP81">
        <f t="shared" si="105"/>
        <v>19627.169999999998</v>
      </c>
      <c r="GR81">
        <v>0</v>
      </c>
      <c r="GS81">
        <v>0</v>
      </c>
      <c r="GT81">
        <v>0</v>
      </c>
      <c r="GU81" t="s">
        <v>3</v>
      </c>
      <c r="GV81">
        <f t="shared" si="106"/>
        <v>0</v>
      </c>
      <c r="GW81">
        <v>1</v>
      </c>
      <c r="GX81">
        <f t="shared" si="107"/>
        <v>0</v>
      </c>
      <c r="HA81">
        <v>0</v>
      </c>
      <c r="HB81">
        <v>0</v>
      </c>
      <c r="HC81">
        <f t="shared" si="108"/>
        <v>0</v>
      </c>
      <c r="IK81">
        <v>0</v>
      </c>
    </row>
    <row r="82" spans="1:245">
      <c r="A82">
        <v>18</v>
      </c>
      <c r="B82">
        <v>1</v>
      </c>
      <c r="C82">
        <v>36</v>
      </c>
      <c r="E82" t="s">
        <v>141</v>
      </c>
      <c r="F82" t="s">
        <v>142</v>
      </c>
      <c r="G82" t="s">
        <v>143</v>
      </c>
      <c r="H82" t="s">
        <v>50</v>
      </c>
      <c r="I82">
        <f>I81*J82</f>
        <v>26</v>
      </c>
      <c r="J82">
        <v>5.2</v>
      </c>
      <c r="O82">
        <f t="shared" si="69"/>
        <v>36643.360000000001</v>
      </c>
      <c r="P82">
        <f t="shared" si="70"/>
        <v>36643.360000000001</v>
      </c>
      <c r="Q82">
        <f t="shared" si="71"/>
        <v>0</v>
      </c>
      <c r="R82">
        <f t="shared" si="72"/>
        <v>0</v>
      </c>
      <c r="S82">
        <f t="shared" si="73"/>
        <v>0</v>
      </c>
      <c r="T82">
        <f t="shared" si="74"/>
        <v>0</v>
      </c>
      <c r="U82">
        <f t="shared" si="75"/>
        <v>0</v>
      </c>
      <c r="V82">
        <f t="shared" si="76"/>
        <v>0</v>
      </c>
      <c r="W82">
        <f t="shared" si="77"/>
        <v>0</v>
      </c>
      <c r="X82">
        <f t="shared" si="78"/>
        <v>0</v>
      </c>
      <c r="Y82">
        <f t="shared" si="79"/>
        <v>0</v>
      </c>
      <c r="AA82">
        <v>41858681</v>
      </c>
      <c r="AB82">
        <f t="shared" si="80"/>
        <v>1409.36</v>
      </c>
      <c r="AC82">
        <f t="shared" si="81"/>
        <v>1409.36</v>
      </c>
      <c r="AD82">
        <f t="shared" si="82"/>
        <v>0</v>
      </c>
      <c r="AE82">
        <f t="shared" si="83"/>
        <v>0</v>
      </c>
      <c r="AF82">
        <f t="shared" si="84"/>
        <v>0</v>
      </c>
      <c r="AG82">
        <f t="shared" si="85"/>
        <v>0</v>
      </c>
      <c r="AH82">
        <f t="shared" si="86"/>
        <v>0</v>
      </c>
      <c r="AI82">
        <f t="shared" si="87"/>
        <v>0</v>
      </c>
      <c r="AJ82">
        <f t="shared" si="88"/>
        <v>0</v>
      </c>
      <c r="AK82">
        <v>1409.36</v>
      </c>
      <c r="AL82">
        <v>1409.36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70</v>
      </c>
      <c r="AU82">
        <v>10</v>
      </c>
      <c r="AV82">
        <v>1</v>
      </c>
      <c r="AW82">
        <v>1</v>
      </c>
      <c r="AZ82">
        <v>1</v>
      </c>
      <c r="BA82">
        <v>1</v>
      </c>
      <c r="BB82">
        <v>1</v>
      </c>
      <c r="BC82">
        <v>1</v>
      </c>
      <c r="BD82" t="s">
        <v>3</v>
      </c>
      <c r="BE82" t="s">
        <v>3</v>
      </c>
      <c r="BF82" t="s">
        <v>3</v>
      </c>
      <c r="BG82" t="s">
        <v>3</v>
      </c>
      <c r="BH82">
        <v>3</v>
      </c>
      <c r="BI82">
        <v>4</v>
      </c>
      <c r="BJ82" t="s">
        <v>144</v>
      </c>
      <c r="BM82">
        <v>0</v>
      </c>
      <c r="BN82">
        <v>0</v>
      </c>
      <c r="BO82" t="s">
        <v>3</v>
      </c>
      <c r="BP82">
        <v>0</v>
      </c>
      <c r="BQ82">
        <v>1</v>
      </c>
      <c r="BR82">
        <v>0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 t="s">
        <v>3</v>
      </c>
      <c r="BZ82">
        <v>70</v>
      </c>
      <c r="CA82">
        <v>10</v>
      </c>
      <c r="CE82">
        <v>0</v>
      </c>
      <c r="CF82">
        <v>0</v>
      </c>
      <c r="CG82">
        <v>0</v>
      </c>
      <c r="CM82">
        <v>0</v>
      </c>
      <c r="CN82" t="s">
        <v>3</v>
      </c>
      <c r="CO82">
        <v>0</v>
      </c>
      <c r="CP82">
        <f t="shared" si="89"/>
        <v>36643.360000000001</v>
      </c>
      <c r="CQ82">
        <f t="shared" si="90"/>
        <v>1409.36</v>
      </c>
      <c r="CR82">
        <f t="shared" si="91"/>
        <v>0</v>
      </c>
      <c r="CS82">
        <f t="shared" si="92"/>
        <v>0</v>
      </c>
      <c r="CT82">
        <f t="shared" si="93"/>
        <v>0</v>
      </c>
      <c r="CU82">
        <f t="shared" si="94"/>
        <v>0</v>
      </c>
      <c r="CV82">
        <f t="shared" si="95"/>
        <v>0</v>
      </c>
      <c r="CW82">
        <f t="shared" si="96"/>
        <v>0</v>
      </c>
      <c r="CX82">
        <f t="shared" si="97"/>
        <v>0</v>
      </c>
      <c r="CY82">
        <f t="shared" si="98"/>
        <v>0</v>
      </c>
      <c r="CZ82">
        <f t="shared" si="99"/>
        <v>0</v>
      </c>
      <c r="DC82" t="s">
        <v>3</v>
      </c>
      <c r="DD82" t="s">
        <v>3</v>
      </c>
      <c r="DE82" t="s">
        <v>3</v>
      </c>
      <c r="DF82" t="s">
        <v>3</v>
      </c>
      <c r="DG82" t="s">
        <v>3</v>
      </c>
      <c r="DH82" t="s">
        <v>3</v>
      </c>
      <c r="DI82" t="s">
        <v>3</v>
      </c>
      <c r="DJ82" t="s">
        <v>3</v>
      </c>
      <c r="DK82" t="s">
        <v>3</v>
      </c>
      <c r="DL82" t="s">
        <v>3</v>
      </c>
      <c r="DM82" t="s">
        <v>3</v>
      </c>
      <c r="DN82">
        <v>0</v>
      </c>
      <c r="DO82">
        <v>0</v>
      </c>
      <c r="DP82">
        <v>1</v>
      </c>
      <c r="DQ82">
        <v>1</v>
      </c>
      <c r="DU82">
        <v>1010</v>
      </c>
      <c r="DV82" t="s">
        <v>50</v>
      </c>
      <c r="DW82" t="s">
        <v>50</v>
      </c>
      <c r="DX82">
        <v>1</v>
      </c>
      <c r="EE82">
        <v>40050625</v>
      </c>
      <c r="EF82">
        <v>1</v>
      </c>
      <c r="EG82" t="s">
        <v>19</v>
      </c>
      <c r="EH82">
        <v>0</v>
      </c>
      <c r="EI82" t="s">
        <v>3</v>
      </c>
      <c r="EJ82">
        <v>4</v>
      </c>
      <c r="EK82">
        <v>0</v>
      </c>
      <c r="EL82" t="s">
        <v>20</v>
      </c>
      <c r="EM82" t="s">
        <v>21</v>
      </c>
      <c r="EO82" t="s">
        <v>3</v>
      </c>
      <c r="EQ82">
        <v>0</v>
      </c>
      <c r="ER82">
        <v>1409.36</v>
      </c>
      <c r="ES82">
        <v>1409.36</v>
      </c>
      <c r="ET82">
        <v>0</v>
      </c>
      <c r="EU82">
        <v>0</v>
      </c>
      <c r="EV82">
        <v>0</v>
      </c>
      <c r="EW82">
        <v>0</v>
      </c>
      <c r="EX82">
        <v>0</v>
      </c>
      <c r="FQ82">
        <v>0</v>
      </c>
      <c r="FR82">
        <f t="shared" si="100"/>
        <v>0</v>
      </c>
      <c r="FS82">
        <v>0</v>
      </c>
      <c r="FX82">
        <v>70</v>
      </c>
      <c r="FY82">
        <v>10</v>
      </c>
      <c r="GA82" t="s">
        <v>3</v>
      </c>
      <c r="GD82">
        <v>0</v>
      </c>
      <c r="GF82">
        <v>1459060616</v>
      </c>
      <c r="GG82">
        <v>2</v>
      </c>
      <c r="GH82">
        <v>1</v>
      </c>
      <c r="GI82">
        <v>-2</v>
      </c>
      <c r="GJ82">
        <v>0</v>
      </c>
      <c r="GK82">
        <f>ROUND(R82*(R12)/100,2)</f>
        <v>0</v>
      </c>
      <c r="GL82">
        <f t="shared" si="101"/>
        <v>0</v>
      </c>
      <c r="GM82">
        <f t="shared" si="102"/>
        <v>36643.360000000001</v>
      </c>
      <c r="GN82">
        <f t="shared" si="103"/>
        <v>0</v>
      </c>
      <c r="GO82">
        <f t="shared" si="104"/>
        <v>0</v>
      </c>
      <c r="GP82">
        <f t="shared" si="105"/>
        <v>36643.360000000001</v>
      </c>
      <c r="GR82">
        <v>0</v>
      </c>
      <c r="GS82">
        <v>0</v>
      </c>
      <c r="GT82">
        <v>0</v>
      </c>
      <c r="GU82" t="s">
        <v>3</v>
      </c>
      <c r="GV82">
        <f t="shared" si="106"/>
        <v>0</v>
      </c>
      <c r="GW82">
        <v>1</v>
      </c>
      <c r="GX82">
        <f t="shared" si="107"/>
        <v>0</v>
      </c>
      <c r="HA82">
        <v>0</v>
      </c>
      <c r="HB82">
        <v>0</v>
      </c>
      <c r="HC82">
        <f t="shared" si="108"/>
        <v>0</v>
      </c>
      <c r="IK82">
        <v>0</v>
      </c>
    </row>
    <row r="83" spans="1:245">
      <c r="A83">
        <v>18</v>
      </c>
      <c r="B83">
        <v>1</v>
      </c>
      <c r="C83">
        <v>37</v>
      </c>
      <c r="E83" t="s">
        <v>145</v>
      </c>
      <c r="F83" t="s">
        <v>56</v>
      </c>
      <c r="G83" t="s">
        <v>146</v>
      </c>
      <c r="H83" t="s">
        <v>50</v>
      </c>
      <c r="I83">
        <f>I81*J83</f>
        <v>6</v>
      </c>
      <c r="J83">
        <v>1.2</v>
      </c>
      <c r="O83">
        <f t="shared" si="69"/>
        <v>5250</v>
      </c>
      <c r="P83">
        <f t="shared" si="70"/>
        <v>5250</v>
      </c>
      <c r="Q83">
        <f t="shared" si="71"/>
        <v>0</v>
      </c>
      <c r="R83">
        <f t="shared" si="72"/>
        <v>0</v>
      </c>
      <c r="S83">
        <f t="shared" si="73"/>
        <v>0</v>
      </c>
      <c r="T83">
        <f t="shared" si="74"/>
        <v>0</v>
      </c>
      <c r="U83">
        <f t="shared" si="75"/>
        <v>0</v>
      </c>
      <c r="V83">
        <f t="shared" si="76"/>
        <v>0</v>
      </c>
      <c r="W83">
        <f t="shared" si="77"/>
        <v>0</v>
      </c>
      <c r="X83">
        <f t="shared" si="78"/>
        <v>0</v>
      </c>
      <c r="Y83">
        <f t="shared" si="79"/>
        <v>0</v>
      </c>
      <c r="AA83">
        <v>41858681</v>
      </c>
      <c r="AB83">
        <f t="shared" si="80"/>
        <v>875</v>
      </c>
      <c r="AC83">
        <f t="shared" si="81"/>
        <v>875</v>
      </c>
      <c r="AD83">
        <f t="shared" si="82"/>
        <v>0</v>
      </c>
      <c r="AE83">
        <f t="shared" si="83"/>
        <v>0</v>
      </c>
      <c r="AF83">
        <f t="shared" si="84"/>
        <v>0</v>
      </c>
      <c r="AG83">
        <f t="shared" si="85"/>
        <v>0</v>
      </c>
      <c r="AH83">
        <f t="shared" si="86"/>
        <v>0</v>
      </c>
      <c r="AI83">
        <f t="shared" si="87"/>
        <v>0</v>
      </c>
      <c r="AJ83">
        <f t="shared" si="88"/>
        <v>0</v>
      </c>
      <c r="AK83">
        <v>875</v>
      </c>
      <c r="AL83">
        <v>875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70</v>
      </c>
      <c r="AU83">
        <v>10</v>
      </c>
      <c r="AV83">
        <v>1</v>
      </c>
      <c r="AW83">
        <v>1</v>
      </c>
      <c r="AZ83">
        <v>1</v>
      </c>
      <c r="BA83">
        <v>1</v>
      </c>
      <c r="BB83">
        <v>1</v>
      </c>
      <c r="BC83">
        <v>1</v>
      </c>
      <c r="BD83" t="s">
        <v>3</v>
      </c>
      <c r="BE83" t="s">
        <v>3</v>
      </c>
      <c r="BF83" t="s">
        <v>3</v>
      </c>
      <c r="BG83" t="s">
        <v>3</v>
      </c>
      <c r="BH83">
        <v>3</v>
      </c>
      <c r="BI83">
        <v>4</v>
      </c>
      <c r="BJ83" t="s">
        <v>3</v>
      </c>
      <c r="BM83">
        <v>0</v>
      </c>
      <c r="BN83">
        <v>0</v>
      </c>
      <c r="BO83" t="s">
        <v>3</v>
      </c>
      <c r="BP83">
        <v>0</v>
      </c>
      <c r="BQ83">
        <v>1</v>
      </c>
      <c r="BR83">
        <v>0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 t="s">
        <v>3</v>
      </c>
      <c r="BZ83">
        <v>70</v>
      </c>
      <c r="CA83">
        <v>10</v>
      </c>
      <c r="CE83">
        <v>0</v>
      </c>
      <c r="CF83">
        <v>0</v>
      </c>
      <c r="CG83">
        <v>0</v>
      </c>
      <c r="CM83">
        <v>0</v>
      </c>
      <c r="CN83" t="s">
        <v>3</v>
      </c>
      <c r="CO83">
        <v>0</v>
      </c>
      <c r="CP83">
        <f t="shared" si="89"/>
        <v>5250</v>
      </c>
      <c r="CQ83">
        <f t="shared" si="90"/>
        <v>875</v>
      </c>
      <c r="CR83">
        <f t="shared" si="91"/>
        <v>0</v>
      </c>
      <c r="CS83">
        <f t="shared" si="92"/>
        <v>0</v>
      </c>
      <c r="CT83">
        <f t="shared" si="93"/>
        <v>0</v>
      </c>
      <c r="CU83">
        <f t="shared" si="94"/>
        <v>0</v>
      </c>
      <c r="CV83">
        <f t="shared" si="95"/>
        <v>0</v>
      </c>
      <c r="CW83">
        <f t="shared" si="96"/>
        <v>0</v>
      </c>
      <c r="CX83">
        <f t="shared" si="97"/>
        <v>0</v>
      </c>
      <c r="CY83">
        <f t="shared" si="98"/>
        <v>0</v>
      </c>
      <c r="CZ83">
        <f t="shared" si="99"/>
        <v>0</v>
      </c>
      <c r="DC83" t="s">
        <v>3</v>
      </c>
      <c r="DD83" t="s">
        <v>3</v>
      </c>
      <c r="DE83" t="s">
        <v>3</v>
      </c>
      <c r="DF83" t="s">
        <v>3</v>
      </c>
      <c r="DG83" t="s">
        <v>3</v>
      </c>
      <c r="DH83" t="s">
        <v>3</v>
      </c>
      <c r="DI83" t="s">
        <v>3</v>
      </c>
      <c r="DJ83" t="s">
        <v>3</v>
      </c>
      <c r="DK83" t="s">
        <v>3</v>
      </c>
      <c r="DL83" t="s">
        <v>3</v>
      </c>
      <c r="DM83" t="s">
        <v>3</v>
      </c>
      <c r="DN83">
        <v>0</v>
      </c>
      <c r="DO83">
        <v>0</v>
      </c>
      <c r="DP83">
        <v>1</v>
      </c>
      <c r="DQ83">
        <v>1</v>
      </c>
      <c r="DU83">
        <v>1010</v>
      </c>
      <c r="DV83" t="s">
        <v>50</v>
      </c>
      <c r="DW83" t="s">
        <v>50</v>
      </c>
      <c r="DX83">
        <v>1</v>
      </c>
      <c r="EE83">
        <v>40050625</v>
      </c>
      <c r="EF83">
        <v>1</v>
      </c>
      <c r="EG83" t="s">
        <v>19</v>
      </c>
      <c r="EH83">
        <v>0</v>
      </c>
      <c r="EI83" t="s">
        <v>3</v>
      </c>
      <c r="EJ83">
        <v>4</v>
      </c>
      <c r="EK83">
        <v>0</v>
      </c>
      <c r="EL83" t="s">
        <v>20</v>
      </c>
      <c r="EM83" t="s">
        <v>21</v>
      </c>
      <c r="EO83" t="s">
        <v>3</v>
      </c>
      <c r="EQ83">
        <v>0</v>
      </c>
      <c r="ER83">
        <v>875</v>
      </c>
      <c r="ES83">
        <v>875</v>
      </c>
      <c r="ET83">
        <v>0</v>
      </c>
      <c r="EU83">
        <v>0</v>
      </c>
      <c r="EV83">
        <v>0</v>
      </c>
      <c r="EW83">
        <v>0</v>
      </c>
      <c r="EX83">
        <v>0</v>
      </c>
      <c r="FQ83">
        <v>0</v>
      </c>
      <c r="FR83">
        <f t="shared" si="100"/>
        <v>0</v>
      </c>
      <c r="FS83">
        <v>0</v>
      </c>
      <c r="FX83">
        <v>70</v>
      </c>
      <c r="FY83">
        <v>10</v>
      </c>
      <c r="GA83" t="s">
        <v>3</v>
      </c>
      <c r="GD83">
        <v>0</v>
      </c>
      <c r="GF83">
        <v>1173816668</v>
      </c>
      <c r="GG83">
        <v>2</v>
      </c>
      <c r="GH83">
        <v>0</v>
      </c>
      <c r="GI83">
        <v>-2</v>
      </c>
      <c r="GJ83">
        <v>0</v>
      </c>
      <c r="GK83">
        <f>ROUND(R83*(R12)/100,2)</f>
        <v>0</v>
      </c>
      <c r="GL83">
        <f t="shared" si="101"/>
        <v>0</v>
      </c>
      <c r="GM83">
        <f t="shared" si="102"/>
        <v>5250</v>
      </c>
      <c r="GN83">
        <f t="shared" si="103"/>
        <v>0</v>
      </c>
      <c r="GO83">
        <f t="shared" si="104"/>
        <v>0</v>
      </c>
      <c r="GP83">
        <f t="shared" si="105"/>
        <v>5250</v>
      </c>
      <c r="GR83">
        <v>0</v>
      </c>
      <c r="GS83">
        <v>0</v>
      </c>
      <c r="GT83">
        <v>0</v>
      </c>
      <c r="GU83" t="s">
        <v>3</v>
      </c>
      <c r="GV83">
        <f t="shared" si="106"/>
        <v>0</v>
      </c>
      <c r="GW83">
        <v>1</v>
      </c>
      <c r="GX83">
        <f t="shared" si="107"/>
        <v>0</v>
      </c>
      <c r="HA83">
        <v>0</v>
      </c>
      <c r="HB83">
        <v>0</v>
      </c>
      <c r="HC83">
        <f t="shared" si="108"/>
        <v>0</v>
      </c>
      <c r="IK83">
        <v>0</v>
      </c>
    </row>
    <row r="84" spans="1:245">
      <c r="A84">
        <v>18</v>
      </c>
      <c r="B84">
        <v>1</v>
      </c>
      <c r="C84">
        <v>38</v>
      </c>
      <c r="E84" t="s">
        <v>147</v>
      </c>
      <c r="F84" t="s">
        <v>56</v>
      </c>
      <c r="G84" t="s">
        <v>148</v>
      </c>
      <c r="H84" t="s">
        <v>50</v>
      </c>
      <c r="I84">
        <f>I81*J84</f>
        <v>3</v>
      </c>
      <c r="J84">
        <v>0.6</v>
      </c>
      <c r="O84">
        <f t="shared" si="69"/>
        <v>3450</v>
      </c>
      <c r="P84">
        <f t="shared" si="70"/>
        <v>3450</v>
      </c>
      <c r="Q84">
        <f t="shared" si="71"/>
        <v>0</v>
      </c>
      <c r="R84">
        <f t="shared" si="72"/>
        <v>0</v>
      </c>
      <c r="S84">
        <f t="shared" si="73"/>
        <v>0</v>
      </c>
      <c r="T84">
        <f t="shared" si="74"/>
        <v>0</v>
      </c>
      <c r="U84">
        <f t="shared" si="75"/>
        <v>0</v>
      </c>
      <c r="V84">
        <f t="shared" si="76"/>
        <v>0</v>
      </c>
      <c r="W84">
        <f t="shared" si="77"/>
        <v>0</v>
      </c>
      <c r="X84">
        <f t="shared" si="78"/>
        <v>0</v>
      </c>
      <c r="Y84">
        <f t="shared" si="79"/>
        <v>0</v>
      </c>
      <c r="AA84">
        <v>41858681</v>
      </c>
      <c r="AB84">
        <f t="shared" si="80"/>
        <v>1150</v>
      </c>
      <c r="AC84">
        <f t="shared" si="81"/>
        <v>1150</v>
      </c>
      <c r="AD84">
        <f t="shared" si="82"/>
        <v>0</v>
      </c>
      <c r="AE84">
        <f t="shared" si="83"/>
        <v>0</v>
      </c>
      <c r="AF84">
        <f t="shared" si="84"/>
        <v>0</v>
      </c>
      <c r="AG84">
        <f t="shared" si="85"/>
        <v>0</v>
      </c>
      <c r="AH84">
        <f t="shared" si="86"/>
        <v>0</v>
      </c>
      <c r="AI84">
        <f t="shared" si="87"/>
        <v>0</v>
      </c>
      <c r="AJ84">
        <f t="shared" si="88"/>
        <v>0</v>
      </c>
      <c r="AK84">
        <v>1150</v>
      </c>
      <c r="AL84">
        <v>1150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70</v>
      </c>
      <c r="AU84">
        <v>10</v>
      </c>
      <c r="AV84">
        <v>1</v>
      </c>
      <c r="AW84">
        <v>1</v>
      </c>
      <c r="AZ84">
        <v>1</v>
      </c>
      <c r="BA84">
        <v>1</v>
      </c>
      <c r="BB84">
        <v>1</v>
      </c>
      <c r="BC84">
        <v>1</v>
      </c>
      <c r="BD84" t="s">
        <v>3</v>
      </c>
      <c r="BE84" t="s">
        <v>3</v>
      </c>
      <c r="BF84" t="s">
        <v>3</v>
      </c>
      <c r="BG84" t="s">
        <v>3</v>
      </c>
      <c r="BH84">
        <v>3</v>
      </c>
      <c r="BI84">
        <v>4</v>
      </c>
      <c r="BJ84" t="s">
        <v>3</v>
      </c>
      <c r="BM84">
        <v>0</v>
      </c>
      <c r="BN84">
        <v>0</v>
      </c>
      <c r="BO84" t="s">
        <v>3</v>
      </c>
      <c r="BP84">
        <v>0</v>
      </c>
      <c r="BQ84">
        <v>1</v>
      </c>
      <c r="BR84">
        <v>0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 t="s">
        <v>3</v>
      </c>
      <c r="BZ84">
        <v>70</v>
      </c>
      <c r="CA84">
        <v>10</v>
      </c>
      <c r="CE84">
        <v>0</v>
      </c>
      <c r="CF84">
        <v>0</v>
      </c>
      <c r="CG84">
        <v>0</v>
      </c>
      <c r="CM84">
        <v>0</v>
      </c>
      <c r="CN84" t="s">
        <v>3</v>
      </c>
      <c r="CO84">
        <v>0</v>
      </c>
      <c r="CP84">
        <f t="shared" si="89"/>
        <v>3450</v>
      </c>
      <c r="CQ84">
        <f t="shared" si="90"/>
        <v>1150</v>
      </c>
      <c r="CR84">
        <f t="shared" si="91"/>
        <v>0</v>
      </c>
      <c r="CS84">
        <f t="shared" si="92"/>
        <v>0</v>
      </c>
      <c r="CT84">
        <f t="shared" si="93"/>
        <v>0</v>
      </c>
      <c r="CU84">
        <f t="shared" si="94"/>
        <v>0</v>
      </c>
      <c r="CV84">
        <f t="shared" si="95"/>
        <v>0</v>
      </c>
      <c r="CW84">
        <f t="shared" si="96"/>
        <v>0</v>
      </c>
      <c r="CX84">
        <f t="shared" si="97"/>
        <v>0</v>
      </c>
      <c r="CY84">
        <f t="shared" si="98"/>
        <v>0</v>
      </c>
      <c r="CZ84">
        <f t="shared" si="99"/>
        <v>0</v>
      </c>
      <c r="DC84" t="s">
        <v>3</v>
      </c>
      <c r="DD84" t="s">
        <v>3</v>
      </c>
      <c r="DE84" t="s">
        <v>3</v>
      </c>
      <c r="DF84" t="s">
        <v>3</v>
      </c>
      <c r="DG84" t="s">
        <v>3</v>
      </c>
      <c r="DH84" t="s">
        <v>3</v>
      </c>
      <c r="DI84" t="s">
        <v>3</v>
      </c>
      <c r="DJ84" t="s">
        <v>3</v>
      </c>
      <c r="DK84" t="s">
        <v>3</v>
      </c>
      <c r="DL84" t="s">
        <v>3</v>
      </c>
      <c r="DM84" t="s">
        <v>3</v>
      </c>
      <c r="DN84">
        <v>0</v>
      </c>
      <c r="DO84">
        <v>0</v>
      </c>
      <c r="DP84">
        <v>1</v>
      </c>
      <c r="DQ84">
        <v>1</v>
      </c>
      <c r="DU84">
        <v>1010</v>
      </c>
      <c r="DV84" t="s">
        <v>50</v>
      </c>
      <c r="DW84" t="s">
        <v>50</v>
      </c>
      <c r="DX84">
        <v>1</v>
      </c>
      <c r="EE84">
        <v>40050625</v>
      </c>
      <c r="EF84">
        <v>1</v>
      </c>
      <c r="EG84" t="s">
        <v>19</v>
      </c>
      <c r="EH84">
        <v>0</v>
      </c>
      <c r="EI84" t="s">
        <v>3</v>
      </c>
      <c r="EJ84">
        <v>4</v>
      </c>
      <c r="EK84">
        <v>0</v>
      </c>
      <c r="EL84" t="s">
        <v>20</v>
      </c>
      <c r="EM84" t="s">
        <v>21</v>
      </c>
      <c r="EO84" t="s">
        <v>3</v>
      </c>
      <c r="EQ84">
        <v>0</v>
      </c>
      <c r="ER84">
        <v>1150</v>
      </c>
      <c r="ES84">
        <v>1150</v>
      </c>
      <c r="ET84">
        <v>0</v>
      </c>
      <c r="EU84">
        <v>0</v>
      </c>
      <c r="EV84">
        <v>0</v>
      </c>
      <c r="EW84">
        <v>0</v>
      </c>
      <c r="EX84">
        <v>0</v>
      </c>
      <c r="FQ84">
        <v>0</v>
      </c>
      <c r="FR84">
        <f t="shared" si="100"/>
        <v>0</v>
      </c>
      <c r="FS84">
        <v>0</v>
      </c>
      <c r="FX84">
        <v>70</v>
      </c>
      <c r="FY84">
        <v>10</v>
      </c>
      <c r="GA84" t="s">
        <v>3</v>
      </c>
      <c r="GD84">
        <v>0</v>
      </c>
      <c r="GF84">
        <v>191597022</v>
      </c>
      <c r="GG84">
        <v>2</v>
      </c>
      <c r="GH84">
        <v>0</v>
      </c>
      <c r="GI84">
        <v>-2</v>
      </c>
      <c r="GJ84">
        <v>0</v>
      </c>
      <c r="GK84">
        <f>ROUND(R84*(R12)/100,2)</f>
        <v>0</v>
      </c>
      <c r="GL84">
        <f t="shared" si="101"/>
        <v>0</v>
      </c>
      <c r="GM84">
        <f t="shared" si="102"/>
        <v>3450</v>
      </c>
      <c r="GN84">
        <f t="shared" si="103"/>
        <v>0</v>
      </c>
      <c r="GO84">
        <f t="shared" si="104"/>
        <v>0</v>
      </c>
      <c r="GP84">
        <f t="shared" si="105"/>
        <v>3450</v>
      </c>
      <c r="GR84">
        <v>0</v>
      </c>
      <c r="GS84">
        <v>0</v>
      </c>
      <c r="GT84">
        <v>0</v>
      </c>
      <c r="GU84" t="s">
        <v>3</v>
      </c>
      <c r="GV84">
        <f t="shared" si="106"/>
        <v>0</v>
      </c>
      <c r="GW84">
        <v>1</v>
      </c>
      <c r="GX84">
        <f t="shared" si="107"/>
        <v>0</v>
      </c>
      <c r="HA84">
        <v>0</v>
      </c>
      <c r="HB84">
        <v>0</v>
      </c>
      <c r="HC84">
        <f t="shared" si="108"/>
        <v>0</v>
      </c>
      <c r="IK84">
        <v>0</v>
      </c>
    </row>
    <row r="85" spans="1:245">
      <c r="A85">
        <v>18</v>
      </c>
      <c r="B85">
        <v>1</v>
      </c>
      <c r="C85">
        <v>39</v>
      </c>
      <c r="E85" t="s">
        <v>149</v>
      </c>
      <c r="F85" t="s">
        <v>56</v>
      </c>
      <c r="G85" t="s">
        <v>150</v>
      </c>
      <c r="H85" t="s">
        <v>50</v>
      </c>
      <c r="I85">
        <f>I81*J85</f>
        <v>6</v>
      </c>
      <c r="J85">
        <v>1.2</v>
      </c>
      <c r="O85">
        <f t="shared" si="69"/>
        <v>4450.0200000000004</v>
      </c>
      <c r="P85">
        <f t="shared" si="70"/>
        <v>4450.0200000000004</v>
      </c>
      <c r="Q85">
        <f t="shared" si="71"/>
        <v>0</v>
      </c>
      <c r="R85">
        <f t="shared" si="72"/>
        <v>0</v>
      </c>
      <c r="S85">
        <f t="shared" si="73"/>
        <v>0</v>
      </c>
      <c r="T85">
        <f t="shared" si="74"/>
        <v>0</v>
      </c>
      <c r="U85">
        <f t="shared" si="75"/>
        <v>0</v>
      </c>
      <c r="V85">
        <f t="shared" si="76"/>
        <v>0</v>
      </c>
      <c r="W85">
        <f t="shared" si="77"/>
        <v>0</v>
      </c>
      <c r="X85">
        <f t="shared" si="78"/>
        <v>0</v>
      </c>
      <c r="Y85">
        <f t="shared" si="79"/>
        <v>0</v>
      </c>
      <c r="AA85">
        <v>41858681</v>
      </c>
      <c r="AB85">
        <f t="shared" si="80"/>
        <v>741.67</v>
      </c>
      <c r="AC85">
        <f t="shared" si="81"/>
        <v>741.67</v>
      </c>
      <c r="AD85">
        <f t="shared" si="82"/>
        <v>0</v>
      </c>
      <c r="AE85">
        <f t="shared" si="83"/>
        <v>0</v>
      </c>
      <c r="AF85">
        <f t="shared" si="84"/>
        <v>0</v>
      </c>
      <c r="AG85">
        <f t="shared" si="85"/>
        <v>0</v>
      </c>
      <c r="AH85">
        <f t="shared" si="86"/>
        <v>0</v>
      </c>
      <c r="AI85">
        <f t="shared" si="87"/>
        <v>0</v>
      </c>
      <c r="AJ85">
        <f t="shared" si="88"/>
        <v>0</v>
      </c>
      <c r="AK85">
        <v>741.67</v>
      </c>
      <c r="AL85">
        <v>741.67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70</v>
      </c>
      <c r="AU85">
        <v>10</v>
      </c>
      <c r="AV85">
        <v>1</v>
      </c>
      <c r="AW85">
        <v>1</v>
      </c>
      <c r="AZ85">
        <v>1</v>
      </c>
      <c r="BA85">
        <v>1</v>
      </c>
      <c r="BB85">
        <v>1</v>
      </c>
      <c r="BC85">
        <v>1</v>
      </c>
      <c r="BD85" t="s">
        <v>3</v>
      </c>
      <c r="BE85" t="s">
        <v>3</v>
      </c>
      <c r="BF85" t="s">
        <v>3</v>
      </c>
      <c r="BG85" t="s">
        <v>3</v>
      </c>
      <c r="BH85">
        <v>3</v>
      </c>
      <c r="BI85">
        <v>4</v>
      </c>
      <c r="BJ85" t="s">
        <v>3</v>
      </c>
      <c r="BM85">
        <v>0</v>
      </c>
      <c r="BN85">
        <v>0</v>
      </c>
      <c r="BO85" t="s">
        <v>3</v>
      </c>
      <c r="BP85">
        <v>0</v>
      </c>
      <c r="BQ85">
        <v>1</v>
      </c>
      <c r="BR85">
        <v>0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 t="s">
        <v>3</v>
      </c>
      <c r="BZ85">
        <v>70</v>
      </c>
      <c r="CA85">
        <v>10</v>
      </c>
      <c r="CE85">
        <v>0</v>
      </c>
      <c r="CF85">
        <v>0</v>
      </c>
      <c r="CG85">
        <v>0</v>
      </c>
      <c r="CM85">
        <v>0</v>
      </c>
      <c r="CN85" t="s">
        <v>3</v>
      </c>
      <c r="CO85">
        <v>0</v>
      </c>
      <c r="CP85">
        <f t="shared" si="89"/>
        <v>4450.0200000000004</v>
      </c>
      <c r="CQ85">
        <f t="shared" si="90"/>
        <v>741.67</v>
      </c>
      <c r="CR85">
        <f t="shared" si="91"/>
        <v>0</v>
      </c>
      <c r="CS85">
        <f t="shared" si="92"/>
        <v>0</v>
      </c>
      <c r="CT85">
        <f t="shared" si="93"/>
        <v>0</v>
      </c>
      <c r="CU85">
        <f t="shared" si="94"/>
        <v>0</v>
      </c>
      <c r="CV85">
        <f t="shared" si="95"/>
        <v>0</v>
      </c>
      <c r="CW85">
        <f t="shared" si="96"/>
        <v>0</v>
      </c>
      <c r="CX85">
        <f t="shared" si="97"/>
        <v>0</v>
      </c>
      <c r="CY85">
        <f t="shared" si="98"/>
        <v>0</v>
      </c>
      <c r="CZ85">
        <f t="shared" si="99"/>
        <v>0</v>
      </c>
      <c r="DC85" t="s">
        <v>3</v>
      </c>
      <c r="DD85" t="s">
        <v>3</v>
      </c>
      <c r="DE85" t="s">
        <v>3</v>
      </c>
      <c r="DF85" t="s">
        <v>3</v>
      </c>
      <c r="DG85" t="s">
        <v>3</v>
      </c>
      <c r="DH85" t="s">
        <v>3</v>
      </c>
      <c r="DI85" t="s">
        <v>3</v>
      </c>
      <c r="DJ85" t="s">
        <v>3</v>
      </c>
      <c r="DK85" t="s">
        <v>3</v>
      </c>
      <c r="DL85" t="s">
        <v>3</v>
      </c>
      <c r="DM85" t="s">
        <v>3</v>
      </c>
      <c r="DN85">
        <v>0</v>
      </c>
      <c r="DO85">
        <v>0</v>
      </c>
      <c r="DP85">
        <v>1</v>
      </c>
      <c r="DQ85">
        <v>1</v>
      </c>
      <c r="DU85">
        <v>1010</v>
      </c>
      <c r="DV85" t="s">
        <v>50</v>
      </c>
      <c r="DW85" t="s">
        <v>50</v>
      </c>
      <c r="DX85">
        <v>1</v>
      </c>
      <c r="EE85">
        <v>40050625</v>
      </c>
      <c r="EF85">
        <v>1</v>
      </c>
      <c r="EG85" t="s">
        <v>19</v>
      </c>
      <c r="EH85">
        <v>0</v>
      </c>
      <c r="EI85" t="s">
        <v>3</v>
      </c>
      <c r="EJ85">
        <v>4</v>
      </c>
      <c r="EK85">
        <v>0</v>
      </c>
      <c r="EL85" t="s">
        <v>20</v>
      </c>
      <c r="EM85" t="s">
        <v>21</v>
      </c>
      <c r="EO85" t="s">
        <v>3</v>
      </c>
      <c r="EQ85">
        <v>0</v>
      </c>
      <c r="ER85">
        <v>741.67</v>
      </c>
      <c r="ES85">
        <v>741.67</v>
      </c>
      <c r="ET85">
        <v>0</v>
      </c>
      <c r="EU85">
        <v>0</v>
      </c>
      <c r="EV85">
        <v>0</v>
      </c>
      <c r="EW85">
        <v>0</v>
      </c>
      <c r="EX85">
        <v>0</v>
      </c>
      <c r="FQ85">
        <v>0</v>
      </c>
      <c r="FR85">
        <f t="shared" si="100"/>
        <v>0</v>
      </c>
      <c r="FS85">
        <v>0</v>
      </c>
      <c r="FX85">
        <v>70</v>
      </c>
      <c r="FY85">
        <v>10</v>
      </c>
      <c r="GA85" t="s">
        <v>3</v>
      </c>
      <c r="GD85">
        <v>0</v>
      </c>
      <c r="GF85">
        <v>1522260520</v>
      </c>
      <c r="GG85">
        <v>2</v>
      </c>
      <c r="GH85">
        <v>0</v>
      </c>
      <c r="GI85">
        <v>-2</v>
      </c>
      <c r="GJ85">
        <v>0</v>
      </c>
      <c r="GK85">
        <f>ROUND(R85*(R12)/100,2)</f>
        <v>0</v>
      </c>
      <c r="GL85">
        <f t="shared" si="101"/>
        <v>0</v>
      </c>
      <c r="GM85">
        <f t="shared" si="102"/>
        <v>4450.0200000000004</v>
      </c>
      <c r="GN85">
        <f t="shared" si="103"/>
        <v>0</v>
      </c>
      <c r="GO85">
        <f t="shared" si="104"/>
        <v>0</v>
      </c>
      <c r="GP85">
        <f t="shared" si="105"/>
        <v>4450.0200000000004</v>
      </c>
      <c r="GR85">
        <v>0</v>
      </c>
      <c r="GS85">
        <v>0</v>
      </c>
      <c r="GT85">
        <v>0</v>
      </c>
      <c r="GU85" t="s">
        <v>3</v>
      </c>
      <c r="GV85">
        <f t="shared" si="106"/>
        <v>0</v>
      </c>
      <c r="GW85">
        <v>1</v>
      </c>
      <c r="GX85">
        <f t="shared" si="107"/>
        <v>0</v>
      </c>
      <c r="HA85">
        <v>0</v>
      </c>
      <c r="HB85">
        <v>0</v>
      </c>
      <c r="HC85">
        <f t="shared" si="108"/>
        <v>0</v>
      </c>
      <c r="IK85">
        <v>0</v>
      </c>
    </row>
    <row r="86" spans="1:245">
      <c r="A86">
        <v>18</v>
      </c>
      <c r="B86">
        <v>1</v>
      </c>
      <c r="C86">
        <v>40</v>
      </c>
      <c r="E86" t="s">
        <v>151</v>
      </c>
      <c r="F86" t="s">
        <v>56</v>
      </c>
      <c r="G86" t="s">
        <v>152</v>
      </c>
      <c r="H86" t="s">
        <v>50</v>
      </c>
      <c r="I86">
        <f>I81*J86</f>
        <v>3</v>
      </c>
      <c r="J86">
        <v>0.6</v>
      </c>
      <c r="O86">
        <f t="shared" si="69"/>
        <v>4074.99</v>
      </c>
      <c r="P86">
        <f t="shared" si="70"/>
        <v>4074.99</v>
      </c>
      <c r="Q86">
        <f t="shared" si="71"/>
        <v>0</v>
      </c>
      <c r="R86">
        <f t="shared" si="72"/>
        <v>0</v>
      </c>
      <c r="S86">
        <f t="shared" si="73"/>
        <v>0</v>
      </c>
      <c r="T86">
        <f t="shared" si="74"/>
        <v>0</v>
      </c>
      <c r="U86">
        <f t="shared" si="75"/>
        <v>0</v>
      </c>
      <c r="V86">
        <f t="shared" si="76"/>
        <v>0</v>
      </c>
      <c r="W86">
        <f t="shared" si="77"/>
        <v>0</v>
      </c>
      <c r="X86">
        <f t="shared" si="78"/>
        <v>0</v>
      </c>
      <c r="Y86">
        <f t="shared" si="79"/>
        <v>0</v>
      </c>
      <c r="AA86">
        <v>41858681</v>
      </c>
      <c r="AB86">
        <f t="shared" si="80"/>
        <v>1358.33</v>
      </c>
      <c r="AC86">
        <f t="shared" si="81"/>
        <v>1358.33</v>
      </c>
      <c r="AD86">
        <f t="shared" si="82"/>
        <v>0</v>
      </c>
      <c r="AE86">
        <f t="shared" si="83"/>
        <v>0</v>
      </c>
      <c r="AF86">
        <f t="shared" si="84"/>
        <v>0</v>
      </c>
      <c r="AG86">
        <f t="shared" si="85"/>
        <v>0</v>
      </c>
      <c r="AH86">
        <f t="shared" si="86"/>
        <v>0</v>
      </c>
      <c r="AI86">
        <f t="shared" si="87"/>
        <v>0</v>
      </c>
      <c r="AJ86">
        <f t="shared" si="88"/>
        <v>0</v>
      </c>
      <c r="AK86">
        <v>1358.33</v>
      </c>
      <c r="AL86">
        <v>1358.33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70</v>
      </c>
      <c r="AU86">
        <v>10</v>
      </c>
      <c r="AV86">
        <v>1</v>
      </c>
      <c r="AW86">
        <v>1</v>
      </c>
      <c r="AZ86">
        <v>1</v>
      </c>
      <c r="BA86">
        <v>1</v>
      </c>
      <c r="BB86">
        <v>1</v>
      </c>
      <c r="BC86">
        <v>1</v>
      </c>
      <c r="BD86" t="s">
        <v>3</v>
      </c>
      <c r="BE86" t="s">
        <v>3</v>
      </c>
      <c r="BF86" t="s">
        <v>3</v>
      </c>
      <c r="BG86" t="s">
        <v>3</v>
      </c>
      <c r="BH86">
        <v>3</v>
      </c>
      <c r="BI86">
        <v>4</v>
      </c>
      <c r="BJ86" t="s">
        <v>3</v>
      </c>
      <c r="BM86">
        <v>0</v>
      </c>
      <c r="BN86">
        <v>0</v>
      </c>
      <c r="BO86" t="s">
        <v>3</v>
      </c>
      <c r="BP86">
        <v>0</v>
      </c>
      <c r="BQ86">
        <v>1</v>
      </c>
      <c r="BR86">
        <v>0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 t="s">
        <v>3</v>
      </c>
      <c r="BZ86">
        <v>70</v>
      </c>
      <c r="CA86">
        <v>10</v>
      </c>
      <c r="CE86">
        <v>0</v>
      </c>
      <c r="CF86">
        <v>0</v>
      </c>
      <c r="CG86">
        <v>0</v>
      </c>
      <c r="CM86">
        <v>0</v>
      </c>
      <c r="CN86" t="s">
        <v>3</v>
      </c>
      <c r="CO86">
        <v>0</v>
      </c>
      <c r="CP86">
        <f t="shared" si="89"/>
        <v>4074.99</v>
      </c>
      <c r="CQ86">
        <f t="shared" si="90"/>
        <v>1358.33</v>
      </c>
      <c r="CR86">
        <f t="shared" si="91"/>
        <v>0</v>
      </c>
      <c r="CS86">
        <f t="shared" si="92"/>
        <v>0</v>
      </c>
      <c r="CT86">
        <f t="shared" si="93"/>
        <v>0</v>
      </c>
      <c r="CU86">
        <f t="shared" si="94"/>
        <v>0</v>
      </c>
      <c r="CV86">
        <f t="shared" si="95"/>
        <v>0</v>
      </c>
      <c r="CW86">
        <f t="shared" si="96"/>
        <v>0</v>
      </c>
      <c r="CX86">
        <f t="shared" si="97"/>
        <v>0</v>
      </c>
      <c r="CY86">
        <f t="shared" si="98"/>
        <v>0</v>
      </c>
      <c r="CZ86">
        <f t="shared" si="99"/>
        <v>0</v>
      </c>
      <c r="DC86" t="s">
        <v>3</v>
      </c>
      <c r="DD86" t="s">
        <v>3</v>
      </c>
      <c r="DE86" t="s">
        <v>3</v>
      </c>
      <c r="DF86" t="s">
        <v>3</v>
      </c>
      <c r="DG86" t="s">
        <v>3</v>
      </c>
      <c r="DH86" t="s">
        <v>3</v>
      </c>
      <c r="DI86" t="s">
        <v>3</v>
      </c>
      <c r="DJ86" t="s">
        <v>3</v>
      </c>
      <c r="DK86" t="s">
        <v>3</v>
      </c>
      <c r="DL86" t="s">
        <v>3</v>
      </c>
      <c r="DM86" t="s">
        <v>3</v>
      </c>
      <c r="DN86">
        <v>0</v>
      </c>
      <c r="DO86">
        <v>0</v>
      </c>
      <c r="DP86">
        <v>1</v>
      </c>
      <c r="DQ86">
        <v>1</v>
      </c>
      <c r="DU86">
        <v>1010</v>
      </c>
      <c r="DV86" t="s">
        <v>50</v>
      </c>
      <c r="DW86" t="s">
        <v>50</v>
      </c>
      <c r="DX86">
        <v>1</v>
      </c>
      <c r="EE86">
        <v>40050625</v>
      </c>
      <c r="EF86">
        <v>1</v>
      </c>
      <c r="EG86" t="s">
        <v>19</v>
      </c>
      <c r="EH86">
        <v>0</v>
      </c>
      <c r="EI86" t="s">
        <v>3</v>
      </c>
      <c r="EJ86">
        <v>4</v>
      </c>
      <c r="EK86">
        <v>0</v>
      </c>
      <c r="EL86" t="s">
        <v>20</v>
      </c>
      <c r="EM86" t="s">
        <v>21</v>
      </c>
      <c r="EO86" t="s">
        <v>3</v>
      </c>
      <c r="EQ86">
        <v>0</v>
      </c>
      <c r="ER86">
        <v>1358.33</v>
      </c>
      <c r="ES86">
        <v>1358.33</v>
      </c>
      <c r="ET86">
        <v>0</v>
      </c>
      <c r="EU86">
        <v>0</v>
      </c>
      <c r="EV86">
        <v>0</v>
      </c>
      <c r="EW86">
        <v>0</v>
      </c>
      <c r="EX86">
        <v>0</v>
      </c>
      <c r="FQ86">
        <v>0</v>
      </c>
      <c r="FR86">
        <f t="shared" si="100"/>
        <v>0</v>
      </c>
      <c r="FS86">
        <v>0</v>
      </c>
      <c r="FX86">
        <v>70</v>
      </c>
      <c r="FY86">
        <v>10</v>
      </c>
      <c r="GA86" t="s">
        <v>3</v>
      </c>
      <c r="GD86">
        <v>0</v>
      </c>
      <c r="GF86">
        <v>-166335817</v>
      </c>
      <c r="GG86">
        <v>2</v>
      </c>
      <c r="GH86">
        <v>0</v>
      </c>
      <c r="GI86">
        <v>-2</v>
      </c>
      <c r="GJ86">
        <v>0</v>
      </c>
      <c r="GK86">
        <f>ROUND(R86*(R12)/100,2)</f>
        <v>0</v>
      </c>
      <c r="GL86">
        <f t="shared" si="101"/>
        <v>0</v>
      </c>
      <c r="GM86">
        <f t="shared" si="102"/>
        <v>4074.99</v>
      </c>
      <c r="GN86">
        <f t="shared" si="103"/>
        <v>0</v>
      </c>
      <c r="GO86">
        <f t="shared" si="104"/>
        <v>0</v>
      </c>
      <c r="GP86">
        <f t="shared" si="105"/>
        <v>4074.99</v>
      </c>
      <c r="GR86">
        <v>0</v>
      </c>
      <c r="GS86">
        <v>0</v>
      </c>
      <c r="GT86">
        <v>0</v>
      </c>
      <c r="GU86" t="s">
        <v>3</v>
      </c>
      <c r="GV86">
        <f t="shared" si="106"/>
        <v>0</v>
      </c>
      <c r="GW86">
        <v>1</v>
      </c>
      <c r="GX86">
        <f t="shared" si="107"/>
        <v>0</v>
      </c>
      <c r="HA86">
        <v>0</v>
      </c>
      <c r="HB86">
        <v>0</v>
      </c>
      <c r="HC86">
        <f t="shared" si="108"/>
        <v>0</v>
      </c>
      <c r="IK86">
        <v>0</v>
      </c>
    </row>
    <row r="87" spans="1:245">
      <c r="A87">
        <v>18</v>
      </c>
      <c r="B87">
        <v>1</v>
      </c>
      <c r="C87">
        <v>41</v>
      </c>
      <c r="E87" t="s">
        <v>153</v>
      </c>
      <c r="F87" t="s">
        <v>56</v>
      </c>
      <c r="G87" t="s">
        <v>154</v>
      </c>
      <c r="H87" t="s">
        <v>50</v>
      </c>
      <c r="I87">
        <f>I81*J87</f>
        <v>3</v>
      </c>
      <c r="J87">
        <v>0.6</v>
      </c>
      <c r="O87">
        <f t="shared" si="69"/>
        <v>4299.99</v>
      </c>
      <c r="P87">
        <f t="shared" si="70"/>
        <v>4299.99</v>
      </c>
      <c r="Q87">
        <f t="shared" si="71"/>
        <v>0</v>
      </c>
      <c r="R87">
        <f t="shared" si="72"/>
        <v>0</v>
      </c>
      <c r="S87">
        <f t="shared" si="73"/>
        <v>0</v>
      </c>
      <c r="T87">
        <f t="shared" si="74"/>
        <v>0</v>
      </c>
      <c r="U87">
        <f t="shared" si="75"/>
        <v>0</v>
      </c>
      <c r="V87">
        <f t="shared" si="76"/>
        <v>0</v>
      </c>
      <c r="W87">
        <f t="shared" si="77"/>
        <v>0</v>
      </c>
      <c r="X87">
        <f t="shared" si="78"/>
        <v>0</v>
      </c>
      <c r="Y87">
        <f t="shared" si="79"/>
        <v>0</v>
      </c>
      <c r="AA87">
        <v>41858681</v>
      </c>
      <c r="AB87">
        <f t="shared" si="80"/>
        <v>1433.33</v>
      </c>
      <c r="AC87">
        <f t="shared" si="81"/>
        <v>1433.33</v>
      </c>
      <c r="AD87">
        <f t="shared" si="82"/>
        <v>0</v>
      </c>
      <c r="AE87">
        <f t="shared" si="83"/>
        <v>0</v>
      </c>
      <c r="AF87">
        <f t="shared" si="84"/>
        <v>0</v>
      </c>
      <c r="AG87">
        <f t="shared" si="85"/>
        <v>0</v>
      </c>
      <c r="AH87">
        <f t="shared" si="86"/>
        <v>0</v>
      </c>
      <c r="AI87">
        <f t="shared" si="87"/>
        <v>0</v>
      </c>
      <c r="AJ87">
        <f t="shared" si="88"/>
        <v>0</v>
      </c>
      <c r="AK87">
        <v>1433.33</v>
      </c>
      <c r="AL87">
        <v>1433.33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70</v>
      </c>
      <c r="AU87">
        <v>10</v>
      </c>
      <c r="AV87">
        <v>1</v>
      </c>
      <c r="AW87">
        <v>1</v>
      </c>
      <c r="AZ87">
        <v>1</v>
      </c>
      <c r="BA87">
        <v>1</v>
      </c>
      <c r="BB87">
        <v>1</v>
      </c>
      <c r="BC87">
        <v>1</v>
      </c>
      <c r="BD87" t="s">
        <v>3</v>
      </c>
      <c r="BE87" t="s">
        <v>3</v>
      </c>
      <c r="BF87" t="s">
        <v>3</v>
      </c>
      <c r="BG87" t="s">
        <v>3</v>
      </c>
      <c r="BH87">
        <v>3</v>
      </c>
      <c r="BI87">
        <v>4</v>
      </c>
      <c r="BJ87" t="s">
        <v>3</v>
      </c>
      <c r="BM87">
        <v>0</v>
      </c>
      <c r="BN87">
        <v>0</v>
      </c>
      <c r="BO87" t="s">
        <v>3</v>
      </c>
      <c r="BP87">
        <v>0</v>
      </c>
      <c r="BQ87">
        <v>1</v>
      </c>
      <c r="BR87">
        <v>0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 t="s">
        <v>3</v>
      </c>
      <c r="BZ87">
        <v>70</v>
      </c>
      <c r="CA87">
        <v>10</v>
      </c>
      <c r="CE87">
        <v>0</v>
      </c>
      <c r="CF87">
        <v>0</v>
      </c>
      <c r="CG87">
        <v>0</v>
      </c>
      <c r="CM87">
        <v>0</v>
      </c>
      <c r="CN87" t="s">
        <v>3</v>
      </c>
      <c r="CO87">
        <v>0</v>
      </c>
      <c r="CP87">
        <f t="shared" si="89"/>
        <v>4299.99</v>
      </c>
      <c r="CQ87">
        <f t="shared" si="90"/>
        <v>1433.33</v>
      </c>
      <c r="CR87">
        <f t="shared" si="91"/>
        <v>0</v>
      </c>
      <c r="CS87">
        <f t="shared" si="92"/>
        <v>0</v>
      </c>
      <c r="CT87">
        <f t="shared" si="93"/>
        <v>0</v>
      </c>
      <c r="CU87">
        <f t="shared" si="94"/>
        <v>0</v>
      </c>
      <c r="CV87">
        <f t="shared" si="95"/>
        <v>0</v>
      </c>
      <c r="CW87">
        <f t="shared" si="96"/>
        <v>0</v>
      </c>
      <c r="CX87">
        <f t="shared" si="97"/>
        <v>0</v>
      </c>
      <c r="CY87">
        <f t="shared" si="98"/>
        <v>0</v>
      </c>
      <c r="CZ87">
        <f t="shared" si="99"/>
        <v>0</v>
      </c>
      <c r="DC87" t="s">
        <v>3</v>
      </c>
      <c r="DD87" t="s">
        <v>3</v>
      </c>
      <c r="DE87" t="s">
        <v>3</v>
      </c>
      <c r="DF87" t="s">
        <v>3</v>
      </c>
      <c r="DG87" t="s">
        <v>3</v>
      </c>
      <c r="DH87" t="s">
        <v>3</v>
      </c>
      <c r="DI87" t="s">
        <v>3</v>
      </c>
      <c r="DJ87" t="s">
        <v>3</v>
      </c>
      <c r="DK87" t="s">
        <v>3</v>
      </c>
      <c r="DL87" t="s">
        <v>3</v>
      </c>
      <c r="DM87" t="s">
        <v>3</v>
      </c>
      <c r="DN87">
        <v>0</v>
      </c>
      <c r="DO87">
        <v>0</v>
      </c>
      <c r="DP87">
        <v>1</v>
      </c>
      <c r="DQ87">
        <v>1</v>
      </c>
      <c r="DU87">
        <v>1010</v>
      </c>
      <c r="DV87" t="s">
        <v>50</v>
      </c>
      <c r="DW87" t="s">
        <v>50</v>
      </c>
      <c r="DX87">
        <v>1</v>
      </c>
      <c r="EE87">
        <v>40050625</v>
      </c>
      <c r="EF87">
        <v>1</v>
      </c>
      <c r="EG87" t="s">
        <v>19</v>
      </c>
      <c r="EH87">
        <v>0</v>
      </c>
      <c r="EI87" t="s">
        <v>3</v>
      </c>
      <c r="EJ87">
        <v>4</v>
      </c>
      <c r="EK87">
        <v>0</v>
      </c>
      <c r="EL87" t="s">
        <v>20</v>
      </c>
      <c r="EM87" t="s">
        <v>21</v>
      </c>
      <c r="EO87" t="s">
        <v>3</v>
      </c>
      <c r="EQ87">
        <v>0</v>
      </c>
      <c r="ER87">
        <v>1433.33</v>
      </c>
      <c r="ES87">
        <v>1433.33</v>
      </c>
      <c r="ET87">
        <v>0</v>
      </c>
      <c r="EU87">
        <v>0</v>
      </c>
      <c r="EV87">
        <v>0</v>
      </c>
      <c r="EW87">
        <v>0</v>
      </c>
      <c r="EX87">
        <v>0</v>
      </c>
      <c r="FQ87">
        <v>0</v>
      </c>
      <c r="FR87">
        <f t="shared" si="100"/>
        <v>0</v>
      </c>
      <c r="FS87">
        <v>0</v>
      </c>
      <c r="FX87">
        <v>70</v>
      </c>
      <c r="FY87">
        <v>10</v>
      </c>
      <c r="GA87" t="s">
        <v>3</v>
      </c>
      <c r="GD87">
        <v>0</v>
      </c>
      <c r="GF87">
        <v>1797921629</v>
      </c>
      <c r="GG87">
        <v>2</v>
      </c>
      <c r="GH87">
        <v>0</v>
      </c>
      <c r="GI87">
        <v>-2</v>
      </c>
      <c r="GJ87">
        <v>0</v>
      </c>
      <c r="GK87">
        <f>ROUND(R87*(R12)/100,2)</f>
        <v>0</v>
      </c>
      <c r="GL87">
        <f t="shared" si="101"/>
        <v>0</v>
      </c>
      <c r="GM87">
        <f t="shared" si="102"/>
        <v>4299.99</v>
      </c>
      <c r="GN87">
        <f t="shared" si="103"/>
        <v>0</v>
      </c>
      <c r="GO87">
        <f t="shared" si="104"/>
        <v>0</v>
      </c>
      <c r="GP87">
        <f t="shared" si="105"/>
        <v>4299.99</v>
      </c>
      <c r="GR87">
        <v>0</v>
      </c>
      <c r="GS87">
        <v>0</v>
      </c>
      <c r="GT87">
        <v>0</v>
      </c>
      <c r="GU87" t="s">
        <v>3</v>
      </c>
      <c r="GV87">
        <f t="shared" si="106"/>
        <v>0</v>
      </c>
      <c r="GW87">
        <v>1</v>
      </c>
      <c r="GX87">
        <f t="shared" si="107"/>
        <v>0</v>
      </c>
      <c r="HA87">
        <v>0</v>
      </c>
      <c r="HB87">
        <v>0</v>
      </c>
      <c r="HC87">
        <f t="shared" si="108"/>
        <v>0</v>
      </c>
      <c r="IK87">
        <v>0</v>
      </c>
    </row>
    <row r="88" spans="1:245">
      <c r="A88">
        <v>18</v>
      </c>
      <c r="B88">
        <v>1</v>
      </c>
      <c r="C88">
        <v>42</v>
      </c>
      <c r="E88" t="s">
        <v>155</v>
      </c>
      <c r="F88" t="s">
        <v>56</v>
      </c>
      <c r="G88" t="s">
        <v>156</v>
      </c>
      <c r="H88" t="s">
        <v>50</v>
      </c>
      <c r="I88">
        <f>I81*J88</f>
        <v>3</v>
      </c>
      <c r="J88">
        <v>0.6</v>
      </c>
      <c r="O88">
        <f t="shared" si="69"/>
        <v>3950.01</v>
      </c>
      <c r="P88">
        <f t="shared" si="70"/>
        <v>3950.01</v>
      </c>
      <c r="Q88">
        <f t="shared" si="71"/>
        <v>0</v>
      </c>
      <c r="R88">
        <f t="shared" si="72"/>
        <v>0</v>
      </c>
      <c r="S88">
        <f t="shared" si="73"/>
        <v>0</v>
      </c>
      <c r="T88">
        <f t="shared" si="74"/>
        <v>0</v>
      </c>
      <c r="U88">
        <f t="shared" si="75"/>
        <v>0</v>
      </c>
      <c r="V88">
        <f t="shared" si="76"/>
        <v>0</v>
      </c>
      <c r="W88">
        <f t="shared" si="77"/>
        <v>0</v>
      </c>
      <c r="X88">
        <f t="shared" si="78"/>
        <v>0</v>
      </c>
      <c r="Y88">
        <f t="shared" si="79"/>
        <v>0</v>
      </c>
      <c r="AA88">
        <v>41858681</v>
      </c>
      <c r="AB88">
        <f t="shared" si="80"/>
        <v>1316.67</v>
      </c>
      <c r="AC88">
        <f t="shared" si="81"/>
        <v>1316.67</v>
      </c>
      <c r="AD88">
        <f t="shared" si="82"/>
        <v>0</v>
      </c>
      <c r="AE88">
        <f t="shared" si="83"/>
        <v>0</v>
      </c>
      <c r="AF88">
        <f t="shared" si="84"/>
        <v>0</v>
      </c>
      <c r="AG88">
        <f t="shared" si="85"/>
        <v>0</v>
      </c>
      <c r="AH88">
        <f t="shared" si="86"/>
        <v>0</v>
      </c>
      <c r="AI88">
        <f t="shared" si="87"/>
        <v>0</v>
      </c>
      <c r="AJ88">
        <f t="shared" si="88"/>
        <v>0</v>
      </c>
      <c r="AK88">
        <v>1316.67</v>
      </c>
      <c r="AL88">
        <v>1316.67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70</v>
      </c>
      <c r="AU88">
        <v>10</v>
      </c>
      <c r="AV88">
        <v>1</v>
      </c>
      <c r="AW88">
        <v>1</v>
      </c>
      <c r="AZ88">
        <v>1</v>
      </c>
      <c r="BA88">
        <v>1</v>
      </c>
      <c r="BB88">
        <v>1</v>
      </c>
      <c r="BC88">
        <v>1</v>
      </c>
      <c r="BD88" t="s">
        <v>3</v>
      </c>
      <c r="BE88" t="s">
        <v>3</v>
      </c>
      <c r="BF88" t="s">
        <v>3</v>
      </c>
      <c r="BG88" t="s">
        <v>3</v>
      </c>
      <c r="BH88">
        <v>3</v>
      </c>
      <c r="BI88">
        <v>4</v>
      </c>
      <c r="BJ88" t="s">
        <v>3</v>
      </c>
      <c r="BM88">
        <v>0</v>
      </c>
      <c r="BN88">
        <v>0</v>
      </c>
      <c r="BO88" t="s">
        <v>3</v>
      </c>
      <c r="BP88">
        <v>0</v>
      </c>
      <c r="BQ88">
        <v>1</v>
      </c>
      <c r="BR88">
        <v>0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 t="s">
        <v>3</v>
      </c>
      <c r="BZ88">
        <v>70</v>
      </c>
      <c r="CA88">
        <v>10</v>
      </c>
      <c r="CE88">
        <v>0</v>
      </c>
      <c r="CF88">
        <v>0</v>
      </c>
      <c r="CG88">
        <v>0</v>
      </c>
      <c r="CM88">
        <v>0</v>
      </c>
      <c r="CN88" t="s">
        <v>3</v>
      </c>
      <c r="CO88">
        <v>0</v>
      </c>
      <c r="CP88">
        <f t="shared" si="89"/>
        <v>3950.01</v>
      </c>
      <c r="CQ88">
        <f t="shared" si="90"/>
        <v>1316.67</v>
      </c>
      <c r="CR88">
        <f t="shared" si="91"/>
        <v>0</v>
      </c>
      <c r="CS88">
        <f t="shared" si="92"/>
        <v>0</v>
      </c>
      <c r="CT88">
        <f t="shared" si="93"/>
        <v>0</v>
      </c>
      <c r="CU88">
        <f t="shared" si="94"/>
        <v>0</v>
      </c>
      <c r="CV88">
        <f t="shared" si="95"/>
        <v>0</v>
      </c>
      <c r="CW88">
        <f t="shared" si="96"/>
        <v>0</v>
      </c>
      <c r="CX88">
        <f t="shared" si="97"/>
        <v>0</v>
      </c>
      <c r="CY88">
        <f t="shared" si="98"/>
        <v>0</v>
      </c>
      <c r="CZ88">
        <f t="shared" si="99"/>
        <v>0</v>
      </c>
      <c r="DC88" t="s">
        <v>3</v>
      </c>
      <c r="DD88" t="s">
        <v>3</v>
      </c>
      <c r="DE88" t="s">
        <v>3</v>
      </c>
      <c r="DF88" t="s">
        <v>3</v>
      </c>
      <c r="DG88" t="s">
        <v>3</v>
      </c>
      <c r="DH88" t="s">
        <v>3</v>
      </c>
      <c r="DI88" t="s">
        <v>3</v>
      </c>
      <c r="DJ88" t="s">
        <v>3</v>
      </c>
      <c r="DK88" t="s">
        <v>3</v>
      </c>
      <c r="DL88" t="s">
        <v>3</v>
      </c>
      <c r="DM88" t="s">
        <v>3</v>
      </c>
      <c r="DN88">
        <v>0</v>
      </c>
      <c r="DO88">
        <v>0</v>
      </c>
      <c r="DP88">
        <v>1</v>
      </c>
      <c r="DQ88">
        <v>1</v>
      </c>
      <c r="DU88">
        <v>1010</v>
      </c>
      <c r="DV88" t="s">
        <v>50</v>
      </c>
      <c r="DW88" t="s">
        <v>50</v>
      </c>
      <c r="DX88">
        <v>1</v>
      </c>
      <c r="EE88">
        <v>40050625</v>
      </c>
      <c r="EF88">
        <v>1</v>
      </c>
      <c r="EG88" t="s">
        <v>19</v>
      </c>
      <c r="EH88">
        <v>0</v>
      </c>
      <c r="EI88" t="s">
        <v>3</v>
      </c>
      <c r="EJ88">
        <v>4</v>
      </c>
      <c r="EK88">
        <v>0</v>
      </c>
      <c r="EL88" t="s">
        <v>20</v>
      </c>
      <c r="EM88" t="s">
        <v>21</v>
      </c>
      <c r="EO88" t="s">
        <v>3</v>
      </c>
      <c r="EQ88">
        <v>0</v>
      </c>
      <c r="ER88">
        <v>1316.67</v>
      </c>
      <c r="ES88">
        <v>1316.67</v>
      </c>
      <c r="ET88">
        <v>0</v>
      </c>
      <c r="EU88">
        <v>0</v>
      </c>
      <c r="EV88">
        <v>0</v>
      </c>
      <c r="EW88">
        <v>0</v>
      </c>
      <c r="EX88">
        <v>0</v>
      </c>
      <c r="FQ88">
        <v>0</v>
      </c>
      <c r="FR88">
        <f t="shared" si="100"/>
        <v>0</v>
      </c>
      <c r="FS88">
        <v>0</v>
      </c>
      <c r="FX88">
        <v>70</v>
      </c>
      <c r="FY88">
        <v>10</v>
      </c>
      <c r="GA88" t="s">
        <v>3</v>
      </c>
      <c r="GD88">
        <v>0</v>
      </c>
      <c r="GF88">
        <v>97570920</v>
      </c>
      <c r="GG88">
        <v>2</v>
      </c>
      <c r="GH88">
        <v>0</v>
      </c>
      <c r="GI88">
        <v>-2</v>
      </c>
      <c r="GJ88">
        <v>0</v>
      </c>
      <c r="GK88">
        <f>ROUND(R88*(R12)/100,2)</f>
        <v>0</v>
      </c>
      <c r="GL88">
        <f t="shared" si="101"/>
        <v>0</v>
      </c>
      <c r="GM88">
        <f t="shared" si="102"/>
        <v>3950.01</v>
      </c>
      <c r="GN88">
        <f t="shared" si="103"/>
        <v>0</v>
      </c>
      <c r="GO88">
        <f t="shared" si="104"/>
        <v>0</v>
      </c>
      <c r="GP88">
        <f t="shared" si="105"/>
        <v>3950.01</v>
      </c>
      <c r="GR88">
        <v>0</v>
      </c>
      <c r="GS88">
        <v>0</v>
      </c>
      <c r="GT88">
        <v>0</v>
      </c>
      <c r="GU88" t="s">
        <v>3</v>
      </c>
      <c r="GV88">
        <f t="shared" si="106"/>
        <v>0</v>
      </c>
      <c r="GW88">
        <v>1</v>
      </c>
      <c r="GX88">
        <f t="shared" si="107"/>
        <v>0</v>
      </c>
      <c r="HA88">
        <v>0</v>
      </c>
      <c r="HB88">
        <v>0</v>
      </c>
      <c r="HC88">
        <f t="shared" si="108"/>
        <v>0</v>
      </c>
      <c r="IK88">
        <v>0</v>
      </c>
    </row>
    <row r="90" spans="1:245">
      <c r="A90" s="2">
        <v>51</v>
      </c>
      <c r="B90" s="2">
        <f>B73</f>
        <v>1</v>
      </c>
      <c r="C90" s="2">
        <f>A73</f>
        <v>4</v>
      </c>
      <c r="D90" s="2">
        <f>ROW(A73)</f>
        <v>73</v>
      </c>
      <c r="E90" s="2"/>
      <c r="F90" s="2" t="str">
        <f>IF(F73&lt;&gt;"",F73,"")</f>
        <v>Новый раздел</v>
      </c>
      <c r="G90" s="2" t="str">
        <f>IF(G73&lt;&gt;"",G73,"")</f>
        <v>Посадка кустарников - 50шт.</v>
      </c>
      <c r="H90" s="2">
        <v>0</v>
      </c>
      <c r="I90" s="2"/>
      <c r="J90" s="2"/>
      <c r="K90" s="2"/>
      <c r="L90" s="2"/>
      <c r="M90" s="2"/>
      <c r="N90" s="2"/>
      <c r="O90" s="2">
        <f t="shared" ref="O90:T90" si="109">ROUND(AB90,2)</f>
        <v>98373.4</v>
      </c>
      <c r="P90" s="2">
        <f t="shared" si="109"/>
        <v>72679.820000000007</v>
      </c>
      <c r="Q90" s="2">
        <f t="shared" si="109"/>
        <v>3898.41</v>
      </c>
      <c r="R90" s="2">
        <f t="shared" si="109"/>
        <v>978.64</v>
      </c>
      <c r="S90" s="2">
        <f t="shared" si="109"/>
        <v>21795.17</v>
      </c>
      <c r="T90" s="2">
        <f t="shared" si="109"/>
        <v>0</v>
      </c>
      <c r="U90" s="2">
        <f>AH90</f>
        <v>110.04275000000001</v>
      </c>
      <c r="V90" s="2">
        <f>AI90</f>
        <v>0</v>
      </c>
      <c r="W90" s="2">
        <f>ROUND(AJ90,2)</f>
        <v>0</v>
      </c>
      <c r="X90" s="2">
        <f>ROUND(AK90,2)</f>
        <v>15256.62</v>
      </c>
      <c r="Y90" s="2">
        <f>ROUND(AL90,2)</f>
        <v>2179.52</v>
      </c>
      <c r="Z90" s="2"/>
      <c r="AA90" s="2"/>
      <c r="AB90" s="2">
        <f>ROUND(SUMIF(AA77:AA88,"=41858681",O77:O88),2)</f>
        <v>98373.4</v>
      </c>
      <c r="AC90" s="2">
        <f>ROUND(SUMIF(AA77:AA88,"=41858681",P77:P88),2)</f>
        <v>72679.820000000007</v>
      </c>
      <c r="AD90" s="2">
        <f>ROUND(SUMIF(AA77:AA88,"=41858681",Q77:Q88),2)</f>
        <v>3898.41</v>
      </c>
      <c r="AE90" s="2">
        <f>ROUND(SUMIF(AA77:AA88,"=41858681",R77:R88),2)</f>
        <v>978.64</v>
      </c>
      <c r="AF90" s="2">
        <f>ROUND(SUMIF(AA77:AA88,"=41858681",S77:S88),2)</f>
        <v>21795.17</v>
      </c>
      <c r="AG90" s="2">
        <f>ROUND(SUMIF(AA77:AA88,"=41858681",T77:T88),2)</f>
        <v>0</v>
      </c>
      <c r="AH90" s="2">
        <f>SUMIF(AA77:AA88,"=41858681",U77:U88)</f>
        <v>110.04275000000001</v>
      </c>
      <c r="AI90" s="2">
        <f>SUMIF(AA77:AA88,"=41858681",V77:V88)</f>
        <v>0</v>
      </c>
      <c r="AJ90" s="2">
        <f>ROUND(SUMIF(AA77:AA88,"=41858681",W77:W88),2)</f>
        <v>0</v>
      </c>
      <c r="AK90" s="2">
        <f>ROUND(SUMIF(AA77:AA88,"=41858681",X77:X88),2)</f>
        <v>15256.62</v>
      </c>
      <c r="AL90" s="2">
        <f>ROUND(SUMIF(AA77:AA88,"=41858681",Y77:Y88),2)</f>
        <v>2179.52</v>
      </c>
      <c r="AM90" s="2"/>
      <c r="AN90" s="2"/>
      <c r="AO90" s="2">
        <f t="shared" ref="AO90:BC90" si="110">ROUND(BX90,2)</f>
        <v>0</v>
      </c>
      <c r="AP90" s="2">
        <f t="shared" si="110"/>
        <v>0</v>
      </c>
      <c r="AQ90" s="2">
        <f t="shared" si="110"/>
        <v>0</v>
      </c>
      <c r="AR90" s="2">
        <f t="shared" si="110"/>
        <v>116866.48</v>
      </c>
      <c r="AS90" s="2">
        <f t="shared" si="110"/>
        <v>0</v>
      </c>
      <c r="AT90" s="2">
        <f t="shared" si="110"/>
        <v>0</v>
      </c>
      <c r="AU90" s="2">
        <f t="shared" si="110"/>
        <v>116866.48</v>
      </c>
      <c r="AV90" s="2">
        <f t="shared" si="110"/>
        <v>72679.820000000007</v>
      </c>
      <c r="AW90" s="2">
        <f t="shared" si="110"/>
        <v>72679.820000000007</v>
      </c>
      <c r="AX90" s="2">
        <f t="shared" si="110"/>
        <v>0</v>
      </c>
      <c r="AY90" s="2">
        <f t="shared" si="110"/>
        <v>72679.820000000007</v>
      </c>
      <c r="AZ90" s="2">
        <f t="shared" si="110"/>
        <v>0</v>
      </c>
      <c r="BA90" s="2">
        <f t="shared" si="110"/>
        <v>0</v>
      </c>
      <c r="BB90" s="2">
        <f t="shared" si="110"/>
        <v>0</v>
      </c>
      <c r="BC90" s="2">
        <f t="shared" si="110"/>
        <v>0</v>
      </c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>
        <f>ROUND(SUMIF(AA77:AA88,"=41858681",FQ77:FQ88),2)</f>
        <v>0</v>
      </c>
      <c r="BY90" s="2">
        <f>ROUND(SUMIF(AA77:AA88,"=41858681",FR77:FR88),2)</f>
        <v>0</v>
      </c>
      <c r="BZ90" s="2">
        <f>ROUND(SUMIF(AA77:AA88,"=41858681",GL77:GL88),2)</f>
        <v>0</v>
      </c>
      <c r="CA90" s="2">
        <f>ROUND(SUMIF(AA77:AA88,"=41858681",GM77:GM88),2)</f>
        <v>116866.48</v>
      </c>
      <c r="CB90" s="2">
        <f>ROUND(SUMIF(AA77:AA88,"=41858681",GN77:GN88),2)</f>
        <v>0</v>
      </c>
      <c r="CC90" s="2">
        <f>ROUND(SUMIF(AA77:AA88,"=41858681",GO77:GO88),2)</f>
        <v>0</v>
      </c>
      <c r="CD90" s="2">
        <f>ROUND(SUMIF(AA77:AA88,"=41858681",GP77:GP88),2)</f>
        <v>116866.48</v>
      </c>
      <c r="CE90" s="2">
        <f>AC90-BX90</f>
        <v>72679.820000000007</v>
      </c>
      <c r="CF90" s="2">
        <f>AC90-BY90</f>
        <v>72679.820000000007</v>
      </c>
      <c r="CG90" s="2">
        <f>BX90-BZ90</f>
        <v>0</v>
      </c>
      <c r="CH90" s="2">
        <f>AC90-BX90-BY90+BZ90</f>
        <v>72679.820000000007</v>
      </c>
      <c r="CI90" s="2">
        <f>BY90-BZ90</f>
        <v>0</v>
      </c>
      <c r="CJ90" s="2">
        <f>ROUND(SUMIF(AA77:AA88,"=41858681",GX77:GX88),2)</f>
        <v>0</v>
      </c>
      <c r="CK90" s="2">
        <f>ROUND(SUMIF(AA77:AA88,"=41858681",GY77:GY88),2)</f>
        <v>0</v>
      </c>
      <c r="CL90" s="2">
        <f>ROUND(SUMIF(AA77:AA88,"=41858681",GZ77:GZ88),2)</f>
        <v>0</v>
      </c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>
        <v>0</v>
      </c>
    </row>
    <row r="92" spans="1:245">
      <c r="A92" s="4">
        <v>50</v>
      </c>
      <c r="B92" s="4">
        <v>0</v>
      </c>
      <c r="C92" s="4">
        <v>0</v>
      </c>
      <c r="D92" s="4">
        <v>1</v>
      </c>
      <c r="E92" s="4">
        <v>201</v>
      </c>
      <c r="F92" s="4">
        <f>ROUND(Source!O90,O92)</f>
        <v>98373.4</v>
      </c>
      <c r="G92" s="4" t="s">
        <v>64</v>
      </c>
      <c r="H92" s="4" t="s">
        <v>65</v>
      </c>
      <c r="I92" s="4"/>
      <c r="J92" s="4"/>
      <c r="K92" s="4">
        <v>201</v>
      </c>
      <c r="L92" s="4">
        <v>1</v>
      </c>
      <c r="M92" s="4">
        <v>3</v>
      </c>
      <c r="N92" s="4" t="s">
        <v>3</v>
      </c>
      <c r="O92" s="4">
        <v>2</v>
      </c>
      <c r="P92" s="4"/>
      <c r="Q92" s="4"/>
      <c r="R92" s="4"/>
      <c r="S92" s="4"/>
      <c r="T92" s="4"/>
      <c r="U92" s="4"/>
      <c r="V92" s="4"/>
      <c r="W92" s="4"/>
    </row>
    <row r="93" spans="1:245">
      <c r="A93" s="4">
        <v>50</v>
      </c>
      <c r="B93" s="4">
        <v>0</v>
      </c>
      <c r="C93" s="4">
        <v>0</v>
      </c>
      <c r="D93" s="4">
        <v>1</v>
      </c>
      <c r="E93" s="4">
        <v>202</v>
      </c>
      <c r="F93" s="4">
        <f>ROUND(Source!P90,O93)</f>
        <v>72679.820000000007</v>
      </c>
      <c r="G93" s="4" t="s">
        <v>66</v>
      </c>
      <c r="H93" s="4" t="s">
        <v>67</v>
      </c>
      <c r="I93" s="4"/>
      <c r="J93" s="4"/>
      <c r="K93" s="4">
        <v>202</v>
      </c>
      <c r="L93" s="4">
        <v>2</v>
      </c>
      <c r="M93" s="4">
        <v>3</v>
      </c>
      <c r="N93" s="4" t="s">
        <v>3</v>
      </c>
      <c r="O93" s="4">
        <v>2</v>
      </c>
      <c r="P93" s="4"/>
      <c r="Q93" s="4"/>
      <c r="R93" s="4"/>
      <c r="S93" s="4"/>
      <c r="T93" s="4"/>
      <c r="U93" s="4"/>
      <c r="V93" s="4"/>
      <c r="W93" s="4"/>
    </row>
    <row r="94" spans="1:245">
      <c r="A94" s="4">
        <v>50</v>
      </c>
      <c r="B94" s="4">
        <v>0</v>
      </c>
      <c r="C94" s="4">
        <v>0</v>
      </c>
      <c r="D94" s="4">
        <v>1</v>
      </c>
      <c r="E94" s="4">
        <v>222</v>
      </c>
      <c r="F94" s="4">
        <f>ROUND(Source!AO90,O94)</f>
        <v>0</v>
      </c>
      <c r="G94" s="4" t="s">
        <v>68</v>
      </c>
      <c r="H94" s="4" t="s">
        <v>69</v>
      </c>
      <c r="I94" s="4"/>
      <c r="J94" s="4"/>
      <c r="K94" s="4">
        <v>222</v>
      </c>
      <c r="L94" s="4">
        <v>3</v>
      </c>
      <c r="M94" s="4">
        <v>3</v>
      </c>
      <c r="N94" s="4" t="s">
        <v>3</v>
      </c>
      <c r="O94" s="4">
        <v>2</v>
      </c>
      <c r="P94" s="4"/>
      <c r="Q94" s="4"/>
      <c r="R94" s="4"/>
      <c r="S94" s="4"/>
      <c r="T94" s="4"/>
      <c r="U94" s="4"/>
      <c r="V94" s="4"/>
      <c r="W94" s="4"/>
    </row>
    <row r="95" spans="1:245">
      <c r="A95" s="4">
        <v>50</v>
      </c>
      <c r="B95" s="4">
        <v>0</v>
      </c>
      <c r="C95" s="4">
        <v>0</v>
      </c>
      <c r="D95" s="4">
        <v>1</v>
      </c>
      <c r="E95" s="4">
        <v>225</v>
      </c>
      <c r="F95" s="4">
        <f>ROUND(Source!AV90,O95)</f>
        <v>72679.820000000007</v>
      </c>
      <c r="G95" s="4" t="s">
        <v>70</v>
      </c>
      <c r="H95" s="4" t="s">
        <v>71</v>
      </c>
      <c r="I95" s="4"/>
      <c r="J95" s="4"/>
      <c r="K95" s="4">
        <v>225</v>
      </c>
      <c r="L95" s="4">
        <v>4</v>
      </c>
      <c r="M95" s="4">
        <v>3</v>
      </c>
      <c r="N95" s="4" t="s">
        <v>3</v>
      </c>
      <c r="O95" s="4">
        <v>2</v>
      </c>
      <c r="P95" s="4"/>
      <c r="Q95" s="4"/>
      <c r="R95" s="4"/>
      <c r="S95" s="4"/>
      <c r="T95" s="4"/>
      <c r="U95" s="4"/>
      <c r="V95" s="4"/>
      <c r="W95" s="4"/>
    </row>
    <row r="96" spans="1:245">
      <c r="A96" s="4">
        <v>50</v>
      </c>
      <c r="B96" s="4">
        <v>0</v>
      </c>
      <c r="C96" s="4">
        <v>0</v>
      </c>
      <c r="D96" s="4">
        <v>1</v>
      </c>
      <c r="E96" s="4">
        <v>226</v>
      </c>
      <c r="F96" s="4">
        <f>ROUND(Source!AW90,O96)</f>
        <v>72679.820000000007</v>
      </c>
      <c r="G96" s="4" t="s">
        <v>72</v>
      </c>
      <c r="H96" s="4" t="s">
        <v>73</v>
      </c>
      <c r="I96" s="4"/>
      <c r="J96" s="4"/>
      <c r="K96" s="4">
        <v>226</v>
      </c>
      <c r="L96" s="4">
        <v>5</v>
      </c>
      <c r="M96" s="4">
        <v>3</v>
      </c>
      <c r="N96" s="4" t="s">
        <v>3</v>
      </c>
      <c r="O96" s="4">
        <v>2</v>
      </c>
      <c r="P96" s="4"/>
      <c r="Q96" s="4"/>
      <c r="R96" s="4"/>
      <c r="S96" s="4"/>
      <c r="T96" s="4"/>
      <c r="U96" s="4"/>
      <c r="V96" s="4"/>
      <c r="W96" s="4"/>
    </row>
    <row r="97" spans="1:23">
      <c r="A97" s="4">
        <v>50</v>
      </c>
      <c r="B97" s="4">
        <v>0</v>
      </c>
      <c r="C97" s="4">
        <v>0</v>
      </c>
      <c r="D97" s="4">
        <v>1</v>
      </c>
      <c r="E97" s="4">
        <v>227</v>
      </c>
      <c r="F97" s="4">
        <f>ROUND(Source!AX90,O97)</f>
        <v>0</v>
      </c>
      <c r="G97" s="4" t="s">
        <v>74</v>
      </c>
      <c r="H97" s="4" t="s">
        <v>75</v>
      </c>
      <c r="I97" s="4"/>
      <c r="J97" s="4"/>
      <c r="K97" s="4">
        <v>227</v>
      </c>
      <c r="L97" s="4">
        <v>6</v>
      </c>
      <c r="M97" s="4">
        <v>3</v>
      </c>
      <c r="N97" s="4" t="s">
        <v>3</v>
      </c>
      <c r="O97" s="4">
        <v>2</v>
      </c>
      <c r="P97" s="4"/>
      <c r="Q97" s="4"/>
      <c r="R97" s="4"/>
      <c r="S97" s="4"/>
      <c r="T97" s="4"/>
      <c r="U97" s="4"/>
      <c r="V97" s="4"/>
      <c r="W97" s="4"/>
    </row>
    <row r="98" spans="1:23">
      <c r="A98" s="4">
        <v>50</v>
      </c>
      <c r="B98" s="4">
        <v>0</v>
      </c>
      <c r="C98" s="4">
        <v>0</v>
      </c>
      <c r="D98" s="4">
        <v>1</v>
      </c>
      <c r="E98" s="4">
        <v>228</v>
      </c>
      <c r="F98" s="4">
        <f>ROUND(Source!AY90,O98)</f>
        <v>72679.820000000007</v>
      </c>
      <c r="G98" s="4" t="s">
        <v>76</v>
      </c>
      <c r="H98" s="4" t="s">
        <v>77</v>
      </c>
      <c r="I98" s="4"/>
      <c r="J98" s="4"/>
      <c r="K98" s="4">
        <v>228</v>
      </c>
      <c r="L98" s="4">
        <v>7</v>
      </c>
      <c r="M98" s="4">
        <v>3</v>
      </c>
      <c r="N98" s="4" t="s">
        <v>3</v>
      </c>
      <c r="O98" s="4">
        <v>2</v>
      </c>
      <c r="P98" s="4"/>
      <c r="Q98" s="4"/>
      <c r="R98" s="4"/>
      <c r="S98" s="4"/>
      <c r="T98" s="4"/>
      <c r="U98" s="4"/>
      <c r="V98" s="4"/>
      <c r="W98" s="4"/>
    </row>
    <row r="99" spans="1:23">
      <c r="A99" s="4">
        <v>50</v>
      </c>
      <c r="B99" s="4">
        <v>0</v>
      </c>
      <c r="C99" s="4">
        <v>0</v>
      </c>
      <c r="D99" s="4">
        <v>1</v>
      </c>
      <c r="E99" s="4">
        <v>216</v>
      </c>
      <c r="F99" s="4">
        <f>ROUND(Source!AP90,O99)</f>
        <v>0</v>
      </c>
      <c r="G99" s="4" t="s">
        <v>78</v>
      </c>
      <c r="H99" s="4" t="s">
        <v>79</v>
      </c>
      <c r="I99" s="4"/>
      <c r="J99" s="4"/>
      <c r="K99" s="4">
        <v>216</v>
      </c>
      <c r="L99" s="4">
        <v>8</v>
      </c>
      <c r="M99" s="4">
        <v>3</v>
      </c>
      <c r="N99" s="4" t="s">
        <v>3</v>
      </c>
      <c r="O99" s="4">
        <v>2</v>
      </c>
      <c r="P99" s="4"/>
      <c r="Q99" s="4"/>
      <c r="R99" s="4"/>
      <c r="S99" s="4"/>
      <c r="T99" s="4"/>
      <c r="U99" s="4"/>
      <c r="V99" s="4"/>
      <c r="W99" s="4"/>
    </row>
    <row r="100" spans="1:23">
      <c r="A100" s="4">
        <v>50</v>
      </c>
      <c r="B100" s="4">
        <v>0</v>
      </c>
      <c r="C100" s="4">
        <v>0</v>
      </c>
      <c r="D100" s="4">
        <v>1</v>
      </c>
      <c r="E100" s="4">
        <v>223</v>
      </c>
      <c r="F100" s="4">
        <f>ROUND(Source!AQ90,O100)</f>
        <v>0</v>
      </c>
      <c r="G100" s="4" t="s">
        <v>80</v>
      </c>
      <c r="H100" s="4" t="s">
        <v>81</v>
      </c>
      <c r="I100" s="4"/>
      <c r="J100" s="4"/>
      <c r="K100" s="4">
        <v>223</v>
      </c>
      <c r="L100" s="4">
        <v>9</v>
      </c>
      <c r="M100" s="4">
        <v>3</v>
      </c>
      <c r="N100" s="4" t="s">
        <v>3</v>
      </c>
      <c r="O100" s="4">
        <v>2</v>
      </c>
      <c r="P100" s="4"/>
      <c r="Q100" s="4"/>
      <c r="R100" s="4"/>
      <c r="S100" s="4"/>
      <c r="T100" s="4"/>
      <c r="U100" s="4"/>
      <c r="V100" s="4"/>
      <c r="W100" s="4"/>
    </row>
    <row r="101" spans="1:23">
      <c r="A101" s="4">
        <v>50</v>
      </c>
      <c r="B101" s="4">
        <v>0</v>
      </c>
      <c r="C101" s="4">
        <v>0</v>
      </c>
      <c r="D101" s="4">
        <v>1</v>
      </c>
      <c r="E101" s="4">
        <v>229</v>
      </c>
      <c r="F101" s="4">
        <f>ROUND(Source!AZ90,O101)</f>
        <v>0</v>
      </c>
      <c r="G101" s="4" t="s">
        <v>82</v>
      </c>
      <c r="H101" s="4" t="s">
        <v>83</v>
      </c>
      <c r="I101" s="4"/>
      <c r="J101" s="4"/>
      <c r="K101" s="4">
        <v>229</v>
      </c>
      <c r="L101" s="4">
        <v>10</v>
      </c>
      <c r="M101" s="4">
        <v>3</v>
      </c>
      <c r="N101" s="4" t="s">
        <v>3</v>
      </c>
      <c r="O101" s="4">
        <v>2</v>
      </c>
      <c r="P101" s="4"/>
      <c r="Q101" s="4"/>
      <c r="R101" s="4"/>
      <c r="S101" s="4"/>
      <c r="T101" s="4"/>
      <c r="U101" s="4"/>
      <c r="V101" s="4"/>
      <c r="W101" s="4"/>
    </row>
    <row r="102" spans="1:23">
      <c r="A102" s="4">
        <v>50</v>
      </c>
      <c r="B102" s="4">
        <v>0</v>
      </c>
      <c r="C102" s="4">
        <v>0</v>
      </c>
      <c r="D102" s="4">
        <v>1</v>
      </c>
      <c r="E102" s="4">
        <v>203</v>
      </c>
      <c r="F102" s="4">
        <f>ROUND(Source!Q90,O102)</f>
        <v>3898.41</v>
      </c>
      <c r="G102" s="4" t="s">
        <v>84</v>
      </c>
      <c r="H102" s="4" t="s">
        <v>85</v>
      </c>
      <c r="I102" s="4"/>
      <c r="J102" s="4"/>
      <c r="K102" s="4">
        <v>203</v>
      </c>
      <c r="L102" s="4">
        <v>11</v>
      </c>
      <c r="M102" s="4">
        <v>3</v>
      </c>
      <c r="N102" s="4" t="s">
        <v>3</v>
      </c>
      <c r="O102" s="4">
        <v>2</v>
      </c>
      <c r="P102" s="4"/>
      <c r="Q102" s="4"/>
      <c r="R102" s="4"/>
      <c r="S102" s="4"/>
      <c r="T102" s="4"/>
      <c r="U102" s="4"/>
      <c r="V102" s="4"/>
      <c r="W102" s="4"/>
    </row>
    <row r="103" spans="1:23">
      <c r="A103" s="4">
        <v>50</v>
      </c>
      <c r="B103" s="4">
        <v>0</v>
      </c>
      <c r="C103" s="4">
        <v>0</v>
      </c>
      <c r="D103" s="4">
        <v>1</v>
      </c>
      <c r="E103" s="4">
        <v>231</v>
      </c>
      <c r="F103" s="4">
        <f>ROUND(Source!BB90,O103)</f>
        <v>0</v>
      </c>
      <c r="G103" s="4" t="s">
        <v>86</v>
      </c>
      <c r="H103" s="4" t="s">
        <v>87</v>
      </c>
      <c r="I103" s="4"/>
      <c r="J103" s="4"/>
      <c r="K103" s="4">
        <v>231</v>
      </c>
      <c r="L103" s="4">
        <v>12</v>
      </c>
      <c r="M103" s="4">
        <v>3</v>
      </c>
      <c r="N103" s="4" t="s">
        <v>3</v>
      </c>
      <c r="O103" s="4">
        <v>2</v>
      </c>
      <c r="P103" s="4"/>
      <c r="Q103" s="4"/>
      <c r="R103" s="4"/>
      <c r="S103" s="4"/>
      <c r="T103" s="4"/>
      <c r="U103" s="4"/>
      <c r="V103" s="4"/>
      <c r="W103" s="4"/>
    </row>
    <row r="104" spans="1:23">
      <c r="A104" s="4">
        <v>50</v>
      </c>
      <c r="B104" s="4">
        <v>0</v>
      </c>
      <c r="C104" s="4">
        <v>0</v>
      </c>
      <c r="D104" s="4">
        <v>1</v>
      </c>
      <c r="E104" s="4">
        <v>204</v>
      </c>
      <c r="F104" s="4">
        <f>ROUND(Source!R90,O104)</f>
        <v>978.64</v>
      </c>
      <c r="G104" s="4" t="s">
        <v>88</v>
      </c>
      <c r="H104" s="4" t="s">
        <v>89</v>
      </c>
      <c r="I104" s="4"/>
      <c r="J104" s="4"/>
      <c r="K104" s="4">
        <v>204</v>
      </c>
      <c r="L104" s="4">
        <v>13</v>
      </c>
      <c r="M104" s="4">
        <v>3</v>
      </c>
      <c r="N104" s="4" t="s">
        <v>3</v>
      </c>
      <c r="O104" s="4">
        <v>2</v>
      </c>
      <c r="P104" s="4"/>
      <c r="Q104" s="4"/>
      <c r="R104" s="4"/>
      <c r="S104" s="4"/>
      <c r="T104" s="4"/>
      <c r="U104" s="4"/>
      <c r="V104" s="4"/>
      <c r="W104" s="4"/>
    </row>
    <row r="105" spans="1:23">
      <c r="A105" s="4">
        <v>50</v>
      </c>
      <c r="B105" s="4">
        <v>0</v>
      </c>
      <c r="C105" s="4">
        <v>0</v>
      </c>
      <c r="D105" s="4">
        <v>1</v>
      </c>
      <c r="E105" s="4">
        <v>205</v>
      </c>
      <c r="F105" s="4">
        <f>ROUND(Source!S90,O105)</f>
        <v>21795.17</v>
      </c>
      <c r="G105" s="4" t="s">
        <v>90</v>
      </c>
      <c r="H105" s="4" t="s">
        <v>91</v>
      </c>
      <c r="I105" s="4"/>
      <c r="J105" s="4"/>
      <c r="K105" s="4">
        <v>205</v>
      </c>
      <c r="L105" s="4">
        <v>14</v>
      </c>
      <c r="M105" s="4">
        <v>3</v>
      </c>
      <c r="N105" s="4" t="s">
        <v>3</v>
      </c>
      <c r="O105" s="4">
        <v>2</v>
      </c>
      <c r="P105" s="4"/>
      <c r="Q105" s="4"/>
      <c r="R105" s="4"/>
      <c r="S105" s="4"/>
      <c r="T105" s="4"/>
      <c r="U105" s="4"/>
      <c r="V105" s="4"/>
      <c r="W105" s="4"/>
    </row>
    <row r="106" spans="1:23">
      <c r="A106" s="4">
        <v>50</v>
      </c>
      <c r="B106" s="4">
        <v>0</v>
      </c>
      <c r="C106" s="4">
        <v>0</v>
      </c>
      <c r="D106" s="4">
        <v>1</v>
      </c>
      <c r="E106" s="4">
        <v>232</v>
      </c>
      <c r="F106" s="4">
        <f>ROUND(Source!BC90,O106)</f>
        <v>0</v>
      </c>
      <c r="G106" s="4" t="s">
        <v>92</v>
      </c>
      <c r="H106" s="4" t="s">
        <v>93</v>
      </c>
      <c r="I106" s="4"/>
      <c r="J106" s="4"/>
      <c r="K106" s="4">
        <v>232</v>
      </c>
      <c r="L106" s="4">
        <v>15</v>
      </c>
      <c r="M106" s="4">
        <v>3</v>
      </c>
      <c r="N106" s="4" t="s">
        <v>3</v>
      </c>
      <c r="O106" s="4">
        <v>2</v>
      </c>
      <c r="P106" s="4"/>
      <c r="Q106" s="4"/>
      <c r="R106" s="4"/>
      <c r="S106" s="4"/>
      <c r="T106" s="4"/>
      <c r="U106" s="4"/>
      <c r="V106" s="4"/>
      <c r="W106" s="4"/>
    </row>
    <row r="107" spans="1:23">
      <c r="A107" s="4">
        <v>50</v>
      </c>
      <c r="B107" s="4">
        <v>0</v>
      </c>
      <c r="C107" s="4">
        <v>0</v>
      </c>
      <c r="D107" s="4">
        <v>1</v>
      </c>
      <c r="E107" s="4">
        <v>214</v>
      </c>
      <c r="F107" s="4">
        <f>ROUND(Source!AS90,O107)</f>
        <v>0</v>
      </c>
      <c r="G107" s="4" t="s">
        <v>94</v>
      </c>
      <c r="H107" s="4" t="s">
        <v>95</v>
      </c>
      <c r="I107" s="4"/>
      <c r="J107" s="4"/>
      <c r="K107" s="4">
        <v>214</v>
      </c>
      <c r="L107" s="4">
        <v>16</v>
      </c>
      <c r="M107" s="4">
        <v>3</v>
      </c>
      <c r="N107" s="4" t="s">
        <v>3</v>
      </c>
      <c r="O107" s="4">
        <v>2</v>
      </c>
      <c r="P107" s="4"/>
      <c r="Q107" s="4"/>
      <c r="R107" s="4"/>
      <c r="S107" s="4"/>
      <c r="T107" s="4"/>
      <c r="U107" s="4"/>
      <c r="V107" s="4"/>
      <c r="W107" s="4"/>
    </row>
    <row r="108" spans="1:23">
      <c r="A108" s="4">
        <v>50</v>
      </c>
      <c r="B108" s="4">
        <v>0</v>
      </c>
      <c r="C108" s="4">
        <v>0</v>
      </c>
      <c r="D108" s="4">
        <v>1</v>
      </c>
      <c r="E108" s="4">
        <v>215</v>
      </c>
      <c r="F108" s="4">
        <f>ROUND(Source!AT90,O108)</f>
        <v>0</v>
      </c>
      <c r="G108" s="4" t="s">
        <v>96</v>
      </c>
      <c r="H108" s="4" t="s">
        <v>97</v>
      </c>
      <c r="I108" s="4"/>
      <c r="J108" s="4"/>
      <c r="K108" s="4">
        <v>215</v>
      </c>
      <c r="L108" s="4">
        <v>17</v>
      </c>
      <c r="M108" s="4">
        <v>3</v>
      </c>
      <c r="N108" s="4" t="s">
        <v>3</v>
      </c>
      <c r="O108" s="4">
        <v>2</v>
      </c>
      <c r="P108" s="4"/>
      <c r="Q108" s="4"/>
      <c r="R108" s="4"/>
      <c r="S108" s="4"/>
      <c r="T108" s="4"/>
      <c r="U108" s="4"/>
      <c r="V108" s="4"/>
      <c r="W108" s="4"/>
    </row>
    <row r="109" spans="1:23">
      <c r="A109" s="4">
        <v>50</v>
      </c>
      <c r="B109" s="4">
        <v>0</v>
      </c>
      <c r="C109" s="4">
        <v>0</v>
      </c>
      <c r="D109" s="4">
        <v>1</v>
      </c>
      <c r="E109" s="4">
        <v>217</v>
      </c>
      <c r="F109" s="4">
        <f>ROUND(Source!AU90,O109)</f>
        <v>116866.48</v>
      </c>
      <c r="G109" s="4" t="s">
        <v>98</v>
      </c>
      <c r="H109" s="4" t="s">
        <v>99</v>
      </c>
      <c r="I109" s="4"/>
      <c r="J109" s="4"/>
      <c r="K109" s="4">
        <v>217</v>
      </c>
      <c r="L109" s="4">
        <v>18</v>
      </c>
      <c r="M109" s="4">
        <v>3</v>
      </c>
      <c r="N109" s="4" t="s">
        <v>3</v>
      </c>
      <c r="O109" s="4">
        <v>2</v>
      </c>
      <c r="P109" s="4"/>
      <c r="Q109" s="4"/>
      <c r="R109" s="4"/>
      <c r="S109" s="4"/>
      <c r="T109" s="4"/>
      <c r="U109" s="4"/>
      <c r="V109" s="4"/>
      <c r="W109" s="4"/>
    </row>
    <row r="110" spans="1:23">
      <c r="A110" s="4">
        <v>50</v>
      </c>
      <c r="B110" s="4">
        <v>0</v>
      </c>
      <c r="C110" s="4">
        <v>0</v>
      </c>
      <c r="D110" s="4">
        <v>1</v>
      </c>
      <c r="E110" s="4">
        <v>230</v>
      </c>
      <c r="F110" s="4">
        <f>ROUND(Source!BA90,O110)</f>
        <v>0</v>
      </c>
      <c r="G110" s="4" t="s">
        <v>100</v>
      </c>
      <c r="H110" s="4" t="s">
        <v>101</v>
      </c>
      <c r="I110" s="4"/>
      <c r="J110" s="4"/>
      <c r="K110" s="4">
        <v>230</v>
      </c>
      <c r="L110" s="4">
        <v>19</v>
      </c>
      <c r="M110" s="4">
        <v>3</v>
      </c>
      <c r="N110" s="4" t="s">
        <v>3</v>
      </c>
      <c r="O110" s="4">
        <v>2</v>
      </c>
      <c r="P110" s="4"/>
      <c r="Q110" s="4"/>
      <c r="R110" s="4"/>
      <c r="S110" s="4"/>
      <c r="T110" s="4"/>
      <c r="U110" s="4"/>
      <c r="V110" s="4"/>
      <c r="W110" s="4"/>
    </row>
    <row r="111" spans="1:23">
      <c r="A111" s="4">
        <v>50</v>
      </c>
      <c r="B111" s="4">
        <v>0</v>
      </c>
      <c r="C111" s="4">
        <v>0</v>
      </c>
      <c r="D111" s="4">
        <v>1</v>
      </c>
      <c r="E111" s="4">
        <v>206</v>
      </c>
      <c r="F111" s="4">
        <f>ROUND(Source!T90,O111)</f>
        <v>0</v>
      </c>
      <c r="G111" s="4" t="s">
        <v>102</v>
      </c>
      <c r="H111" s="4" t="s">
        <v>103</v>
      </c>
      <c r="I111" s="4"/>
      <c r="J111" s="4"/>
      <c r="K111" s="4">
        <v>206</v>
      </c>
      <c r="L111" s="4">
        <v>20</v>
      </c>
      <c r="M111" s="4">
        <v>3</v>
      </c>
      <c r="N111" s="4" t="s">
        <v>3</v>
      </c>
      <c r="O111" s="4">
        <v>2</v>
      </c>
      <c r="P111" s="4"/>
      <c r="Q111" s="4"/>
      <c r="R111" s="4"/>
      <c r="S111" s="4"/>
      <c r="T111" s="4"/>
      <c r="U111" s="4"/>
      <c r="V111" s="4"/>
      <c r="W111" s="4"/>
    </row>
    <row r="112" spans="1:23">
      <c r="A112" s="4">
        <v>50</v>
      </c>
      <c r="B112" s="4">
        <v>0</v>
      </c>
      <c r="C112" s="4">
        <v>0</v>
      </c>
      <c r="D112" s="4">
        <v>1</v>
      </c>
      <c r="E112" s="4">
        <v>207</v>
      </c>
      <c r="F112" s="4">
        <f>Source!U90</f>
        <v>110.04275000000001</v>
      </c>
      <c r="G112" s="4" t="s">
        <v>104</v>
      </c>
      <c r="H112" s="4" t="s">
        <v>105</v>
      </c>
      <c r="I112" s="4"/>
      <c r="J112" s="4"/>
      <c r="K112" s="4">
        <v>207</v>
      </c>
      <c r="L112" s="4">
        <v>21</v>
      </c>
      <c r="M112" s="4">
        <v>3</v>
      </c>
      <c r="N112" s="4" t="s">
        <v>3</v>
      </c>
      <c r="O112" s="4">
        <v>-1</v>
      </c>
      <c r="P112" s="4"/>
      <c r="Q112" s="4"/>
      <c r="R112" s="4"/>
      <c r="S112" s="4"/>
      <c r="T112" s="4"/>
      <c r="U112" s="4"/>
      <c r="V112" s="4"/>
      <c r="W112" s="4"/>
    </row>
    <row r="113" spans="1:245">
      <c r="A113" s="4">
        <v>50</v>
      </c>
      <c r="B113" s="4">
        <v>0</v>
      </c>
      <c r="C113" s="4">
        <v>0</v>
      </c>
      <c r="D113" s="4">
        <v>1</v>
      </c>
      <c r="E113" s="4">
        <v>208</v>
      </c>
      <c r="F113" s="4">
        <f>Source!V90</f>
        <v>0</v>
      </c>
      <c r="G113" s="4" t="s">
        <v>106</v>
      </c>
      <c r="H113" s="4" t="s">
        <v>107</v>
      </c>
      <c r="I113" s="4"/>
      <c r="J113" s="4"/>
      <c r="K113" s="4">
        <v>208</v>
      </c>
      <c r="L113" s="4">
        <v>22</v>
      </c>
      <c r="M113" s="4">
        <v>3</v>
      </c>
      <c r="N113" s="4" t="s">
        <v>3</v>
      </c>
      <c r="O113" s="4">
        <v>-1</v>
      </c>
      <c r="P113" s="4"/>
      <c r="Q113" s="4"/>
      <c r="R113" s="4"/>
      <c r="S113" s="4"/>
      <c r="T113" s="4"/>
      <c r="U113" s="4"/>
      <c r="V113" s="4"/>
      <c r="W113" s="4"/>
    </row>
    <row r="114" spans="1:245">
      <c r="A114" s="4">
        <v>50</v>
      </c>
      <c r="B114" s="4">
        <v>0</v>
      </c>
      <c r="C114" s="4">
        <v>0</v>
      </c>
      <c r="D114" s="4">
        <v>1</v>
      </c>
      <c r="E114" s="4">
        <v>209</v>
      </c>
      <c r="F114" s="4">
        <f>ROUND(Source!W90,O114)</f>
        <v>0</v>
      </c>
      <c r="G114" s="4" t="s">
        <v>108</v>
      </c>
      <c r="H114" s="4" t="s">
        <v>109</v>
      </c>
      <c r="I114" s="4"/>
      <c r="J114" s="4"/>
      <c r="K114" s="4">
        <v>209</v>
      </c>
      <c r="L114" s="4">
        <v>23</v>
      </c>
      <c r="M114" s="4">
        <v>3</v>
      </c>
      <c r="N114" s="4" t="s">
        <v>3</v>
      </c>
      <c r="O114" s="4">
        <v>2</v>
      </c>
      <c r="P114" s="4"/>
      <c r="Q114" s="4"/>
      <c r="R114" s="4"/>
      <c r="S114" s="4"/>
      <c r="T114" s="4"/>
      <c r="U114" s="4"/>
      <c r="V114" s="4"/>
      <c r="W114" s="4"/>
    </row>
    <row r="115" spans="1:245">
      <c r="A115" s="4">
        <v>50</v>
      </c>
      <c r="B115" s="4">
        <v>0</v>
      </c>
      <c r="C115" s="4">
        <v>0</v>
      </c>
      <c r="D115" s="4">
        <v>1</v>
      </c>
      <c r="E115" s="4">
        <v>210</v>
      </c>
      <c r="F115" s="4">
        <f>ROUND(Source!X90,O115)</f>
        <v>15256.62</v>
      </c>
      <c r="G115" s="4" t="s">
        <v>110</v>
      </c>
      <c r="H115" s="4" t="s">
        <v>111</v>
      </c>
      <c r="I115" s="4"/>
      <c r="J115" s="4"/>
      <c r="K115" s="4">
        <v>210</v>
      </c>
      <c r="L115" s="4">
        <v>24</v>
      </c>
      <c r="M115" s="4">
        <v>3</v>
      </c>
      <c r="N115" s="4" t="s">
        <v>3</v>
      </c>
      <c r="O115" s="4">
        <v>2</v>
      </c>
      <c r="P115" s="4"/>
      <c r="Q115" s="4"/>
      <c r="R115" s="4"/>
      <c r="S115" s="4"/>
      <c r="T115" s="4"/>
      <c r="U115" s="4"/>
      <c r="V115" s="4"/>
      <c r="W115" s="4"/>
    </row>
    <row r="116" spans="1:245">
      <c r="A116" s="4">
        <v>50</v>
      </c>
      <c r="B116" s="4">
        <v>0</v>
      </c>
      <c r="C116" s="4">
        <v>0</v>
      </c>
      <c r="D116" s="4">
        <v>1</v>
      </c>
      <c r="E116" s="4">
        <v>211</v>
      </c>
      <c r="F116" s="4">
        <f>ROUND(Source!Y90,O116)</f>
        <v>2179.52</v>
      </c>
      <c r="G116" s="4" t="s">
        <v>112</v>
      </c>
      <c r="H116" s="4" t="s">
        <v>113</v>
      </c>
      <c r="I116" s="4"/>
      <c r="J116" s="4"/>
      <c r="K116" s="4">
        <v>211</v>
      </c>
      <c r="L116" s="4">
        <v>25</v>
      </c>
      <c r="M116" s="4">
        <v>3</v>
      </c>
      <c r="N116" s="4" t="s">
        <v>3</v>
      </c>
      <c r="O116" s="4">
        <v>2</v>
      </c>
      <c r="P116" s="4"/>
      <c r="Q116" s="4"/>
      <c r="R116" s="4"/>
      <c r="S116" s="4"/>
      <c r="T116" s="4"/>
      <c r="U116" s="4"/>
      <c r="V116" s="4"/>
      <c r="W116" s="4"/>
    </row>
    <row r="117" spans="1:245">
      <c r="A117" s="4">
        <v>50</v>
      </c>
      <c r="B117" s="4">
        <v>0</v>
      </c>
      <c r="C117" s="4">
        <v>0</v>
      </c>
      <c r="D117" s="4">
        <v>1</v>
      </c>
      <c r="E117" s="4">
        <v>224</v>
      </c>
      <c r="F117" s="4">
        <f>ROUND(Source!AR90,O117)</f>
        <v>116866.48</v>
      </c>
      <c r="G117" s="4" t="s">
        <v>114</v>
      </c>
      <c r="H117" s="4" t="s">
        <v>115</v>
      </c>
      <c r="I117" s="4"/>
      <c r="J117" s="4"/>
      <c r="K117" s="4">
        <v>224</v>
      </c>
      <c r="L117" s="4">
        <v>26</v>
      </c>
      <c r="M117" s="4">
        <v>3</v>
      </c>
      <c r="N117" s="4" t="s">
        <v>3</v>
      </c>
      <c r="O117" s="4">
        <v>2</v>
      </c>
      <c r="P117" s="4"/>
      <c r="Q117" s="4"/>
      <c r="R117" s="4"/>
      <c r="S117" s="4"/>
      <c r="T117" s="4"/>
      <c r="U117" s="4"/>
      <c r="V117" s="4"/>
      <c r="W117" s="4"/>
    </row>
    <row r="118" spans="1:245">
      <c r="A118" s="4">
        <v>50</v>
      </c>
      <c r="B118" s="4">
        <v>1</v>
      </c>
      <c r="C118" s="4">
        <v>0</v>
      </c>
      <c r="D118" s="4">
        <v>2</v>
      </c>
      <c r="E118" s="4">
        <v>0</v>
      </c>
      <c r="F118" s="4">
        <f>ROUND(F117,O118)</f>
        <v>116866.48</v>
      </c>
      <c r="G118" s="4" t="s">
        <v>4</v>
      </c>
      <c r="H118" s="4" t="s">
        <v>116</v>
      </c>
      <c r="I118" s="4"/>
      <c r="J118" s="4"/>
      <c r="K118" s="4">
        <v>212</v>
      </c>
      <c r="L118" s="4">
        <v>27</v>
      </c>
      <c r="M118" s="4">
        <v>0</v>
      </c>
      <c r="N118" s="4" t="s">
        <v>3</v>
      </c>
      <c r="O118" s="4">
        <v>2</v>
      </c>
      <c r="P118" s="4"/>
      <c r="Q118" s="4"/>
      <c r="R118" s="4"/>
      <c r="S118" s="4"/>
      <c r="T118" s="4"/>
      <c r="U118" s="4"/>
      <c r="V118" s="4"/>
      <c r="W118" s="4"/>
    </row>
    <row r="119" spans="1:245">
      <c r="A119" s="4">
        <v>50</v>
      </c>
      <c r="B119" s="4">
        <v>1</v>
      </c>
      <c r="C119" s="4">
        <v>0</v>
      </c>
      <c r="D119" s="4">
        <v>2</v>
      </c>
      <c r="E119" s="4">
        <v>0</v>
      </c>
      <c r="F119" s="4">
        <f>ROUND(F118*0.2,O119)</f>
        <v>23373.3</v>
      </c>
      <c r="G119" s="4" t="s">
        <v>22</v>
      </c>
      <c r="H119" s="4" t="s">
        <v>117</v>
      </c>
      <c r="I119" s="4"/>
      <c r="J119" s="4"/>
      <c r="K119" s="4">
        <v>212</v>
      </c>
      <c r="L119" s="4">
        <v>28</v>
      </c>
      <c r="M119" s="4">
        <v>0</v>
      </c>
      <c r="N119" s="4" t="s">
        <v>3</v>
      </c>
      <c r="O119" s="4">
        <v>2</v>
      </c>
      <c r="P119" s="4"/>
      <c r="Q119" s="4"/>
      <c r="R119" s="4"/>
      <c r="S119" s="4"/>
      <c r="T119" s="4"/>
      <c r="U119" s="4"/>
      <c r="V119" s="4"/>
      <c r="W119" s="4"/>
    </row>
    <row r="120" spans="1:245">
      <c r="A120" s="4">
        <v>50</v>
      </c>
      <c r="B120" s="4">
        <v>1</v>
      </c>
      <c r="C120" s="4">
        <v>0</v>
      </c>
      <c r="D120" s="4">
        <v>2</v>
      </c>
      <c r="E120" s="4">
        <v>0</v>
      </c>
      <c r="F120" s="4">
        <f>ROUND(F118+F119,O120)</f>
        <v>140239.78</v>
      </c>
      <c r="G120" s="4" t="s">
        <v>26</v>
      </c>
      <c r="H120" s="4" t="s">
        <v>118</v>
      </c>
      <c r="I120" s="4"/>
      <c r="J120" s="4"/>
      <c r="K120" s="4">
        <v>212</v>
      </c>
      <c r="L120" s="4">
        <v>29</v>
      </c>
      <c r="M120" s="4">
        <v>0</v>
      </c>
      <c r="N120" s="4" t="s">
        <v>3</v>
      </c>
      <c r="O120" s="4">
        <v>2</v>
      </c>
      <c r="P120" s="4"/>
      <c r="Q120" s="4"/>
      <c r="R120" s="4"/>
      <c r="S120" s="4"/>
      <c r="T120" s="4"/>
      <c r="U120" s="4"/>
      <c r="V120" s="4"/>
      <c r="W120" s="4"/>
    </row>
    <row r="122" spans="1:245">
      <c r="A122" s="1">
        <v>4</v>
      </c>
      <c r="B122" s="1">
        <v>1</v>
      </c>
      <c r="C122" s="1"/>
      <c r="D122" s="1">
        <f>ROW(A134)</f>
        <v>134</v>
      </c>
      <c r="E122" s="1"/>
      <c r="F122" s="1" t="s">
        <v>13</v>
      </c>
      <c r="G122" s="1" t="s">
        <v>157</v>
      </c>
      <c r="H122" s="1" t="s">
        <v>3</v>
      </c>
      <c r="I122" s="1">
        <v>0</v>
      </c>
      <c r="J122" s="1"/>
      <c r="K122" s="1">
        <v>-1</v>
      </c>
      <c r="L122" s="1"/>
      <c r="M122" s="1"/>
      <c r="N122" s="1"/>
      <c r="O122" s="1"/>
      <c r="P122" s="1"/>
      <c r="Q122" s="1"/>
      <c r="R122" s="1"/>
      <c r="S122" s="1"/>
      <c r="T122" s="1"/>
      <c r="U122" s="1" t="s">
        <v>3</v>
      </c>
      <c r="V122" s="1">
        <v>0</v>
      </c>
      <c r="W122" s="1"/>
      <c r="X122" s="1"/>
      <c r="Y122" s="1"/>
      <c r="Z122" s="1"/>
      <c r="AA122" s="1"/>
      <c r="AB122" s="1" t="s">
        <v>3</v>
      </c>
      <c r="AC122" s="1" t="s">
        <v>3</v>
      </c>
      <c r="AD122" s="1" t="s">
        <v>3</v>
      </c>
      <c r="AE122" s="1" t="s">
        <v>3</v>
      </c>
      <c r="AF122" s="1" t="s">
        <v>3</v>
      </c>
      <c r="AG122" s="1" t="s">
        <v>3</v>
      </c>
      <c r="AH122" s="1"/>
      <c r="AI122" s="1"/>
      <c r="AJ122" s="1"/>
      <c r="AK122" s="1"/>
      <c r="AL122" s="1"/>
      <c r="AM122" s="1"/>
      <c r="AN122" s="1"/>
      <c r="AO122" s="1"/>
      <c r="AP122" s="1" t="s">
        <v>3</v>
      </c>
      <c r="AQ122" s="1" t="s">
        <v>3</v>
      </c>
      <c r="AR122" s="1" t="s">
        <v>3</v>
      </c>
      <c r="AS122" s="1"/>
      <c r="AT122" s="1"/>
      <c r="AU122" s="1"/>
      <c r="AV122" s="1"/>
      <c r="AW122" s="1"/>
      <c r="AX122" s="1"/>
      <c r="AY122" s="1"/>
      <c r="AZ122" s="1" t="s">
        <v>3</v>
      </c>
      <c r="BA122" s="1"/>
      <c r="BB122" s="1" t="s">
        <v>3</v>
      </c>
      <c r="BC122" s="1" t="s">
        <v>3</v>
      </c>
      <c r="BD122" s="1" t="s">
        <v>3</v>
      </c>
      <c r="BE122" s="1" t="s">
        <v>3</v>
      </c>
      <c r="BF122" s="1" t="s">
        <v>3</v>
      </c>
      <c r="BG122" s="1" t="s">
        <v>3</v>
      </c>
      <c r="BH122" s="1" t="s">
        <v>3</v>
      </c>
      <c r="BI122" s="1" t="s">
        <v>3</v>
      </c>
      <c r="BJ122" s="1" t="s">
        <v>3</v>
      </c>
      <c r="BK122" s="1" t="s">
        <v>3</v>
      </c>
      <c r="BL122" s="1" t="s">
        <v>3</v>
      </c>
      <c r="BM122" s="1" t="s">
        <v>3</v>
      </c>
      <c r="BN122" s="1" t="s">
        <v>3</v>
      </c>
      <c r="BO122" s="1" t="s">
        <v>3</v>
      </c>
      <c r="BP122" s="1" t="s">
        <v>3</v>
      </c>
      <c r="BQ122" s="1"/>
      <c r="BR122" s="1"/>
      <c r="BS122" s="1"/>
      <c r="BT122" s="1"/>
      <c r="BU122" s="1"/>
      <c r="BV122" s="1"/>
      <c r="BW122" s="1"/>
      <c r="BX122" s="1">
        <v>0</v>
      </c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>
        <v>0</v>
      </c>
    </row>
    <row r="124" spans="1:245">
      <c r="A124" s="2">
        <v>52</v>
      </c>
      <c r="B124" s="2">
        <f t="shared" ref="B124:G124" si="111">B134</f>
        <v>1</v>
      </c>
      <c r="C124" s="2">
        <f t="shared" si="111"/>
        <v>4</v>
      </c>
      <c r="D124" s="2">
        <f t="shared" si="111"/>
        <v>122</v>
      </c>
      <c r="E124" s="2">
        <f t="shared" si="111"/>
        <v>0</v>
      </c>
      <c r="F124" s="2" t="str">
        <f t="shared" si="111"/>
        <v>Новый раздел</v>
      </c>
      <c r="G124" s="2" t="str">
        <f t="shared" si="111"/>
        <v>Посадка деревьев лиственных - 8шт.</v>
      </c>
      <c r="H124" s="2"/>
      <c r="I124" s="2"/>
      <c r="J124" s="2"/>
      <c r="K124" s="2"/>
      <c r="L124" s="2"/>
      <c r="M124" s="2"/>
      <c r="N124" s="2"/>
      <c r="O124" s="2">
        <f t="shared" ref="O124:AT124" si="112">O134</f>
        <v>41097.11</v>
      </c>
      <c r="P124" s="2">
        <f t="shared" si="112"/>
        <v>28943.22</v>
      </c>
      <c r="Q124" s="2">
        <f t="shared" si="112"/>
        <v>1594.16</v>
      </c>
      <c r="R124" s="2">
        <f t="shared" si="112"/>
        <v>462.97</v>
      </c>
      <c r="S124" s="2">
        <f t="shared" si="112"/>
        <v>10559.73</v>
      </c>
      <c r="T124" s="2">
        <f t="shared" si="112"/>
        <v>0</v>
      </c>
      <c r="U124" s="2">
        <f t="shared" si="112"/>
        <v>53.224689999999995</v>
      </c>
      <c r="V124" s="2">
        <f t="shared" si="112"/>
        <v>0</v>
      </c>
      <c r="W124" s="2">
        <f t="shared" si="112"/>
        <v>0</v>
      </c>
      <c r="X124" s="2">
        <f t="shared" si="112"/>
        <v>7391.82</v>
      </c>
      <c r="Y124" s="2">
        <f t="shared" si="112"/>
        <v>1055.98</v>
      </c>
      <c r="Z124" s="2">
        <f t="shared" si="112"/>
        <v>0</v>
      </c>
      <c r="AA124" s="2">
        <f t="shared" si="112"/>
        <v>0</v>
      </c>
      <c r="AB124" s="2">
        <f t="shared" si="112"/>
        <v>41097.11</v>
      </c>
      <c r="AC124" s="2">
        <f t="shared" si="112"/>
        <v>28943.22</v>
      </c>
      <c r="AD124" s="2">
        <f t="shared" si="112"/>
        <v>1594.16</v>
      </c>
      <c r="AE124" s="2">
        <f t="shared" si="112"/>
        <v>462.97</v>
      </c>
      <c r="AF124" s="2">
        <f t="shared" si="112"/>
        <v>10559.73</v>
      </c>
      <c r="AG124" s="2">
        <f t="shared" si="112"/>
        <v>0</v>
      </c>
      <c r="AH124" s="2">
        <f t="shared" si="112"/>
        <v>53.224689999999995</v>
      </c>
      <c r="AI124" s="2">
        <f t="shared" si="112"/>
        <v>0</v>
      </c>
      <c r="AJ124" s="2">
        <f t="shared" si="112"/>
        <v>0</v>
      </c>
      <c r="AK124" s="2">
        <f t="shared" si="112"/>
        <v>7391.82</v>
      </c>
      <c r="AL124" s="2">
        <f t="shared" si="112"/>
        <v>1055.98</v>
      </c>
      <c r="AM124" s="2">
        <f t="shared" si="112"/>
        <v>0</v>
      </c>
      <c r="AN124" s="2">
        <f t="shared" si="112"/>
        <v>0</v>
      </c>
      <c r="AO124" s="2">
        <f t="shared" si="112"/>
        <v>0</v>
      </c>
      <c r="AP124" s="2">
        <f t="shared" si="112"/>
        <v>0</v>
      </c>
      <c r="AQ124" s="2">
        <f t="shared" si="112"/>
        <v>0</v>
      </c>
      <c r="AR124" s="2">
        <f t="shared" si="112"/>
        <v>50044.91</v>
      </c>
      <c r="AS124" s="2">
        <f t="shared" si="112"/>
        <v>0</v>
      </c>
      <c r="AT124" s="2">
        <f t="shared" si="112"/>
        <v>0</v>
      </c>
      <c r="AU124" s="2">
        <f t="shared" ref="AU124:BZ124" si="113">AU134</f>
        <v>50044.91</v>
      </c>
      <c r="AV124" s="2">
        <f t="shared" si="113"/>
        <v>28943.22</v>
      </c>
      <c r="AW124" s="2">
        <f t="shared" si="113"/>
        <v>28943.22</v>
      </c>
      <c r="AX124" s="2">
        <f t="shared" si="113"/>
        <v>0</v>
      </c>
      <c r="AY124" s="2">
        <f t="shared" si="113"/>
        <v>28943.22</v>
      </c>
      <c r="AZ124" s="2">
        <f t="shared" si="113"/>
        <v>0</v>
      </c>
      <c r="BA124" s="2">
        <f t="shared" si="113"/>
        <v>0</v>
      </c>
      <c r="BB124" s="2">
        <f t="shared" si="113"/>
        <v>0</v>
      </c>
      <c r="BC124" s="2">
        <f t="shared" si="113"/>
        <v>0</v>
      </c>
      <c r="BD124" s="2">
        <f t="shared" si="113"/>
        <v>0</v>
      </c>
      <c r="BE124" s="2">
        <f t="shared" si="113"/>
        <v>0</v>
      </c>
      <c r="BF124" s="2">
        <f t="shared" si="113"/>
        <v>0</v>
      </c>
      <c r="BG124" s="2">
        <f t="shared" si="113"/>
        <v>0</v>
      </c>
      <c r="BH124" s="2">
        <f t="shared" si="113"/>
        <v>0</v>
      </c>
      <c r="BI124" s="2">
        <f t="shared" si="113"/>
        <v>0</v>
      </c>
      <c r="BJ124" s="2">
        <f t="shared" si="113"/>
        <v>0</v>
      </c>
      <c r="BK124" s="2">
        <f t="shared" si="113"/>
        <v>0</v>
      </c>
      <c r="BL124" s="2">
        <f t="shared" si="113"/>
        <v>0</v>
      </c>
      <c r="BM124" s="2">
        <f t="shared" si="113"/>
        <v>0</v>
      </c>
      <c r="BN124" s="2">
        <f t="shared" si="113"/>
        <v>0</v>
      </c>
      <c r="BO124" s="2">
        <f t="shared" si="113"/>
        <v>0</v>
      </c>
      <c r="BP124" s="2">
        <f t="shared" si="113"/>
        <v>0</v>
      </c>
      <c r="BQ124" s="2">
        <f t="shared" si="113"/>
        <v>0</v>
      </c>
      <c r="BR124" s="2">
        <f t="shared" si="113"/>
        <v>0</v>
      </c>
      <c r="BS124" s="2">
        <f t="shared" si="113"/>
        <v>0</v>
      </c>
      <c r="BT124" s="2">
        <f t="shared" si="113"/>
        <v>0</v>
      </c>
      <c r="BU124" s="2">
        <f t="shared" si="113"/>
        <v>0</v>
      </c>
      <c r="BV124" s="2">
        <f t="shared" si="113"/>
        <v>0</v>
      </c>
      <c r="BW124" s="2">
        <f t="shared" si="113"/>
        <v>0</v>
      </c>
      <c r="BX124" s="2">
        <f t="shared" si="113"/>
        <v>0</v>
      </c>
      <c r="BY124" s="2">
        <f t="shared" si="113"/>
        <v>0</v>
      </c>
      <c r="BZ124" s="2">
        <f t="shared" si="113"/>
        <v>0</v>
      </c>
      <c r="CA124" s="2">
        <f t="shared" ref="CA124:DF124" si="114">CA134</f>
        <v>50044.91</v>
      </c>
      <c r="CB124" s="2">
        <f t="shared" si="114"/>
        <v>0</v>
      </c>
      <c r="CC124" s="2">
        <f t="shared" si="114"/>
        <v>0</v>
      </c>
      <c r="CD124" s="2">
        <f t="shared" si="114"/>
        <v>50044.91</v>
      </c>
      <c r="CE124" s="2">
        <f t="shared" si="114"/>
        <v>28943.22</v>
      </c>
      <c r="CF124" s="2">
        <f t="shared" si="114"/>
        <v>28943.22</v>
      </c>
      <c r="CG124" s="2">
        <f t="shared" si="114"/>
        <v>0</v>
      </c>
      <c r="CH124" s="2">
        <f t="shared" si="114"/>
        <v>28943.22</v>
      </c>
      <c r="CI124" s="2">
        <f t="shared" si="114"/>
        <v>0</v>
      </c>
      <c r="CJ124" s="2">
        <f t="shared" si="114"/>
        <v>0</v>
      </c>
      <c r="CK124" s="2">
        <f t="shared" si="114"/>
        <v>0</v>
      </c>
      <c r="CL124" s="2">
        <f t="shared" si="114"/>
        <v>0</v>
      </c>
      <c r="CM124" s="2">
        <f t="shared" si="114"/>
        <v>0</v>
      </c>
      <c r="CN124" s="2">
        <f t="shared" si="114"/>
        <v>0</v>
      </c>
      <c r="CO124" s="2">
        <f t="shared" si="114"/>
        <v>0</v>
      </c>
      <c r="CP124" s="2">
        <f t="shared" si="114"/>
        <v>0</v>
      </c>
      <c r="CQ124" s="2">
        <f t="shared" si="114"/>
        <v>0</v>
      </c>
      <c r="CR124" s="2">
        <f t="shared" si="114"/>
        <v>0</v>
      </c>
      <c r="CS124" s="2">
        <f t="shared" si="114"/>
        <v>0</v>
      </c>
      <c r="CT124" s="2">
        <f t="shared" si="114"/>
        <v>0</v>
      </c>
      <c r="CU124" s="2">
        <f t="shared" si="114"/>
        <v>0</v>
      </c>
      <c r="CV124" s="2">
        <f t="shared" si="114"/>
        <v>0</v>
      </c>
      <c r="CW124" s="2">
        <f t="shared" si="114"/>
        <v>0</v>
      </c>
      <c r="CX124" s="2">
        <f t="shared" si="114"/>
        <v>0</v>
      </c>
      <c r="CY124" s="2">
        <f t="shared" si="114"/>
        <v>0</v>
      </c>
      <c r="CZ124" s="2">
        <f t="shared" si="114"/>
        <v>0</v>
      </c>
      <c r="DA124" s="2">
        <f t="shared" si="114"/>
        <v>0</v>
      </c>
      <c r="DB124" s="2">
        <f t="shared" si="114"/>
        <v>0</v>
      </c>
      <c r="DC124" s="2">
        <f t="shared" si="114"/>
        <v>0</v>
      </c>
      <c r="DD124" s="2">
        <f t="shared" si="114"/>
        <v>0</v>
      </c>
      <c r="DE124" s="2">
        <f t="shared" si="114"/>
        <v>0</v>
      </c>
      <c r="DF124" s="2">
        <f t="shared" si="114"/>
        <v>0</v>
      </c>
      <c r="DG124" s="3">
        <f t="shared" ref="DG124:EL124" si="115">DG134</f>
        <v>0</v>
      </c>
      <c r="DH124" s="3">
        <f t="shared" si="115"/>
        <v>0</v>
      </c>
      <c r="DI124" s="3">
        <f t="shared" si="115"/>
        <v>0</v>
      </c>
      <c r="DJ124" s="3">
        <f t="shared" si="115"/>
        <v>0</v>
      </c>
      <c r="DK124" s="3">
        <f t="shared" si="115"/>
        <v>0</v>
      </c>
      <c r="DL124" s="3">
        <f t="shared" si="115"/>
        <v>0</v>
      </c>
      <c r="DM124" s="3">
        <f t="shared" si="115"/>
        <v>0</v>
      </c>
      <c r="DN124" s="3">
        <f t="shared" si="115"/>
        <v>0</v>
      </c>
      <c r="DO124" s="3">
        <f t="shared" si="115"/>
        <v>0</v>
      </c>
      <c r="DP124" s="3">
        <f t="shared" si="115"/>
        <v>0</v>
      </c>
      <c r="DQ124" s="3">
        <f t="shared" si="115"/>
        <v>0</v>
      </c>
      <c r="DR124" s="3">
        <f t="shared" si="115"/>
        <v>0</v>
      </c>
      <c r="DS124" s="3">
        <f t="shared" si="115"/>
        <v>0</v>
      </c>
      <c r="DT124" s="3">
        <f t="shared" si="115"/>
        <v>0</v>
      </c>
      <c r="DU124" s="3">
        <f t="shared" si="115"/>
        <v>0</v>
      </c>
      <c r="DV124" s="3">
        <f t="shared" si="115"/>
        <v>0</v>
      </c>
      <c r="DW124" s="3">
        <f t="shared" si="115"/>
        <v>0</v>
      </c>
      <c r="DX124" s="3">
        <f t="shared" si="115"/>
        <v>0</v>
      </c>
      <c r="DY124" s="3">
        <f t="shared" si="115"/>
        <v>0</v>
      </c>
      <c r="DZ124" s="3">
        <f t="shared" si="115"/>
        <v>0</v>
      </c>
      <c r="EA124" s="3">
        <f t="shared" si="115"/>
        <v>0</v>
      </c>
      <c r="EB124" s="3">
        <f t="shared" si="115"/>
        <v>0</v>
      </c>
      <c r="EC124" s="3">
        <f t="shared" si="115"/>
        <v>0</v>
      </c>
      <c r="ED124" s="3">
        <f t="shared" si="115"/>
        <v>0</v>
      </c>
      <c r="EE124" s="3">
        <f t="shared" si="115"/>
        <v>0</v>
      </c>
      <c r="EF124" s="3">
        <f t="shared" si="115"/>
        <v>0</v>
      </c>
      <c r="EG124" s="3">
        <f t="shared" si="115"/>
        <v>0</v>
      </c>
      <c r="EH124" s="3">
        <f t="shared" si="115"/>
        <v>0</v>
      </c>
      <c r="EI124" s="3">
        <f t="shared" si="115"/>
        <v>0</v>
      </c>
      <c r="EJ124" s="3">
        <f t="shared" si="115"/>
        <v>0</v>
      </c>
      <c r="EK124" s="3">
        <f t="shared" si="115"/>
        <v>0</v>
      </c>
      <c r="EL124" s="3">
        <f t="shared" si="115"/>
        <v>0</v>
      </c>
      <c r="EM124" s="3">
        <f t="shared" ref="EM124:FR124" si="116">EM134</f>
        <v>0</v>
      </c>
      <c r="EN124" s="3">
        <f t="shared" si="116"/>
        <v>0</v>
      </c>
      <c r="EO124" s="3">
        <f t="shared" si="116"/>
        <v>0</v>
      </c>
      <c r="EP124" s="3">
        <f t="shared" si="116"/>
        <v>0</v>
      </c>
      <c r="EQ124" s="3">
        <f t="shared" si="116"/>
        <v>0</v>
      </c>
      <c r="ER124" s="3">
        <f t="shared" si="116"/>
        <v>0</v>
      </c>
      <c r="ES124" s="3">
        <f t="shared" si="116"/>
        <v>0</v>
      </c>
      <c r="ET124" s="3">
        <f t="shared" si="116"/>
        <v>0</v>
      </c>
      <c r="EU124" s="3">
        <f t="shared" si="116"/>
        <v>0</v>
      </c>
      <c r="EV124" s="3">
        <f t="shared" si="116"/>
        <v>0</v>
      </c>
      <c r="EW124" s="3">
        <f t="shared" si="116"/>
        <v>0</v>
      </c>
      <c r="EX124" s="3">
        <f t="shared" si="116"/>
        <v>0</v>
      </c>
      <c r="EY124" s="3">
        <f t="shared" si="116"/>
        <v>0</v>
      </c>
      <c r="EZ124" s="3">
        <f t="shared" si="116"/>
        <v>0</v>
      </c>
      <c r="FA124" s="3">
        <f t="shared" si="116"/>
        <v>0</v>
      </c>
      <c r="FB124" s="3">
        <f t="shared" si="116"/>
        <v>0</v>
      </c>
      <c r="FC124" s="3">
        <f t="shared" si="116"/>
        <v>0</v>
      </c>
      <c r="FD124" s="3">
        <f t="shared" si="116"/>
        <v>0</v>
      </c>
      <c r="FE124" s="3">
        <f t="shared" si="116"/>
        <v>0</v>
      </c>
      <c r="FF124" s="3">
        <f t="shared" si="116"/>
        <v>0</v>
      </c>
      <c r="FG124" s="3">
        <f t="shared" si="116"/>
        <v>0</v>
      </c>
      <c r="FH124" s="3">
        <f t="shared" si="116"/>
        <v>0</v>
      </c>
      <c r="FI124" s="3">
        <f t="shared" si="116"/>
        <v>0</v>
      </c>
      <c r="FJ124" s="3">
        <f t="shared" si="116"/>
        <v>0</v>
      </c>
      <c r="FK124" s="3">
        <f t="shared" si="116"/>
        <v>0</v>
      </c>
      <c r="FL124" s="3">
        <f t="shared" si="116"/>
        <v>0</v>
      </c>
      <c r="FM124" s="3">
        <f t="shared" si="116"/>
        <v>0</v>
      </c>
      <c r="FN124" s="3">
        <f t="shared" si="116"/>
        <v>0</v>
      </c>
      <c r="FO124" s="3">
        <f t="shared" si="116"/>
        <v>0</v>
      </c>
      <c r="FP124" s="3">
        <f t="shared" si="116"/>
        <v>0</v>
      </c>
      <c r="FQ124" s="3">
        <f t="shared" si="116"/>
        <v>0</v>
      </c>
      <c r="FR124" s="3">
        <f t="shared" si="116"/>
        <v>0</v>
      </c>
      <c r="FS124" s="3">
        <f t="shared" ref="FS124:GX124" si="117">FS134</f>
        <v>0</v>
      </c>
      <c r="FT124" s="3">
        <f t="shared" si="117"/>
        <v>0</v>
      </c>
      <c r="FU124" s="3">
        <f t="shared" si="117"/>
        <v>0</v>
      </c>
      <c r="FV124" s="3">
        <f t="shared" si="117"/>
        <v>0</v>
      </c>
      <c r="FW124" s="3">
        <f t="shared" si="117"/>
        <v>0</v>
      </c>
      <c r="FX124" s="3">
        <f t="shared" si="117"/>
        <v>0</v>
      </c>
      <c r="FY124" s="3">
        <f t="shared" si="117"/>
        <v>0</v>
      </c>
      <c r="FZ124" s="3">
        <f t="shared" si="117"/>
        <v>0</v>
      </c>
      <c r="GA124" s="3">
        <f t="shared" si="117"/>
        <v>0</v>
      </c>
      <c r="GB124" s="3">
        <f t="shared" si="117"/>
        <v>0</v>
      </c>
      <c r="GC124" s="3">
        <f t="shared" si="117"/>
        <v>0</v>
      </c>
      <c r="GD124" s="3">
        <f t="shared" si="117"/>
        <v>0</v>
      </c>
      <c r="GE124" s="3">
        <f t="shared" si="117"/>
        <v>0</v>
      </c>
      <c r="GF124" s="3">
        <f t="shared" si="117"/>
        <v>0</v>
      </c>
      <c r="GG124" s="3">
        <f t="shared" si="117"/>
        <v>0</v>
      </c>
      <c r="GH124" s="3">
        <f t="shared" si="117"/>
        <v>0</v>
      </c>
      <c r="GI124" s="3">
        <f t="shared" si="117"/>
        <v>0</v>
      </c>
      <c r="GJ124" s="3">
        <f t="shared" si="117"/>
        <v>0</v>
      </c>
      <c r="GK124" s="3">
        <f t="shared" si="117"/>
        <v>0</v>
      </c>
      <c r="GL124" s="3">
        <f t="shared" si="117"/>
        <v>0</v>
      </c>
      <c r="GM124" s="3">
        <f t="shared" si="117"/>
        <v>0</v>
      </c>
      <c r="GN124" s="3">
        <f t="shared" si="117"/>
        <v>0</v>
      </c>
      <c r="GO124" s="3">
        <f t="shared" si="117"/>
        <v>0</v>
      </c>
      <c r="GP124" s="3">
        <f t="shared" si="117"/>
        <v>0</v>
      </c>
      <c r="GQ124" s="3">
        <f t="shared" si="117"/>
        <v>0</v>
      </c>
      <c r="GR124" s="3">
        <f t="shared" si="117"/>
        <v>0</v>
      </c>
      <c r="GS124" s="3">
        <f t="shared" si="117"/>
        <v>0</v>
      </c>
      <c r="GT124" s="3">
        <f t="shared" si="117"/>
        <v>0</v>
      </c>
      <c r="GU124" s="3">
        <f t="shared" si="117"/>
        <v>0</v>
      </c>
      <c r="GV124" s="3">
        <f t="shared" si="117"/>
        <v>0</v>
      </c>
      <c r="GW124" s="3">
        <f t="shared" si="117"/>
        <v>0</v>
      </c>
      <c r="GX124" s="3">
        <f t="shared" si="117"/>
        <v>0</v>
      </c>
    </row>
    <row r="126" spans="1:245">
      <c r="A126">
        <v>17</v>
      </c>
      <c r="B126">
        <v>1</v>
      </c>
      <c r="C126">
        <f>ROW(SmtRes!A46)</f>
        <v>46</v>
      </c>
      <c r="D126">
        <f>ROW(EtalonRes!A38)</f>
        <v>38</v>
      </c>
      <c r="E126" t="s">
        <v>158</v>
      </c>
      <c r="F126" t="s">
        <v>159</v>
      </c>
      <c r="G126" t="s">
        <v>160</v>
      </c>
      <c r="H126" t="s">
        <v>123</v>
      </c>
      <c r="I126">
        <f>ROUND((8*0.6)/10,9)</f>
        <v>0.48</v>
      </c>
      <c r="J126">
        <v>0</v>
      </c>
      <c r="O126">
        <f t="shared" ref="O126:O132" si="118">ROUND(CP126,2)</f>
        <v>6312.68</v>
      </c>
      <c r="P126">
        <f t="shared" ref="P126:P132" si="119">ROUND(CQ126*I126,2)</f>
        <v>3059.74</v>
      </c>
      <c r="Q126">
        <f t="shared" ref="Q126:Q132" si="120">ROUND(CR126*I126,2)</f>
        <v>265.08999999999997</v>
      </c>
      <c r="R126">
        <f t="shared" ref="R126:R132" si="121">ROUND(CS126*I126,2)</f>
        <v>146.38999999999999</v>
      </c>
      <c r="S126">
        <f t="shared" ref="S126:S132" si="122">ROUND(CT126*I126,2)</f>
        <v>2987.85</v>
      </c>
      <c r="T126">
        <f t="shared" ref="T126:T132" si="123">ROUND(CU126*I126,2)</f>
        <v>0</v>
      </c>
      <c r="U126">
        <f t="shared" ref="U126:U132" si="124">CV126*I126</f>
        <v>16.531199999999998</v>
      </c>
      <c r="V126">
        <f t="shared" ref="V126:V132" si="125">CW126*I126</f>
        <v>0</v>
      </c>
      <c r="W126">
        <f t="shared" ref="W126:W132" si="126">ROUND(CX126*I126,2)</f>
        <v>0</v>
      </c>
      <c r="X126">
        <f t="shared" ref="X126:Y132" si="127">ROUND(CY126,2)</f>
        <v>2091.5</v>
      </c>
      <c r="Y126">
        <f t="shared" si="127"/>
        <v>298.79000000000002</v>
      </c>
      <c r="AA126">
        <v>41858681</v>
      </c>
      <c r="AB126">
        <f t="shared" ref="AB126:AB132" si="128">ROUND((AC126+AD126+AF126),6)</f>
        <v>13151.41</v>
      </c>
      <c r="AC126">
        <f t="shared" ref="AC126:AC132" si="129">ROUND((ES126),6)</f>
        <v>6374.45</v>
      </c>
      <c r="AD126">
        <f t="shared" ref="AD126:AD132" si="130">ROUND((((ET126)-(EU126))+AE126),6)</f>
        <v>552.27</v>
      </c>
      <c r="AE126">
        <f t="shared" ref="AE126:AF132" si="131">ROUND((EU126),6)</f>
        <v>304.97000000000003</v>
      </c>
      <c r="AF126">
        <f t="shared" si="131"/>
        <v>6224.69</v>
      </c>
      <c r="AG126">
        <f t="shared" ref="AG126:AG132" si="132">ROUND((AP126),6)</f>
        <v>0</v>
      </c>
      <c r="AH126">
        <f t="shared" ref="AH126:AI132" si="133">(EW126)</f>
        <v>34.44</v>
      </c>
      <c r="AI126">
        <f t="shared" si="133"/>
        <v>0</v>
      </c>
      <c r="AJ126">
        <f t="shared" ref="AJ126:AJ132" si="134">(AS126)</f>
        <v>0</v>
      </c>
      <c r="AK126">
        <v>13151.41</v>
      </c>
      <c r="AL126">
        <v>6374.45</v>
      </c>
      <c r="AM126">
        <v>552.27</v>
      </c>
      <c r="AN126">
        <v>304.97000000000003</v>
      </c>
      <c r="AO126">
        <v>6224.69</v>
      </c>
      <c r="AP126">
        <v>0</v>
      </c>
      <c r="AQ126">
        <v>34.44</v>
      </c>
      <c r="AR126">
        <v>0</v>
      </c>
      <c r="AS126">
        <v>0</v>
      </c>
      <c r="AT126">
        <v>70</v>
      </c>
      <c r="AU126">
        <v>10</v>
      </c>
      <c r="AV126">
        <v>1</v>
      </c>
      <c r="AW126">
        <v>1</v>
      </c>
      <c r="AZ126">
        <v>1</v>
      </c>
      <c r="BA126">
        <v>1</v>
      </c>
      <c r="BB126">
        <v>1</v>
      </c>
      <c r="BC126">
        <v>1</v>
      </c>
      <c r="BD126" t="s">
        <v>3</v>
      </c>
      <c r="BE126" t="s">
        <v>3</v>
      </c>
      <c r="BF126" t="s">
        <v>3</v>
      </c>
      <c r="BG126" t="s">
        <v>3</v>
      </c>
      <c r="BH126">
        <v>0</v>
      </c>
      <c r="BI126">
        <v>4</v>
      </c>
      <c r="BJ126" t="s">
        <v>161</v>
      </c>
      <c r="BM126">
        <v>0</v>
      </c>
      <c r="BN126">
        <v>0</v>
      </c>
      <c r="BO126" t="s">
        <v>3</v>
      </c>
      <c r="BP126">
        <v>0</v>
      </c>
      <c r="BQ126">
        <v>1</v>
      </c>
      <c r="BR126">
        <v>0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 t="s">
        <v>3</v>
      </c>
      <c r="BZ126">
        <v>70</v>
      </c>
      <c r="CA126">
        <v>10</v>
      </c>
      <c r="CE126">
        <v>0</v>
      </c>
      <c r="CF126">
        <v>0</v>
      </c>
      <c r="CG126">
        <v>0</v>
      </c>
      <c r="CM126">
        <v>0</v>
      </c>
      <c r="CN126" t="s">
        <v>3</v>
      </c>
      <c r="CO126">
        <v>0</v>
      </c>
      <c r="CP126">
        <f t="shared" ref="CP126:CP132" si="135">(P126+Q126+S126)</f>
        <v>6312.68</v>
      </c>
      <c r="CQ126">
        <f t="shared" ref="CQ126:CQ132" si="136">(AC126*BC126*AW126)</f>
        <v>6374.45</v>
      </c>
      <c r="CR126">
        <f t="shared" ref="CR126:CR132" si="137">((((ET126)*BB126-(EU126)*BS126)+AE126*BS126)*AV126)</f>
        <v>552.27</v>
      </c>
      <c r="CS126">
        <f t="shared" ref="CS126:CS132" si="138">(AE126*BS126*AV126)</f>
        <v>304.97000000000003</v>
      </c>
      <c r="CT126">
        <f t="shared" ref="CT126:CT132" si="139">(AF126*BA126*AV126)</f>
        <v>6224.69</v>
      </c>
      <c r="CU126">
        <f t="shared" ref="CU126:CU132" si="140">AG126</f>
        <v>0</v>
      </c>
      <c r="CV126">
        <f t="shared" ref="CV126:CV132" si="141">(AH126*AV126)</f>
        <v>34.44</v>
      </c>
      <c r="CW126">
        <f t="shared" ref="CW126:CX132" si="142">AI126</f>
        <v>0</v>
      </c>
      <c r="CX126">
        <f t="shared" si="142"/>
        <v>0</v>
      </c>
      <c r="CY126">
        <f t="shared" ref="CY126:CY132" si="143">((S126*BZ126)/100)</f>
        <v>2091.4949999999999</v>
      </c>
      <c r="CZ126">
        <f t="shared" ref="CZ126:CZ132" si="144">((S126*CA126)/100)</f>
        <v>298.78500000000003</v>
      </c>
      <c r="DC126" t="s">
        <v>3</v>
      </c>
      <c r="DD126" t="s">
        <v>3</v>
      </c>
      <c r="DE126" t="s">
        <v>3</v>
      </c>
      <c r="DF126" t="s">
        <v>3</v>
      </c>
      <c r="DG126" t="s">
        <v>3</v>
      </c>
      <c r="DH126" t="s">
        <v>3</v>
      </c>
      <c r="DI126" t="s">
        <v>3</v>
      </c>
      <c r="DJ126" t="s">
        <v>3</v>
      </c>
      <c r="DK126" t="s">
        <v>3</v>
      </c>
      <c r="DL126" t="s">
        <v>3</v>
      </c>
      <c r="DM126" t="s">
        <v>3</v>
      </c>
      <c r="DN126">
        <v>0</v>
      </c>
      <c r="DO126">
        <v>0</v>
      </c>
      <c r="DP126">
        <v>1</v>
      </c>
      <c r="DQ126">
        <v>1</v>
      </c>
      <c r="DU126">
        <v>1013</v>
      </c>
      <c r="DV126" t="s">
        <v>123</v>
      </c>
      <c r="DW126" t="s">
        <v>123</v>
      </c>
      <c r="DX126">
        <v>1</v>
      </c>
      <c r="EE126">
        <v>40050625</v>
      </c>
      <c r="EF126">
        <v>1</v>
      </c>
      <c r="EG126" t="s">
        <v>19</v>
      </c>
      <c r="EH126">
        <v>0</v>
      </c>
      <c r="EI126" t="s">
        <v>3</v>
      </c>
      <c r="EJ126">
        <v>4</v>
      </c>
      <c r="EK126">
        <v>0</v>
      </c>
      <c r="EL126" t="s">
        <v>20</v>
      </c>
      <c r="EM126" t="s">
        <v>21</v>
      </c>
      <c r="EO126" t="s">
        <v>3</v>
      </c>
      <c r="EQ126">
        <v>0</v>
      </c>
      <c r="ER126">
        <v>13151.41</v>
      </c>
      <c r="ES126">
        <v>6374.45</v>
      </c>
      <c r="ET126">
        <v>552.27</v>
      </c>
      <c r="EU126">
        <v>304.97000000000003</v>
      </c>
      <c r="EV126">
        <v>6224.69</v>
      </c>
      <c r="EW126">
        <v>34.44</v>
      </c>
      <c r="EX126">
        <v>0</v>
      </c>
      <c r="EY126">
        <v>0</v>
      </c>
      <c r="FQ126">
        <v>0</v>
      </c>
      <c r="FR126">
        <f t="shared" ref="FR126:FR132" si="145">ROUND(IF(AND(BH126=3,BI126=3),P126,0),2)</f>
        <v>0</v>
      </c>
      <c r="FS126">
        <v>0</v>
      </c>
      <c r="FX126">
        <v>70</v>
      </c>
      <c r="FY126">
        <v>10</v>
      </c>
      <c r="GA126" t="s">
        <v>3</v>
      </c>
      <c r="GD126">
        <v>0</v>
      </c>
      <c r="GF126">
        <v>-1796127192</v>
      </c>
      <c r="GG126">
        <v>2</v>
      </c>
      <c r="GH126">
        <v>1</v>
      </c>
      <c r="GI126">
        <v>-2</v>
      </c>
      <c r="GJ126">
        <v>0</v>
      </c>
      <c r="GK126">
        <f>ROUND(R126*(R12)/100,2)</f>
        <v>158.1</v>
      </c>
      <c r="GL126">
        <f t="shared" ref="GL126:GL132" si="146">ROUND(IF(AND(BH126=3,BI126=3,FS126&lt;&gt;0),P126,0),2)</f>
        <v>0</v>
      </c>
      <c r="GM126">
        <f t="shared" ref="GM126:GM132" si="147">ROUND(O126+X126+Y126+GK126,2)+GX126</f>
        <v>8861.07</v>
      </c>
      <c r="GN126">
        <f t="shared" ref="GN126:GN132" si="148">IF(OR(BI126=0,BI126=1),ROUND(O126+X126+Y126+GK126,2),0)</f>
        <v>0</v>
      </c>
      <c r="GO126">
        <f t="shared" ref="GO126:GO132" si="149">IF(BI126=2,ROUND(O126+X126+Y126+GK126,2),0)</f>
        <v>0</v>
      </c>
      <c r="GP126">
        <f t="shared" ref="GP126:GP132" si="150">IF(BI126=4,ROUND(O126+X126+Y126+GK126,2)+GX126,0)</f>
        <v>8861.07</v>
      </c>
      <c r="GR126">
        <v>0</v>
      </c>
      <c r="GS126">
        <v>0</v>
      </c>
      <c r="GT126">
        <v>0</v>
      </c>
      <c r="GU126" t="s">
        <v>3</v>
      </c>
      <c r="GV126">
        <f t="shared" ref="GV126:GV132" si="151">ROUND((GT126),6)</f>
        <v>0</v>
      </c>
      <c r="GW126">
        <v>1</v>
      </c>
      <c r="GX126">
        <f t="shared" ref="GX126:GX132" si="152">ROUND(HC126*I126,2)</f>
        <v>0</v>
      </c>
      <c r="HA126">
        <v>0</v>
      </c>
      <c r="HB126">
        <v>0</v>
      </c>
      <c r="HC126">
        <f t="shared" ref="HC126:HC132" si="153">GV126*GW126</f>
        <v>0</v>
      </c>
      <c r="IK126">
        <v>0</v>
      </c>
    </row>
    <row r="127" spans="1:245">
      <c r="A127">
        <v>17</v>
      </c>
      <c r="B127">
        <v>1</v>
      </c>
      <c r="C127">
        <f>ROW(SmtRes!A49)</f>
        <v>49</v>
      </c>
      <c r="D127">
        <f>ROW(EtalonRes!A41)</f>
        <v>41</v>
      </c>
      <c r="E127" t="s">
        <v>162</v>
      </c>
      <c r="F127" t="s">
        <v>163</v>
      </c>
      <c r="G127" t="s">
        <v>164</v>
      </c>
      <c r="H127" t="s">
        <v>123</v>
      </c>
      <c r="I127">
        <f>ROUND((8*0.4)/10,9)</f>
        <v>0.32</v>
      </c>
      <c r="J127">
        <v>0</v>
      </c>
      <c r="O127">
        <f t="shared" si="118"/>
        <v>5437.73</v>
      </c>
      <c r="P127">
        <f t="shared" si="119"/>
        <v>2039.82</v>
      </c>
      <c r="Q127">
        <f t="shared" si="120"/>
        <v>0</v>
      </c>
      <c r="R127">
        <f t="shared" si="121"/>
        <v>0</v>
      </c>
      <c r="S127">
        <f t="shared" si="122"/>
        <v>3397.91</v>
      </c>
      <c r="T127">
        <f t="shared" si="123"/>
        <v>0</v>
      </c>
      <c r="U127">
        <f t="shared" si="124"/>
        <v>18.8</v>
      </c>
      <c r="V127">
        <f t="shared" si="125"/>
        <v>0</v>
      </c>
      <c r="W127">
        <f t="shared" si="126"/>
        <v>0</v>
      </c>
      <c r="X127">
        <f t="shared" si="127"/>
        <v>2378.54</v>
      </c>
      <c r="Y127">
        <f t="shared" si="127"/>
        <v>339.79</v>
      </c>
      <c r="AA127">
        <v>41858681</v>
      </c>
      <c r="AB127">
        <f t="shared" si="128"/>
        <v>16992.93</v>
      </c>
      <c r="AC127">
        <f t="shared" si="129"/>
        <v>6374.45</v>
      </c>
      <c r="AD127">
        <f t="shared" si="130"/>
        <v>0</v>
      </c>
      <c r="AE127">
        <f t="shared" si="131"/>
        <v>0</v>
      </c>
      <c r="AF127">
        <f t="shared" si="131"/>
        <v>10618.48</v>
      </c>
      <c r="AG127">
        <f t="shared" si="132"/>
        <v>0</v>
      </c>
      <c r="AH127">
        <f t="shared" si="133"/>
        <v>58.75</v>
      </c>
      <c r="AI127">
        <f t="shared" si="133"/>
        <v>0</v>
      </c>
      <c r="AJ127">
        <f t="shared" si="134"/>
        <v>0</v>
      </c>
      <c r="AK127">
        <v>16992.93</v>
      </c>
      <c r="AL127">
        <v>6374.45</v>
      </c>
      <c r="AM127">
        <v>0</v>
      </c>
      <c r="AN127">
        <v>0</v>
      </c>
      <c r="AO127">
        <v>10618.48</v>
      </c>
      <c r="AP127">
        <v>0</v>
      </c>
      <c r="AQ127">
        <v>58.75</v>
      </c>
      <c r="AR127">
        <v>0</v>
      </c>
      <c r="AS127">
        <v>0</v>
      </c>
      <c r="AT127">
        <v>70</v>
      </c>
      <c r="AU127">
        <v>10</v>
      </c>
      <c r="AV127">
        <v>1</v>
      </c>
      <c r="AW127">
        <v>1</v>
      </c>
      <c r="AZ127">
        <v>1</v>
      </c>
      <c r="BA127">
        <v>1</v>
      </c>
      <c r="BB127">
        <v>1</v>
      </c>
      <c r="BC127">
        <v>1</v>
      </c>
      <c r="BD127" t="s">
        <v>3</v>
      </c>
      <c r="BE127" t="s">
        <v>3</v>
      </c>
      <c r="BF127" t="s">
        <v>3</v>
      </c>
      <c r="BG127" t="s">
        <v>3</v>
      </c>
      <c r="BH127">
        <v>0</v>
      </c>
      <c r="BI127">
        <v>4</v>
      </c>
      <c r="BJ127" t="s">
        <v>165</v>
      </c>
      <c r="BM127">
        <v>0</v>
      </c>
      <c r="BN127">
        <v>0</v>
      </c>
      <c r="BO127" t="s">
        <v>3</v>
      </c>
      <c r="BP127">
        <v>0</v>
      </c>
      <c r="BQ127">
        <v>1</v>
      </c>
      <c r="BR127">
        <v>0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 t="s">
        <v>3</v>
      </c>
      <c r="BZ127">
        <v>70</v>
      </c>
      <c r="CA127">
        <v>10</v>
      </c>
      <c r="CE127">
        <v>0</v>
      </c>
      <c r="CF127">
        <v>0</v>
      </c>
      <c r="CG127">
        <v>0</v>
      </c>
      <c r="CM127">
        <v>0</v>
      </c>
      <c r="CN127" t="s">
        <v>3</v>
      </c>
      <c r="CO127">
        <v>0</v>
      </c>
      <c r="CP127">
        <f t="shared" si="135"/>
        <v>5437.73</v>
      </c>
      <c r="CQ127">
        <f t="shared" si="136"/>
        <v>6374.45</v>
      </c>
      <c r="CR127">
        <f t="shared" si="137"/>
        <v>0</v>
      </c>
      <c r="CS127">
        <f t="shared" si="138"/>
        <v>0</v>
      </c>
      <c r="CT127">
        <f t="shared" si="139"/>
        <v>10618.48</v>
      </c>
      <c r="CU127">
        <f t="shared" si="140"/>
        <v>0</v>
      </c>
      <c r="CV127">
        <f t="shared" si="141"/>
        <v>58.75</v>
      </c>
      <c r="CW127">
        <f t="shared" si="142"/>
        <v>0</v>
      </c>
      <c r="CX127">
        <f t="shared" si="142"/>
        <v>0</v>
      </c>
      <c r="CY127">
        <f t="shared" si="143"/>
        <v>2378.5369999999998</v>
      </c>
      <c r="CZ127">
        <f t="shared" si="144"/>
        <v>339.791</v>
      </c>
      <c r="DC127" t="s">
        <v>3</v>
      </c>
      <c r="DD127" t="s">
        <v>3</v>
      </c>
      <c r="DE127" t="s">
        <v>3</v>
      </c>
      <c r="DF127" t="s">
        <v>3</v>
      </c>
      <c r="DG127" t="s">
        <v>3</v>
      </c>
      <c r="DH127" t="s">
        <v>3</v>
      </c>
      <c r="DI127" t="s">
        <v>3</v>
      </c>
      <c r="DJ127" t="s">
        <v>3</v>
      </c>
      <c r="DK127" t="s">
        <v>3</v>
      </c>
      <c r="DL127" t="s">
        <v>3</v>
      </c>
      <c r="DM127" t="s">
        <v>3</v>
      </c>
      <c r="DN127">
        <v>0</v>
      </c>
      <c r="DO127">
        <v>0</v>
      </c>
      <c r="DP127">
        <v>1</v>
      </c>
      <c r="DQ127">
        <v>1</v>
      </c>
      <c r="DU127">
        <v>1013</v>
      </c>
      <c r="DV127" t="s">
        <v>123</v>
      </c>
      <c r="DW127" t="s">
        <v>123</v>
      </c>
      <c r="DX127">
        <v>1</v>
      </c>
      <c r="EE127">
        <v>40050625</v>
      </c>
      <c r="EF127">
        <v>1</v>
      </c>
      <c r="EG127" t="s">
        <v>19</v>
      </c>
      <c r="EH127">
        <v>0</v>
      </c>
      <c r="EI127" t="s">
        <v>3</v>
      </c>
      <c r="EJ127">
        <v>4</v>
      </c>
      <c r="EK127">
        <v>0</v>
      </c>
      <c r="EL127" t="s">
        <v>20</v>
      </c>
      <c r="EM127" t="s">
        <v>21</v>
      </c>
      <c r="EO127" t="s">
        <v>3</v>
      </c>
      <c r="EQ127">
        <v>0</v>
      </c>
      <c r="ER127">
        <v>16992.93</v>
      </c>
      <c r="ES127">
        <v>6374.45</v>
      </c>
      <c r="ET127">
        <v>0</v>
      </c>
      <c r="EU127">
        <v>0</v>
      </c>
      <c r="EV127">
        <v>10618.48</v>
      </c>
      <c r="EW127">
        <v>58.75</v>
      </c>
      <c r="EX127">
        <v>0</v>
      </c>
      <c r="EY127">
        <v>0</v>
      </c>
      <c r="FQ127">
        <v>0</v>
      </c>
      <c r="FR127">
        <f t="shared" si="145"/>
        <v>0</v>
      </c>
      <c r="FS127">
        <v>0</v>
      </c>
      <c r="FX127">
        <v>70</v>
      </c>
      <c r="FY127">
        <v>10</v>
      </c>
      <c r="GA127" t="s">
        <v>3</v>
      </c>
      <c r="GD127">
        <v>0</v>
      </c>
      <c r="GF127">
        <v>-746871637</v>
      </c>
      <c r="GG127">
        <v>2</v>
      </c>
      <c r="GH127">
        <v>1</v>
      </c>
      <c r="GI127">
        <v>-2</v>
      </c>
      <c r="GJ127">
        <v>0</v>
      </c>
      <c r="GK127">
        <f>ROUND(R127*(R12)/100,2)</f>
        <v>0</v>
      </c>
      <c r="GL127">
        <f t="shared" si="146"/>
        <v>0</v>
      </c>
      <c r="GM127">
        <f t="shared" si="147"/>
        <v>8156.06</v>
      </c>
      <c r="GN127">
        <f t="shared" si="148"/>
        <v>0</v>
      </c>
      <c r="GO127">
        <f t="shared" si="149"/>
        <v>0</v>
      </c>
      <c r="GP127">
        <f t="shared" si="150"/>
        <v>8156.06</v>
      </c>
      <c r="GR127">
        <v>0</v>
      </c>
      <c r="GS127">
        <v>0</v>
      </c>
      <c r="GT127">
        <v>0</v>
      </c>
      <c r="GU127" t="s">
        <v>3</v>
      </c>
      <c r="GV127">
        <f t="shared" si="151"/>
        <v>0</v>
      </c>
      <c r="GW127">
        <v>1</v>
      </c>
      <c r="GX127">
        <f t="shared" si="152"/>
        <v>0</v>
      </c>
      <c r="HA127">
        <v>0</v>
      </c>
      <c r="HB127">
        <v>0</v>
      </c>
      <c r="HC127">
        <f t="shared" si="153"/>
        <v>0</v>
      </c>
      <c r="IK127">
        <v>0</v>
      </c>
    </row>
    <row r="128" spans="1:245">
      <c r="A128">
        <v>17</v>
      </c>
      <c r="B128">
        <v>1</v>
      </c>
      <c r="C128">
        <f>ROW(SmtRes!A50)</f>
        <v>50</v>
      </c>
      <c r="D128">
        <f>ROW(EtalonRes!A42)</f>
        <v>42</v>
      </c>
      <c r="E128" t="s">
        <v>166</v>
      </c>
      <c r="F128" t="s">
        <v>130</v>
      </c>
      <c r="G128" t="s">
        <v>336</v>
      </c>
      <c r="H128" t="s">
        <v>17</v>
      </c>
      <c r="I128">
        <f>ROUND(33.9/100,9)</f>
        <v>0.33900000000000002</v>
      </c>
      <c r="J128">
        <v>0</v>
      </c>
      <c r="O128">
        <f t="shared" si="118"/>
        <v>100.55</v>
      </c>
      <c r="P128">
        <f t="shared" si="119"/>
        <v>0</v>
      </c>
      <c r="Q128">
        <f t="shared" si="120"/>
        <v>100.55</v>
      </c>
      <c r="R128">
        <f t="shared" si="121"/>
        <v>37.770000000000003</v>
      </c>
      <c r="S128">
        <f t="shared" si="122"/>
        <v>0</v>
      </c>
      <c r="T128">
        <f t="shared" si="123"/>
        <v>0</v>
      </c>
      <c r="U128">
        <f t="shared" si="124"/>
        <v>0</v>
      </c>
      <c r="V128">
        <f t="shared" si="125"/>
        <v>0</v>
      </c>
      <c r="W128">
        <f t="shared" si="126"/>
        <v>0</v>
      </c>
      <c r="X128">
        <f t="shared" si="127"/>
        <v>0</v>
      </c>
      <c r="Y128">
        <f t="shared" si="127"/>
        <v>0</v>
      </c>
      <c r="AA128">
        <v>41858681</v>
      </c>
      <c r="AB128">
        <f t="shared" si="128"/>
        <v>296.60000000000002</v>
      </c>
      <c r="AC128">
        <f t="shared" si="129"/>
        <v>0</v>
      </c>
      <c r="AD128">
        <f t="shared" si="130"/>
        <v>296.60000000000002</v>
      </c>
      <c r="AE128">
        <f t="shared" si="131"/>
        <v>111.43</v>
      </c>
      <c r="AF128">
        <f t="shared" si="131"/>
        <v>0</v>
      </c>
      <c r="AG128">
        <f t="shared" si="132"/>
        <v>0</v>
      </c>
      <c r="AH128">
        <f t="shared" si="133"/>
        <v>0</v>
      </c>
      <c r="AI128">
        <f t="shared" si="133"/>
        <v>0</v>
      </c>
      <c r="AJ128">
        <f t="shared" si="134"/>
        <v>0</v>
      </c>
      <c r="AK128">
        <v>296.60000000000002</v>
      </c>
      <c r="AL128">
        <v>0</v>
      </c>
      <c r="AM128">
        <v>296.60000000000002</v>
      </c>
      <c r="AN128">
        <v>111.43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70</v>
      </c>
      <c r="AU128">
        <v>10</v>
      </c>
      <c r="AV128">
        <v>1</v>
      </c>
      <c r="AW128">
        <v>1</v>
      </c>
      <c r="AZ128">
        <v>1</v>
      </c>
      <c r="BA128">
        <v>1</v>
      </c>
      <c r="BB128">
        <v>1</v>
      </c>
      <c r="BC128">
        <v>1</v>
      </c>
      <c r="BD128" t="s">
        <v>3</v>
      </c>
      <c r="BE128" t="s">
        <v>3</v>
      </c>
      <c r="BF128" t="s">
        <v>3</v>
      </c>
      <c r="BG128" t="s">
        <v>3</v>
      </c>
      <c r="BH128">
        <v>0</v>
      </c>
      <c r="BI128">
        <v>4</v>
      </c>
      <c r="BJ128" t="s">
        <v>131</v>
      </c>
      <c r="BM128">
        <v>0</v>
      </c>
      <c r="BN128">
        <v>0</v>
      </c>
      <c r="BO128" t="s">
        <v>3</v>
      </c>
      <c r="BP128">
        <v>0</v>
      </c>
      <c r="BQ128">
        <v>1</v>
      </c>
      <c r="BR128">
        <v>0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 t="s">
        <v>3</v>
      </c>
      <c r="BZ128">
        <v>70</v>
      </c>
      <c r="CA128">
        <v>10</v>
      </c>
      <c r="CE128">
        <v>0</v>
      </c>
      <c r="CF128">
        <v>0</v>
      </c>
      <c r="CG128">
        <v>0</v>
      </c>
      <c r="CM128">
        <v>0</v>
      </c>
      <c r="CN128" t="s">
        <v>3</v>
      </c>
      <c r="CO128">
        <v>0</v>
      </c>
      <c r="CP128">
        <f t="shared" si="135"/>
        <v>100.55</v>
      </c>
      <c r="CQ128">
        <f t="shared" si="136"/>
        <v>0</v>
      </c>
      <c r="CR128">
        <f t="shared" si="137"/>
        <v>296.60000000000002</v>
      </c>
      <c r="CS128">
        <f t="shared" si="138"/>
        <v>111.43</v>
      </c>
      <c r="CT128">
        <f t="shared" si="139"/>
        <v>0</v>
      </c>
      <c r="CU128">
        <f t="shared" si="140"/>
        <v>0</v>
      </c>
      <c r="CV128">
        <f t="shared" si="141"/>
        <v>0</v>
      </c>
      <c r="CW128">
        <f t="shared" si="142"/>
        <v>0</v>
      </c>
      <c r="CX128">
        <f t="shared" si="142"/>
        <v>0</v>
      </c>
      <c r="CY128">
        <f t="shared" si="143"/>
        <v>0</v>
      </c>
      <c r="CZ128">
        <f t="shared" si="144"/>
        <v>0</v>
      </c>
      <c r="DC128" t="s">
        <v>3</v>
      </c>
      <c r="DD128" t="s">
        <v>3</v>
      </c>
      <c r="DE128" t="s">
        <v>3</v>
      </c>
      <c r="DF128" t="s">
        <v>3</v>
      </c>
      <c r="DG128" t="s">
        <v>3</v>
      </c>
      <c r="DH128" t="s">
        <v>3</v>
      </c>
      <c r="DI128" t="s">
        <v>3</v>
      </c>
      <c r="DJ128" t="s">
        <v>3</v>
      </c>
      <c r="DK128" t="s">
        <v>3</v>
      </c>
      <c r="DL128" t="s">
        <v>3</v>
      </c>
      <c r="DM128" t="s">
        <v>3</v>
      </c>
      <c r="DN128">
        <v>0</v>
      </c>
      <c r="DO128">
        <v>0</v>
      </c>
      <c r="DP128">
        <v>1</v>
      </c>
      <c r="DQ128">
        <v>1</v>
      </c>
      <c r="DU128">
        <v>1005</v>
      </c>
      <c r="DV128" t="s">
        <v>17</v>
      </c>
      <c r="DW128" t="s">
        <v>17</v>
      </c>
      <c r="DX128">
        <v>100</v>
      </c>
      <c r="EE128">
        <v>40050625</v>
      </c>
      <c r="EF128">
        <v>1</v>
      </c>
      <c r="EG128" t="s">
        <v>19</v>
      </c>
      <c r="EH128">
        <v>0</v>
      </c>
      <c r="EI128" t="s">
        <v>3</v>
      </c>
      <c r="EJ128">
        <v>4</v>
      </c>
      <c r="EK128">
        <v>0</v>
      </c>
      <c r="EL128" t="s">
        <v>20</v>
      </c>
      <c r="EM128" t="s">
        <v>21</v>
      </c>
      <c r="EO128" t="s">
        <v>3</v>
      </c>
      <c r="EQ128">
        <v>0</v>
      </c>
      <c r="ER128">
        <v>296.60000000000002</v>
      </c>
      <c r="ES128">
        <v>0</v>
      </c>
      <c r="ET128">
        <v>296.60000000000002</v>
      </c>
      <c r="EU128">
        <v>111.43</v>
      </c>
      <c r="EV128">
        <v>0</v>
      </c>
      <c r="EW128">
        <v>0</v>
      </c>
      <c r="EX128">
        <v>0</v>
      </c>
      <c r="EY128">
        <v>0</v>
      </c>
      <c r="FQ128">
        <v>0</v>
      </c>
      <c r="FR128">
        <f t="shared" si="145"/>
        <v>0</v>
      </c>
      <c r="FS128">
        <v>0</v>
      </c>
      <c r="FX128">
        <v>70</v>
      </c>
      <c r="FY128">
        <v>10</v>
      </c>
      <c r="GA128" t="s">
        <v>3</v>
      </c>
      <c r="GD128">
        <v>0</v>
      </c>
      <c r="GF128">
        <v>-1595942821</v>
      </c>
      <c r="GG128">
        <v>2</v>
      </c>
      <c r="GH128">
        <v>1</v>
      </c>
      <c r="GI128">
        <v>-2</v>
      </c>
      <c r="GJ128">
        <v>0</v>
      </c>
      <c r="GK128">
        <f>ROUND(R128*(R12)/100,2)</f>
        <v>40.79</v>
      </c>
      <c r="GL128">
        <f t="shared" si="146"/>
        <v>0</v>
      </c>
      <c r="GM128">
        <f t="shared" si="147"/>
        <v>141.34</v>
      </c>
      <c r="GN128">
        <f t="shared" si="148"/>
        <v>0</v>
      </c>
      <c r="GO128">
        <f t="shared" si="149"/>
        <v>0</v>
      </c>
      <c r="GP128">
        <f t="shared" si="150"/>
        <v>141.34</v>
      </c>
      <c r="GR128">
        <v>0</v>
      </c>
      <c r="GS128">
        <v>0</v>
      </c>
      <c r="GT128">
        <v>0</v>
      </c>
      <c r="GU128" t="s">
        <v>3</v>
      </c>
      <c r="GV128">
        <f t="shared" si="151"/>
        <v>0</v>
      </c>
      <c r="GW128">
        <v>1</v>
      </c>
      <c r="GX128">
        <f t="shared" si="152"/>
        <v>0</v>
      </c>
      <c r="HA128">
        <v>0</v>
      </c>
      <c r="HB128">
        <v>0</v>
      </c>
      <c r="HC128">
        <f t="shared" si="153"/>
        <v>0</v>
      </c>
      <c r="IK128">
        <v>0</v>
      </c>
    </row>
    <row r="129" spans="1:245">
      <c r="A129">
        <v>17</v>
      </c>
      <c r="B129">
        <v>1</v>
      </c>
      <c r="C129">
        <f>ROW(SmtRes!A51)</f>
        <v>51</v>
      </c>
      <c r="D129">
        <f>ROW(EtalonRes!A43)</f>
        <v>43</v>
      </c>
      <c r="E129" t="s">
        <v>167</v>
      </c>
      <c r="F129" t="s">
        <v>133</v>
      </c>
      <c r="G129" t="s">
        <v>168</v>
      </c>
      <c r="H129" t="s">
        <v>17</v>
      </c>
      <c r="I129">
        <f>ROUND(11.3/100,9)</f>
        <v>0.113</v>
      </c>
      <c r="J129">
        <v>0</v>
      </c>
      <c r="O129">
        <f t="shared" si="118"/>
        <v>239.57</v>
      </c>
      <c r="P129">
        <f t="shared" si="119"/>
        <v>0</v>
      </c>
      <c r="Q129">
        <f t="shared" si="120"/>
        <v>0</v>
      </c>
      <c r="R129">
        <f t="shared" si="121"/>
        <v>0</v>
      </c>
      <c r="S129">
        <f t="shared" si="122"/>
        <v>239.57</v>
      </c>
      <c r="T129">
        <f t="shared" si="123"/>
        <v>0</v>
      </c>
      <c r="U129">
        <f t="shared" si="124"/>
        <v>1.3254900000000001</v>
      </c>
      <c r="V129">
        <f t="shared" si="125"/>
        <v>0</v>
      </c>
      <c r="W129">
        <f t="shared" si="126"/>
        <v>0</v>
      </c>
      <c r="X129">
        <f t="shared" si="127"/>
        <v>167.7</v>
      </c>
      <c r="Y129">
        <f t="shared" si="127"/>
        <v>23.96</v>
      </c>
      <c r="AA129">
        <v>41858681</v>
      </c>
      <c r="AB129">
        <f t="shared" si="128"/>
        <v>2120.08</v>
      </c>
      <c r="AC129">
        <f t="shared" si="129"/>
        <v>0</v>
      </c>
      <c r="AD129">
        <f t="shared" si="130"/>
        <v>0</v>
      </c>
      <c r="AE129">
        <f t="shared" si="131"/>
        <v>0</v>
      </c>
      <c r="AF129">
        <f t="shared" si="131"/>
        <v>2120.08</v>
      </c>
      <c r="AG129">
        <f t="shared" si="132"/>
        <v>0</v>
      </c>
      <c r="AH129">
        <f t="shared" si="133"/>
        <v>11.73</v>
      </c>
      <c r="AI129">
        <f t="shared" si="133"/>
        <v>0</v>
      </c>
      <c r="AJ129">
        <f t="shared" si="134"/>
        <v>0</v>
      </c>
      <c r="AK129">
        <v>2120.08</v>
      </c>
      <c r="AL129">
        <v>0</v>
      </c>
      <c r="AM129">
        <v>0</v>
      </c>
      <c r="AN129">
        <v>0</v>
      </c>
      <c r="AO129">
        <v>2120.08</v>
      </c>
      <c r="AP129">
        <v>0</v>
      </c>
      <c r="AQ129">
        <v>11.73</v>
      </c>
      <c r="AR129">
        <v>0</v>
      </c>
      <c r="AS129">
        <v>0</v>
      </c>
      <c r="AT129">
        <v>70</v>
      </c>
      <c r="AU129">
        <v>10</v>
      </c>
      <c r="AV129">
        <v>1</v>
      </c>
      <c r="AW129">
        <v>1</v>
      </c>
      <c r="AZ129">
        <v>1</v>
      </c>
      <c r="BA129">
        <v>1</v>
      </c>
      <c r="BB129">
        <v>1</v>
      </c>
      <c r="BC129">
        <v>1</v>
      </c>
      <c r="BD129" t="s">
        <v>3</v>
      </c>
      <c r="BE129" t="s">
        <v>3</v>
      </c>
      <c r="BF129" t="s">
        <v>3</v>
      </c>
      <c r="BG129" t="s">
        <v>3</v>
      </c>
      <c r="BH129">
        <v>0</v>
      </c>
      <c r="BI129">
        <v>4</v>
      </c>
      <c r="BJ129" t="s">
        <v>135</v>
      </c>
      <c r="BM129">
        <v>0</v>
      </c>
      <c r="BN129">
        <v>0</v>
      </c>
      <c r="BO129" t="s">
        <v>3</v>
      </c>
      <c r="BP129">
        <v>0</v>
      </c>
      <c r="BQ129">
        <v>1</v>
      </c>
      <c r="BR129">
        <v>0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 t="s">
        <v>3</v>
      </c>
      <c r="BZ129">
        <v>70</v>
      </c>
      <c r="CA129">
        <v>10</v>
      </c>
      <c r="CE129">
        <v>0</v>
      </c>
      <c r="CF129">
        <v>0</v>
      </c>
      <c r="CG129">
        <v>0</v>
      </c>
      <c r="CM129">
        <v>0</v>
      </c>
      <c r="CN129" t="s">
        <v>3</v>
      </c>
      <c r="CO129">
        <v>0</v>
      </c>
      <c r="CP129">
        <f t="shared" si="135"/>
        <v>239.57</v>
      </c>
      <c r="CQ129">
        <f t="shared" si="136"/>
        <v>0</v>
      </c>
      <c r="CR129">
        <f t="shared" si="137"/>
        <v>0</v>
      </c>
      <c r="CS129">
        <f t="shared" si="138"/>
        <v>0</v>
      </c>
      <c r="CT129">
        <f t="shared" si="139"/>
        <v>2120.08</v>
      </c>
      <c r="CU129">
        <f t="shared" si="140"/>
        <v>0</v>
      </c>
      <c r="CV129">
        <f t="shared" si="141"/>
        <v>11.73</v>
      </c>
      <c r="CW129">
        <f t="shared" si="142"/>
        <v>0</v>
      </c>
      <c r="CX129">
        <f t="shared" si="142"/>
        <v>0</v>
      </c>
      <c r="CY129">
        <f t="shared" si="143"/>
        <v>167.69899999999998</v>
      </c>
      <c r="CZ129">
        <f t="shared" si="144"/>
        <v>23.956999999999997</v>
      </c>
      <c r="DC129" t="s">
        <v>3</v>
      </c>
      <c r="DD129" t="s">
        <v>3</v>
      </c>
      <c r="DE129" t="s">
        <v>3</v>
      </c>
      <c r="DF129" t="s">
        <v>3</v>
      </c>
      <c r="DG129" t="s">
        <v>3</v>
      </c>
      <c r="DH129" t="s">
        <v>3</v>
      </c>
      <c r="DI129" t="s">
        <v>3</v>
      </c>
      <c r="DJ129" t="s">
        <v>3</v>
      </c>
      <c r="DK129" t="s">
        <v>3</v>
      </c>
      <c r="DL129" t="s">
        <v>3</v>
      </c>
      <c r="DM129" t="s">
        <v>3</v>
      </c>
      <c r="DN129">
        <v>0</v>
      </c>
      <c r="DO129">
        <v>0</v>
      </c>
      <c r="DP129">
        <v>1</v>
      </c>
      <c r="DQ129">
        <v>1</v>
      </c>
      <c r="DU129">
        <v>1005</v>
      </c>
      <c r="DV129" t="s">
        <v>17</v>
      </c>
      <c r="DW129" t="s">
        <v>17</v>
      </c>
      <c r="DX129">
        <v>100</v>
      </c>
      <c r="EE129">
        <v>40050625</v>
      </c>
      <c r="EF129">
        <v>1</v>
      </c>
      <c r="EG129" t="s">
        <v>19</v>
      </c>
      <c r="EH129">
        <v>0</v>
      </c>
      <c r="EI129" t="s">
        <v>3</v>
      </c>
      <c r="EJ129">
        <v>4</v>
      </c>
      <c r="EK129">
        <v>0</v>
      </c>
      <c r="EL129" t="s">
        <v>20</v>
      </c>
      <c r="EM129" t="s">
        <v>21</v>
      </c>
      <c r="EO129" t="s">
        <v>3</v>
      </c>
      <c r="EQ129">
        <v>0</v>
      </c>
      <c r="ER129">
        <v>2120.08</v>
      </c>
      <c r="ES129">
        <v>0</v>
      </c>
      <c r="ET129">
        <v>0</v>
      </c>
      <c r="EU129">
        <v>0</v>
      </c>
      <c r="EV129">
        <v>2120.08</v>
      </c>
      <c r="EW129">
        <v>11.73</v>
      </c>
      <c r="EX129">
        <v>0</v>
      </c>
      <c r="EY129">
        <v>0</v>
      </c>
      <c r="FQ129">
        <v>0</v>
      </c>
      <c r="FR129">
        <f t="shared" si="145"/>
        <v>0</v>
      </c>
      <c r="FS129">
        <v>0</v>
      </c>
      <c r="FX129">
        <v>70</v>
      </c>
      <c r="FY129">
        <v>10</v>
      </c>
      <c r="GA129" t="s">
        <v>3</v>
      </c>
      <c r="GD129">
        <v>0</v>
      </c>
      <c r="GF129">
        <v>1839787301</v>
      </c>
      <c r="GG129">
        <v>2</v>
      </c>
      <c r="GH129">
        <v>1</v>
      </c>
      <c r="GI129">
        <v>-2</v>
      </c>
      <c r="GJ129">
        <v>0</v>
      </c>
      <c r="GK129">
        <f>ROUND(R129*(R12)/100,2)</f>
        <v>0</v>
      </c>
      <c r="GL129">
        <f t="shared" si="146"/>
        <v>0</v>
      </c>
      <c r="GM129">
        <f t="shared" si="147"/>
        <v>431.23</v>
      </c>
      <c r="GN129">
        <f t="shared" si="148"/>
        <v>0</v>
      </c>
      <c r="GO129">
        <f t="shared" si="149"/>
        <v>0</v>
      </c>
      <c r="GP129">
        <f t="shared" si="150"/>
        <v>431.23</v>
      </c>
      <c r="GR129">
        <v>0</v>
      </c>
      <c r="GS129">
        <v>0</v>
      </c>
      <c r="GT129">
        <v>0</v>
      </c>
      <c r="GU129" t="s">
        <v>3</v>
      </c>
      <c r="GV129">
        <f t="shared" si="151"/>
        <v>0</v>
      </c>
      <c r="GW129">
        <v>1</v>
      </c>
      <c r="GX129">
        <f t="shared" si="152"/>
        <v>0</v>
      </c>
      <c r="HA129">
        <v>0</v>
      </c>
      <c r="HB129">
        <v>0</v>
      </c>
      <c r="HC129">
        <f t="shared" si="153"/>
        <v>0</v>
      </c>
      <c r="IK129">
        <v>0</v>
      </c>
    </row>
    <row r="130" spans="1:245">
      <c r="A130">
        <v>17</v>
      </c>
      <c r="B130">
        <v>1</v>
      </c>
      <c r="C130">
        <f>ROW(SmtRes!A59)</f>
        <v>59</v>
      </c>
      <c r="D130">
        <f>ROW(EtalonRes!A50)</f>
        <v>50</v>
      </c>
      <c r="E130" t="s">
        <v>169</v>
      </c>
      <c r="F130" t="s">
        <v>170</v>
      </c>
      <c r="G130" t="s">
        <v>171</v>
      </c>
      <c r="H130" t="s">
        <v>139</v>
      </c>
      <c r="I130">
        <f>ROUND(8/10,9)</f>
        <v>0.8</v>
      </c>
      <c r="J130">
        <v>0</v>
      </c>
      <c r="O130">
        <f t="shared" si="118"/>
        <v>5826.94</v>
      </c>
      <c r="P130">
        <f t="shared" si="119"/>
        <v>664.02</v>
      </c>
      <c r="Q130">
        <f t="shared" si="120"/>
        <v>1228.52</v>
      </c>
      <c r="R130">
        <f t="shared" si="121"/>
        <v>278.81</v>
      </c>
      <c r="S130">
        <f t="shared" si="122"/>
        <v>3934.4</v>
      </c>
      <c r="T130">
        <f t="shared" si="123"/>
        <v>0</v>
      </c>
      <c r="U130">
        <f t="shared" si="124"/>
        <v>16.568000000000001</v>
      </c>
      <c r="V130">
        <f t="shared" si="125"/>
        <v>0</v>
      </c>
      <c r="W130">
        <f t="shared" si="126"/>
        <v>0</v>
      </c>
      <c r="X130">
        <f t="shared" si="127"/>
        <v>2754.08</v>
      </c>
      <c r="Y130">
        <f t="shared" si="127"/>
        <v>393.44</v>
      </c>
      <c r="AA130">
        <v>41858681</v>
      </c>
      <c r="AB130">
        <f t="shared" si="128"/>
        <v>7283.67</v>
      </c>
      <c r="AC130">
        <f t="shared" si="129"/>
        <v>830.02</v>
      </c>
      <c r="AD130">
        <f t="shared" si="130"/>
        <v>1535.65</v>
      </c>
      <c r="AE130">
        <f t="shared" si="131"/>
        <v>348.51</v>
      </c>
      <c r="AF130">
        <f t="shared" si="131"/>
        <v>4918</v>
      </c>
      <c r="AG130">
        <f t="shared" si="132"/>
        <v>0</v>
      </c>
      <c r="AH130">
        <f t="shared" si="133"/>
        <v>20.71</v>
      </c>
      <c r="AI130">
        <f t="shared" si="133"/>
        <v>0</v>
      </c>
      <c r="AJ130">
        <f t="shared" si="134"/>
        <v>0</v>
      </c>
      <c r="AK130">
        <v>7283.67</v>
      </c>
      <c r="AL130">
        <v>830.02</v>
      </c>
      <c r="AM130">
        <v>1535.65</v>
      </c>
      <c r="AN130">
        <v>348.51</v>
      </c>
      <c r="AO130">
        <v>4918</v>
      </c>
      <c r="AP130">
        <v>0</v>
      </c>
      <c r="AQ130">
        <v>20.71</v>
      </c>
      <c r="AR130">
        <v>0</v>
      </c>
      <c r="AS130">
        <v>0</v>
      </c>
      <c r="AT130">
        <v>70</v>
      </c>
      <c r="AU130">
        <v>10</v>
      </c>
      <c r="AV130">
        <v>1</v>
      </c>
      <c r="AW130">
        <v>1</v>
      </c>
      <c r="AZ130">
        <v>1</v>
      </c>
      <c r="BA130">
        <v>1</v>
      </c>
      <c r="BB130">
        <v>1</v>
      </c>
      <c r="BC130">
        <v>1</v>
      </c>
      <c r="BD130" t="s">
        <v>3</v>
      </c>
      <c r="BE130" t="s">
        <v>3</v>
      </c>
      <c r="BF130" t="s">
        <v>3</v>
      </c>
      <c r="BG130" t="s">
        <v>3</v>
      </c>
      <c r="BH130">
        <v>0</v>
      </c>
      <c r="BI130">
        <v>4</v>
      </c>
      <c r="BJ130" t="s">
        <v>172</v>
      </c>
      <c r="BM130">
        <v>0</v>
      </c>
      <c r="BN130">
        <v>0</v>
      </c>
      <c r="BO130" t="s">
        <v>3</v>
      </c>
      <c r="BP130">
        <v>0</v>
      </c>
      <c r="BQ130">
        <v>1</v>
      </c>
      <c r="BR130">
        <v>0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 t="s">
        <v>3</v>
      </c>
      <c r="BZ130">
        <v>70</v>
      </c>
      <c r="CA130">
        <v>10</v>
      </c>
      <c r="CE130">
        <v>0</v>
      </c>
      <c r="CF130">
        <v>0</v>
      </c>
      <c r="CG130">
        <v>0</v>
      </c>
      <c r="CM130">
        <v>0</v>
      </c>
      <c r="CN130" t="s">
        <v>3</v>
      </c>
      <c r="CO130">
        <v>0</v>
      </c>
      <c r="CP130">
        <f t="shared" si="135"/>
        <v>5826.9400000000005</v>
      </c>
      <c r="CQ130">
        <f t="shared" si="136"/>
        <v>830.02</v>
      </c>
      <c r="CR130">
        <f t="shared" si="137"/>
        <v>1535.65</v>
      </c>
      <c r="CS130">
        <f t="shared" si="138"/>
        <v>348.51</v>
      </c>
      <c r="CT130">
        <f t="shared" si="139"/>
        <v>4918</v>
      </c>
      <c r="CU130">
        <f t="shared" si="140"/>
        <v>0</v>
      </c>
      <c r="CV130">
        <f t="shared" si="141"/>
        <v>20.71</v>
      </c>
      <c r="CW130">
        <f t="shared" si="142"/>
        <v>0</v>
      </c>
      <c r="CX130">
        <f t="shared" si="142"/>
        <v>0</v>
      </c>
      <c r="CY130">
        <f t="shared" si="143"/>
        <v>2754.08</v>
      </c>
      <c r="CZ130">
        <f t="shared" si="144"/>
        <v>393.44</v>
      </c>
      <c r="DC130" t="s">
        <v>3</v>
      </c>
      <c r="DD130" t="s">
        <v>3</v>
      </c>
      <c r="DE130" t="s">
        <v>3</v>
      </c>
      <c r="DF130" t="s">
        <v>3</v>
      </c>
      <c r="DG130" t="s">
        <v>3</v>
      </c>
      <c r="DH130" t="s">
        <v>3</v>
      </c>
      <c r="DI130" t="s">
        <v>3</v>
      </c>
      <c r="DJ130" t="s">
        <v>3</v>
      </c>
      <c r="DK130" t="s">
        <v>3</v>
      </c>
      <c r="DL130" t="s">
        <v>3</v>
      </c>
      <c r="DM130" t="s">
        <v>3</v>
      </c>
      <c r="DN130">
        <v>0</v>
      </c>
      <c r="DO130">
        <v>0</v>
      </c>
      <c r="DP130">
        <v>1</v>
      </c>
      <c r="DQ130">
        <v>1</v>
      </c>
      <c r="DU130">
        <v>1010</v>
      </c>
      <c r="DV130" t="s">
        <v>139</v>
      </c>
      <c r="DW130" t="s">
        <v>139</v>
      </c>
      <c r="DX130">
        <v>10</v>
      </c>
      <c r="EE130">
        <v>40050625</v>
      </c>
      <c r="EF130">
        <v>1</v>
      </c>
      <c r="EG130" t="s">
        <v>19</v>
      </c>
      <c r="EH130">
        <v>0</v>
      </c>
      <c r="EI130" t="s">
        <v>3</v>
      </c>
      <c r="EJ130">
        <v>4</v>
      </c>
      <c r="EK130">
        <v>0</v>
      </c>
      <c r="EL130" t="s">
        <v>20</v>
      </c>
      <c r="EM130" t="s">
        <v>21</v>
      </c>
      <c r="EO130" t="s">
        <v>3</v>
      </c>
      <c r="EQ130">
        <v>0</v>
      </c>
      <c r="ER130">
        <v>7283.67</v>
      </c>
      <c r="ES130">
        <v>830.02</v>
      </c>
      <c r="ET130">
        <v>1535.65</v>
      </c>
      <c r="EU130">
        <v>348.51</v>
      </c>
      <c r="EV130">
        <v>4918</v>
      </c>
      <c r="EW130">
        <v>20.71</v>
      </c>
      <c r="EX130">
        <v>0</v>
      </c>
      <c r="EY130">
        <v>0</v>
      </c>
      <c r="FQ130">
        <v>0</v>
      </c>
      <c r="FR130">
        <f t="shared" si="145"/>
        <v>0</v>
      </c>
      <c r="FS130">
        <v>0</v>
      </c>
      <c r="FX130">
        <v>70</v>
      </c>
      <c r="FY130">
        <v>10</v>
      </c>
      <c r="GA130" t="s">
        <v>3</v>
      </c>
      <c r="GD130">
        <v>0</v>
      </c>
      <c r="GF130">
        <v>2043723813</v>
      </c>
      <c r="GG130">
        <v>2</v>
      </c>
      <c r="GH130">
        <v>1</v>
      </c>
      <c r="GI130">
        <v>-2</v>
      </c>
      <c r="GJ130">
        <v>0</v>
      </c>
      <c r="GK130">
        <f>ROUND(R130*(R12)/100,2)</f>
        <v>301.11</v>
      </c>
      <c r="GL130">
        <f t="shared" si="146"/>
        <v>0</v>
      </c>
      <c r="GM130">
        <f t="shared" si="147"/>
        <v>9275.57</v>
      </c>
      <c r="GN130">
        <f t="shared" si="148"/>
        <v>0</v>
      </c>
      <c r="GO130">
        <f t="shared" si="149"/>
        <v>0</v>
      </c>
      <c r="GP130">
        <f t="shared" si="150"/>
        <v>9275.57</v>
      </c>
      <c r="GR130">
        <v>0</v>
      </c>
      <c r="GS130">
        <v>0</v>
      </c>
      <c r="GT130">
        <v>0</v>
      </c>
      <c r="GU130" t="s">
        <v>3</v>
      </c>
      <c r="GV130">
        <f t="shared" si="151"/>
        <v>0</v>
      </c>
      <c r="GW130">
        <v>1</v>
      </c>
      <c r="GX130">
        <f t="shared" si="152"/>
        <v>0</v>
      </c>
      <c r="HA130">
        <v>0</v>
      </c>
      <c r="HB130">
        <v>0</v>
      </c>
      <c r="HC130">
        <f t="shared" si="153"/>
        <v>0</v>
      </c>
      <c r="IK130">
        <v>0</v>
      </c>
    </row>
    <row r="131" spans="1:245">
      <c r="A131">
        <v>18</v>
      </c>
      <c r="B131">
        <v>1</v>
      </c>
      <c r="C131">
        <v>57</v>
      </c>
      <c r="E131" t="s">
        <v>173</v>
      </c>
      <c r="F131" t="s">
        <v>174</v>
      </c>
      <c r="G131" t="s">
        <v>175</v>
      </c>
      <c r="H131" t="s">
        <v>50</v>
      </c>
      <c r="I131">
        <f>I130*J131</f>
        <v>4</v>
      </c>
      <c r="J131">
        <v>5</v>
      </c>
      <c r="O131">
        <f t="shared" si="118"/>
        <v>11846.32</v>
      </c>
      <c r="P131">
        <f t="shared" si="119"/>
        <v>11846.32</v>
      </c>
      <c r="Q131">
        <f t="shared" si="120"/>
        <v>0</v>
      </c>
      <c r="R131">
        <f t="shared" si="121"/>
        <v>0</v>
      </c>
      <c r="S131">
        <f t="shared" si="122"/>
        <v>0</v>
      </c>
      <c r="T131">
        <f t="shared" si="123"/>
        <v>0</v>
      </c>
      <c r="U131">
        <f t="shared" si="124"/>
        <v>0</v>
      </c>
      <c r="V131">
        <f t="shared" si="125"/>
        <v>0</v>
      </c>
      <c r="W131">
        <f t="shared" si="126"/>
        <v>0</v>
      </c>
      <c r="X131">
        <f t="shared" si="127"/>
        <v>0</v>
      </c>
      <c r="Y131">
        <f t="shared" si="127"/>
        <v>0</v>
      </c>
      <c r="AA131">
        <v>41858681</v>
      </c>
      <c r="AB131">
        <f t="shared" si="128"/>
        <v>2961.58</v>
      </c>
      <c r="AC131">
        <f t="shared" si="129"/>
        <v>2961.58</v>
      </c>
      <c r="AD131">
        <f t="shared" si="130"/>
        <v>0</v>
      </c>
      <c r="AE131">
        <f t="shared" si="131"/>
        <v>0</v>
      </c>
      <c r="AF131">
        <f t="shared" si="131"/>
        <v>0</v>
      </c>
      <c r="AG131">
        <f t="shared" si="132"/>
        <v>0</v>
      </c>
      <c r="AH131">
        <f t="shared" si="133"/>
        <v>0</v>
      </c>
      <c r="AI131">
        <f t="shared" si="133"/>
        <v>0</v>
      </c>
      <c r="AJ131">
        <f t="shared" si="134"/>
        <v>0</v>
      </c>
      <c r="AK131">
        <v>2961.58</v>
      </c>
      <c r="AL131">
        <v>2961.58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70</v>
      </c>
      <c r="AU131">
        <v>10</v>
      </c>
      <c r="AV131">
        <v>1</v>
      </c>
      <c r="AW131">
        <v>1</v>
      </c>
      <c r="AZ131">
        <v>1</v>
      </c>
      <c r="BA131">
        <v>1</v>
      </c>
      <c r="BB131">
        <v>1</v>
      </c>
      <c r="BC131">
        <v>1</v>
      </c>
      <c r="BD131" t="s">
        <v>3</v>
      </c>
      <c r="BE131" t="s">
        <v>3</v>
      </c>
      <c r="BF131" t="s">
        <v>3</v>
      </c>
      <c r="BG131" t="s">
        <v>3</v>
      </c>
      <c r="BH131">
        <v>3</v>
      </c>
      <c r="BI131">
        <v>4</v>
      </c>
      <c r="BJ131" t="s">
        <v>176</v>
      </c>
      <c r="BM131">
        <v>0</v>
      </c>
      <c r="BN131">
        <v>0</v>
      </c>
      <c r="BO131" t="s">
        <v>3</v>
      </c>
      <c r="BP131">
        <v>0</v>
      </c>
      <c r="BQ131">
        <v>1</v>
      </c>
      <c r="BR131">
        <v>0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 t="s">
        <v>3</v>
      </c>
      <c r="BZ131">
        <v>70</v>
      </c>
      <c r="CA131">
        <v>10</v>
      </c>
      <c r="CE131">
        <v>0</v>
      </c>
      <c r="CF131">
        <v>0</v>
      </c>
      <c r="CG131">
        <v>0</v>
      </c>
      <c r="CM131">
        <v>0</v>
      </c>
      <c r="CN131" t="s">
        <v>3</v>
      </c>
      <c r="CO131">
        <v>0</v>
      </c>
      <c r="CP131">
        <f t="shared" si="135"/>
        <v>11846.32</v>
      </c>
      <c r="CQ131">
        <f t="shared" si="136"/>
        <v>2961.58</v>
      </c>
      <c r="CR131">
        <f t="shared" si="137"/>
        <v>0</v>
      </c>
      <c r="CS131">
        <f t="shared" si="138"/>
        <v>0</v>
      </c>
      <c r="CT131">
        <f t="shared" si="139"/>
        <v>0</v>
      </c>
      <c r="CU131">
        <f t="shared" si="140"/>
        <v>0</v>
      </c>
      <c r="CV131">
        <f t="shared" si="141"/>
        <v>0</v>
      </c>
      <c r="CW131">
        <f t="shared" si="142"/>
        <v>0</v>
      </c>
      <c r="CX131">
        <f t="shared" si="142"/>
        <v>0</v>
      </c>
      <c r="CY131">
        <f t="shared" si="143"/>
        <v>0</v>
      </c>
      <c r="CZ131">
        <f t="shared" si="144"/>
        <v>0</v>
      </c>
      <c r="DC131" t="s">
        <v>3</v>
      </c>
      <c r="DD131" t="s">
        <v>3</v>
      </c>
      <c r="DE131" t="s">
        <v>3</v>
      </c>
      <c r="DF131" t="s">
        <v>3</v>
      </c>
      <c r="DG131" t="s">
        <v>3</v>
      </c>
      <c r="DH131" t="s">
        <v>3</v>
      </c>
      <c r="DI131" t="s">
        <v>3</v>
      </c>
      <c r="DJ131" t="s">
        <v>3</v>
      </c>
      <c r="DK131" t="s">
        <v>3</v>
      </c>
      <c r="DL131" t="s">
        <v>3</v>
      </c>
      <c r="DM131" t="s">
        <v>3</v>
      </c>
      <c r="DN131">
        <v>0</v>
      </c>
      <c r="DO131">
        <v>0</v>
      </c>
      <c r="DP131">
        <v>1</v>
      </c>
      <c r="DQ131">
        <v>1</v>
      </c>
      <c r="DU131">
        <v>1010</v>
      </c>
      <c r="DV131" t="s">
        <v>50</v>
      </c>
      <c r="DW131" t="s">
        <v>50</v>
      </c>
      <c r="DX131">
        <v>1</v>
      </c>
      <c r="EE131">
        <v>40050625</v>
      </c>
      <c r="EF131">
        <v>1</v>
      </c>
      <c r="EG131" t="s">
        <v>19</v>
      </c>
      <c r="EH131">
        <v>0</v>
      </c>
      <c r="EI131" t="s">
        <v>3</v>
      </c>
      <c r="EJ131">
        <v>4</v>
      </c>
      <c r="EK131">
        <v>0</v>
      </c>
      <c r="EL131" t="s">
        <v>20</v>
      </c>
      <c r="EM131" t="s">
        <v>21</v>
      </c>
      <c r="EO131" t="s">
        <v>3</v>
      </c>
      <c r="EQ131">
        <v>0</v>
      </c>
      <c r="ER131">
        <v>2961.58</v>
      </c>
      <c r="ES131">
        <v>2961.58</v>
      </c>
      <c r="ET131">
        <v>0</v>
      </c>
      <c r="EU131">
        <v>0</v>
      </c>
      <c r="EV131">
        <v>0</v>
      </c>
      <c r="EW131">
        <v>0</v>
      </c>
      <c r="EX131">
        <v>0</v>
      </c>
      <c r="FQ131">
        <v>0</v>
      </c>
      <c r="FR131">
        <f t="shared" si="145"/>
        <v>0</v>
      </c>
      <c r="FS131">
        <v>0</v>
      </c>
      <c r="FX131">
        <v>70</v>
      </c>
      <c r="FY131">
        <v>10</v>
      </c>
      <c r="GA131" t="s">
        <v>3</v>
      </c>
      <c r="GD131">
        <v>0</v>
      </c>
      <c r="GF131">
        <v>260559075</v>
      </c>
      <c r="GG131">
        <v>2</v>
      </c>
      <c r="GH131">
        <v>1</v>
      </c>
      <c r="GI131">
        <v>-2</v>
      </c>
      <c r="GJ131">
        <v>0</v>
      </c>
      <c r="GK131">
        <f>ROUND(R131*(R12)/100,2)</f>
        <v>0</v>
      </c>
      <c r="GL131">
        <f t="shared" si="146"/>
        <v>0</v>
      </c>
      <c r="GM131">
        <f t="shared" si="147"/>
        <v>11846.32</v>
      </c>
      <c r="GN131">
        <f t="shared" si="148"/>
        <v>0</v>
      </c>
      <c r="GO131">
        <f t="shared" si="149"/>
        <v>0</v>
      </c>
      <c r="GP131">
        <f t="shared" si="150"/>
        <v>11846.32</v>
      </c>
      <c r="GR131">
        <v>0</v>
      </c>
      <c r="GS131">
        <v>0</v>
      </c>
      <c r="GT131">
        <v>0</v>
      </c>
      <c r="GU131" t="s">
        <v>3</v>
      </c>
      <c r="GV131">
        <f t="shared" si="151"/>
        <v>0</v>
      </c>
      <c r="GW131">
        <v>1</v>
      </c>
      <c r="GX131">
        <f t="shared" si="152"/>
        <v>0</v>
      </c>
      <c r="HA131">
        <v>0</v>
      </c>
      <c r="HB131">
        <v>0</v>
      </c>
      <c r="HC131">
        <f t="shared" si="153"/>
        <v>0</v>
      </c>
      <c r="IK131">
        <v>0</v>
      </c>
    </row>
    <row r="132" spans="1:245">
      <c r="A132">
        <v>18</v>
      </c>
      <c r="B132">
        <v>1</v>
      </c>
      <c r="C132">
        <v>59</v>
      </c>
      <c r="E132" t="s">
        <v>177</v>
      </c>
      <c r="F132" t="s">
        <v>56</v>
      </c>
      <c r="G132" t="s">
        <v>178</v>
      </c>
      <c r="H132" t="s">
        <v>50</v>
      </c>
      <c r="I132">
        <f>I130*J132</f>
        <v>4</v>
      </c>
      <c r="J132">
        <v>5</v>
      </c>
      <c r="O132">
        <f t="shared" si="118"/>
        <v>11333.32</v>
      </c>
      <c r="P132">
        <f t="shared" si="119"/>
        <v>11333.32</v>
      </c>
      <c r="Q132">
        <f t="shared" si="120"/>
        <v>0</v>
      </c>
      <c r="R132">
        <f t="shared" si="121"/>
        <v>0</v>
      </c>
      <c r="S132">
        <f t="shared" si="122"/>
        <v>0</v>
      </c>
      <c r="T132">
        <f t="shared" si="123"/>
        <v>0</v>
      </c>
      <c r="U132">
        <f t="shared" si="124"/>
        <v>0</v>
      </c>
      <c r="V132">
        <f t="shared" si="125"/>
        <v>0</v>
      </c>
      <c r="W132">
        <f t="shared" si="126"/>
        <v>0</v>
      </c>
      <c r="X132">
        <f t="shared" si="127"/>
        <v>0</v>
      </c>
      <c r="Y132">
        <f t="shared" si="127"/>
        <v>0</v>
      </c>
      <c r="AA132">
        <v>41858681</v>
      </c>
      <c r="AB132">
        <f t="shared" si="128"/>
        <v>2833.33</v>
      </c>
      <c r="AC132">
        <f t="shared" si="129"/>
        <v>2833.33</v>
      </c>
      <c r="AD132">
        <f t="shared" si="130"/>
        <v>0</v>
      </c>
      <c r="AE132">
        <f t="shared" si="131"/>
        <v>0</v>
      </c>
      <c r="AF132">
        <f t="shared" si="131"/>
        <v>0</v>
      </c>
      <c r="AG132">
        <f t="shared" si="132"/>
        <v>0</v>
      </c>
      <c r="AH132">
        <f t="shared" si="133"/>
        <v>0</v>
      </c>
      <c r="AI132">
        <f t="shared" si="133"/>
        <v>0</v>
      </c>
      <c r="AJ132">
        <f t="shared" si="134"/>
        <v>0</v>
      </c>
      <c r="AK132">
        <v>2833.33</v>
      </c>
      <c r="AL132">
        <v>2833.33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70</v>
      </c>
      <c r="AU132">
        <v>10</v>
      </c>
      <c r="AV132">
        <v>1</v>
      </c>
      <c r="AW132">
        <v>1</v>
      </c>
      <c r="AZ132">
        <v>1</v>
      </c>
      <c r="BA132">
        <v>1</v>
      </c>
      <c r="BB132">
        <v>1</v>
      </c>
      <c r="BC132">
        <v>1</v>
      </c>
      <c r="BD132" t="s">
        <v>3</v>
      </c>
      <c r="BE132" t="s">
        <v>3</v>
      </c>
      <c r="BF132" t="s">
        <v>3</v>
      </c>
      <c r="BG132" t="s">
        <v>3</v>
      </c>
      <c r="BH132">
        <v>3</v>
      </c>
      <c r="BI132">
        <v>4</v>
      </c>
      <c r="BJ132" t="s">
        <v>3</v>
      </c>
      <c r="BM132">
        <v>0</v>
      </c>
      <c r="BN132">
        <v>0</v>
      </c>
      <c r="BO132" t="s">
        <v>3</v>
      </c>
      <c r="BP132">
        <v>0</v>
      </c>
      <c r="BQ132">
        <v>1</v>
      </c>
      <c r="BR132">
        <v>0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 t="s">
        <v>3</v>
      </c>
      <c r="BZ132">
        <v>70</v>
      </c>
      <c r="CA132">
        <v>10</v>
      </c>
      <c r="CE132">
        <v>0</v>
      </c>
      <c r="CF132">
        <v>0</v>
      </c>
      <c r="CG132">
        <v>0</v>
      </c>
      <c r="CM132">
        <v>0</v>
      </c>
      <c r="CN132" t="s">
        <v>3</v>
      </c>
      <c r="CO132">
        <v>0</v>
      </c>
      <c r="CP132">
        <f t="shared" si="135"/>
        <v>11333.32</v>
      </c>
      <c r="CQ132">
        <f t="shared" si="136"/>
        <v>2833.33</v>
      </c>
      <c r="CR132">
        <f t="shared" si="137"/>
        <v>0</v>
      </c>
      <c r="CS132">
        <f t="shared" si="138"/>
        <v>0</v>
      </c>
      <c r="CT132">
        <f t="shared" si="139"/>
        <v>0</v>
      </c>
      <c r="CU132">
        <f t="shared" si="140"/>
        <v>0</v>
      </c>
      <c r="CV132">
        <f t="shared" si="141"/>
        <v>0</v>
      </c>
      <c r="CW132">
        <f t="shared" si="142"/>
        <v>0</v>
      </c>
      <c r="CX132">
        <f t="shared" si="142"/>
        <v>0</v>
      </c>
      <c r="CY132">
        <f t="shared" si="143"/>
        <v>0</v>
      </c>
      <c r="CZ132">
        <f t="shared" si="144"/>
        <v>0</v>
      </c>
      <c r="DC132" t="s">
        <v>3</v>
      </c>
      <c r="DD132" t="s">
        <v>3</v>
      </c>
      <c r="DE132" t="s">
        <v>3</v>
      </c>
      <c r="DF132" t="s">
        <v>3</v>
      </c>
      <c r="DG132" t="s">
        <v>3</v>
      </c>
      <c r="DH132" t="s">
        <v>3</v>
      </c>
      <c r="DI132" t="s">
        <v>3</v>
      </c>
      <c r="DJ132" t="s">
        <v>3</v>
      </c>
      <c r="DK132" t="s">
        <v>3</v>
      </c>
      <c r="DL132" t="s">
        <v>3</v>
      </c>
      <c r="DM132" t="s">
        <v>3</v>
      </c>
      <c r="DN132">
        <v>0</v>
      </c>
      <c r="DO132">
        <v>0</v>
      </c>
      <c r="DP132">
        <v>1</v>
      </c>
      <c r="DQ132">
        <v>1</v>
      </c>
      <c r="DU132">
        <v>1010</v>
      </c>
      <c r="DV132" t="s">
        <v>50</v>
      </c>
      <c r="DW132" t="s">
        <v>50</v>
      </c>
      <c r="DX132">
        <v>1</v>
      </c>
      <c r="EE132">
        <v>40050625</v>
      </c>
      <c r="EF132">
        <v>1</v>
      </c>
      <c r="EG132" t="s">
        <v>19</v>
      </c>
      <c r="EH132">
        <v>0</v>
      </c>
      <c r="EI132" t="s">
        <v>3</v>
      </c>
      <c r="EJ132">
        <v>4</v>
      </c>
      <c r="EK132">
        <v>0</v>
      </c>
      <c r="EL132" t="s">
        <v>20</v>
      </c>
      <c r="EM132" t="s">
        <v>21</v>
      </c>
      <c r="EO132" t="s">
        <v>3</v>
      </c>
      <c r="EQ132">
        <v>0</v>
      </c>
      <c r="ER132">
        <v>2833.33</v>
      </c>
      <c r="ES132">
        <v>2833.33</v>
      </c>
      <c r="ET132">
        <v>0</v>
      </c>
      <c r="EU132">
        <v>0</v>
      </c>
      <c r="EV132">
        <v>0</v>
      </c>
      <c r="EW132">
        <v>0</v>
      </c>
      <c r="EX132">
        <v>0</v>
      </c>
      <c r="FQ132">
        <v>0</v>
      </c>
      <c r="FR132">
        <f t="shared" si="145"/>
        <v>0</v>
      </c>
      <c r="FS132">
        <v>0</v>
      </c>
      <c r="FX132">
        <v>70</v>
      </c>
      <c r="FY132">
        <v>10</v>
      </c>
      <c r="GA132" t="s">
        <v>3</v>
      </c>
      <c r="GD132">
        <v>0</v>
      </c>
      <c r="GF132">
        <v>-2025809612</v>
      </c>
      <c r="GG132">
        <v>2</v>
      </c>
      <c r="GH132">
        <v>0</v>
      </c>
      <c r="GI132">
        <v>-2</v>
      </c>
      <c r="GJ132">
        <v>0</v>
      </c>
      <c r="GK132">
        <f>ROUND(R132*(R12)/100,2)</f>
        <v>0</v>
      </c>
      <c r="GL132">
        <f t="shared" si="146"/>
        <v>0</v>
      </c>
      <c r="GM132">
        <f t="shared" si="147"/>
        <v>11333.32</v>
      </c>
      <c r="GN132">
        <f t="shared" si="148"/>
        <v>0</v>
      </c>
      <c r="GO132">
        <f t="shared" si="149"/>
        <v>0</v>
      </c>
      <c r="GP132">
        <f t="shared" si="150"/>
        <v>11333.32</v>
      </c>
      <c r="GR132">
        <v>0</v>
      </c>
      <c r="GS132">
        <v>0</v>
      </c>
      <c r="GT132">
        <v>0</v>
      </c>
      <c r="GU132" t="s">
        <v>3</v>
      </c>
      <c r="GV132">
        <f t="shared" si="151"/>
        <v>0</v>
      </c>
      <c r="GW132">
        <v>1</v>
      </c>
      <c r="GX132">
        <f t="shared" si="152"/>
        <v>0</v>
      </c>
      <c r="HA132">
        <v>0</v>
      </c>
      <c r="HB132">
        <v>0</v>
      </c>
      <c r="HC132">
        <f t="shared" si="153"/>
        <v>0</v>
      </c>
      <c r="IK132">
        <v>0</v>
      </c>
    </row>
    <row r="134" spans="1:245">
      <c r="A134" s="2">
        <v>51</v>
      </c>
      <c r="B134" s="2">
        <f>B122</f>
        <v>1</v>
      </c>
      <c r="C134" s="2">
        <f>A122</f>
        <v>4</v>
      </c>
      <c r="D134" s="2">
        <f>ROW(A122)</f>
        <v>122</v>
      </c>
      <c r="E134" s="2"/>
      <c r="F134" s="2" t="str">
        <f>IF(F122&lt;&gt;"",F122,"")</f>
        <v>Новый раздел</v>
      </c>
      <c r="G134" s="2" t="str">
        <f>IF(G122&lt;&gt;"",G122,"")</f>
        <v>Посадка деревьев лиственных - 8шт.</v>
      </c>
      <c r="H134" s="2">
        <v>0</v>
      </c>
      <c r="I134" s="2"/>
      <c r="J134" s="2"/>
      <c r="K134" s="2"/>
      <c r="L134" s="2"/>
      <c r="M134" s="2"/>
      <c r="N134" s="2"/>
      <c r="O134" s="2">
        <f t="shared" ref="O134:T134" si="154">ROUND(AB134,2)</f>
        <v>41097.11</v>
      </c>
      <c r="P134" s="2">
        <f t="shared" si="154"/>
        <v>28943.22</v>
      </c>
      <c r="Q134" s="2">
        <f t="shared" si="154"/>
        <v>1594.16</v>
      </c>
      <c r="R134" s="2">
        <f t="shared" si="154"/>
        <v>462.97</v>
      </c>
      <c r="S134" s="2">
        <f t="shared" si="154"/>
        <v>10559.73</v>
      </c>
      <c r="T134" s="2">
        <f t="shared" si="154"/>
        <v>0</v>
      </c>
      <c r="U134" s="2">
        <f>AH134</f>
        <v>53.224689999999995</v>
      </c>
      <c r="V134" s="2">
        <f>AI134</f>
        <v>0</v>
      </c>
      <c r="W134" s="2">
        <f>ROUND(AJ134,2)</f>
        <v>0</v>
      </c>
      <c r="X134" s="2">
        <f>ROUND(AK134,2)</f>
        <v>7391.82</v>
      </c>
      <c r="Y134" s="2">
        <f>ROUND(AL134,2)</f>
        <v>1055.98</v>
      </c>
      <c r="Z134" s="2"/>
      <c r="AA134" s="2"/>
      <c r="AB134" s="2">
        <f>ROUND(SUMIF(AA126:AA132,"=41858681",O126:O132),2)</f>
        <v>41097.11</v>
      </c>
      <c r="AC134" s="2">
        <f>ROUND(SUMIF(AA126:AA132,"=41858681",P126:P132),2)</f>
        <v>28943.22</v>
      </c>
      <c r="AD134" s="2">
        <f>ROUND(SUMIF(AA126:AA132,"=41858681",Q126:Q132),2)</f>
        <v>1594.16</v>
      </c>
      <c r="AE134" s="2">
        <f>ROUND(SUMIF(AA126:AA132,"=41858681",R126:R132),2)</f>
        <v>462.97</v>
      </c>
      <c r="AF134" s="2">
        <f>ROUND(SUMIF(AA126:AA132,"=41858681",S126:S132),2)</f>
        <v>10559.73</v>
      </c>
      <c r="AG134" s="2">
        <f>ROUND(SUMIF(AA126:AA132,"=41858681",T126:T132),2)</f>
        <v>0</v>
      </c>
      <c r="AH134" s="2">
        <f>SUMIF(AA126:AA132,"=41858681",U126:U132)</f>
        <v>53.224689999999995</v>
      </c>
      <c r="AI134" s="2">
        <f>SUMIF(AA126:AA132,"=41858681",V126:V132)</f>
        <v>0</v>
      </c>
      <c r="AJ134" s="2">
        <f>ROUND(SUMIF(AA126:AA132,"=41858681",W126:W132),2)</f>
        <v>0</v>
      </c>
      <c r="AK134" s="2">
        <f>ROUND(SUMIF(AA126:AA132,"=41858681",X126:X132),2)</f>
        <v>7391.82</v>
      </c>
      <c r="AL134" s="2">
        <f>ROUND(SUMIF(AA126:AA132,"=41858681",Y126:Y132),2)</f>
        <v>1055.98</v>
      </c>
      <c r="AM134" s="2"/>
      <c r="AN134" s="2"/>
      <c r="AO134" s="2">
        <f t="shared" ref="AO134:BC134" si="155">ROUND(BX134,2)</f>
        <v>0</v>
      </c>
      <c r="AP134" s="2">
        <f t="shared" si="155"/>
        <v>0</v>
      </c>
      <c r="AQ134" s="2">
        <f t="shared" si="155"/>
        <v>0</v>
      </c>
      <c r="AR134" s="2">
        <f t="shared" si="155"/>
        <v>50044.91</v>
      </c>
      <c r="AS134" s="2">
        <f t="shared" si="155"/>
        <v>0</v>
      </c>
      <c r="AT134" s="2">
        <f t="shared" si="155"/>
        <v>0</v>
      </c>
      <c r="AU134" s="2">
        <f t="shared" si="155"/>
        <v>50044.91</v>
      </c>
      <c r="AV134" s="2">
        <f t="shared" si="155"/>
        <v>28943.22</v>
      </c>
      <c r="AW134" s="2">
        <f t="shared" si="155"/>
        <v>28943.22</v>
      </c>
      <c r="AX134" s="2">
        <f t="shared" si="155"/>
        <v>0</v>
      </c>
      <c r="AY134" s="2">
        <f t="shared" si="155"/>
        <v>28943.22</v>
      </c>
      <c r="AZ134" s="2">
        <f t="shared" si="155"/>
        <v>0</v>
      </c>
      <c r="BA134" s="2">
        <f t="shared" si="155"/>
        <v>0</v>
      </c>
      <c r="BB134" s="2">
        <f t="shared" si="155"/>
        <v>0</v>
      </c>
      <c r="BC134" s="2">
        <f t="shared" si="155"/>
        <v>0</v>
      </c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>
        <f>ROUND(SUMIF(AA126:AA132,"=41858681",FQ126:FQ132),2)</f>
        <v>0</v>
      </c>
      <c r="BY134" s="2">
        <f>ROUND(SUMIF(AA126:AA132,"=41858681",FR126:FR132),2)</f>
        <v>0</v>
      </c>
      <c r="BZ134" s="2">
        <f>ROUND(SUMIF(AA126:AA132,"=41858681",GL126:GL132),2)</f>
        <v>0</v>
      </c>
      <c r="CA134" s="2">
        <f>ROUND(SUMIF(AA126:AA132,"=41858681",GM126:GM132),2)</f>
        <v>50044.91</v>
      </c>
      <c r="CB134" s="2">
        <f>ROUND(SUMIF(AA126:AA132,"=41858681",GN126:GN132),2)</f>
        <v>0</v>
      </c>
      <c r="CC134" s="2">
        <f>ROUND(SUMIF(AA126:AA132,"=41858681",GO126:GO132),2)</f>
        <v>0</v>
      </c>
      <c r="CD134" s="2">
        <f>ROUND(SUMIF(AA126:AA132,"=41858681",GP126:GP132),2)</f>
        <v>50044.91</v>
      </c>
      <c r="CE134" s="2">
        <f>AC134-BX134</f>
        <v>28943.22</v>
      </c>
      <c r="CF134" s="2">
        <f>AC134-BY134</f>
        <v>28943.22</v>
      </c>
      <c r="CG134" s="2">
        <f>BX134-BZ134</f>
        <v>0</v>
      </c>
      <c r="CH134" s="2">
        <f>AC134-BX134-BY134+BZ134</f>
        <v>28943.22</v>
      </c>
      <c r="CI134" s="2">
        <f>BY134-BZ134</f>
        <v>0</v>
      </c>
      <c r="CJ134" s="2">
        <f>ROUND(SUMIF(AA126:AA132,"=41858681",GX126:GX132),2)</f>
        <v>0</v>
      </c>
      <c r="CK134" s="2">
        <f>ROUND(SUMIF(AA126:AA132,"=41858681",GY126:GY132),2)</f>
        <v>0</v>
      </c>
      <c r="CL134" s="2">
        <f>ROUND(SUMIF(AA126:AA132,"=41858681",GZ126:GZ132),2)</f>
        <v>0</v>
      </c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>
        <v>0</v>
      </c>
    </row>
    <row r="136" spans="1:245">
      <c r="A136" s="4">
        <v>50</v>
      </c>
      <c r="B136" s="4">
        <v>0</v>
      </c>
      <c r="C136" s="4">
        <v>0</v>
      </c>
      <c r="D136" s="4">
        <v>1</v>
      </c>
      <c r="E136" s="4">
        <v>201</v>
      </c>
      <c r="F136" s="4">
        <f>ROUND(Source!O134,O136)</f>
        <v>41097.11</v>
      </c>
      <c r="G136" s="4" t="s">
        <v>64</v>
      </c>
      <c r="H136" s="4" t="s">
        <v>65</v>
      </c>
      <c r="I136" s="4"/>
      <c r="J136" s="4"/>
      <c r="K136" s="4">
        <v>201</v>
      </c>
      <c r="L136" s="4">
        <v>1</v>
      </c>
      <c r="M136" s="4">
        <v>3</v>
      </c>
      <c r="N136" s="4" t="s">
        <v>3</v>
      </c>
      <c r="O136" s="4">
        <v>2</v>
      </c>
      <c r="P136" s="4"/>
      <c r="Q136" s="4"/>
      <c r="R136" s="4"/>
      <c r="S136" s="4"/>
      <c r="T136" s="4"/>
      <c r="U136" s="4"/>
      <c r="V136" s="4"/>
      <c r="W136" s="4"/>
    </row>
    <row r="137" spans="1:245">
      <c r="A137" s="4">
        <v>50</v>
      </c>
      <c r="B137" s="4">
        <v>0</v>
      </c>
      <c r="C137" s="4">
        <v>0</v>
      </c>
      <c r="D137" s="4">
        <v>1</v>
      </c>
      <c r="E137" s="4">
        <v>202</v>
      </c>
      <c r="F137" s="4">
        <f>ROUND(Source!P134,O137)</f>
        <v>28943.22</v>
      </c>
      <c r="G137" s="4" t="s">
        <v>66</v>
      </c>
      <c r="H137" s="4" t="s">
        <v>67</v>
      </c>
      <c r="I137" s="4"/>
      <c r="J137" s="4"/>
      <c r="K137" s="4">
        <v>202</v>
      </c>
      <c r="L137" s="4">
        <v>2</v>
      </c>
      <c r="M137" s="4">
        <v>3</v>
      </c>
      <c r="N137" s="4" t="s">
        <v>3</v>
      </c>
      <c r="O137" s="4">
        <v>2</v>
      </c>
      <c r="P137" s="4"/>
      <c r="Q137" s="4"/>
      <c r="R137" s="4"/>
      <c r="S137" s="4"/>
      <c r="T137" s="4"/>
      <c r="U137" s="4"/>
      <c r="V137" s="4"/>
      <c r="W137" s="4"/>
    </row>
    <row r="138" spans="1:245">
      <c r="A138" s="4">
        <v>50</v>
      </c>
      <c r="B138" s="4">
        <v>0</v>
      </c>
      <c r="C138" s="4">
        <v>0</v>
      </c>
      <c r="D138" s="4">
        <v>1</v>
      </c>
      <c r="E138" s="4">
        <v>222</v>
      </c>
      <c r="F138" s="4">
        <f>ROUND(Source!AO134,O138)</f>
        <v>0</v>
      </c>
      <c r="G138" s="4" t="s">
        <v>68</v>
      </c>
      <c r="H138" s="4" t="s">
        <v>69</v>
      </c>
      <c r="I138" s="4"/>
      <c r="J138" s="4"/>
      <c r="K138" s="4">
        <v>222</v>
      </c>
      <c r="L138" s="4">
        <v>3</v>
      </c>
      <c r="M138" s="4">
        <v>3</v>
      </c>
      <c r="N138" s="4" t="s">
        <v>3</v>
      </c>
      <c r="O138" s="4">
        <v>2</v>
      </c>
      <c r="P138" s="4"/>
      <c r="Q138" s="4"/>
      <c r="R138" s="4"/>
      <c r="S138" s="4"/>
      <c r="T138" s="4"/>
      <c r="U138" s="4"/>
      <c r="V138" s="4"/>
      <c r="W138" s="4"/>
    </row>
    <row r="139" spans="1:245">
      <c r="A139" s="4">
        <v>50</v>
      </c>
      <c r="B139" s="4">
        <v>0</v>
      </c>
      <c r="C139" s="4">
        <v>0</v>
      </c>
      <c r="D139" s="4">
        <v>1</v>
      </c>
      <c r="E139" s="4">
        <v>225</v>
      </c>
      <c r="F139" s="4">
        <f>ROUND(Source!AV134,O139)</f>
        <v>28943.22</v>
      </c>
      <c r="G139" s="4" t="s">
        <v>70</v>
      </c>
      <c r="H139" s="4" t="s">
        <v>71</v>
      </c>
      <c r="I139" s="4"/>
      <c r="J139" s="4"/>
      <c r="K139" s="4">
        <v>225</v>
      </c>
      <c r="L139" s="4">
        <v>4</v>
      </c>
      <c r="M139" s="4">
        <v>3</v>
      </c>
      <c r="N139" s="4" t="s">
        <v>3</v>
      </c>
      <c r="O139" s="4">
        <v>2</v>
      </c>
      <c r="P139" s="4"/>
      <c r="Q139" s="4"/>
      <c r="R139" s="4"/>
      <c r="S139" s="4"/>
      <c r="T139" s="4"/>
      <c r="U139" s="4"/>
      <c r="V139" s="4"/>
      <c r="W139" s="4"/>
    </row>
    <row r="140" spans="1:245">
      <c r="A140" s="4">
        <v>50</v>
      </c>
      <c r="B140" s="4">
        <v>0</v>
      </c>
      <c r="C140" s="4">
        <v>0</v>
      </c>
      <c r="D140" s="4">
        <v>1</v>
      </c>
      <c r="E140" s="4">
        <v>226</v>
      </c>
      <c r="F140" s="4">
        <f>ROUND(Source!AW134,O140)</f>
        <v>28943.22</v>
      </c>
      <c r="G140" s="4" t="s">
        <v>72</v>
      </c>
      <c r="H140" s="4" t="s">
        <v>73</v>
      </c>
      <c r="I140" s="4"/>
      <c r="J140" s="4"/>
      <c r="K140" s="4">
        <v>226</v>
      </c>
      <c r="L140" s="4">
        <v>5</v>
      </c>
      <c r="M140" s="4">
        <v>3</v>
      </c>
      <c r="N140" s="4" t="s">
        <v>3</v>
      </c>
      <c r="O140" s="4">
        <v>2</v>
      </c>
      <c r="P140" s="4"/>
      <c r="Q140" s="4"/>
      <c r="R140" s="4"/>
      <c r="S140" s="4"/>
      <c r="T140" s="4"/>
      <c r="U140" s="4"/>
      <c r="V140" s="4"/>
      <c r="W140" s="4"/>
    </row>
    <row r="141" spans="1:245">
      <c r="A141" s="4">
        <v>50</v>
      </c>
      <c r="B141" s="4">
        <v>0</v>
      </c>
      <c r="C141" s="4">
        <v>0</v>
      </c>
      <c r="D141" s="4">
        <v>1</v>
      </c>
      <c r="E141" s="4">
        <v>227</v>
      </c>
      <c r="F141" s="4">
        <f>ROUND(Source!AX134,O141)</f>
        <v>0</v>
      </c>
      <c r="G141" s="4" t="s">
        <v>74</v>
      </c>
      <c r="H141" s="4" t="s">
        <v>75</v>
      </c>
      <c r="I141" s="4"/>
      <c r="J141" s="4"/>
      <c r="K141" s="4">
        <v>227</v>
      </c>
      <c r="L141" s="4">
        <v>6</v>
      </c>
      <c r="M141" s="4">
        <v>3</v>
      </c>
      <c r="N141" s="4" t="s">
        <v>3</v>
      </c>
      <c r="O141" s="4">
        <v>2</v>
      </c>
      <c r="P141" s="4"/>
      <c r="Q141" s="4"/>
      <c r="R141" s="4"/>
      <c r="S141" s="4"/>
      <c r="T141" s="4"/>
      <c r="U141" s="4"/>
      <c r="V141" s="4"/>
      <c r="W141" s="4"/>
    </row>
    <row r="142" spans="1:245">
      <c r="A142" s="4">
        <v>50</v>
      </c>
      <c r="B142" s="4">
        <v>0</v>
      </c>
      <c r="C142" s="4">
        <v>0</v>
      </c>
      <c r="D142" s="4">
        <v>1</v>
      </c>
      <c r="E142" s="4">
        <v>228</v>
      </c>
      <c r="F142" s="4">
        <f>ROUND(Source!AY134,O142)</f>
        <v>28943.22</v>
      </c>
      <c r="G142" s="4" t="s">
        <v>76</v>
      </c>
      <c r="H142" s="4" t="s">
        <v>77</v>
      </c>
      <c r="I142" s="4"/>
      <c r="J142" s="4"/>
      <c r="K142" s="4">
        <v>228</v>
      </c>
      <c r="L142" s="4">
        <v>7</v>
      </c>
      <c r="M142" s="4">
        <v>3</v>
      </c>
      <c r="N142" s="4" t="s">
        <v>3</v>
      </c>
      <c r="O142" s="4">
        <v>2</v>
      </c>
      <c r="P142" s="4"/>
      <c r="Q142" s="4"/>
      <c r="R142" s="4"/>
      <c r="S142" s="4"/>
      <c r="T142" s="4"/>
      <c r="U142" s="4"/>
      <c r="V142" s="4"/>
      <c r="W142" s="4"/>
    </row>
    <row r="143" spans="1:245">
      <c r="A143" s="4">
        <v>50</v>
      </c>
      <c r="B143" s="4">
        <v>0</v>
      </c>
      <c r="C143" s="4">
        <v>0</v>
      </c>
      <c r="D143" s="4">
        <v>1</v>
      </c>
      <c r="E143" s="4">
        <v>216</v>
      </c>
      <c r="F143" s="4">
        <f>ROUND(Source!AP134,O143)</f>
        <v>0</v>
      </c>
      <c r="G143" s="4" t="s">
        <v>78</v>
      </c>
      <c r="H143" s="4" t="s">
        <v>79</v>
      </c>
      <c r="I143" s="4"/>
      <c r="J143" s="4"/>
      <c r="K143" s="4">
        <v>216</v>
      </c>
      <c r="L143" s="4">
        <v>8</v>
      </c>
      <c r="M143" s="4">
        <v>3</v>
      </c>
      <c r="N143" s="4" t="s">
        <v>3</v>
      </c>
      <c r="O143" s="4">
        <v>2</v>
      </c>
      <c r="P143" s="4"/>
      <c r="Q143" s="4"/>
      <c r="R143" s="4"/>
      <c r="S143" s="4"/>
      <c r="T143" s="4"/>
      <c r="U143" s="4"/>
      <c r="V143" s="4"/>
      <c r="W143" s="4"/>
    </row>
    <row r="144" spans="1:245">
      <c r="A144" s="4">
        <v>50</v>
      </c>
      <c r="B144" s="4">
        <v>0</v>
      </c>
      <c r="C144" s="4">
        <v>0</v>
      </c>
      <c r="D144" s="4">
        <v>1</v>
      </c>
      <c r="E144" s="4">
        <v>223</v>
      </c>
      <c r="F144" s="4">
        <f>ROUND(Source!AQ134,O144)</f>
        <v>0</v>
      </c>
      <c r="G144" s="4" t="s">
        <v>80</v>
      </c>
      <c r="H144" s="4" t="s">
        <v>81</v>
      </c>
      <c r="I144" s="4"/>
      <c r="J144" s="4"/>
      <c r="K144" s="4">
        <v>223</v>
      </c>
      <c r="L144" s="4">
        <v>9</v>
      </c>
      <c r="M144" s="4">
        <v>3</v>
      </c>
      <c r="N144" s="4" t="s">
        <v>3</v>
      </c>
      <c r="O144" s="4">
        <v>2</v>
      </c>
      <c r="P144" s="4"/>
      <c r="Q144" s="4"/>
      <c r="R144" s="4"/>
      <c r="S144" s="4"/>
      <c r="T144" s="4"/>
      <c r="U144" s="4"/>
      <c r="V144" s="4"/>
      <c r="W144" s="4"/>
    </row>
    <row r="145" spans="1:23">
      <c r="A145" s="4">
        <v>50</v>
      </c>
      <c r="B145" s="4">
        <v>0</v>
      </c>
      <c r="C145" s="4">
        <v>0</v>
      </c>
      <c r="D145" s="4">
        <v>1</v>
      </c>
      <c r="E145" s="4">
        <v>229</v>
      </c>
      <c r="F145" s="4">
        <f>ROUND(Source!AZ134,O145)</f>
        <v>0</v>
      </c>
      <c r="G145" s="4" t="s">
        <v>82</v>
      </c>
      <c r="H145" s="4" t="s">
        <v>83</v>
      </c>
      <c r="I145" s="4"/>
      <c r="J145" s="4"/>
      <c r="K145" s="4">
        <v>229</v>
      </c>
      <c r="L145" s="4">
        <v>10</v>
      </c>
      <c r="M145" s="4">
        <v>3</v>
      </c>
      <c r="N145" s="4" t="s">
        <v>3</v>
      </c>
      <c r="O145" s="4">
        <v>2</v>
      </c>
      <c r="P145" s="4"/>
      <c r="Q145" s="4"/>
      <c r="R145" s="4"/>
      <c r="S145" s="4"/>
      <c r="T145" s="4"/>
      <c r="U145" s="4"/>
      <c r="V145" s="4"/>
      <c r="W145" s="4"/>
    </row>
    <row r="146" spans="1:23">
      <c r="A146" s="4">
        <v>50</v>
      </c>
      <c r="B146" s="4">
        <v>0</v>
      </c>
      <c r="C146" s="4">
        <v>0</v>
      </c>
      <c r="D146" s="4">
        <v>1</v>
      </c>
      <c r="E146" s="4">
        <v>203</v>
      </c>
      <c r="F146" s="4">
        <f>ROUND(Source!Q134,O146)</f>
        <v>1594.16</v>
      </c>
      <c r="G146" s="4" t="s">
        <v>84</v>
      </c>
      <c r="H146" s="4" t="s">
        <v>85</v>
      </c>
      <c r="I146" s="4"/>
      <c r="J146" s="4"/>
      <c r="K146" s="4">
        <v>203</v>
      </c>
      <c r="L146" s="4">
        <v>11</v>
      </c>
      <c r="M146" s="4">
        <v>3</v>
      </c>
      <c r="N146" s="4" t="s">
        <v>3</v>
      </c>
      <c r="O146" s="4">
        <v>2</v>
      </c>
      <c r="P146" s="4"/>
      <c r="Q146" s="4"/>
      <c r="R146" s="4"/>
      <c r="S146" s="4"/>
      <c r="T146" s="4"/>
      <c r="U146" s="4"/>
      <c r="V146" s="4"/>
      <c r="W146" s="4"/>
    </row>
    <row r="147" spans="1:23">
      <c r="A147" s="4">
        <v>50</v>
      </c>
      <c r="B147" s="4">
        <v>0</v>
      </c>
      <c r="C147" s="4">
        <v>0</v>
      </c>
      <c r="D147" s="4">
        <v>1</v>
      </c>
      <c r="E147" s="4">
        <v>231</v>
      </c>
      <c r="F147" s="4">
        <f>ROUND(Source!BB134,O147)</f>
        <v>0</v>
      </c>
      <c r="G147" s="4" t="s">
        <v>86</v>
      </c>
      <c r="H147" s="4" t="s">
        <v>87</v>
      </c>
      <c r="I147" s="4"/>
      <c r="J147" s="4"/>
      <c r="K147" s="4">
        <v>231</v>
      </c>
      <c r="L147" s="4">
        <v>12</v>
      </c>
      <c r="M147" s="4">
        <v>3</v>
      </c>
      <c r="N147" s="4" t="s">
        <v>3</v>
      </c>
      <c r="O147" s="4">
        <v>2</v>
      </c>
      <c r="P147" s="4"/>
      <c r="Q147" s="4"/>
      <c r="R147" s="4"/>
      <c r="S147" s="4"/>
      <c r="T147" s="4"/>
      <c r="U147" s="4"/>
      <c r="V147" s="4"/>
      <c r="W147" s="4"/>
    </row>
    <row r="148" spans="1:23">
      <c r="A148" s="4">
        <v>50</v>
      </c>
      <c r="B148" s="4">
        <v>0</v>
      </c>
      <c r="C148" s="4">
        <v>0</v>
      </c>
      <c r="D148" s="4">
        <v>1</v>
      </c>
      <c r="E148" s="4">
        <v>204</v>
      </c>
      <c r="F148" s="4">
        <f>ROUND(Source!R134,O148)</f>
        <v>462.97</v>
      </c>
      <c r="G148" s="4" t="s">
        <v>88</v>
      </c>
      <c r="H148" s="4" t="s">
        <v>89</v>
      </c>
      <c r="I148" s="4"/>
      <c r="J148" s="4"/>
      <c r="K148" s="4">
        <v>204</v>
      </c>
      <c r="L148" s="4">
        <v>13</v>
      </c>
      <c r="M148" s="4">
        <v>3</v>
      </c>
      <c r="N148" s="4" t="s">
        <v>3</v>
      </c>
      <c r="O148" s="4">
        <v>2</v>
      </c>
      <c r="P148" s="4"/>
      <c r="Q148" s="4"/>
      <c r="R148" s="4"/>
      <c r="S148" s="4"/>
      <c r="T148" s="4"/>
      <c r="U148" s="4"/>
      <c r="V148" s="4"/>
      <c r="W148" s="4"/>
    </row>
    <row r="149" spans="1:23">
      <c r="A149" s="4">
        <v>50</v>
      </c>
      <c r="B149" s="4">
        <v>0</v>
      </c>
      <c r="C149" s="4">
        <v>0</v>
      </c>
      <c r="D149" s="4">
        <v>1</v>
      </c>
      <c r="E149" s="4">
        <v>205</v>
      </c>
      <c r="F149" s="4">
        <f>ROUND(Source!S134,O149)</f>
        <v>10559.73</v>
      </c>
      <c r="G149" s="4" t="s">
        <v>90</v>
      </c>
      <c r="H149" s="4" t="s">
        <v>91</v>
      </c>
      <c r="I149" s="4"/>
      <c r="J149" s="4"/>
      <c r="K149" s="4">
        <v>205</v>
      </c>
      <c r="L149" s="4">
        <v>14</v>
      </c>
      <c r="M149" s="4">
        <v>3</v>
      </c>
      <c r="N149" s="4" t="s">
        <v>3</v>
      </c>
      <c r="O149" s="4">
        <v>2</v>
      </c>
      <c r="P149" s="4"/>
      <c r="Q149" s="4"/>
      <c r="R149" s="4"/>
      <c r="S149" s="4"/>
      <c r="T149" s="4"/>
      <c r="U149" s="4"/>
      <c r="V149" s="4"/>
      <c r="W149" s="4"/>
    </row>
    <row r="150" spans="1:23">
      <c r="A150" s="4">
        <v>50</v>
      </c>
      <c r="B150" s="4">
        <v>0</v>
      </c>
      <c r="C150" s="4">
        <v>0</v>
      </c>
      <c r="D150" s="4">
        <v>1</v>
      </c>
      <c r="E150" s="4">
        <v>232</v>
      </c>
      <c r="F150" s="4">
        <f>ROUND(Source!BC134,O150)</f>
        <v>0</v>
      </c>
      <c r="G150" s="4" t="s">
        <v>92</v>
      </c>
      <c r="H150" s="4" t="s">
        <v>93</v>
      </c>
      <c r="I150" s="4"/>
      <c r="J150" s="4"/>
      <c r="K150" s="4">
        <v>232</v>
      </c>
      <c r="L150" s="4">
        <v>15</v>
      </c>
      <c r="M150" s="4">
        <v>3</v>
      </c>
      <c r="N150" s="4" t="s">
        <v>3</v>
      </c>
      <c r="O150" s="4">
        <v>2</v>
      </c>
      <c r="P150" s="4"/>
      <c r="Q150" s="4"/>
      <c r="R150" s="4"/>
      <c r="S150" s="4"/>
      <c r="T150" s="4"/>
      <c r="U150" s="4"/>
      <c r="V150" s="4"/>
      <c r="W150" s="4"/>
    </row>
    <row r="151" spans="1:23">
      <c r="A151" s="4">
        <v>50</v>
      </c>
      <c r="B151" s="4">
        <v>0</v>
      </c>
      <c r="C151" s="4">
        <v>0</v>
      </c>
      <c r="D151" s="4">
        <v>1</v>
      </c>
      <c r="E151" s="4">
        <v>214</v>
      </c>
      <c r="F151" s="4">
        <f>ROUND(Source!AS134,O151)</f>
        <v>0</v>
      </c>
      <c r="G151" s="4" t="s">
        <v>94</v>
      </c>
      <c r="H151" s="4" t="s">
        <v>95</v>
      </c>
      <c r="I151" s="4"/>
      <c r="J151" s="4"/>
      <c r="K151" s="4">
        <v>214</v>
      </c>
      <c r="L151" s="4">
        <v>16</v>
      </c>
      <c r="M151" s="4">
        <v>3</v>
      </c>
      <c r="N151" s="4" t="s">
        <v>3</v>
      </c>
      <c r="O151" s="4">
        <v>2</v>
      </c>
      <c r="P151" s="4"/>
      <c r="Q151" s="4"/>
      <c r="R151" s="4"/>
      <c r="S151" s="4"/>
      <c r="T151" s="4"/>
      <c r="U151" s="4"/>
      <c r="V151" s="4"/>
      <c r="W151" s="4"/>
    </row>
    <row r="152" spans="1:23">
      <c r="A152" s="4">
        <v>50</v>
      </c>
      <c r="B152" s="4">
        <v>0</v>
      </c>
      <c r="C152" s="4">
        <v>0</v>
      </c>
      <c r="D152" s="4">
        <v>1</v>
      </c>
      <c r="E152" s="4">
        <v>215</v>
      </c>
      <c r="F152" s="4">
        <f>ROUND(Source!AT134,O152)</f>
        <v>0</v>
      </c>
      <c r="G152" s="4" t="s">
        <v>96</v>
      </c>
      <c r="H152" s="4" t="s">
        <v>97</v>
      </c>
      <c r="I152" s="4"/>
      <c r="J152" s="4"/>
      <c r="K152" s="4">
        <v>215</v>
      </c>
      <c r="L152" s="4">
        <v>17</v>
      </c>
      <c r="M152" s="4">
        <v>3</v>
      </c>
      <c r="N152" s="4" t="s">
        <v>3</v>
      </c>
      <c r="O152" s="4">
        <v>2</v>
      </c>
      <c r="P152" s="4"/>
      <c r="Q152" s="4"/>
      <c r="R152" s="4"/>
      <c r="S152" s="4"/>
      <c r="T152" s="4"/>
      <c r="U152" s="4"/>
      <c r="V152" s="4"/>
      <c r="W152" s="4"/>
    </row>
    <row r="153" spans="1:23">
      <c r="A153" s="4">
        <v>50</v>
      </c>
      <c r="B153" s="4">
        <v>0</v>
      </c>
      <c r="C153" s="4">
        <v>0</v>
      </c>
      <c r="D153" s="4">
        <v>1</v>
      </c>
      <c r="E153" s="4">
        <v>217</v>
      </c>
      <c r="F153" s="4">
        <f>ROUND(Source!AU134,O153)</f>
        <v>50044.91</v>
      </c>
      <c r="G153" s="4" t="s">
        <v>98</v>
      </c>
      <c r="H153" s="4" t="s">
        <v>99</v>
      </c>
      <c r="I153" s="4"/>
      <c r="J153" s="4"/>
      <c r="K153" s="4">
        <v>217</v>
      </c>
      <c r="L153" s="4">
        <v>18</v>
      </c>
      <c r="M153" s="4">
        <v>3</v>
      </c>
      <c r="N153" s="4" t="s">
        <v>3</v>
      </c>
      <c r="O153" s="4">
        <v>2</v>
      </c>
      <c r="P153" s="4"/>
      <c r="Q153" s="4"/>
      <c r="R153" s="4"/>
      <c r="S153" s="4"/>
      <c r="T153" s="4"/>
      <c r="U153" s="4"/>
      <c r="V153" s="4"/>
      <c r="W153" s="4"/>
    </row>
    <row r="154" spans="1:23">
      <c r="A154" s="4">
        <v>50</v>
      </c>
      <c r="B154" s="4">
        <v>0</v>
      </c>
      <c r="C154" s="4">
        <v>0</v>
      </c>
      <c r="D154" s="4">
        <v>1</v>
      </c>
      <c r="E154" s="4">
        <v>230</v>
      </c>
      <c r="F154" s="4">
        <f>ROUND(Source!BA134,O154)</f>
        <v>0</v>
      </c>
      <c r="G154" s="4" t="s">
        <v>100</v>
      </c>
      <c r="H154" s="4" t="s">
        <v>101</v>
      </c>
      <c r="I154" s="4"/>
      <c r="J154" s="4"/>
      <c r="K154" s="4">
        <v>230</v>
      </c>
      <c r="L154" s="4">
        <v>19</v>
      </c>
      <c r="M154" s="4">
        <v>3</v>
      </c>
      <c r="N154" s="4" t="s">
        <v>3</v>
      </c>
      <c r="O154" s="4">
        <v>2</v>
      </c>
      <c r="P154" s="4"/>
      <c r="Q154" s="4"/>
      <c r="R154" s="4"/>
      <c r="S154" s="4"/>
      <c r="T154" s="4"/>
      <c r="U154" s="4"/>
      <c r="V154" s="4"/>
      <c r="W154" s="4"/>
    </row>
    <row r="155" spans="1:23">
      <c r="A155" s="4">
        <v>50</v>
      </c>
      <c r="B155" s="4">
        <v>0</v>
      </c>
      <c r="C155" s="4">
        <v>0</v>
      </c>
      <c r="D155" s="4">
        <v>1</v>
      </c>
      <c r="E155" s="4">
        <v>206</v>
      </c>
      <c r="F155" s="4">
        <f>ROUND(Source!T134,O155)</f>
        <v>0</v>
      </c>
      <c r="G155" s="4" t="s">
        <v>102</v>
      </c>
      <c r="H155" s="4" t="s">
        <v>103</v>
      </c>
      <c r="I155" s="4"/>
      <c r="J155" s="4"/>
      <c r="K155" s="4">
        <v>206</v>
      </c>
      <c r="L155" s="4">
        <v>20</v>
      </c>
      <c r="M155" s="4">
        <v>3</v>
      </c>
      <c r="N155" s="4" t="s">
        <v>3</v>
      </c>
      <c r="O155" s="4">
        <v>2</v>
      </c>
      <c r="P155" s="4"/>
      <c r="Q155" s="4"/>
      <c r="R155" s="4"/>
      <c r="S155" s="4"/>
      <c r="T155" s="4"/>
      <c r="U155" s="4"/>
      <c r="V155" s="4"/>
      <c r="W155" s="4"/>
    </row>
    <row r="156" spans="1:23">
      <c r="A156" s="4">
        <v>50</v>
      </c>
      <c r="B156" s="4">
        <v>0</v>
      </c>
      <c r="C156" s="4">
        <v>0</v>
      </c>
      <c r="D156" s="4">
        <v>1</v>
      </c>
      <c r="E156" s="4">
        <v>207</v>
      </c>
      <c r="F156" s="4">
        <f>Source!U134</f>
        <v>53.224689999999995</v>
      </c>
      <c r="G156" s="4" t="s">
        <v>104</v>
      </c>
      <c r="H156" s="4" t="s">
        <v>105</v>
      </c>
      <c r="I156" s="4"/>
      <c r="J156" s="4"/>
      <c r="K156" s="4">
        <v>207</v>
      </c>
      <c r="L156" s="4">
        <v>21</v>
      </c>
      <c r="M156" s="4">
        <v>3</v>
      </c>
      <c r="N156" s="4" t="s">
        <v>3</v>
      </c>
      <c r="O156" s="4">
        <v>-1</v>
      </c>
      <c r="P156" s="4"/>
      <c r="Q156" s="4"/>
      <c r="R156" s="4"/>
      <c r="S156" s="4"/>
      <c r="T156" s="4"/>
      <c r="U156" s="4"/>
      <c r="V156" s="4"/>
      <c r="W156" s="4"/>
    </row>
    <row r="157" spans="1:23">
      <c r="A157" s="4">
        <v>50</v>
      </c>
      <c r="B157" s="4">
        <v>0</v>
      </c>
      <c r="C157" s="4">
        <v>0</v>
      </c>
      <c r="D157" s="4">
        <v>1</v>
      </c>
      <c r="E157" s="4">
        <v>208</v>
      </c>
      <c r="F157" s="4">
        <f>Source!V134</f>
        <v>0</v>
      </c>
      <c r="G157" s="4" t="s">
        <v>106</v>
      </c>
      <c r="H157" s="4" t="s">
        <v>107</v>
      </c>
      <c r="I157" s="4"/>
      <c r="J157" s="4"/>
      <c r="K157" s="4">
        <v>208</v>
      </c>
      <c r="L157" s="4">
        <v>22</v>
      </c>
      <c r="M157" s="4">
        <v>3</v>
      </c>
      <c r="N157" s="4" t="s">
        <v>3</v>
      </c>
      <c r="O157" s="4">
        <v>-1</v>
      </c>
      <c r="P157" s="4"/>
      <c r="Q157" s="4"/>
      <c r="R157" s="4"/>
      <c r="S157" s="4"/>
      <c r="T157" s="4"/>
      <c r="U157" s="4"/>
      <c r="V157" s="4"/>
      <c r="W157" s="4"/>
    </row>
    <row r="158" spans="1:23">
      <c r="A158" s="4">
        <v>50</v>
      </c>
      <c r="B158" s="4">
        <v>0</v>
      </c>
      <c r="C158" s="4">
        <v>0</v>
      </c>
      <c r="D158" s="4">
        <v>1</v>
      </c>
      <c r="E158" s="4">
        <v>209</v>
      </c>
      <c r="F158" s="4">
        <f>ROUND(Source!W134,O158)</f>
        <v>0</v>
      </c>
      <c r="G158" s="4" t="s">
        <v>108</v>
      </c>
      <c r="H158" s="4" t="s">
        <v>109</v>
      </c>
      <c r="I158" s="4"/>
      <c r="J158" s="4"/>
      <c r="K158" s="4">
        <v>209</v>
      </c>
      <c r="L158" s="4">
        <v>23</v>
      </c>
      <c r="M158" s="4">
        <v>3</v>
      </c>
      <c r="N158" s="4" t="s">
        <v>3</v>
      </c>
      <c r="O158" s="4">
        <v>2</v>
      </c>
      <c r="P158" s="4"/>
      <c r="Q158" s="4"/>
      <c r="R158" s="4"/>
      <c r="S158" s="4"/>
      <c r="T158" s="4"/>
      <c r="U158" s="4"/>
      <c r="V158" s="4"/>
      <c r="W158" s="4"/>
    </row>
    <row r="159" spans="1:23">
      <c r="A159" s="4">
        <v>50</v>
      </c>
      <c r="B159" s="4">
        <v>0</v>
      </c>
      <c r="C159" s="4">
        <v>0</v>
      </c>
      <c r="D159" s="4">
        <v>1</v>
      </c>
      <c r="E159" s="4">
        <v>210</v>
      </c>
      <c r="F159" s="4">
        <f>ROUND(Source!X134,O159)</f>
        <v>7391.82</v>
      </c>
      <c r="G159" s="4" t="s">
        <v>110</v>
      </c>
      <c r="H159" s="4" t="s">
        <v>111</v>
      </c>
      <c r="I159" s="4"/>
      <c r="J159" s="4"/>
      <c r="K159" s="4">
        <v>210</v>
      </c>
      <c r="L159" s="4">
        <v>24</v>
      </c>
      <c r="M159" s="4">
        <v>3</v>
      </c>
      <c r="N159" s="4" t="s">
        <v>3</v>
      </c>
      <c r="O159" s="4">
        <v>2</v>
      </c>
      <c r="P159" s="4"/>
      <c r="Q159" s="4"/>
      <c r="R159" s="4"/>
      <c r="S159" s="4"/>
      <c r="T159" s="4"/>
      <c r="U159" s="4"/>
      <c r="V159" s="4"/>
      <c r="W159" s="4"/>
    </row>
    <row r="160" spans="1:23">
      <c r="A160" s="4">
        <v>50</v>
      </c>
      <c r="B160" s="4">
        <v>0</v>
      </c>
      <c r="C160" s="4">
        <v>0</v>
      </c>
      <c r="D160" s="4">
        <v>1</v>
      </c>
      <c r="E160" s="4">
        <v>211</v>
      </c>
      <c r="F160" s="4">
        <f>ROUND(Source!Y134,O160)</f>
        <v>1055.98</v>
      </c>
      <c r="G160" s="4" t="s">
        <v>112</v>
      </c>
      <c r="H160" s="4" t="s">
        <v>113</v>
      </c>
      <c r="I160" s="4"/>
      <c r="J160" s="4"/>
      <c r="K160" s="4">
        <v>211</v>
      </c>
      <c r="L160" s="4">
        <v>25</v>
      </c>
      <c r="M160" s="4">
        <v>3</v>
      </c>
      <c r="N160" s="4" t="s">
        <v>3</v>
      </c>
      <c r="O160" s="4">
        <v>2</v>
      </c>
      <c r="P160" s="4"/>
      <c r="Q160" s="4"/>
      <c r="R160" s="4"/>
      <c r="S160" s="4"/>
      <c r="T160" s="4"/>
      <c r="U160" s="4"/>
      <c r="V160" s="4"/>
      <c r="W160" s="4"/>
    </row>
    <row r="161" spans="1:245">
      <c r="A161" s="4">
        <v>50</v>
      </c>
      <c r="B161" s="4">
        <v>0</v>
      </c>
      <c r="C161" s="4">
        <v>0</v>
      </c>
      <c r="D161" s="4">
        <v>1</v>
      </c>
      <c r="E161" s="4">
        <v>224</v>
      </c>
      <c r="F161" s="4">
        <f>ROUND(Source!AR134,O161)</f>
        <v>50044.91</v>
      </c>
      <c r="G161" s="4" t="s">
        <v>114</v>
      </c>
      <c r="H161" s="4" t="s">
        <v>115</v>
      </c>
      <c r="I161" s="4"/>
      <c r="J161" s="4"/>
      <c r="K161" s="4">
        <v>224</v>
      </c>
      <c r="L161" s="4">
        <v>26</v>
      </c>
      <c r="M161" s="4">
        <v>3</v>
      </c>
      <c r="N161" s="4" t="s">
        <v>3</v>
      </c>
      <c r="O161" s="4">
        <v>2</v>
      </c>
      <c r="P161" s="4"/>
      <c r="Q161" s="4"/>
      <c r="R161" s="4"/>
      <c r="S161" s="4"/>
      <c r="T161" s="4"/>
      <c r="U161" s="4"/>
      <c r="V161" s="4"/>
      <c r="W161" s="4"/>
    </row>
    <row r="162" spans="1:245">
      <c r="A162" s="4">
        <v>50</v>
      </c>
      <c r="B162" s="4">
        <v>1</v>
      </c>
      <c r="C162" s="4">
        <v>0</v>
      </c>
      <c r="D162" s="4">
        <v>2</v>
      </c>
      <c r="E162" s="4">
        <v>0</v>
      </c>
      <c r="F162" s="4">
        <f>ROUND(F161,O162)</f>
        <v>50044.91</v>
      </c>
      <c r="G162" s="4" t="s">
        <v>4</v>
      </c>
      <c r="H162" s="4" t="s">
        <v>116</v>
      </c>
      <c r="I162" s="4"/>
      <c r="J162" s="4"/>
      <c r="K162" s="4">
        <v>212</v>
      </c>
      <c r="L162" s="4">
        <v>27</v>
      </c>
      <c r="M162" s="4">
        <v>0</v>
      </c>
      <c r="N162" s="4" t="s">
        <v>3</v>
      </c>
      <c r="O162" s="4">
        <v>2</v>
      </c>
      <c r="P162" s="4"/>
      <c r="Q162" s="4"/>
      <c r="R162" s="4"/>
      <c r="S162" s="4"/>
      <c r="T162" s="4"/>
      <c r="U162" s="4"/>
      <c r="V162" s="4"/>
      <c r="W162" s="4"/>
    </row>
    <row r="163" spans="1:245">
      <c r="A163" s="4">
        <v>50</v>
      </c>
      <c r="B163" s="4">
        <v>1</v>
      </c>
      <c r="C163" s="4">
        <v>0</v>
      </c>
      <c r="D163" s="4">
        <v>2</v>
      </c>
      <c r="E163" s="4">
        <v>0</v>
      </c>
      <c r="F163" s="4">
        <f>ROUND(F162*0.2,O163)</f>
        <v>10008.98</v>
      </c>
      <c r="G163" s="4" t="s">
        <v>22</v>
      </c>
      <c r="H163" s="4" t="s">
        <v>117</v>
      </c>
      <c r="I163" s="4"/>
      <c r="J163" s="4"/>
      <c r="K163" s="4">
        <v>212</v>
      </c>
      <c r="L163" s="4">
        <v>28</v>
      </c>
      <c r="M163" s="4">
        <v>0</v>
      </c>
      <c r="N163" s="4" t="s">
        <v>3</v>
      </c>
      <c r="O163" s="4">
        <v>2</v>
      </c>
      <c r="P163" s="4"/>
      <c r="Q163" s="4"/>
      <c r="R163" s="4"/>
      <c r="S163" s="4"/>
      <c r="T163" s="4"/>
      <c r="U163" s="4"/>
      <c r="V163" s="4"/>
      <c r="W163" s="4"/>
    </row>
    <row r="164" spans="1:245">
      <c r="A164" s="4">
        <v>50</v>
      </c>
      <c r="B164" s="4">
        <v>1</v>
      </c>
      <c r="C164" s="4">
        <v>0</v>
      </c>
      <c r="D164" s="4">
        <v>2</v>
      </c>
      <c r="E164" s="4">
        <v>0</v>
      </c>
      <c r="F164" s="4">
        <f>ROUND(F162+F163,O164)</f>
        <v>60053.89</v>
      </c>
      <c r="G164" s="4" t="s">
        <v>26</v>
      </c>
      <c r="H164" s="4" t="s">
        <v>118</v>
      </c>
      <c r="I164" s="4"/>
      <c r="J164" s="4"/>
      <c r="K164" s="4">
        <v>212</v>
      </c>
      <c r="L164" s="4">
        <v>29</v>
      </c>
      <c r="M164" s="4">
        <v>0</v>
      </c>
      <c r="N164" s="4" t="s">
        <v>3</v>
      </c>
      <c r="O164" s="4">
        <v>2</v>
      </c>
      <c r="P164" s="4"/>
      <c r="Q164" s="4"/>
      <c r="R164" s="4"/>
      <c r="S164" s="4"/>
      <c r="T164" s="4"/>
      <c r="U164" s="4"/>
      <c r="V164" s="4"/>
      <c r="W164" s="4"/>
    </row>
    <row r="166" spans="1:245">
      <c r="A166" s="1">
        <v>4</v>
      </c>
      <c r="B166" s="1">
        <v>1</v>
      </c>
      <c r="C166" s="1"/>
      <c r="D166" s="1">
        <f>ROW(A186)</f>
        <v>186</v>
      </c>
      <c r="E166" s="1"/>
      <c r="F166" s="1" t="s">
        <v>13</v>
      </c>
      <c r="G166" s="1" t="s">
        <v>179</v>
      </c>
      <c r="H166" s="1" t="s">
        <v>3</v>
      </c>
      <c r="I166" s="1">
        <v>0</v>
      </c>
      <c r="J166" s="1"/>
      <c r="K166" s="1">
        <v>0</v>
      </c>
      <c r="L166" s="1"/>
      <c r="M166" s="1"/>
      <c r="N166" s="1"/>
      <c r="O166" s="1"/>
      <c r="P166" s="1"/>
      <c r="Q166" s="1"/>
      <c r="R166" s="1"/>
      <c r="S166" s="1"/>
      <c r="T166" s="1"/>
      <c r="U166" s="1" t="s">
        <v>3</v>
      </c>
      <c r="V166" s="1">
        <v>0</v>
      </c>
      <c r="W166" s="1"/>
      <c r="X166" s="1"/>
      <c r="Y166" s="1"/>
      <c r="Z166" s="1"/>
      <c r="AA166" s="1"/>
      <c r="AB166" s="1" t="s">
        <v>3</v>
      </c>
      <c r="AC166" s="1" t="s">
        <v>3</v>
      </c>
      <c r="AD166" s="1" t="s">
        <v>3</v>
      </c>
      <c r="AE166" s="1" t="s">
        <v>3</v>
      </c>
      <c r="AF166" s="1" t="s">
        <v>3</v>
      </c>
      <c r="AG166" s="1" t="s">
        <v>3</v>
      </c>
      <c r="AH166" s="1"/>
      <c r="AI166" s="1"/>
      <c r="AJ166" s="1"/>
      <c r="AK166" s="1"/>
      <c r="AL166" s="1"/>
      <c r="AM166" s="1"/>
      <c r="AN166" s="1"/>
      <c r="AO166" s="1"/>
      <c r="AP166" s="1" t="s">
        <v>3</v>
      </c>
      <c r="AQ166" s="1" t="s">
        <v>3</v>
      </c>
      <c r="AR166" s="1" t="s">
        <v>3</v>
      </c>
      <c r="AS166" s="1"/>
      <c r="AT166" s="1"/>
      <c r="AU166" s="1"/>
      <c r="AV166" s="1"/>
      <c r="AW166" s="1"/>
      <c r="AX166" s="1"/>
      <c r="AY166" s="1"/>
      <c r="AZ166" s="1" t="s">
        <v>3</v>
      </c>
      <c r="BA166" s="1"/>
      <c r="BB166" s="1" t="s">
        <v>3</v>
      </c>
      <c r="BC166" s="1" t="s">
        <v>3</v>
      </c>
      <c r="BD166" s="1" t="s">
        <v>3</v>
      </c>
      <c r="BE166" s="1" t="s">
        <v>3</v>
      </c>
      <c r="BF166" s="1" t="s">
        <v>3</v>
      </c>
      <c r="BG166" s="1" t="s">
        <v>3</v>
      </c>
      <c r="BH166" s="1" t="s">
        <v>3</v>
      </c>
      <c r="BI166" s="1" t="s">
        <v>3</v>
      </c>
      <c r="BJ166" s="1" t="s">
        <v>3</v>
      </c>
      <c r="BK166" s="1" t="s">
        <v>3</v>
      </c>
      <c r="BL166" s="1" t="s">
        <v>3</v>
      </c>
      <c r="BM166" s="1" t="s">
        <v>3</v>
      </c>
      <c r="BN166" s="1" t="s">
        <v>3</v>
      </c>
      <c r="BO166" s="1" t="s">
        <v>3</v>
      </c>
      <c r="BP166" s="1" t="s">
        <v>3</v>
      </c>
      <c r="BQ166" s="1"/>
      <c r="BR166" s="1"/>
      <c r="BS166" s="1"/>
      <c r="BT166" s="1"/>
      <c r="BU166" s="1"/>
      <c r="BV166" s="1"/>
      <c r="BW166" s="1"/>
      <c r="BX166" s="1">
        <v>0</v>
      </c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>
        <v>0</v>
      </c>
    </row>
    <row r="168" spans="1:245">
      <c r="A168" s="2">
        <v>52</v>
      </c>
      <c r="B168" s="2">
        <f t="shared" ref="B168:G168" si="156">B186</f>
        <v>1</v>
      </c>
      <c r="C168" s="2">
        <f t="shared" si="156"/>
        <v>4</v>
      </c>
      <c r="D168" s="2">
        <f t="shared" si="156"/>
        <v>166</v>
      </c>
      <c r="E168" s="2">
        <f t="shared" si="156"/>
        <v>0</v>
      </c>
      <c r="F168" s="2" t="str">
        <f t="shared" si="156"/>
        <v>Новый раздел</v>
      </c>
      <c r="G168" s="2" t="str">
        <f t="shared" si="156"/>
        <v>Посадка деревьев хвойных - 21шт.</v>
      </c>
      <c r="H168" s="2"/>
      <c r="I168" s="2"/>
      <c r="J168" s="2"/>
      <c r="K168" s="2"/>
      <c r="L168" s="2"/>
      <c r="M168" s="2"/>
      <c r="N168" s="2"/>
      <c r="O168" s="2">
        <f t="shared" ref="O168:AT168" si="157">O186</f>
        <v>105054.01</v>
      </c>
      <c r="P168" s="2">
        <f t="shared" si="157"/>
        <v>86650.45</v>
      </c>
      <c r="Q168" s="2">
        <f t="shared" si="157"/>
        <v>3322.31</v>
      </c>
      <c r="R168" s="2">
        <f t="shared" si="157"/>
        <v>831.02</v>
      </c>
      <c r="S168" s="2">
        <f t="shared" si="157"/>
        <v>15081.25</v>
      </c>
      <c r="T168" s="2">
        <f t="shared" si="157"/>
        <v>0</v>
      </c>
      <c r="U168" s="2">
        <f t="shared" si="157"/>
        <v>73.034233</v>
      </c>
      <c r="V168" s="2">
        <f t="shared" si="157"/>
        <v>0</v>
      </c>
      <c r="W168" s="2">
        <f t="shared" si="157"/>
        <v>0</v>
      </c>
      <c r="X168" s="2">
        <f t="shared" si="157"/>
        <v>10556.88</v>
      </c>
      <c r="Y168" s="2">
        <f t="shared" si="157"/>
        <v>1508.13</v>
      </c>
      <c r="Z168" s="2">
        <f t="shared" si="157"/>
        <v>0</v>
      </c>
      <c r="AA168" s="2">
        <f t="shared" si="157"/>
        <v>0</v>
      </c>
      <c r="AB168" s="2">
        <f t="shared" si="157"/>
        <v>105054.01</v>
      </c>
      <c r="AC168" s="2">
        <f t="shared" si="157"/>
        <v>86650.45</v>
      </c>
      <c r="AD168" s="2">
        <f t="shared" si="157"/>
        <v>3322.31</v>
      </c>
      <c r="AE168" s="2">
        <f t="shared" si="157"/>
        <v>831.02</v>
      </c>
      <c r="AF168" s="2">
        <f t="shared" si="157"/>
        <v>15081.25</v>
      </c>
      <c r="AG168" s="2">
        <f t="shared" si="157"/>
        <v>0</v>
      </c>
      <c r="AH168" s="2">
        <f t="shared" si="157"/>
        <v>73.034233</v>
      </c>
      <c r="AI168" s="2">
        <f t="shared" si="157"/>
        <v>0</v>
      </c>
      <c r="AJ168" s="2">
        <f t="shared" si="157"/>
        <v>0</v>
      </c>
      <c r="AK168" s="2">
        <f t="shared" si="157"/>
        <v>10556.88</v>
      </c>
      <c r="AL168" s="2">
        <f t="shared" si="157"/>
        <v>1508.13</v>
      </c>
      <c r="AM168" s="2">
        <f t="shared" si="157"/>
        <v>0</v>
      </c>
      <c r="AN168" s="2">
        <f t="shared" si="157"/>
        <v>0</v>
      </c>
      <c r="AO168" s="2">
        <f t="shared" si="157"/>
        <v>0</v>
      </c>
      <c r="AP168" s="2">
        <f t="shared" si="157"/>
        <v>0</v>
      </c>
      <c r="AQ168" s="2">
        <f t="shared" si="157"/>
        <v>0</v>
      </c>
      <c r="AR168" s="2">
        <f t="shared" si="157"/>
        <v>118016.52</v>
      </c>
      <c r="AS168" s="2">
        <f t="shared" si="157"/>
        <v>0</v>
      </c>
      <c r="AT168" s="2">
        <f t="shared" si="157"/>
        <v>0</v>
      </c>
      <c r="AU168" s="2">
        <f t="shared" ref="AU168:BZ168" si="158">AU186</f>
        <v>118016.52</v>
      </c>
      <c r="AV168" s="2">
        <f t="shared" si="158"/>
        <v>86650.45</v>
      </c>
      <c r="AW168" s="2">
        <f t="shared" si="158"/>
        <v>86650.45</v>
      </c>
      <c r="AX168" s="2">
        <f t="shared" si="158"/>
        <v>0</v>
      </c>
      <c r="AY168" s="2">
        <f t="shared" si="158"/>
        <v>86650.45</v>
      </c>
      <c r="AZ168" s="2">
        <f t="shared" si="158"/>
        <v>0</v>
      </c>
      <c r="BA168" s="2">
        <f t="shared" si="158"/>
        <v>0</v>
      </c>
      <c r="BB168" s="2">
        <f t="shared" si="158"/>
        <v>0</v>
      </c>
      <c r="BC168" s="2">
        <f t="shared" si="158"/>
        <v>0</v>
      </c>
      <c r="BD168" s="2">
        <f t="shared" si="158"/>
        <v>0</v>
      </c>
      <c r="BE168" s="2">
        <f t="shared" si="158"/>
        <v>0</v>
      </c>
      <c r="BF168" s="2">
        <f t="shared" si="158"/>
        <v>0</v>
      </c>
      <c r="BG168" s="2">
        <f t="shared" si="158"/>
        <v>0</v>
      </c>
      <c r="BH168" s="2">
        <f t="shared" si="158"/>
        <v>0</v>
      </c>
      <c r="BI168" s="2">
        <f t="shared" si="158"/>
        <v>0</v>
      </c>
      <c r="BJ168" s="2">
        <f t="shared" si="158"/>
        <v>0</v>
      </c>
      <c r="BK168" s="2">
        <f t="shared" si="158"/>
        <v>0</v>
      </c>
      <c r="BL168" s="2">
        <f t="shared" si="158"/>
        <v>0</v>
      </c>
      <c r="BM168" s="2">
        <f t="shared" si="158"/>
        <v>0</v>
      </c>
      <c r="BN168" s="2">
        <f t="shared" si="158"/>
        <v>0</v>
      </c>
      <c r="BO168" s="2">
        <f t="shared" si="158"/>
        <v>0</v>
      </c>
      <c r="BP168" s="2">
        <f t="shared" si="158"/>
        <v>0</v>
      </c>
      <c r="BQ168" s="2">
        <f t="shared" si="158"/>
        <v>0</v>
      </c>
      <c r="BR168" s="2">
        <f t="shared" si="158"/>
        <v>0</v>
      </c>
      <c r="BS168" s="2">
        <f t="shared" si="158"/>
        <v>0</v>
      </c>
      <c r="BT168" s="2">
        <f t="shared" si="158"/>
        <v>0</v>
      </c>
      <c r="BU168" s="2">
        <f t="shared" si="158"/>
        <v>0</v>
      </c>
      <c r="BV168" s="2">
        <f t="shared" si="158"/>
        <v>0</v>
      </c>
      <c r="BW168" s="2">
        <f t="shared" si="158"/>
        <v>0</v>
      </c>
      <c r="BX168" s="2">
        <f t="shared" si="158"/>
        <v>0</v>
      </c>
      <c r="BY168" s="2">
        <f t="shared" si="158"/>
        <v>0</v>
      </c>
      <c r="BZ168" s="2">
        <f t="shared" si="158"/>
        <v>0</v>
      </c>
      <c r="CA168" s="2">
        <f t="shared" ref="CA168:DF168" si="159">CA186</f>
        <v>118016.52</v>
      </c>
      <c r="CB168" s="2">
        <f t="shared" si="159"/>
        <v>0</v>
      </c>
      <c r="CC168" s="2">
        <f t="shared" si="159"/>
        <v>0</v>
      </c>
      <c r="CD168" s="2">
        <f t="shared" si="159"/>
        <v>118016.52</v>
      </c>
      <c r="CE168" s="2">
        <f t="shared" si="159"/>
        <v>86650.45</v>
      </c>
      <c r="CF168" s="2">
        <f t="shared" si="159"/>
        <v>86650.45</v>
      </c>
      <c r="CG168" s="2">
        <f t="shared" si="159"/>
        <v>0</v>
      </c>
      <c r="CH168" s="2">
        <f t="shared" si="159"/>
        <v>86650.45</v>
      </c>
      <c r="CI168" s="2">
        <f t="shared" si="159"/>
        <v>0</v>
      </c>
      <c r="CJ168" s="2">
        <f t="shared" si="159"/>
        <v>0</v>
      </c>
      <c r="CK168" s="2">
        <f t="shared" si="159"/>
        <v>0</v>
      </c>
      <c r="CL168" s="2">
        <f t="shared" si="159"/>
        <v>0</v>
      </c>
      <c r="CM168" s="2">
        <f t="shared" si="159"/>
        <v>0</v>
      </c>
      <c r="CN168" s="2">
        <f t="shared" si="159"/>
        <v>0</v>
      </c>
      <c r="CO168" s="2">
        <f t="shared" si="159"/>
        <v>0</v>
      </c>
      <c r="CP168" s="2">
        <f t="shared" si="159"/>
        <v>0</v>
      </c>
      <c r="CQ168" s="2">
        <f t="shared" si="159"/>
        <v>0</v>
      </c>
      <c r="CR168" s="2">
        <f t="shared" si="159"/>
        <v>0</v>
      </c>
      <c r="CS168" s="2">
        <f t="shared" si="159"/>
        <v>0</v>
      </c>
      <c r="CT168" s="2">
        <f t="shared" si="159"/>
        <v>0</v>
      </c>
      <c r="CU168" s="2">
        <f t="shared" si="159"/>
        <v>0</v>
      </c>
      <c r="CV168" s="2">
        <f t="shared" si="159"/>
        <v>0</v>
      </c>
      <c r="CW168" s="2">
        <f t="shared" si="159"/>
        <v>0</v>
      </c>
      <c r="CX168" s="2">
        <f t="shared" si="159"/>
        <v>0</v>
      </c>
      <c r="CY168" s="2">
        <f t="shared" si="159"/>
        <v>0</v>
      </c>
      <c r="CZ168" s="2">
        <f t="shared" si="159"/>
        <v>0</v>
      </c>
      <c r="DA168" s="2">
        <f t="shared" si="159"/>
        <v>0</v>
      </c>
      <c r="DB168" s="2">
        <f t="shared" si="159"/>
        <v>0</v>
      </c>
      <c r="DC168" s="2">
        <f t="shared" si="159"/>
        <v>0</v>
      </c>
      <c r="DD168" s="2">
        <f t="shared" si="159"/>
        <v>0</v>
      </c>
      <c r="DE168" s="2">
        <f t="shared" si="159"/>
        <v>0</v>
      </c>
      <c r="DF168" s="2">
        <f t="shared" si="159"/>
        <v>0</v>
      </c>
      <c r="DG168" s="3">
        <f t="shared" ref="DG168:EL168" si="160">DG186</f>
        <v>0</v>
      </c>
      <c r="DH168" s="3">
        <f t="shared" si="160"/>
        <v>0</v>
      </c>
      <c r="DI168" s="3">
        <f t="shared" si="160"/>
        <v>0</v>
      </c>
      <c r="DJ168" s="3">
        <f t="shared" si="160"/>
        <v>0</v>
      </c>
      <c r="DK168" s="3">
        <f t="shared" si="160"/>
        <v>0</v>
      </c>
      <c r="DL168" s="3">
        <f t="shared" si="160"/>
        <v>0</v>
      </c>
      <c r="DM168" s="3">
        <f t="shared" si="160"/>
        <v>0</v>
      </c>
      <c r="DN168" s="3">
        <f t="shared" si="160"/>
        <v>0</v>
      </c>
      <c r="DO168" s="3">
        <f t="shared" si="160"/>
        <v>0</v>
      </c>
      <c r="DP168" s="3">
        <f t="shared" si="160"/>
        <v>0</v>
      </c>
      <c r="DQ168" s="3">
        <f t="shared" si="160"/>
        <v>0</v>
      </c>
      <c r="DR168" s="3">
        <f t="shared" si="160"/>
        <v>0</v>
      </c>
      <c r="DS168" s="3">
        <f t="shared" si="160"/>
        <v>0</v>
      </c>
      <c r="DT168" s="3">
        <f t="shared" si="160"/>
        <v>0</v>
      </c>
      <c r="DU168" s="3">
        <f t="shared" si="160"/>
        <v>0</v>
      </c>
      <c r="DV168" s="3">
        <f t="shared" si="160"/>
        <v>0</v>
      </c>
      <c r="DW168" s="3">
        <f t="shared" si="160"/>
        <v>0</v>
      </c>
      <c r="DX168" s="3">
        <f t="shared" si="160"/>
        <v>0</v>
      </c>
      <c r="DY168" s="3">
        <f t="shared" si="160"/>
        <v>0</v>
      </c>
      <c r="DZ168" s="3">
        <f t="shared" si="160"/>
        <v>0</v>
      </c>
      <c r="EA168" s="3">
        <f t="shared" si="160"/>
        <v>0</v>
      </c>
      <c r="EB168" s="3">
        <f t="shared" si="160"/>
        <v>0</v>
      </c>
      <c r="EC168" s="3">
        <f t="shared" si="160"/>
        <v>0</v>
      </c>
      <c r="ED168" s="3">
        <f t="shared" si="160"/>
        <v>0</v>
      </c>
      <c r="EE168" s="3">
        <f t="shared" si="160"/>
        <v>0</v>
      </c>
      <c r="EF168" s="3">
        <f t="shared" si="160"/>
        <v>0</v>
      </c>
      <c r="EG168" s="3">
        <f t="shared" si="160"/>
        <v>0</v>
      </c>
      <c r="EH168" s="3">
        <f t="shared" si="160"/>
        <v>0</v>
      </c>
      <c r="EI168" s="3">
        <f t="shared" si="160"/>
        <v>0</v>
      </c>
      <c r="EJ168" s="3">
        <f t="shared" si="160"/>
        <v>0</v>
      </c>
      <c r="EK168" s="3">
        <f t="shared" si="160"/>
        <v>0</v>
      </c>
      <c r="EL168" s="3">
        <f t="shared" si="160"/>
        <v>0</v>
      </c>
      <c r="EM168" s="3">
        <f t="shared" ref="EM168:FR168" si="161">EM186</f>
        <v>0</v>
      </c>
      <c r="EN168" s="3">
        <f t="shared" si="161"/>
        <v>0</v>
      </c>
      <c r="EO168" s="3">
        <f t="shared" si="161"/>
        <v>0</v>
      </c>
      <c r="EP168" s="3">
        <f t="shared" si="161"/>
        <v>0</v>
      </c>
      <c r="EQ168" s="3">
        <f t="shared" si="161"/>
        <v>0</v>
      </c>
      <c r="ER168" s="3">
        <f t="shared" si="161"/>
        <v>0</v>
      </c>
      <c r="ES168" s="3">
        <f t="shared" si="161"/>
        <v>0</v>
      </c>
      <c r="ET168" s="3">
        <f t="shared" si="161"/>
        <v>0</v>
      </c>
      <c r="EU168" s="3">
        <f t="shared" si="161"/>
        <v>0</v>
      </c>
      <c r="EV168" s="3">
        <f t="shared" si="161"/>
        <v>0</v>
      </c>
      <c r="EW168" s="3">
        <f t="shared" si="161"/>
        <v>0</v>
      </c>
      <c r="EX168" s="3">
        <f t="shared" si="161"/>
        <v>0</v>
      </c>
      <c r="EY168" s="3">
        <f t="shared" si="161"/>
        <v>0</v>
      </c>
      <c r="EZ168" s="3">
        <f t="shared" si="161"/>
        <v>0</v>
      </c>
      <c r="FA168" s="3">
        <f t="shared" si="161"/>
        <v>0</v>
      </c>
      <c r="FB168" s="3">
        <f t="shared" si="161"/>
        <v>0</v>
      </c>
      <c r="FC168" s="3">
        <f t="shared" si="161"/>
        <v>0</v>
      </c>
      <c r="FD168" s="3">
        <f t="shared" si="161"/>
        <v>0</v>
      </c>
      <c r="FE168" s="3">
        <f t="shared" si="161"/>
        <v>0</v>
      </c>
      <c r="FF168" s="3">
        <f t="shared" si="161"/>
        <v>0</v>
      </c>
      <c r="FG168" s="3">
        <f t="shared" si="161"/>
        <v>0</v>
      </c>
      <c r="FH168" s="3">
        <f t="shared" si="161"/>
        <v>0</v>
      </c>
      <c r="FI168" s="3">
        <f t="shared" si="161"/>
        <v>0</v>
      </c>
      <c r="FJ168" s="3">
        <f t="shared" si="161"/>
        <v>0</v>
      </c>
      <c r="FK168" s="3">
        <f t="shared" si="161"/>
        <v>0</v>
      </c>
      <c r="FL168" s="3">
        <f t="shared" si="161"/>
        <v>0</v>
      </c>
      <c r="FM168" s="3">
        <f t="shared" si="161"/>
        <v>0</v>
      </c>
      <c r="FN168" s="3">
        <f t="shared" si="161"/>
        <v>0</v>
      </c>
      <c r="FO168" s="3">
        <f t="shared" si="161"/>
        <v>0</v>
      </c>
      <c r="FP168" s="3">
        <f t="shared" si="161"/>
        <v>0</v>
      </c>
      <c r="FQ168" s="3">
        <f t="shared" si="161"/>
        <v>0</v>
      </c>
      <c r="FR168" s="3">
        <f t="shared" si="161"/>
        <v>0</v>
      </c>
      <c r="FS168" s="3">
        <f t="shared" ref="FS168:GX168" si="162">FS186</f>
        <v>0</v>
      </c>
      <c r="FT168" s="3">
        <f t="shared" si="162"/>
        <v>0</v>
      </c>
      <c r="FU168" s="3">
        <f t="shared" si="162"/>
        <v>0</v>
      </c>
      <c r="FV168" s="3">
        <f t="shared" si="162"/>
        <v>0</v>
      </c>
      <c r="FW168" s="3">
        <f t="shared" si="162"/>
        <v>0</v>
      </c>
      <c r="FX168" s="3">
        <f t="shared" si="162"/>
        <v>0</v>
      </c>
      <c r="FY168" s="3">
        <f t="shared" si="162"/>
        <v>0</v>
      </c>
      <c r="FZ168" s="3">
        <f t="shared" si="162"/>
        <v>0</v>
      </c>
      <c r="GA168" s="3">
        <f t="shared" si="162"/>
        <v>0</v>
      </c>
      <c r="GB168" s="3">
        <f t="shared" si="162"/>
        <v>0</v>
      </c>
      <c r="GC168" s="3">
        <f t="shared" si="162"/>
        <v>0</v>
      </c>
      <c r="GD168" s="3">
        <f t="shared" si="162"/>
        <v>0</v>
      </c>
      <c r="GE168" s="3">
        <f t="shared" si="162"/>
        <v>0</v>
      </c>
      <c r="GF168" s="3">
        <f t="shared" si="162"/>
        <v>0</v>
      </c>
      <c r="GG168" s="3">
        <f t="shared" si="162"/>
        <v>0</v>
      </c>
      <c r="GH168" s="3">
        <f t="shared" si="162"/>
        <v>0</v>
      </c>
      <c r="GI168" s="3">
        <f t="shared" si="162"/>
        <v>0</v>
      </c>
      <c r="GJ168" s="3">
        <f t="shared" si="162"/>
        <v>0</v>
      </c>
      <c r="GK168" s="3">
        <f t="shared" si="162"/>
        <v>0</v>
      </c>
      <c r="GL168" s="3">
        <f t="shared" si="162"/>
        <v>0</v>
      </c>
      <c r="GM168" s="3">
        <f t="shared" si="162"/>
        <v>0</v>
      </c>
      <c r="GN168" s="3">
        <f t="shared" si="162"/>
        <v>0</v>
      </c>
      <c r="GO168" s="3">
        <f t="shared" si="162"/>
        <v>0</v>
      </c>
      <c r="GP168" s="3">
        <f t="shared" si="162"/>
        <v>0</v>
      </c>
      <c r="GQ168" s="3">
        <f t="shared" si="162"/>
        <v>0</v>
      </c>
      <c r="GR168" s="3">
        <f t="shared" si="162"/>
        <v>0</v>
      </c>
      <c r="GS168" s="3">
        <f t="shared" si="162"/>
        <v>0</v>
      </c>
      <c r="GT168" s="3">
        <f t="shared" si="162"/>
        <v>0</v>
      </c>
      <c r="GU168" s="3">
        <f t="shared" si="162"/>
        <v>0</v>
      </c>
      <c r="GV168" s="3">
        <f t="shared" si="162"/>
        <v>0</v>
      </c>
      <c r="GW168" s="3">
        <f t="shared" si="162"/>
        <v>0</v>
      </c>
      <c r="GX168" s="3">
        <f t="shared" si="162"/>
        <v>0</v>
      </c>
    </row>
    <row r="170" spans="1:245">
      <c r="A170">
        <v>17</v>
      </c>
      <c r="B170">
        <v>1</v>
      </c>
      <c r="C170">
        <f>ROW(SmtRes!A63)</f>
        <v>63</v>
      </c>
      <c r="D170">
        <f>ROW(EtalonRes!A54)</f>
        <v>54</v>
      </c>
      <c r="E170" t="s">
        <v>180</v>
      </c>
      <c r="F170" t="s">
        <v>159</v>
      </c>
      <c r="G170" t="s">
        <v>160</v>
      </c>
      <c r="H170" t="s">
        <v>123</v>
      </c>
      <c r="I170">
        <f>ROUND((1*0.6)/10,9)</f>
        <v>0.06</v>
      </c>
      <c r="J170">
        <v>0</v>
      </c>
      <c r="O170">
        <f t="shared" ref="O170:O184" si="163">ROUND(CP170,2)</f>
        <v>789.09</v>
      </c>
      <c r="P170">
        <f t="shared" ref="P170:P184" si="164">ROUND(CQ170*I170,2)</f>
        <v>382.47</v>
      </c>
      <c r="Q170">
        <f t="shared" ref="Q170:Q184" si="165">ROUND(CR170*I170,2)</f>
        <v>33.14</v>
      </c>
      <c r="R170">
        <f t="shared" ref="R170:R184" si="166">ROUND(CS170*I170,2)</f>
        <v>18.3</v>
      </c>
      <c r="S170">
        <f t="shared" ref="S170:S184" si="167">ROUND(CT170*I170,2)</f>
        <v>373.48</v>
      </c>
      <c r="T170">
        <f t="shared" ref="T170:T184" si="168">ROUND(CU170*I170,2)</f>
        <v>0</v>
      </c>
      <c r="U170">
        <f t="shared" ref="U170:U184" si="169">CV170*I170</f>
        <v>2.0663999999999998</v>
      </c>
      <c r="V170">
        <f t="shared" ref="V170:V184" si="170">CW170*I170</f>
        <v>0</v>
      </c>
      <c r="W170">
        <f t="shared" ref="W170:W184" si="171">ROUND(CX170*I170,2)</f>
        <v>0</v>
      </c>
      <c r="X170">
        <f t="shared" ref="X170:X184" si="172">ROUND(CY170,2)</f>
        <v>261.44</v>
      </c>
      <c r="Y170">
        <f t="shared" ref="Y170:Y184" si="173">ROUND(CZ170,2)</f>
        <v>37.35</v>
      </c>
      <c r="AA170">
        <v>41858681</v>
      </c>
      <c r="AB170">
        <f t="shared" ref="AB170:AB184" si="174">ROUND((AC170+AD170+AF170),6)</f>
        <v>13151.41</v>
      </c>
      <c r="AC170">
        <f t="shared" ref="AC170:AC184" si="175">ROUND((ES170),6)</f>
        <v>6374.45</v>
      </c>
      <c r="AD170">
        <f t="shared" ref="AD170:AD184" si="176">ROUND((((ET170)-(EU170))+AE170),6)</f>
        <v>552.27</v>
      </c>
      <c r="AE170">
        <f t="shared" ref="AE170:AE184" si="177">ROUND((EU170),6)</f>
        <v>304.97000000000003</v>
      </c>
      <c r="AF170">
        <f t="shared" ref="AF170:AF184" si="178">ROUND((EV170),6)</f>
        <v>6224.69</v>
      </c>
      <c r="AG170">
        <f t="shared" ref="AG170:AG184" si="179">ROUND((AP170),6)</f>
        <v>0</v>
      </c>
      <c r="AH170">
        <f t="shared" ref="AH170:AH184" si="180">(EW170)</f>
        <v>34.44</v>
      </c>
      <c r="AI170">
        <f t="shared" ref="AI170:AI184" si="181">(EX170)</f>
        <v>0</v>
      </c>
      <c r="AJ170">
        <f t="shared" ref="AJ170:AJ184" si="182">(AS170)</f>
        <v>0</v>
      </c>
      <c r="AK170">
        <v>13151.41</v>
      </c>
      <c r="AL170">
        <v>6374.45</v>
      </c>
      <c r="AM170">
        <v>552.27</v>
      </c>
      <c r="AN170">
        <v>304.97000000000003</v>
      </c>
      <c r="AO170">
        <v>6224.69</v>
      </c>
      <c r="AP170">
        <v>0</v>
      </c>
      <c r="AQ170">
        <v>34.44</v>
      </c>
      <c r="AR170">
        <v>0</v>
      </c>
      <c r="AS170">
        <v>0</v>
      </c>
      <c r="AT170">
        <v>70</v>
      </c>
      <c r="AU170">
        <v>10</v>
      </c>
      <c r="AV170">
        <v>1</v>
      </c>
      <c r="AW170">
        <v>1</v>
      </c>
      <c r="AZ170">
        <v>1</v>
      </c>
      <c r="BA170">
        <v>1</v>
      </c>
      <c r="BB170">
        <v>1</v>
      </c>
      <c r="BC170">
        <v>1</v>
      </c>
      <c r="BD170" t="s">
        <v>3</v>
      </c>
      <c r="BE170" t="s">
        <v>3</v>
      </c>
      <c r="BF170" t="s">
        <v>3</v>
      </c>
      <c r="BG170" t="s">
        <v>3</v>
      </c>
      <c r="BH170">
        <v>0</v>
      </c>
      <c r="BI170">
        <v>4</v>
      </c>
      <c r="BJ170" t="s">
        <v>161</v>
      </c>
      <c r="BM170">
        <v>0</v>
      </c>
      <c r="BN170">
        <v>0</v>
      </c>
      <c r="BO170" t="s">
        <v>3</v>
      </c>
      <c r="BP170">
        <v>0</v>
      </c>
      <c r="BQ170">
        <v>1</v>
      </c>
      <c r="BR170">
        <v>0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 t="s">
        <v>3</v>
      </c>
      <c r="BZ170">
        <v>70</v>
      </c>
      <c r="CA170">
        <v>10</v>
      </c>
      <c r="CE170">
        <v>0</v>
      </c>
      <c r="CF170">
        <v>0</v>
      </c>
      <c r="CG170">
        <v>0</v>
      </c>
      <c r="CM170">
        <v>0</v>
      </c>
      <c r="CN170" t="s">
        <v>3</v>
      </c>
      <c r="CO170">
        <v>0</v>
      </c>
      <c r="CP170">
        <f t="shared" ref="CP170:CP184" si="183">(P170+Q170+S170)</f>
        <v>789.09</v>
      </c>
      <c r="CQ170">
        <f t="shared" ref="CQ170:CQ184" si="184">(AC170*BC170*AW170)</f>
        <v>6374.45</v>
      </c>
      <c r="CR170">
        <f t="shared" ref="CR170:CR184" si="185">((((ET170)*BB170-(EU170)*BS170)+AE170*BS170)*AV170)</f>
        <v>552.27</v>
      </c>
      <c r="CS170">
        <f t="shared" ref="CS170:CS184" si="186">(AE170*BS170*AV170)</f>
        <v>304.97000000000003</v>
      </c>
      <c r="CT170">
        <f t="shared" ref="CT170:CT184" si="187">(AF170*BA170*AV170)</f>
        <v>6224.69</v>
      </c>
      <c r="CU170">
        <f t="shared" ref="CU170:CU184" si="188">AG170</f>
        <v>0</v>
      </c>
      <c r="CV170">
        <f t="shared" ref="CV170:CV184" si="189">(AH170*AV170)</f>
        <v>34.44</v>
      </c>
      <c r="CW170">
        <f t="shared" ref="CW170:CW184" si="190">AI170</f>
        <v>0</v>
      </c>
      <c r="CX170">
        <f t="shared" ref="CX170:CX184" si="191">AJ170</f>
        <v>0</v>
      </c>
      <c r="CY170">
        <f t="shared" ref="CY170:CY184" si="192">((S170*BZ170)/100)</f>
        <v>261.43600000000004</v>
      </c>
      <c r="CZ170">
        <f t="shared" ref="CZ170:CZ184" si="193">((S170*CA170)/100)</f>
        <v>37.347999999999999</v>
      </c>
      <c r="DC170" t="s">
        <v>3</v>
      </c>
      <c r="DD170" t="s">
        <v>3</v>
      </c>
      <c r="DE170" t="s">
        <v>3</v>
      </c>
      <c r="DF170" t="s">
        <v>3</v>
      </c>
      <c r="DG170" t="s">
        <v>3</v>
      </c>
      <c r="DH170" t="s">
        <v>3</v>
      </c>
      <c r="DI170" t="s">
        <v>3</v>
      </c>
      <c r="DJ170" t="s">
        <v>3</v>
      </c>
      <c r="DK170" t="s">
        <v>3</v>
      </c>
      <c r="DL170" t="s">
        <v>3</v>
      </c>
      <c r="DM170" t="s">
        <v>3</v>
      </c>
      <c r="DN170">
        <v>0</v>
      </c>
      <c r="DO170">
        <v>0</v>
      </c>
      <c r="DP170">
        <v>1</v>
      </c>
      <c r="DQ170">
        <v>1</v>
      </c>
      <c r="DU170">
        <v>1013</v>
      </c>
      <c r="DV170" t="s">
        <v>123</v>
      </c>
      <c r="DW170" t="s">
        <v>123</v>
      </c>
      <c r="DX170">
        <v>1</v>
      </c>
      <c r="EE170">
        <v>40050625</v>
      </c>
      <c r="EF170">
        <v>1</v>
      </c>
      <c r="EG170" t="s">
        <v>19</v>
      </c>
      <c r="EH170">
        <v>0</v>
      </c>
      <c r="EI170" t="s">
        <v>3</v>
      </c>
      <c r="EJ170">
        <v>4</v>
      </c>
      <c r="EK170">
        <v>0</v>
      </c>
      <c r="EL170" t="s">
        <v>20</v>
      </c>
      <c r="EM170" t="s">
        <v>21</v>
      </c>
      <c r="EO170" t="s">
        <v>3</v>
      </c>
      <c r="EQ170">
        <v>0</v>
      </c>
      <c r="ER170">
        <v>13151.41</v>
      </c>
      <c r="ES170">
        <v>6374.45</v>
      </c>
      <c r="ET170">
        <v>552.27</v>
      </c>
      <c r="EU170">
        <v>304.97000000000003</v>
      </c>
      <c r="EV170">
        <v>6224.69</v>
      </c>
      <c r="EW170">
        <v>34.44</v>
      </c>
      <c r="EX170">
        <v>0</v>
      </c>
      <c r="EY170">
        <v>0</v>
      </c>
      <c r="FQ170">
        <v>0</v>
      </c>
      <c r="FR170">
        <f t="shared" ref="FR170:FR184" si="194">ROUND(IF(AND(BH170=3,BI170=3),P170,0),2)</f>
        <v>0</v>
      </c>
      <c r="FS170">
        <v>0</v>
      </c>
      <c r="FX170">
        <v>70</v>
      </c>
      <c r="FY170">
        <v>10</v>
      </c>
      <c r="GA170" t="s">
        <v>3</v>
      </c>
      <c r="GD170">
        <v>0</v>
      </c>
      <c r="GF170">
        <v>-1796127192</v>
      </c>
      <c r="GG170">
        <v>2</v>
      </c>
      <c r="GH170">
        <v>1</v>
      </c>
      <c r="GI170">
        <v>-2</v>
      </c>
      <c r="GJ170">
        <v>0</v>
      </c>
      <c r="GK170">
        <f>ROUND(R170*(R12)/100,2)</f>
        <v>19.760000000000002</v>
      </c>
      <c r="GL170">
        <f t="shared" ref="GL170:GL184" si="195">ROUND(IF(AND(BH170=3,BI170=3,FS170&lt;&gt;0),P170,0),2)</f>
        <v>0</v>
      </c>
      <c r="GM170">
        <f t="shared" ref="GM170:GM184" si="196">ROUND(O170+X170+Y170+GK170,2)+GX170</f>
        <v>1107.6400000000001</v>
      </c>
      <c r="GN170">
        <f t="shared" ref="GN170:GN184" si="197">IF(OR(BI170=0,BI170=1),ROUND(O170+X170+Y170+GK170,2),0)</f>
        <v>0</v>
      </c>
      <c r="GO170">
        <f t="shared" ref="GO170:GO184" si="198">IF(BI170=2,ROUND(O170+X170+Y170+GK170,2),0)</f>
        <v>0</v>
      </c>
      <c r="GP170">
        <f t="shared" ref="GP170:GP184" si="199">IF(BI170=4,ROUND(O170+X170+Y170+GK170,2)+GX170,0)</f>
        <v>1107.6400000000001</v>
      </c>
      <c r="GR170">
        <v>0</v>
      </c>
      <c r="GS170">
        <v>0</v>
      </c>
      <c r="GT170">
        <v>0</v>
      </c>
      <c r="GU170" t="s">
        <v>3</v>
      </c>
      <c r="GV170">
        <f t="shared" ref="GV170:GV184" si="200">ROUND((GT170),6)</f>
        <v>0</v>
      </c>
      <c r="GW170">
        <v>1</v>
      </c>
      <c r="GX170">
        <f t="shared" ref="GX170:GX184" si="201">ROUND(HC170*I170,2)</f>
        <v>0</v>
      </c>
      <c r="HA170">
        <v>0</v>
      </c>
      <c r="HB170">
        <v>0</v>
      </c>
      <c r="HC170">
        <f t="shared" ref="HC170:HC184" si="202">GV170*GW170</f>
        <v>0</v>
      </c>
      <c r="IK170">
        <v>0</v>
      </c>
    </row>
    <row r="171" spans="1:245">
      <c r="A171">
        <v>17</v>
      </c>
      <c r="B171">
        <v>1</v>
      </c>
      <c r="C171">
        <f>ROW(SmtRes!A66)</f>
        <v>66</v>
      </c>
      <c r="D171">
        <f>ROW(EtalonRes!A57)</f>
        <v>57</v>
      </c>
      <c r="E171" t="s">
        <v>181</v>
      </c>
      <c r="F171" t="s">
        <v>163</v>
      </c>
      <c r="G171" t="s">
        <v>164</v>
      </c>
      <c r="H171" t="s">
        <v>123</v>
      </c>
      <c r="I171">
        <f>ROUND((1*0.4)/10,9)</f>
        <v>0.04</v>
      </c>
      <c r="J171">
        <v>0</v>
      </c>
      <c r="O171">
        <f t="shared" si="163"/>
        <v>679.72</v>
      </c>
      <c r="P171">
        <f t="shared" si="164"/>
        <v>254.98</v>
      </c>
      <c r="Q171">
        <f t="shared" si="165"/>
        <v>0</v>
      </c>
      <c r="R171">
        <f t="shared" si="166"/>
        <v>0</v>
      </c>
      <c r="S171">
        <f t="shared" si="167"/>
        <v>424.74</v>
      </c>
      <c r="T171">
        <f t="shared" si="168"/>
        <v>0</v>
      </c>
      <c r="U171">
        <f t="shared" si="169"/>
        <v>2.35</v>
      </c>
      <c r="V171">
        <f t="shared" si="170"/>
        <v>0</v>
      </c>
      <c r="W171">
        <f t="shared" si="171"/>
        <v>0</v>
      </c>
      <c r="X171">
        <f t="shared" si="172"/>
        <v>297.32</v>
      </c>
      <c r="Y171">
        <f t="shared" si="173"/>
        <v>42.47</v>
      </c>
      <c r="AA171">
        <v>41858681</v>
      </c>
      <c r="AB171">
        <f t="shared" si="174"/>
        <v>16992.93</v>
      </c>
      <c r="AC171">
        <f t="shared" si="175"/>
        <v>6374.45</v>
      </c>
      <c r="AD171">
        <f t="shared" si="176"/>
        <v>0</v>
      </c>
      <c r="AE171">
        <f t="shared" si="177"/>
        <v>0</v>
      </c>
      <c r="AF171">
        <f t="shared" si="178"/>
        <v>10618.48</v>
      </c>
      <c r="AG171">
        <f t="shared" si="179"/>
        <v>0</v>
      </c>
      <c r="AH171">
        <f t="shared" si="180"/>
        <v>58.75</v>
      </c>
      <c r="AI171">
        <f t="shared" si="181"/>
        <v>0</v>
      </c>
      <c r="AJ171">
        <f t="shared" si="182"/>
        <v>0</v>
      </c>
      <c r="AK171">
        <v>16992.93</v>
      </c>
      <c r="AL171">
        <v>6374.45</v>
      </c>
      <c r="AM171">
        <v>0</v>
      </c>
      <c r="AN171">
        <v>0</v>
      </c>
      <c r="AO171">
        <v>10618.48</v>
      </c>
      <c r="AP171">
        <v>0</v>
      </c>
      <c r="AQ171">
        <v>58.75</v>
      </c>
      <c r="AR171">
        <v>0</v>
      </c>
      <c r="AS171">
        <v>0</v>
      </c>
      <c r="AT171">
        <v>70</v>
      </c>
      <c r="AU171">
        <v>10</v>
      </c>
      <c r="AV171">
        <v>1</v>
      </c>
      <c r="AW171">
        <v>1</v>
      </c>
      <c r="AZ171">
        <v>1</v>
      </c>
      <c r="BA171">
        <v>1</v>
      </c>
      <c r="BB171">
        <v>1</v>
      </c>
      <c r="BC171">
        <v>1</v>
      </c>
      <c r="BD171" t="s">
        <v>3</v>
      </c>
      <c r="BE171" t="s">
        <v>3</v>
      </c>
      <c r="BF171" t="s">
        <v>3</v>
      </c>
      <c r="BG171" t="s">
        <v>3</v>
      </c>
      <c r="BH171">
        <v>0</v>
      </c>
      <c r="BI171">
        <v>4</v>
      </c>
      <c r="BJ171" t="s">
        <v>165</v>
      </c>
      <c r="BM171">
        <v>0</v>
      </c>
      <c r="BN171">
        <v>0</v>
      </c>
      <c r="BO171" t="s">
        <v>3</v>
      </c>
      <c r="BP171">
        <v>0</v>
      </c>
      <c r="BQ171">
        <v>1</v>
      </c>
      <c r="BR171">
        <v>0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 t="s">
        <v>3</v>
      </c>
      <c r="BZ171">
        <v>70</v>
      </c>
      <c r="CA171">
        <v>10</v>
      </c>
      <c r="CE171">
        <v>0</v>
      </c>
      <c r="CF171">
        <v>0</v>
      </c>
      <c r="CG171">
        <v>0</v>
      </c>
      <c r="CM171">
        <v>0</v>
      </c>
      <c r="CN171" t="s">
        <v>3</v>
      </c>
      <c r="CO171">
        <v>0</v>
      </c>
      <c r="CP171">
        <f t="shared" si="183"/>
        <v>679.72</v>
      </c>
      <c r="CQ171">
        <f t="shared" si="184"/>
        <v>6374.45</v>
      </c>
      <c r="CR171">
        <f t="shared" si="185"/>
        <v>0</v>
      </c>
      <c r="CS171">
        <f t="shared" si="186"/>
        <v>0</v>
      </c>
      <c r="CT171">
        <f t="shared" si="187"/>
        <v>10618.48</v>
      </c>
      <c r="CU171">
        <f t="shared" si="188"/>
        <v>0</v>
      </c>
      <c r="CV171">
        <f t="shared" si="189"/>
        <v>58.75</v>
      </c>
      <c r="CW171">
        <f t="shared" si="190"/>
        <v>0</v>
      </c>
      <c r="CX171">
        <f t="shared" si="191"/>
        <v>0</v>
      </c>
      <c r="CY171">
        <f t="shared" si="192"/>
        <v>297.31799999999998</v>
      </c>
      <c r="CZ171">
        <f t="shared" si="193"/>
        <v>42.473999999999997</v>
      </c>
      <c r="DC171" t="s">
        <v>3</v>
      </c>
      <c r="DD171" t="s">
        <v>3</v>
      </c>
      <c r="DE171" t="s">
        <v>3</v>
      </c>
      <c r="DF171" t="s">
        <v>3</v>
      </c>
      <c r="DG171" t="s">
        <v>3</v>
      </c>
      <c r="DH171" t="s">
        <v>3</v>
      </c>
      <c r="DI171" t="s">
        <v>3</v>
      </c>
      <c r="DJ171" t="s">
        <v>3</v>
      </c>
      <c r="DK171" t="s">
        <v>3</v>
      </c>
      <c r="DL171" t="s">
        <v>3</v>
      </c>
      <c r="DM171" t="s">
        <v>3</v>
      </c>
      <c r="DN171">
        <v>0</v>
      </c>
      <c r="DO171">
        <v>0</v>
      </c>
      <c r="DP171">
        <v>1</v>
      </c>
      <c r="DQ171">
        <v>1</v>
      </c>
      <c r="DU171">
        <v>1013</v>
      </c>
      <c r="DV171" t="s">
        <v>123</v>
      </c>
      <c r="DW171" t="s">
        <v>123</v>
      </c>
      <c r="DX171">
        <v>1</v>
      </c>
      <c r="EE171">
        <v>40050625</v>
      </c>
      <c r="EF171">
        <v>1</v>
      </c>
      <c r="EG171" t="s">
        <v>19</v>
      </c>
      <c r="EH171">
        <v>0</v>
      </c>
      <c r="EI171" t="s">
        <v>3</v>
      </c>
      <c r="EJ171">
        <v>4</v>
      </c>
      <c r="EK171">
        <v>0</v>
      </c>
      <c r="EL171" t="s">
        <v>20</v>
      </c>
      <c r="EM171" t="s">
        <v>21</v>
      </c>
      <c r="EO171" t="s">
        <v>3</v>
      </c>
      <c r="EQ171">
        <v>0</v>
      </c>
      <c r="ER171">
        <v>16992.93</v>
      </c>
      <c r="ES171">
        <v>6374.45</v>
      </c>
      <c r="ET171">
        <v>0</v>
      </c>
      <c r="EU171">
        <v>0</v>
      </c>
      <c r="EV171">
        <v>10618.48</v>
      </c>
      <c r="EW171">
        <v>58.75</v>
      </c>
      <c r="EX171">
        <v>0</v>
      </c>
      <c r="EY171">
        <v>0</v>
      </c>
      <c r="FQ171">
        <v>0</v>
      </c>
      <c r="FR171">
        <f t="shared" si="194"/>
        <v>0</v>
      </c>
      <c r="FS171">
        <v>0</v>
      </c>
      <c r="FX171">
        <v>70</v>
      </c>
      <c r="FY171">
        <v>10</v>
      </c>
      <c r="GA171" t="s">
        <v>3</v>
      </c>
      <c r="GD171">
        <v>0</v>
      </c>
      <c r="GF171">
        <v>-746871637</v>
      </c>
      <c r="GG171">
        <v>2</v>
      </c>
      <c r="GH171">
        <v>1</v>
      </c>
      <c r="GI171">
        <v>-2</v>
      </c>
      <c r="GJ171">
        <v>0</v>
      </c>
      <c r="GK171">
        <f>ROUND(R171*(R12)/100,2)</f>
        <v>0</v>
      </c>
      <c r="GL171">
        <f t="shared" si="195"/>
        <v>0</v>
      </c>
      <c r="GM171">
        <f t="shared" si="196"/>
        <v>1019.51</v>
      </c>
      <c r="GN171">
        <f t="shared" si="197"/>
        <v>0</v>
      </c>
      <c r="GO171">
        <f t="shared" si="198"/>
        <v>0</v>
      </c>
      <c r="GP171">
        <f t="shared" si="199"/>
        <v>1019.51</v>
      </c>
      <c r="GR171">
        <v>0</v>
      </c>
      <c r="GS171">
        <v>0</v>
      </c>
      <c r="GT171">
        <v>0</v>
      </c>
      <c r="GU171" t="s">
        <v>3</v>
      </c>
      <c r="GV171">
        <f t="shared" si="200"/>
        <v>0</v>
      </c>
      <c r="GW171">
        <v>1</v>
      </c>
      <c r="GX171">
        <f t="shared" si="201"/>
        <v>0</v>
      </c>
      <c r="HA171">
        <v>0</v>
      </c>
      <c r="HB171">
        <v>0</v>
      </c>
      <c r="HC171">
        <f t="shared" si="202"/>
        <v>0</v>
      </c>
      <c r="IK171">
        <v>0</v>
      </c>
    </row>
    <row r="172" spans="1:245">
      <c r="A172">
        <v>17</v>
      </c>
      <c r="B172">
        <v>1</v>
      </c>
      <c r="C172">
        <f>ROW(SmtRes!A67)</f>
        <v>67</v>
      </c>
      <c r="D172">
        <f>ROW(EtalonRes!A58)</f>
        <v>58</v>
      </c>
      <c r="E172" t="s">
        <v>182</v>
      </c>
      <c r="F172" t="s">
        <v>130</v>
      </c>
      <c r="G172" t="s">
        <v>337</v>
      </c>
      <c r="H172" t="s">
        <v>17</v>
      </c>
      <c r="I172">
        <f>ROUND(4.24/100,9)</f>
        <v>4.24E-2</v>
      </c>
      <c r="J172">
        <v>0</v>
      </c>
      <c r="O172">
        <f t="shared" si="163"/>
        <v>12.58</v>
      </c>
      <c r="P172">
        <f t="shared" si="164"/>
        <v>0</v>
      </c>
      <c r="Q172">
        <f t="shared" si="165"/>
        <v>12.58</v>
      </c>
      <c r="R172">
        <f t="shared" si="166"/>
        <v>4.72</v>
      </c>
      <c r="S172">
        <f t="shared" si="167"/>
        <v>0</v>
      </c>
      <c r="T172">
        <f t="shared" si="168"/>
        <v>0</v>
      </c>
      <c r="U172">
        <f t="shared" si="169"/>
        <v>0</v>
      </c>
      <c r="V172">
        <f t="shared" si="170"/>
        <v>0</v>
      </c>
      <c r="W172">
        <f t="shared" si="171"/>
        <v>0</v>
      </c>
      <c r="X172">
        <f t="shared" si="172"/>
        <v>0</v>
      </c>
      <c r="Y172">
        <f t="shared" si="173"/>
        <v>0</v>
      </c>
      <c r="AA172">
        <v>41858681</v>
      </c>
      <c r="AB172">
        <f t="shared" si="174"/>
        <v>296.60000000000002</v>
      </c>
      <c r="AC172">
        <f t="shared" si="175"/>
        <v>0</v>
      </c>
      <c r="AD172">
        <f t="shared" si="176"/>
        <v>296.60000000000002</v>
      </c>
      <c r="AE172">
        <f t="shared" si="177"/>
        <v>111.43</v>
      </c>
      <c r="AF172">
        <f t="shared" si="178"/>
        <v>0</v>
      </c>
      <c r="AG172">
        <f t="shared" si="179"/>
        <v>0</v>
      </c>
      <c r="AH172">
        <f t="shared" si="180"/>
        <v>0</v>
      </c>
      <c r="AI172">
        <f t="shared" si="181"/>
        <v>0</v>
      </c>
      <c r="AJ172">
        <f t="shared" si="182"/>
        <v>0</v>
      </c>
      <c r="AK172">
        <v>296.60000000000002</v>
      </c>
      <c r="AL172">
        <v>0</v>
      </c>
      <c r="AM172">
        <v>296.60000000000002</v>
      </c>
      <c r="AN172">
        <v>111.43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70</v>
      </c>
      <c r="AU172">
        <v>10</v>
      </c>
      <c r="AV172">
        <v>1</v>
      </c>
      <c r="AW172">
        <v>1</v>
      </c>
      <c r="AZ172">
        <v>1</v>
      </c>
      <c r="BA172">
        <v>1</v>
      </c>
      <c r="BB172">
        <v>1</v>
      </c>
      <c r="BC172">
        <v>1</v>
      </c>
      <c r="BD172" t="s">
        <v>3</v>
      </c>
      <c r="BE172" t="s">
        <v>3</v>
      </c>
      <c r="BF172" t="s">
        <v>3</v>
      </c>
      <c r="BG172" t="s">
        <v>3</v>
      </c>
      <c r="BH172">
        <v>0</v>
      </c>
      <c r="BI172">
        <v>4</v>
      </c>
      <c r="BJ172" t="s">
        <v>131</v>
      </c>
      <c r="BM172">
        <v>0</v>
      </c>
      <c r="BN172">
        <v>0</v>
      </c>
      <c r="BO172" t="s">
        <v>3</v>
      </c>
      <c r="BP172">
        <v>0</v>
      </c>
      <c r="BQ172">
        <v>1</v>
      </c>
      <c r="BR172">
        <v>0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 t="s">
        <v>3</v>
      </c>
      <c r="BZ172">
        <v>70</v>
      </c>
      <c r="CA172">
        <v>10</v>
      </c>
      <c r="CE172">
        <v>0</v>
      </c>
      <c r="CF172">
        <v>0</v>
      </c>
      <c r="CG172">
        <v>0</v>
      </c>
      <c r="CM172">
        <v>0</v>
      </c>
      <c r="CN172" t="s">
        <v>3</v>
      </c>
      <c r="CO172">
        <v>0</v>
      </c>
      <c r="CP172">
        <f t="shared" si="183"/>
        <v>12.58</v>
      </c>
      <c r="CQ172">
        <f t="shared" si="184"/>
        <v>0</v>
      </c>
      <c r="CR172">
        <f t="shared" si="185"/>
        <v>296.60000000000002</v>
      </c>
      <c r="CS172">
        <f t="shared" si="186"/>
        <v>111.43</v>
      </c>
      <c r="CT172">
        <f t="shared" si="187"/>
        <v>0</v>
      </c>
      <c r="CU172">
        <f t="shared" si="188"/>
        <v>0</v>
      </c>
      <c r="CV172">
        <f t="shared" si="189"/>
        <v>0</v>
      </c>
      <c r="CW172">
        <f t="shared" si="190"/>
        <v>0</v>
      </c>
      <c r="CX172">
        <f t="shared" si="191"/>
        <v>0</v>
      </c>
      <c r="CY172">
        <f t="shared" si="192"/>
        <v>0</v>
      </c>
      <c r="CZ172">
        <f t="shared" si="193"/>
        <v>0</v>
      </c>
      <c r="DC172" t="s">
        <v>3</v>
      </c>
      <c r="DD172" t="s">
        <v>3</v>
      </c>
      <c r="DE172" t="s">
        <v>3</v>
      </c>
      <c r="DF172" t="s">
        <v>3</v>
      </c>
      <c r="DG172" t="s">
        <v>3</v>
      </c>
      <c r="DH172" t="s">
        <v>3</v>
      </c>
      <c r="DI172" t="s">
        <v>3</v>
      </c>
      <c r="DJ172" t="s">
        <v>3</v>
      </c>
      <c r="DK172" t="s">
        <v>3</v>
      </c>
      <c r="DL172" t="s">
        <v>3</v>
      </c>
      <c r="DM172" t="s">
        <v>3</v>
      </c>
      <c r="DN172">
        <v>0</v>
      </c>
      <c r="DO172">
        <v>0</v>
      </c>
      <c r="DP172">
        <v>1</v>
      </c>
      <c r="DQ172">
        <v>1</v>
      </c>
      <c r="DU172">
        <v>1005</v>
      </c>
      <c r="DV172" t="s">
        <v>17</v>
      </c>
      <c r="DW172" t="s">
        <v>17</v>
      </c>
      <c r="DX172">
        <v>100</v>
      </c>
      <c r="EE172">
        <v>40050625</v>
      </c>
      <c r="EF172">
        <v>1</v>
      </c>
      <c r="EG172" t="s">
        <v>19</v>
      </c>
      <c r="EH172">
        <v>0</v>
      </c>
      <c r="EI172" t="s">
        <v>3</v>
      </c>
      <c r="EJ172">
        <v>4</v>
      </c>
      <c r="EK172">
        <v>0</v>
      </c>
      <c r="EL172" t="s">
        <v>20</v>
      </c>
      <c r="EM172" t="s">
        <v>21</v>
      </c>
      <c r="EO172" t="s">
        <v>3</v>
      </c>
      <c r="EQ172">
        <v>0</v>
      </c>
      <c r="ER172">
        <v>296.60000000000002</v>
      </c>
      <c r="ES172">
        <v>0</v>
      </c>
      <c r="ET172">
        <v>296.60000000000002</v>
      </c>
      <c r="EU172">
        <v>111.43</v>
      </c>
      <c r="EV172">
        <v>0</v>
      </c>
      <c r="EW172">
        <v>0</v>
      </c>
      <c r="EX172">
        <v>0</v>
      </c>
      <c r="EY172">
        <v>0</v>
      </c>
      <c r="FQ172">
        <v>0</v>
      </c>
      <c r="FR172">
        <f t="shared" si="194"/>
        <v>0</v>
      </c>
      <c r="FS172">
        <v>0</v>
      </c>
      <c r="FX172">
        <v>70</v>
      </c>
      <c r="FY172">
        <v>10</v>
      </c>
      <c r="GA172" t="s">
        <v>3</v>
      </c>
      <c r="GD172">
        <v>0</v>
      </c>
      <c r="GF172">
        <v>-1487165083</v>
      </c>
      <c r="GG172">
        <v>2</v>
      </c>
      <c r="GH172">
        <v>1</v>
      </c>
      <c r="GI172">
        <v>-2</v>
      </c>
      <c r="GJ172">
        <v>0</v>
      </c>
      <c r="GK172">
        <f>ROUND(R172*(R12)/100,2)</f>
        <v>5.0999999999999996</v>
      </c>
      <c r="GL172">
        <f t="shared" si="195"/>
        <v>0</v>
      </c>
      <c r="GM172">
        <f t="shared" si="196"/>
        <v>17.68</v>
      </c>
      <c r="GN172">
        <f t="shared" si="197"/>
        <v>0</v>
      </c>
      <c r="GO172">
        <f t="shared" si="198"/>
        <v>0</v>
      </c>
      <c r="GP172">
        <f t="shared" si="199"/>
        <v>17.68</v>
      </c>
      <c r="GR172">
        <v>0</v>
      </c>
      <c r="GS172">
        <v>0</v>
      </c>
      <c r="GT172">
        <v>0</v>
      </c>
      <c r="GU172" t="s">
        <v>3</v>
      </c>
      <c r="GV172">
        <f t="shared" si="200"/>
        <v>0</v>
      </c>
      <c r="GW172">
        <v>1</v>
      </c>
      <c r="GX172">
        <f t="shared" si="201"/>
        <v>0</v>
      </c>
      <c r="HA172">
        <v>0</v>
      </c>
      <c r="HB172">
        <v>0</v>
      </c>
      <c r="HC172">
        <f t="shared" si="202"/>
        <v>0</v>
      </c>
      <c r="IK172">
        <v>0</v>
      </c>
    </row>
    <row r="173" spans="1:245">
      <c r="A173">
        <v>17</v>
      </c>
      <c r="B173">
        <v>1</v>
      </c>
      <c r="C173">
        <f>ROW(SmtRes!A68)</f>
        <v>68</v>
      </c>
      <c r="D173">
        <f>ROW(EtalonRes!A59)</f>
        <v>59</v>
      </c>
      <c r="E173" t="s">
        <v>183</v>
      </c>
      <c r="F173" t="s">
        <v>133</v>
      </c>
      <c r="G173" t="s">
        <v>184</v>
      </c>
      <c r="H173" t="s">
        <v>17</v>
      </c>
      <c r="I173">
        <f>ROUND(1.41/100,9)</f>
        <v>1.41E-2</v>
      </c>
      <c r="J173">
        <v>0</v>
      </c>
      <c r="O173">
        <f t="shared" si="163"/>
        <v>29.89</v>
      </c>
      <c r="P173">
        <f t="shared" si="164"/>
        <v>0</v>
      </c>
      <c r="Q173">
        <f t="shared" si="165"/>
        <v>0</v>
      </c>
      <c r="R173">
        <f t="shared" si="166"/>
        <v>0</v>
      </c>
      <c r="S173">
        <f t="shared" si="167"/>
        <v>29.89</v>
      </c>
      <c r="T173">
        <f t="shared" si="168"/>
        <v>0</v>
      </c>
      <c r="U173">
        <f t="shared" si="169"/>
        <v>0.16539300000000001</v>
      </c>
      <c r="V173">
        <f t="shared" si="170"/>
        <v>0</v>
      </c>
      <c r="W173">
        <f t="shared" si="171"/>
        <v>0</v>
      </c>
      <c r="X173">
        <f t="shared" si="172"/>
        <v>20.92</v>
      </c>
      <c r="Y173">
        <f t="shared" si="173"/>
        <v>2.99</v>
      </c>
      <c r="AA173">
        <v>41858681</v>
      </c>
      <c r="AB173">
        <f t="shared" si="174"/>
        <v>2120.08</v>
      </c>
      <c r="AC173">
        <f t="shared" si="175"/>
        <v>0</v>
      </c>
      <c r="AD173">
        <f t="shared" si="176"/>
        <v>0</v>
      </c>
      <c r="AE173">
        <f t="shared" si="177"/>
        <v>0</v>
      </c>
      <c r="AF173">
        <f t="shared" si="178"/>
        <v>2120.08</v>
      </c>
      <c r="AG173">
        <f t="shared" si="179"/>
        <v>0</v>
      </c>
      <c r="AH173">
        <f t="shared" si="180"/>
        <v>11.73</v>
      </c>
      <c r="AI173">
        <f t="shared" si="181"/>
        <v>0</v>
      </c>
      <c r="AJ173">
        <f t="shared" si="182"/>
        <v>0</v>
      </c>
      <c r="AK173">
        <v>2120.08</v>
      </c>
      <c r="AL173">
        <v>0</v>
      </c>
      <c r="AM173">
        <v>0</v>
      </c>
      <c r="AN173">
        <v>0</v>
      </c>
      <c r="AO173">
        <v>2120.08</v>
      </c>
      <c r="AP173">
        <v>0</v>
      </c>
      <c r="AQ173">
        <v>11.73</v>
      </c>
      <c r="AR173">
        <v>0</v>
      </c>
      <c r="AS173">
        <v>0</v>
      </c>
      <c r="AT173">
        <v>70</v>
      </c>
      <c r="AU173">
        <v>10</v>
      </c>
      <c r="AV173">
        <v>1</v>
      </c>
      <c r="AW173">
        <v>1</v>
      </c>
      <c r="AZ173">
        <v>1</v>
      </c>
      <c r="BA173">
        <v>1</v>
      </c>
      <c r="BB173">
        <v>1</v>
      </c>
      <c r="BC173">
        <v>1</v>
      </c>
      <c r="BD173" t="s">
        <v>3</v>
      </c>
      <c r="BE173" t="s">
        <v>3</v>
      </c>
      <c r="BF173" t="s">
        <v>3</v>
      </c>
      <c r="BG173" t="s">
        <v>3</v>
      </c>
      <c r="BH173">
        <v>0</v>
      </c>
      <c r="BI173">
        <v>4</v>
      </c>
      <c r="BJ173" t="s">
        <v>135</v>
      </c>
      <c r="BM173">
        <v>0</v>
      </c>
      <c r="BN173">
        <v>0</v>
      </c>
      <c r="BO173" t="s">
        <v>3</v>
      </c>
      <c r="BP173">
        <v>0</v>
      </c>
      <c r="BQ173">
        <v>1</v>
      </c>
      <c r="BR173">
        <v>0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 t="s">
        <v>3</v>
      </c>
      <c r="BZ173">
        <v>70</v>
      </c>
      <c r="CA173">
        <v>10</v>
      </c>
      <c r="CE173">
        <v>0</v>
      </c>
      <c r="CF173">
        <v>0</v>
      </c>
      <c r="CG173">
        <v>0</v>
      </c>
      <c r="CM173">
        <v>0</v>
      </c>
      <c r="CN173" t="s">
        <v>3</v>
      </c>
      <c r="CO173">
        <v>0</v>
      </c>
      <c r="CP173">
        <f t="shared" si="183"/>
        <v>29.89</v>
      </c>
      <c r="CQ173">
        <f t="shared" si="184"/>
        <v>0</v>
      </c>
      <c r="CR173">
        <f t="shared" si="185"/>
        <v>0</v>
      </c>
      <c r="CS173">
        <f t="shared" si="186"/>
        <v>0</v>
      </c>
      <c r="CT173">
        <f t="shared" si="187"/>
        <v>2120.08</v>
      </c>
      <c r="CU173">
        <f t="shared" si="188"/>
        <v>0</v>
      </c>
      <c r="CV173">
        <f t="shared" si="189"/>
        <v>11.73</v>
      </c>
      <c r="CW173">
        <f t="shared" si="190"/>
        <v>0</v>
      </c>
      <c r="CX173">
        <f t="shared" si="191"/>
        <v>0</v>
      </c>
      <c r="CY173">
        <f t="shared" si="192"/>
        <v>20.923000000000002</v>
      </c>
      <c r="CZ173">
        <f t="shared" si="193"/>
        <v>2.9889999999999999</v>
      </c>
      <c r="DC173" t="s">
        <v>3</v>
      </c>
      <c r="DD173" t="s">
        <v>3</v>
      </c>
      <c r="DE173" t="s">
        <v>3</v>
      </c>
      <c r="DF173" t="s">
        <v>3</v>
      </c>
      <c r="DG173" t="s">
        <v>3</v>
      </c>
      <c r="DH173" t="s">
        <v>3</v>
      </c>
      <c r="DI173" t="s">
        <v>3</v>
      </c>
      <c r="DJ173" t="s">
        <v>3</v>
      </c>
      <c r="DK173" t="s">
        <v>3</v>
      </c>
      <c r="DL173" t="s">
        <v>3</v>
      </c>
      <c r="DM173" t="s">
        <v>3</v>
      </c>
      <c r="DN173">
        <v>0</v>
      </c>
      <c r="DO173">
        <v>0</v>
      </c>
      <c r="DP173">
        <v>1</v>
      </c>
      <c r="DQ173">
        <v>1</v>
      </c>
      <c r="DU173">
        <v>1005</v>
      </c>
      <c r="DV173" t="s">
        <v>17</v>
      </c>
      <c r="DW173" t="s">
        <v>17</v>
      </c>
      <c r="DX173">
        <v>100</v>
      </c>
      <c r="EE173">
        <v>40050625</v>
      </c>
      <c r="EF173">
        <v>1</v>
      </c>
      <c r="EG173" t="s">
        <v>19</v>
      </c>
      <c r="EH173">
        <v>0</v>
      </c>
      <c r="EI173" t="s">
        <v>3</v>
      </c>
      <c r="EJ173">
        <v>4</v>
      </c>
      <c r="EK173">
        <v>0</v>
      </c>
      <c r="EL173" t="s">
        <v>20</v>
      </c>
      <c r="EM173" t="s">
        <v>21</v>
      </c>
      <c r="EO173" t="s">
        <v>3</v>
      </c>
      <c r="EQ173">
        <v>0</v>
      </c>
      <c r="ER173">
        <v>2120.08</v>
      </c>
      <c r="ES173">
        <v>0</v>
      </c>
      <c r="ET173">
        <v>0</v>
      </c>
      <c r="EU173">
        <v>0</v>
      </c>
      <c r="EV173">
        <v>2120.08</v>
      </c>
      <c r="EW173">
        <v>11.73</v>
      </c>
      <c r="EX173">
        <v>0</v>
      </c>
      <c r="EY173">
        <v>0</v>
      </c>
      <c r="FQ173">
        <v>0</v>
      </c>
      <c r="FR173">
        <f t="shared" si="194"/>
        <v>0</v>
      </c>
      <c r="FS173">
        <v>0</v>
      </c>
      <c r="FX173">
        <v>70</v>
      </c>
      <c r="FY173">
        <v>10</v>
      </c>
      <c r="GA173" t="s">
        <v>3</v>
      </c>
      <c r="GD173">
        <v>0</v>
      </c>
      <c r="GF173">
        <v>-1581959890</v>
      </c>
      <c r="GG173">
        <v>2</v>
      </c>
      <c r="GH173">
        <v>1</v>
      </c>
      <c r="GI173">
        <v>-2</v>
      </c>
      <c r="GJ173">
        <v>0</v>
      </c>
      <c r="GK173">
        <f>ROUND(R173*(R12)/100,2)</f>
        <v>0</v>
      </c>
      <c r="GL173">
        <f t="shared" si="195"/>
        <v>0</v>
      </c>
      <c r="GM173">
        <f t="shared" si="196"/>
        <v>53.8</v>
      </c>
      <c r="GN173">
        <f t="shared" si="197"/>
        <v>0</v>
      </c>
      <c r="GO173">
        <f t="shared" si="198"/>
        <v>0</v>
      </c>
      <c r="GP173">
        <f t="shared" si="199"/>
        <v>53.8</v>
      </c>
      <c r="GR173">
        <v>0</v>
      </c>
      <c r="GS173">
        <v>0</v>
      </c>
      <c r="GT173">
        <v>0</v>
      </c>
      <c r="GU173" t="s">
        <v>3</v>
      </c>
      <c r="GV173">
        <f t="shared" si="200"/>
        <v>0</v>
      </c>
      <c r="GW173">
        <v>1</v>
      </c>
      <c r="GX173">
        <f t="shared" si="201"/>
        <v>0</v>
      </c>
      <c r="HA173">
        <v>0</v>
      </c>
      <c r="HB173">
        <v>0</v>
      </c>
      <c r="HC173">
        <f t="shared" si="202"/>
        <v>0</v>
      </c>
      <c r="IK173">
        <v>0</v>
      </c>
    </row>
    <row r="174" spans="1:245">
      <c r="A174">
        <v>17</v>
      </c>
      <c r="B174">
        <v>1</v>
      </c>
      <c r="C174">
        <f>ROW(SmtRes!A75)</f>
        <v>75</v>
      </c>
      <c r="D174">
        <f>ROW(EtalonRes!A66)</f>
        <v>66</v>
      </c>
      <c r="E174" t="s">
        <v>185</v>
      </c>
      <c r="F174" t="s">
        <v>170</v>
      </c>
      <c r="G174" t="s">
        <v>171</v>
      </c>
      <c r="H174" t="s">
        <v>139</v>
      </c>
      <c r="I174">
        <f>ROUND(1/10,9)</f>
        <v>0.1</v>
      </c>
      <c r="J174">
        <v>0</v>
      </c>
      <c r="O174">
        <f t="shared" si="163"/>
        <v>728.37</v>
      </c>
      <c r="P174">
        <f t="shared" si="164"/>
        <v>83</v>
      </c>
      <c r="Q174">
        <f t="shared" si="165"/>
        <v>153.57</v>
      </c>
      <c r="R174">
        <f t="shared" si="166"/>
        <v>34.85</v>
      </c>
      <c r="S174">
        <f t="shared" si="167"/>
        <v>491.8</v>
      </c>
      <c r="T174">
        <f t="shared" si="168"/>
        <v>0</v>
      </c>
      <c r="U174">
        <f t="shared" si="169"/>
        <v>2.0710000000000002</v>
      </c>
      <c r="V174">
        <f t="shared" si="170"/>
        <v>0</v>
      </c>
      <c r="W174">
        <f t="shared" si="171"/>
        <v>0</v>
      </c>
      <c r="X174">
        <f t="shared" si="172"/>
        <v>344.26</v>
      </c>
      <c r="Y174">
        <f t="shared" si="173"/>
        <v>49.18</v>
      </c>
      <c r="AA174">
        <v>41858681</v>
      </c>
      <c r="AB174">
        <f t="shared" si="174"/>
        <v>7283.67</v>
      </c>
      <c r="AC174">
        <f t="shared" si="175"/>
        <v>830.02</v>
      </c>
      <c r="AD174">
        <f t="shared" si="176"/>
        <v>1535.65</v>
      </c>
      <c r="AE174">
        <f t="shared" si="177"/>
        <v>348.51</v>
      </c>
      <c r="AF174">
        <f t="shared" si="178"/>
        <v>4918</v>
      </c>
      <c r="AG174">
        <f t="shared" si="179"/>
        <v>0</v>
      </c>
      <c r="AH174">
        <f t="shared" si="180"/>
        <v>20.71</v>
      </c>
      <c r="AI174">
        <f t="shared" si="181"/>
        <v>0</v>
      </c>
      <c r="AJ174">
        <f t="shared" si="182"/>
        <v>0</v>
      </c>
      <c r="AK174">
        <v>7283.67</v>
      </c>
      <c r="AL174">
        <v>830.02</v>
      </c>
      <c r="AM174">
        <v>1535.65</v>
      </c>
      <c r="AN174">
        <v>348.51</v>
      </c>
      <c r="AO174">
        <v>4918</v>
      </c>
      <c r="AP174">
        <v>0</v>
      </c>
      <c r="AQ174">
        <v>20.71</v>
      </c>
      <c r="AR174">
        <v>0</v>
      </c>
      <c r="AS174">
        <v>0</v>
      </c>
      <c r="AT174">
        <v>70</v>
      </c>
      <c r="AU174">
        <v>10</v>
      </c>
      <c r="AV174">
        <v>1</v>
      </c>
      <c r="AW174">
        <v>1</v>
      </c>
      <c r="AZ174">
        <v>1</v>
      </c>
      <c r="BA174">
        <v>1</v>
      </c>
      <c r="BB174">
        <v>1</v>
      </c>
      <c r="BC174">
        <v>1</v>
      </c>
      <c r="BD174" t="s">
        <v>3</v>
      </c>
      <c r="BE174" t="s">
        <v>3</v>
      </c>
      <c r="BF174" t="s">
        <v>3</v>
      </c>
      <c r="BG174" t="s">
        <v>3</v>
      </c>
      <c r="BH174">
        <v>0</v>
      </c>
      <c r="BI174">
        <v>4</v>
      </c>
      <c r="BJ174" t="s">
        <v>172</v>
      </c>
      <c r="BM174">
        <v>0</v>
      </c>
      <c r="BN174">
        <v>0</v>
      </c>
      <c r="BO174" t="s">
        <v>3</v>
      </c>
      <c r="BP174">
        <v>0</v>
      </c>
      <c r="BQ174">
        <v>1</v>
      </c>
      <c r="BR174">
        <v>0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 t="s">
        <v>3</v>
      </c>
      <c r="BZ174">
        <v>70</v>
      </c>
      <c r="CA174">
        <v>10</v>
      </c>
      <c r="CE174">
        <v>0</v>
      </c>
      <c r="CF174">
        <v>0</v>
      </c>
      <c r="CG174">
        <v>0</v>
      </c>
      <c r="CM174">
        <v>0</v>
      </c>
      <c r="CN174" t="s">
        <v>3</v>
      </c>
      <c r="CO174">
        <v>0</v>
      </c>
      <c r="CP174">
        <f t="shared" si="183"/>
        <v>728.37</v>
      </c>
      <c r="CQ174">
        <f t="shared" si="184"/>
        <v>830.02</v>
      </c>
      <c r="CR174">
        <f t="shared" si="185"/>
        <v>1535.65</v>
      </c>
      <c r="CS174">
        <f t="shared" si="186"/>
        <v>348.51</v>
      </c>
      <c r="CT174">
        <f t="shared" si="187"/>
        <v>4918</v>
      </c>
      <c r="CU174">
        <f t="shared" si="188"/>
        <v>0</v>
      </c>
      <c r="CV174">
        <f t="shared" si="189"/>
        <v>20.71</v>
      </c>
      <c r="CW174">
        <f t="shared" si="190"/>
        <v>0</v>
      </c>
      <c r="CX174">
        <f t="shared" si="191"/>
        <v>0</v>
      </c>
      <c r="CY174">
        <f t="shared" si="192"/>
        <v>344.26</v>
      </c>
      <c r="CZ174">
        <f t="shared" si="193"/>
        <v>49.18</v>
      </c>
      <c r="DC174" t="s">
        <v>3</v>
      </c>
      <c r="DD174" t="s">
        <v>3</v>
      </c>
      <c r="DE174" t="s">
        <v>3</v>
      </c>
      <c r="DF174" t="s">
        <v>3</v>
      </c>
      <c r="DG174" t="s">
        <v>3</v>
      </c>
      <c r="DH174" t="s">
        <v>3</v>
      </c>
      <c r="DI174" t="s">
        <v>3</v>
      </c>
      <c r="DJ174" t="s">
        <v>3</v>
      </c>
      <c r="DK174" t="s">
        <v>3</v>
      </c>
      <c r="DL174" t="s">
        <v>3</v>
      </c>
      <c r="DM174" t="s">
        <v>3</v>
      </c>
      <c r="DN174">
        <v>0</v>
      </c>
      <c r="DO174">
        <v>0</v>
      </c>
      <c r="DP174">
        <v>1</v>
      </c>
      <c r="DQ174">
        <v>1</v>
      </c>
      <c r="DU174">
        <v>1010</v>
      </c>
      <c r="DV174" t="s">
        <v>139</v>
      </c>
      <c r="DW174" t="s">
        <v>139</v>
      </c>
      <c r="DX174">
        <v>10</v>
      </c>
      <c r="EE174">
        <v>40050625</v>
      </c>
      <c r="EF174">
        <v>1</v>
      </c>
      <c r="EG174" t="s">
        <v>19</v>
      </c>
      <c r="EH174">
        <v>0</v>
      </c>
      <c r="EI174" t="s">
        <v>3</v>
      </c>
      <c r="EJ174">
        <v>4</v>
      </c>
      <c r="EK174">
        <v>0</v>
      </c>
      <c r="EL174" t="s">
        <v>20</v>
      </c>
      <c r="EM174" t="s">
        <v>21</v>
      </c>
      <c r="EO174" t="s">
        <v>3</v>
      </c>
      <c r="EQ174">
        <v>0</v>
      </c>
      <c r="ER174">
        <v>7283.67</v>
      </c>
      <c r="ES174">
        <v>830.02</v>
      </c>
      <c r="ET174">
        <v>1535.65</v>
      </c>
      <c r="EU174">
        <v>348.51</v>
      </c>
      <c r="EV174">
        <v>4918</v>
      </c>
      <c r="EW174">
        <v>20.71</v>
      </c>
      <c r="EX174">
        <v>0</v>
      </c>
      <c r="EY174">
        <v>0</v>
      </c>
      <c r="FQ174">
        <v>0</v>
      </c>
      <c r="FR174">
        <f t="shared" si="194"/>
        <v>0</v>
      </c>
      <c r="FS174">
        <v>0</v>
      </c>
      <c r="FX174">
        <v>70</v>
      </c>
      <c r="FY174">
        <v>10</v>
      </c>
      <c r="GA174" t="s">
        <v>3</v>
      </c>
      <c r="GD174">
        <v>0</v>
      </c>
      <c r="GF174">
        <v>2043723813</v>
      </c>
      <c r="GG174">
        <v>2</v>
      </c>
      <c r="GH174">
        <v>1</v>
      </c>
      <c r="GI174">
        <v>-2</v>
      </c>
      <c r="GJ174">
        <v>0</v>
      </c>
      <c r="GK174">
        <f>ROUND(R174*(R12)/100,2)</f>
        <v>37.64</v>
      </c>
      <c r="GL174">
        <f t="shared" si="195"/>
        <v>0</v>
      </c>
      <c r="GM174">
        <f t="shared" si="196"/>
        <v>1159.45</v>
      </c>
      <c r="GN174">
        <f t="shared" si="197"/>
        <v>0</v>
      </c>
      <c r="GO174">
        <f t="shared" si="198"/>
        <v>0</v>
      </c>
      <c r="GP174">
        <f t="shared" si="199"/>
        <v>1159.45</v>
      </c>
      <c r="GR174">
        <v>0</v>
      </c>
      <c r="GS174">
        <v>0</v>
      </c>
      <c r="GT174">
        <v>0</v>
      </c>
      <c r="GU174" t="s">
        <v>3</v>
      </c>
      <c r="GV174">
        <f t="shared" si="200"/>
        <v>0</v>
      </c>
      <c r="GW174">
        <v>1</v>
      </c>
      <c r="GX174">
        <f t="shared" si="201"/>
        <v>0</v>
      </c>
      <c r="HA174">
        <v>0</v>
      </c>
      <c r="HB174">
        <v>0</v>
      </c>
      <c r="HC174">
        <f t="shared" si="202"/>
        <v>0</v>
      </c>
      <c r="IK174">
        <v>0</v>
      </c>
    </row>
    <row r="175" spans="1:245">
      <c r="A175">
        <v>18</v>
      </c>
      <c r="B175">
        <v>1</v>
      </c>
      <c r="C175">
        <v>75</v>
      </c>
      <c r="E175" t="s">
        <v>186</v>
      </c>
      <c r="F175" t="s">
        <v>187</v>
      </c>
      <c r="G175" t="s">
        <v>188</v>
      </c>
      <c r="H175" t="s">
        <v>50</v>
      </c>
      <c r="I175">
        <f>I174*J175</f>
        <v>1</v>
      </c>
      <c r="J175">
        <v>10</v>
      </c>
      <c r="O175">
        <f t="shared" si="163"/>
        <v>7845.83</v>
      </c>
      <c r="P175">
        <f t="shared" si="164"/>
        <v>7845.83</v>
      </c>
      <c r="Q175">
        <f t="shared" si="165"/>
        <v>0</v>
      </c>
      <c r="R175">
        <f t="shared" si="166"/>
        <v>0</v>
      </c>
      <c r="S175">
        <f t="shared" si="167"/>
        <v>0</v>
      </c>
      <c r="T175">
        <f t="shared" si="168"/>
        <v>0</v>
      </c>
      <c r="U175">
        <f t="shared" si="169"/>
        <v>0</v>
      </c>
      <c r="V175">
        <f t="shared" si="170"/>
        <v>0</v>
      </c>
      <c r="W175">
        <f t="shared" si="171"/>
        <v>0</v>
      </c>
      <c r="X175">
        <f t="shared" si="172"/>
        <v>0</v>
      </c>
      <c r="Y175">
        <f t="shared" si="173"/>
        <v>0</v>
      </c>
      <c r="AA175">
        <v>41858681</v>
      </c>
      <c r="AB175">
        <f t="shared" si="174"/>
        <v>7845.83</v>
      </c>
      <c r="AC175">
        <f t="shared" si="175"/>
        <v>7845.83</v>
      </c>
      <c r="AD175">
        <f t="shared" si="176"/>
        <v>0</v>
      </c>
      <c r="AE175">
        <f t="shared" si="177"/>
        <v>0</v>
      </c>
      <c r="AF175">
        <f t="shared" si="178"/>
        <v>0</v>
      </c>
      <c r="AG175">
        <f t="shared" si="179"/>
        <v>0</v>
      </c>
      <c r="AH175">
        <f t="shared" si="180"/>
        <v>0</v>
      </c>
      <c r="AI175">
        <f t="shared" si="181"/>
        <v>0</v>
      </c>
      <c r="AJ175">
        <f t="shared" si="182"/>
        <v>0</v>
      </c>
      <c r="AK175">
        <v>7845.83</v>
      </c>
      <c r="AL175">
        <v>7845.83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70</v>
      </c>
      <c r="AU175">
        <v>10</v>
      </c>
      <c r="AV175">
        <v>1</v>
      </c>
      <c r="AW175">
        <v>1</v>
      </c>
      <c r="AZ175">
        <v>1</v>
      </c>
      <c r="BA175">
        <v>1</v>
      </c>
      <c r="BB175">
        <v>1</v>
      </c>
      <c r="BC175">
        <v>1</v>
      </c>
      <c r="BD175" t="s">
        <v>3</v>
      </c>
      <c r="BE175" t="s">
        <v>3</v>
      </c>
      <c r="BF175" t="s">
        <v>3</v>
      </c>
      <c r="BG175" t="s">
        <v>3</v>
      </c>
      <c r="BH175">
        <v>3</v>
      </c>
      <c r="BI175">
        <v>4</v>
      </c>
      <c r="BJ175" t="s">
        <v>3</v>
      </c>
      <c r="BM175">
        <v>0</v>
      </c>
      <c r="BN175">
        <v>0</v>
      </c>
      <c r="BO175" t="s">
        <v>3</v>
      </c>
      <c r="BP175">
        <v>0</v>
      </c>
      <c r="BQ175">
        <v>1</v>
      </c>
      <c r="BR175">
        <v>0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 t="s">
        <v>3</v>
      </c>
      <c r="BZ175">
        <v>70</v>
      </c>
      <c r="CA175">
        <v>10</v>
      </c>
      <c r="CE175">
        <v>0</v>
      </c>
      <c r="CF175">
        <v>0</v>
      </c>
      <c r="CG175">
        <v>0</v>
      </c>
      <c r="CM175">
        <v>0</v>
      </c>
      <c r="CN175" t="s">
        <v>3</v>
      </c>
      <c r="CO175">
        <v>0</v>
      </c>
      <c r="CP175">
        <f t="shared" si="183"/>
        <v>7845.83</v>
      </c>
      <c r="CQ175">
        <f t="shared" si="184"/>
        <v>7845.83</v>
      </c>
      <c r="CR175">
        <f t="shared" si="185"/>
        <v>0</v>
      </c>
      <c r="CS175">
        <f t="shared" si="186"/>
        <v>0</v>
      </c>
      <c r="CT175">
        <f t="shared" si="187"/>
        <v>0</v>
      </c>
      <c r="CU175">
        <f t="shared" si="188"/>
        <v>0</v>
      </c>
      <c r="CV175">
        <f t="shared" si="189"/>
        <v>0</v>
      </c>
      <c r="CW175">
        <f t="shared" si="190"/>
        <v>0</v>
      </c>
      <c r="CX175">
        <f t="shared" si="191"/>
        <v>0</v>
      </c>
      <c r="CY175">
        <f t="shared" si="192"/>
        <v>0</v>
      </c>
      <c r="CZ175">
        <f t="shared" si="193"/>
        <v>0</v>
      </c>
      <c r="DC175" t="s">
        <v>3</v>
      </c>
      <c r="DD175" t="s">
        <v>3</v>
      </c>
      <c r="DE175" t="s">
        <v>3</v>
      </c>
      <c r="DF175" t="s">
        <v>3</v>
      </c>
      <c r="DG175" t="s">
        <v>3</v>
      </c>
      <c r="DH175" t="s">
        <v>3</v>
      </c>
      <c r="DI175" t="s">
        <v>3</v>
      </c>
      <c r="DJ175" t="s">
        <v>3</v>
      </c>
      <c r="DK175" t="s">
        <v>3</v>
      </c>
      <c r="DL175" t="s">
        <v>3</v>
      </c>
      <c r="DM175" t="s">
        <v>3</v>
      </c>
      <c r="DN175">
        <v>0</v>
      </c>
      <c r="DO175">
        <v>0</v>
      </c>
      <c r="DP175">
        <v>1</v>
      </c>
      <c r="DQ175">
        <v>1</v>
      </c>
      <c r="DU175">
        <v>1010</v>
      </c>
      <c r="DV175" t="s">
        <v>50</v>
      </c>
      <c r="DW175" t="s">
        <v>50</v>
      </c>
      <c r="DX175">
        <v>1</v>
      </c>
      <c r="EE175">
        <v>40050625</v>
      </c>
      <c r="EF175">
        <v>1</v>
      </c>
      <c r="EG175" t="s">
        <v>19</v>
      </c>
      <c r="EH175">
        <v>0</v>
      </c>
      <c r="EI175" t="s">
        <v>3</v>
      </c>
      <c r="EJ175">
        <v>4</v>
      </c>
      <c r="EK175">
        <v>0</v>
      </c>
      <c r="EL175" t="s">
        <v>20</v>
      </c>
      <c r="EM175" t="s">
        <v>21</v>
      </c>
      <c r="EO175" t="s">
        <v>3</v>
      </c>
      <c r="EQ175">
        <v>0</v>
      </c>
      <c r="ER175">
        <v>7845.83</v>
      </c>
      <c r="ES175">
        <v>7845.83</v>
      </c>
      <c r="ET175">
        <v>0</v>
      </c>
      <c r="EU175">
        <v>0</v>
      </c>
      <c r="EV175">
        <v>0</v>
      </c>
      <c r="EW175">
        <v>0</v>
      </c>
      <c r="EX175">
        <v>0</v>
      </c>
      <c r="FQ175">
        <v>0</v>
      </c>
      <c r="FR175">
        <f t="shared" si="194"/>
        <v>0</v>
      </c>
      <c r="FS175">
        <v>0</v>
      </c>
      <c r="FX175">
        <v>70</v>
      </c>
      <c r="FY175">
        <v>10</v>
      </c>
      <c r="GA175" t="s">
        <v>3</v>
      </c>
      <c r="GD175">
        <v>0</v>
      </c>
      <c r="GF175">
        <v>-1077476460</v>
      </c>
      <c r="GG175">
        <v>2</v>
      </c>
      <c r="GH175">
        <v>0</v>
      </c>
      <c r="GI175">
        <v>-2</v>
      </c>
      <c r="GJ175">
        <v>0</v>
      </c>
      <c r="GK175">
        <f>ROUND(R175*(R12)/100,2)</f>
        <v>0</v>
      </c>
      <c r="GL175">
        <f t="shared" si="195"/>
        <v>0</v>
      </c>
      <c r="GM175">
        <f t="shared" si="196"/>
        <v>7845.83</v>
      </c>
      <c r="GN175">
        <f t="shared" si="197"/>
        <v>0</v>
      </c>
      <c r="GO175">
        <f t="shared" si="198"/>
        <v>0</v>
      </c>
      <c r="GP175">
        <f t="shared" si="199"/>
        <v>7845.83</v>
      </c>
      <c r="GR175">
        <v>0</v>
      </c>
      <c r="GS175">
        <v>0</v>
      </c>
      <c r="GT175">
        <v>0</v>
      </c>
      <c r="GU175" t="s">
        <v>3</v>
      </c>
      <c r="GV175">
        <f t="shared" si="200"/>
        <v>0</v>
      </c>
      <c r="GW175">
        <v>1</v>
      </c>
      <c r="GX175">
        <f t="shared" si="201"/>
        <v>0</v>
      </c>
      <c r="HA175">
        <v>0</v>
      </c>
      <c r="HB175">
        <v>0</v>
      </c>
      <c r="HC175">
        <f t="shared" si="202"/>
        <v>0</v>
      </c>
      <c r="IK175">
        <v>0</v>
      </c>
    </row>
    <row r="176" spans="1:245">
      <c r="A176">
        <v>17</v>
      </c>
      <c r="B176">
        <v>1</v>
      </c>
      <c r="C176">
        <f>ROW(SmtRes!A78)</f>
        <v>78</v>
      </c>
      <c r="D176">
        <f>ROW(EtalonRes!A69)</f>
        <v>69</v>
      </c>
      <c r="E176" t="s">
        <v>189</v>
      </c>
      <c r="F176" t="s">
        <v>190</v>
      </c>
      <c r="G176" t="s">
        <v>191</v>
      </c>
      <c r="H176" t="s">
        <v>123</v>
      </c>
      <c r="I176">
        <f>ROUND((20*0.4)/10,9)</f>
        <v>0.8</v>
      </c>
      <c r="J176">
        <v>0</v>
      </c>
      <c r="O176">
        <f t="shared" si="163"/>
        <v>5795.38</v>
      </c>
      <c r="P176">
        <f t="shared" si="164"/>
        <v>2647.61</v>
      </c>
      <c r="Q176">
        <f t="shared" si="165"/>
        <v>0</v>
      </c>
      <c r="R176">
        <f t="shared" si="166"/>
        <v>0</v>
      </c>
      <c r="S176">
        <f t="shared" si="167"/>
        <v>3147.77</v>
      </c>
      <c r="T176">
        <f t="shared" si="168"/>
        <v>0</v>
      </c>
      <c r="U176">
        <f t="shared" si="169"/>
        <v>17.416</v>
      </c>
      <c r="V176">
        <f t="shared" si="170"/>
        <v>0</v>
      </c>
      <c r="W176">
        <f t="shared" si="171"/>
        <v>0</v>
      </c>
      <c r="X176">
        <f t="shared" si="172"/>
        <v>2203.44</v>
      </c>
      <c r="Y176">
        <f t="shared" si="173"/>
        <v>314.77999999999997</v>
      </c>
      <c r="AA176">
        <v>41858681</v>
      </c>
      <c r="AB176">
        <f t="shared" si="174"/>
        <v>7244.22</v>
      </c>
      <c r="AC176">
        <f t="shared" si="175"/>
        <v>3309.51</v>
      </c>
      <c r="AD176">
        <f t="shared" si="176"/>
        <v>0</v>
      </c>
      <c r="AE176">
        <f t="shared" si="177"/>
        <v>0</v>
      </c>
      <c r="AF176">
        <f t="shared" si="178"/>
        <v>3934.71</v>
      </c>
      <c r="AG176">
        <f t="shared" si="179"/>
        <v>0</v>
      </c>
      <c r="AH176">
        <f t="shared" si="180"/>
        <v>21.77</v>
      </c>
      <c r="AI176">
        <f t="shared" si="181"/>
        <v>0</v>
      </c>
      <c r="AJ176">
        <f t="shared" si="182"/>
        <v>0</v>
      </c>
      <c r="AK176">
        <v>7244.22</v>
      </c>
      <c r="AL176">
        <v>3309.51</v>
      </c>
      <c r="AM176">
        <v>0</v>
      </c>
      <c r="AN176">
        <v>0</v>
      </c>
      <c r="AO176">
        <v>3934.71</v>
      </c>
      <c r="AP176">
        <v>0</v>
      </c>
      <c r="AQ176">
        <v>21.77</v>
      </c>
      <c r="AR176">
        <v>0</v>
      </c>
      <c r="AS176">
        <v>0</v>
      </c>
      <c r="AT176">
        <v>70</v>
      </c>
      <c r="AU176">
        <v>10</v>
      </c>
      <c r="AV176">
        <v>1</v>
      </c>
      <c r="AW176">
        <v>1</v>
      </c>
      <c r="AZ176">
        <v>1</v>
      </c>
      <c r="BA176">
        <v>1</v>
      </c>
      <c r="BB176">
        <v>1</v>
      </c>
      <c r="BC176">
        <v>1</v>
      </c>
      <c r="BD176" t="s">
        <v>3</v>
      </c>
      <c r="BE176" t="s">
        <v>3</v>
      </c>
      <c r="BF176" t="s">
        <v>3</v>
      </c>
      <c r="BG176" t="s">
        <v>3</v>
      </c>
      <c r="BH176">
        <v>0</v>
      </c>
      <c r="BI176">
        <v>4</v>
      </c>
      <c r="BJ176" t="s">
        <v>192</v>
      </c>
      <c r="BM176">
        <v>0</v>
      </c>
      <c r="BN176">
        <v>0</v>
      </c>
      <c r="BO176" t="s">
        <v>3</v>
      </c>
      <c r="BP176">
        <v>0</v>
      </c>
      <c r="BQ176">
        <v>1</v>
      </c>
      <c r="BR176">
        <v>0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 t="s">
        <v>3</v>
      </c>
      <c r="BZ176">
        <v>70</v>
      </c>
      <c r="CA176">
        <v>10</v>
      </c>
      <c r="CE176">
        <v>0</v>
      </c>
      <c r="CF176">
        <v>0</v>
      </c>
      <c r="CG176">
        <v>0</v>
      </c>
      <c r="CM176">
        <v>0</v>
      </c>
      <c r="CN176" t="s">
        <v>3</v>
      </c>
      <c r="CO176">
        <v>0</v>
      </c>
      <c r="CP176">
        <f t="shared" si="183"/>
        <v>5795.38</v>
      </c>
      <c r="CQ176">
        <f t="shared" si="184"/>
        <v>3309.51</v>
      </c>
      <c r="CR176">
        <f t="shared" si="185"/>
        <v>0</v>
      </c>
      <c r="CS176">
        <f t="shared" si="186"/>
        <v>0</v>
      </c>
      <c r="CT176">
        <f t="shared" si="187"/>
        <v>3934.71</v>
      </c>
      <c r="CU176">
        <f t="shared" si="188"/>
        <v>0</v>
      </c>
      <c r="CV176">
        <f t="shared" si="189"/>
        <v>21.77</v>
      </c>
      <c r="CW176">
        <f t="shared" si="190"/>
        <v>0</v>
      </c>
      <c r="CX176">
        <f t="shared" si="191"/>
        <v>0</v>
      </c>
      <c r="CY176">
        <f t="shared" si="192"/>
        <v>2203.4389999999999</v>
      </c>
      <c r="CZ176">
        <f t="shared" si="193"/>
        <v>314.77699999999999</v>
      </c>
      <c r="DC176" t="s">
        <v>3</v>
      </c>
      <c r="DD176" t="s">
        <v>3</v>
      </c>
      <c r="DE176" t="s">
        <v>3</v>
      </c>
      <c r="DF176" t="s">
        <v>3</v>
      </c>
      <c r="DG176" t="s">
        <v>3</v>
      </c>
      <c r="DH176" t="s">
        <v>3</v>
      </c>
      <c r="DI176" t="s">
        <v>3</v>
      </c>
      <c r="DJ176" t="s">
        <v>3</v>
      </c>
      <c r="DK176" t="s">
        <v>3</v>
      </c>
      <c r="DL176" t="s">
        <v>3</v>
      </c>
      <c r="DM176" t="s">
        <v>3</v>
      </c>
      <c r="DN176">
        <v>0</v>
      </c>
      <c r="DO176">
        <v>0</v>
      </c>
      <c r="DP176">
        <v>1</v>
      </c>
      <c r="DQ176">
        <v>1</v>
      </c>
      <c r="DU176">
        <v>1013</v>
      </c>
      <c r="DV176" t="s">
        <v>123</v>
      </c>
      <c r="DW176" t="s">
        <v>123</v>
      </c>
      <c r="DX176">
        <v>1</v>
      </c>
      <c r="EE176">
        <v>40050625</v>
      </c>
      <c r="EF176">
        <v>1</v>
      </c>
      <c r="EG176" t="s">
        <v>19</v>
      </c>
      <c r="EH176">
        <v>0</v>
      </c>
      <c r="EI176" t="s">
        <v>3</v>
      </c>
      <c r="EJ176">
        <v>4</v>
      </c>
      <c r="EK176">
        <v>0</v>
      </c>
      <c r="EL176" t="s">
        <v>20</v>
      </c>
      <c r="EM176" t="s">
        <v>21</v>
      </c>
      <c r="EO176" t="s">
        <v>3</v>
      </c>
      <c r="EQ176">
        <v>0</v>
      </c>
      <c r="ER176">
        <v>7244.22</v>
      </c>
      <c r="ES176">
        <v>3309.51</v>
      </c>
      <c r="ET176">
        <v>0</v>
      </c>
      <c r="EU176">
        <v>0</v>
      </c>
      <c r="EV176">
        <v>3934.71</v>
      </c>
      <c r="EW176">
        <v>21.77</v>
      </c>
      <c r="EX176">
        <v>0</v>
      </c>
      <c r="EY176">
        <v>0</v>
      </c>
      <c r="FQ176">
        <v>0</v>
      </c>
      <c r="FR176">
        <f t="shared" si="194"/>
        <v>0</v>
      </c>
      <c r="FS176">
        <v>0</v>
      </c>
      <c r="FX176">
        <v>70</v>
      </c>
      <c r="FY176">
        <v>10</v>
      </c>
      <c r="GA176" t="s">
        <v>3</v>
      </c>
      <c r="GD176">
        <v>0</v>
      </c>
      <c r="GF176">
        <v>1847960894</v>
      </c>
      <c r="GG176">
        <v>2</v>
      </c>
      <c r="GH176">
        <v>1</v>
      </c>
      <c r="GI176">
        <v>-2</v>
      </c>
      <c r="GJ176">
        <v>0</v>
      </c>
      <c r="GK176">
        <f>ROUND(R176*(R12)/100,2)</f>
        <v>0</v>
      </c>
      <c r="GL176">
        <f t="shared" si="195"/>
        <v>0</v>
      </c>
      <c r="GM176">
        <f t="shared" si="196"/>
        <v>8313.6</v>
      </c>
      <c r="GN176">
        <f t="shared" si="197"/>
        <v>0</v>
      </c>
      <c r="GO176">
        <f t="shared" si="198"/>
        <v>0</v>
      </c>
      <c r="GP176">
        <f t="shared" si="199"/>
        <v>8313.6</v>
      </c>
      <c r="GR176">
        <v>0</v>
      </c>
      <c r="GS176">
        <v>0</v>
      </c>
      <c r="GT176">
        <v>0</v>
      </c>
      <c r="GU176" t="s">
        <v>3</v>
      </c>
      <c r="GV176">
        <f t="shared" si="200"/>
        <v>0</v>
      </c>
      <c r="GW176">
        <v>1</v>
      </c>
      <c r="GX176">
        <f t="shared" si="201"/>
        <v>0</v>
      </c>
      <c r="HA176">
        <v>0</v>
      </c>
      <c r="HB176">
        <v>0</v>
      </c>
      <c r="HC176">
        <f t="shared" si="202"/>
        <v>0</v>
      </c>
      <c r="IK176">
        <v>0</v>
      </c>
    </row>
    <row r="177" spans="1:245">
      <c r="A177">
        <v>17</v>
      </c>
      <c r="B177">
        <v>1</v>
      </c>
      <c r="C177">
        <f>ROW(SmtRes!A83)</f>
        <v>83</v>
      </c>
      <c r="D177">
        <f>ROW(EtalonRes!A74)</f>
        <v>74</v>
      </c>
      <c r="E177" t="s">
        <v>193</v>
      </c>
      <c r="F177" t="s">
        <v>194</v>
      </c>
      <c r="G177" t="s">
        <v>195</v>
      </c>
      <c r="H177" t="s">
        <v>123</v>
      </c>
      <c r="I177">
        <f>ROUND((20*0.6)/10,9)</f>
        <v>1.2</v>
      </c>
      <c r="J177">
        <v>0</v>
      </c>
      <c r="O177">
        <f t="shared" si="163"/>
        <v>7680.05</v>
      </c>
      <c r="P177">
        <f t="shared" si="164"/>
        <v>3971.41</v>
      </c>
      <c r="Q177">
        <f t="shared" si="165"/>
        <v>342.54</v>
      </c>
      <c r="R177">
        <f t="shared" si="166"/>
        <v>125.28</v>
      </c>
      <c r="S177">
        <f t="shared" si="167"/>
        <v>3366.1</v>
      </c>
      <c r="T177">
        <f t="shared" si="168"/>
        <v>0</v>
      </c>
      <c r="U177">
        <f t="shared" si="169"/>
        <v>18.623999999999999</v>
      </c>
      <c r="V177">
        <f t="shared" si="170"/>
        <v>0</v>
      </c>
      <c r="W177">
        <f t="shared" si="171"/>
        <v>0</v>
      </c>
      <c r="X177">
        <f t="shared" si="172"/>
        <v>2356.27</v>
      </c>
      <c r="Y177">
        <f t="shared" si="173"/>
        <v>336.61</v>
      </c>
      <c r="AA177">
        <v>41858681</v>
      </c>
      <c r="AB177">
        <f t="shared" si="174"/>
        <v>6400.04</v>
      </c>
      <c r="AC177">
        <f t="shared" si="175"/>
        <v>3309.51</v>
      </c>
      <c r="AD177">
        <f t="shared" si="176"/>
        <v>285.45</v>
      </c>
      <c r="AE177">
        <f t="shared" si="177"/>
        <v>104.4</v>
      </c>
      <c r="AF177">
        <f t="shared" si="178"/>
        <v>2805.08</v>
      </c>
      <c r="AG177">
        <f t="shared" si="179"/>
        <v>0</v>
      </c>
      <c r="AH177">
        <f t="shared" si="180"/>
        <v>15.52</v>
      </c>
      <c r="AI177">
        <f t="shared" si="181"/>
        <v>0</v>
      </c>
      <c r="AJ177">
        <f t="shared" si="182"/>
        <v>0</v>
      </c>
      <c r="AK177">
        <v>6400.04</v>
      </c>
      <c r="AL177">
        <v>3309.51</v>
      </c>
      <c r="AM177">
        <v>285.45</v>
      </c>
      <c r="AN177">
        <v>104.4</v>
      </c>
      <c r="AO177">
        <v>2805.08</v>
      </c>
      <c r="AP177">
        <v>0</v>
      </c>
      <c r="AQ177">
        <v>15.52</v>
      </c>
      <c r="AR177">
        <v>0</v>
      </c>
      <c r="AS177">
        <v>0</v>
      </c>
      <c r="AT177">
        <v>70</v>
      </c>
      <c r="AU177">
        <v>10</v>
      </c>
      <c r="AV177">
        <v>1</v>
      </c>
      <c r="AW177">
        <v>1</v>
      </c>
      <c r="AZ177">
        <v>1</v>
      </c>
      <c r="BA177">
        <v>1</v>
      </c>
      <c r="BB177">
        <v>1</v>
      </c>
      <c r="BC177">
        <v>1</v>
      </c>
      <c r="BD177" t="s">
        <v>3</v>
      </c>
      <c r="BE177" t="s">
        <v>3</v>
      </c>
      <c r="BF177" t="s">
        <v>3</v>
      </c>
      <c r="BG177" t="s">
        <v>3</v>
      </c>
      <c r="BH177">
        <v>0</v>
      </c>
      <c r="BI177">
        <v>4</v>
      </c>
      <c r="BJ177" t="s">
        <v>196</v>
      </c>
      <c r="BM177">
        <v>0</v>
      </c>
      <c r="BN177">
        <v>0</v>
      </c>
      <c r="BO177" t="s">
        <v>3</v>
      </c>
      <c r="BP177">
        <v>0</v>
      </c>
      <c r="BQ177">
        <v>1</v>
      </c>
      <c r="BR177">
        <v>0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 t="s">
        <v>3</v>
      </c>
      <c r="BZ177">
        <v>70</v>
      </c>
      <c r="CA177">
        <v>10</v>
      </c>
      <c r="CE177">
        <v>0</v>
      </c>
      <c r="CF177">
        <v>0</v>
      </c>
      <c r="CG177">
        <v>0</v>
      </c>
      <c r="CM177">
        <v>0</v>
      </c>
      <c r="CN177" t="s">
        <v>3</v>
      </c>
      <c r="CO177">
        <v>0</v>
      </c>
      <c r="CP177">
        <f t="shared" si="183"/>
        <v>7680.0499999999993</v>
      </c>
      <c r="CQ177">
        <f t="shared" si="184"/>
        <v>3309.51</v>
      </c>
      <c r="CR177">
        <f t="shared" si="185"/>
        <v>285.45</v>
      </c>
      <c r="CS177">
        <f t="shared" si="186"/>
        <v>104.4</v>
      </c>
      <c r="CT177">
        <f t="shared" si="187"/>
        <v>2805.08</v>
      </c>
      <c r="CU177">
        <f t="shared" si="188"/>
        <v>0</v>
      </c>
      <c r="CV177">
        <f t="shared" si="189"/>
        <v>15.52</v>
      </c>
      <c r="CW177">
        <f t="shared" si="190"/>
        <v>0</v>
      </c>
      <c r="CX177">
        <f t="shared" si="191"/>
        <v>0</v>
      </c>
      <c r="CY177">
        <f t="shared" si="192"/>
        <v>2356.27</v>
      </c>
      <c r="CZ177">
        <f t="shared" si="193"/>
        <v>336.61</v>
      </c>
      <c r="DC177" t="s">
        <v>3</v>
      </c>
      <c r="DD177" t="s">
        <v>3</v>
      </c>
      <c r="DE177" t="s">
        <v>3</v>
      </c>
      <c r="DF177" t="s">
        <v>3</v>
      </c>
      <c r="DG177" t="s">
        <v>3</v>
      </c>
      <c r="DH177" t="s">
        <v>3</v>
      </c>
      <c r="DI177" t="s">
        <v>3</v>
      </c>
      <c r="DJ177" t="s">
        <v>3</v>
      </c>
      <c r="DK177" t="s">
        <v>3</v>
      </c>
      <c r="DL177" t="s">
        <v>3</v>
      </c>
      <c r="DM177" t="s">
        <v>3</v>
      </c>
      <c r="DN177">
        <v>0</v>
      </c>
      <c r="DO177">
        <v>0</v>
      </c>
      <c r="DP177">
        <v>1</v>
      </c>
      <c r="DQ177">
        <v>1</v>
      </c>
      <c r="DU177">
        <v>1013</v>
      </c>
      <c r="DV177" t="s">
        <v>123</v>
      </c>
      <c r="DW177" t="s">
        <v>123</v>
      </c>
      <c r="DX177">
        <v>1</v>
      </c>
      <c r="EE177">
        <v>40050625</v>
      </c>
      <c r="EF177">
        <v>1</v>
      </c>
      <c r="EG177" t="s">
        <v>19</v>
      </c>
      <c r="EH177">
        <v>0</v>
      </c>
      <c r="EI177" t="s">
        <v>3</v>
      </c>
      <c r="EJ177">
        <v>4</v>
      </c>
      <c r="EK177">
        <v>0</v>
      </c>
      <c r="EL177" t="s">
        <v>20</v>
      </c>
      <c r="EM177" t="s">
        <v>21</v>
      </c>
      <c r="EO177" t="s">
        <v>3</v>
      </c>
      <c r="EQ177">
        <v>0</v>
      </c>
      <c r="ER177">
        <v>6400.04</v>
      </c>
      <c r="ES177">
        <v>3309.51</v>
      </c>
      <c r="ET177">
        <v>285.45</v>
      </c>
      <c r="EU177">
        <v>104.4</v>
      </c>
      <c r="EV177">
        <v>2805.08</v>
      </c>
      <c r="EW177">
        <v>15.52</v>
      </c>
      <c r="EX177">
        <v>0</v>
      </c>
      <c r="EY177">
        <v>0</v>
      </c>
      <c r="FQ177">
        <v>0</v>
      </c>
      <c r="FR177">
        <f t="shared" si="194"/>
        <v>0</v>
      </c>
      <c r="FS177">
        <v>0</v>
      </c>
      <c r="FX177">
        <v>70</v>
      </c>
      <c r="FY177">
        <v>10</v>
      </c>
      <c r="GA177" t="s">
        <v>3</v>
      </c>
      <c r="GD177">
        <v>0</v>
      </c>
      <c r="GF177">
        <v>353330812</v>
      </c>
      <c r="GG177">
        <v>2</v>
      </c>
      <c r="GH177">
        <v>1</v>
      </c>
      <c r="GI177">
        <v>-2</v>
      </c>
      <c r="GJ177">
        <v>0</v>
      </c>
      <c r="GK177">
        <f>ROUND(R177*(R12)/100,2)</f>
        <v>135.30000000000001</v>
      </c>
      <c r="GL177">
        <f t="shared" si="195"/>
        <v>0</v>
      </c>
      <c r="GM177">
        <f t="shared" si="196"/>
        <v>10508.23</v>
      </c>
      <c r="GN177">
        <f t="shared" si="197"/>
        <v>0</v>
      </c>
      <c r="GO177">
        <f t="shared" si="198"/>
        <v>0</v>
      </c>
      <c r="GP177">
        <f t="shared" si="199"/>
        <v>10508.23</v>
      </c>
      <c r="GR177">
        <v>0</v>
      </c>
      <c r="GS177">
        <v>0</v>
      </c>
      <c r="GT177">
        <v>0</v>
      </c>
      <c r="GU177" t="s">
        <v>3</v>
      </c>
      <c r="GV177">
        <f t="shared" si="200"/>
        <v>0</v>
      </c>
      <c r="GW177">
        <v>1</v>
      </c>
      <c r="GX177">
        <f t="shared" si="201"/>
        <v>0</v>
      </c>
      <c r="HA177">
        <v>0</v>
      </c>
      <c r="HB177">
        <v>0</v>
      </c>
      <c r="HC177">
        <f t="shared" si="202"/>
        <v>0</v>
      </c>
      <c r="IK177">
        <v>0</v>
      </c>
    </row>
    <row r="178" spans="1:245">
      <c r="A178">
        <v>17</v>
      </c>
      <c r="B178">
        <v>1</v>
      </c>
      <c r="C178">
        <f>ROW(SmtRes!A84)</f>
        <v>84</v>
      </c>
      <c r="D178">
        <f>ROW(EtalonRes!A75)</f>
        <v>75</v>
      </c>
      <c r="E178" t="s">
        <v>197</v>
      </c>
      <c r="F178" t="s">
        <v>130</v>
      </c>
      <c r="G178" t="s">
        <v>338</v>
      </c>
      <c r="H178" t="s">
        <v>17</v>
      </c>
      <c r="I178">
        <f>ROUND(38.2/100,9)</f>
        <v>0.38200000000000001</v>
      </c>
      <c r="J178">
        <v>0</v>
      </c>
      <c r="O178">
        <f t="shared" si="163"/>
        <v>113.3</v>
      </c>
      <c r="P178">
        <f t="shared" si="164"/>
        <v>0</v>
      </c>
      <c r="Q178">
        <f t="shared" si="165"/>
        <v>113.3</v>
      </c>
      <c r="R178">
        <f t="shared" si="166"/>
        <v>42.57</v>
      </c>
      <c r="S178">
        <f t="shared" si="167"/>
        <v>0</v>
      </c>
      <c r="T178">
        <f t="shared" si="168"/>
        <v>0</v>
      </c>
      <c r="U178">
        <f t="shared" si="169"/>
        <v>0</v>
      </c>
      <c r="V178">
        <f t="shared" si="170"/>
        <v>0</v>
      </c>
      <c r="W178">
        <f t="shared" si="171"/>
        <v>0</v>
      </c>
      <c r="X178">
        <f t="shared" si="172"/>
        <v>0</v>
      </c>
      <c r="Y178">
        <f t="shared" si="173"/>
        <v>0</v>
      </c>
      <c r="AA178">
        <v>41858681</v>
      </c>
      <c r="AB178">
        <f t="shared" si="174"/>
        <v>296.60000000000002</v>
      </c>
      <c r="AC178">
        <f t="shared" si="175"/>
        <v>0</v>
      </c>
      <c r="AD178">
        <f t="shared" si="176"/>
        <v>296.60000000000002</v>
      </c>
      <c r="AE178">
        <f t="shared" si="177"/>
        <v>111.43</v>
      </c>
      <c r="AF178">
        <f t="shared" si="178"/>
        <v>0</v>
      </c>
      <c r="AG178">
        <f t="shared" si="179"/>
        <v>0</v>
      </c>
      <c r="AH178">
        <f t="shared" si="180"/>
        <v>0</v>
      </c>
      <c r="AI178">
        <f t="shared" si="181"/>
        <v>0</v>
      </c>
      <c r="AJ178">
        <f t="shared" si="182"/>
        <v>0</v>
      </c>
      <c r="AK178">
        <v>296.60000000000002</v>
      </c>
      <c r="AL178">
        <v>0</v>
      </c>
      <c r="AM178">
        <v>296.60000000000002</v>
      </c>
      <c r="AN178">
        <v>111.43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70</v>
      </c>
      <c r="AU178">
        <v>10</v>
      </c>
      <c r="AV178">
        <v>1</v>
      </c>
      <c r="AW178">
        <v>1</v>
      </c>
      <c r="AZ178">
        <v>1</v>
      </c>
      <c r="BA178">
        <v>1</v>
      </c>
      <c r="BB178">
        <v>1</v>
      </c>
      <c r="BC178">
        <v>1</v>
      </c>
      <c r="BD178" t="s">
        <v>3</v>
      </c>
      <c r="BE178" t="s">
        <v>3</v>
      </c>
      <c r="BF178" t="s">
        <v>3</v>
      </c>
      <c r="BG178" t="s">
        <v>3</v>
      </c>
      <c r="BH178">
        <v>0</v>
      </c>
      <c r="BI178">
        <v>4</v>
      </c>
      <c r="BJ178" t="s">
        <v>131</v>
      </c>
      <c r="BM178">
        <v>0</v>
      </c>
      <c r="BN178">
        <v>0</v>
      </c>
      <c r="BO178" t="s">
        <v>3</v>
      </c>
      <c r="BP178">
        <v>0</v>
      </c>
      <c r="BQ178">
        <v>1</v>
      </c>
      <c r="BR178">
        <v>0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 t="s">
        <v>3</v>
      </c>
      <c r="BZ178">
        <v>70</v>
      </c>
      <c r="CA178">
        <v>10</v>
      </c>
      <c r="CE178">
        <v>0</v>
      </c>
      <c r="CF178">
        <v>0</v>
      </c>
      <c r="CG178">
        <v>0</v>
      </c>
      <c r="CM178">
        <v>0</v>
      </c>
      <c r="CN178" t="s">
        <v>3</v>
      </c>
      <c r="CO178">
        <v>0</v>
      </c>
      <c r="CP178">
        <f t="shared" si="183"/>
        <v>113.3</v>
      </c>
      <c r="CQ178">
        <f t="shared" si="184"/>
        <v>0</v>
      </c>
      <c r="CR178">
        <f t="shared" si="185"/>
        <v>296.60000000000002</v>
      </c>
      <c r="CS178">
        <f t="shared" si="186"/>
        <v>111.43</v>
      </c>
      <c r="CT178">
        <f t="shared" si="187"/>
        <v>0</v>
      </c>
      <c r="CU178">
        <f t="shared" si="188"/>
        <v>0</v>
      </c>
      <c r="CV178">
        <f t="shared" si="189"/>
        <v>0</v>
      </c>
      <c r="CW178">
        <f t="shared" si="190"/>
        <v>0</v>
      </c>
      <c r="CX178">
        <f t="shared" si="191"/>
        <v>0</v>
      </c>
      <c r="CY178">
        <f t="shared" si="192"/>
        <v>0</v>
      </c>
      <c r="CZ178">
        <f t="shared" si="193"/>
        <v>0</v>
      </c>
      <c r="DC178" t="s">
        <v>3</v>
      </c>
      <c r="DD178" t="s">
        <v>3</v>
      </c>
      <c r="DE178" t="s">
        <v>3</v>
      </c>
      <c r="DF178" t="s">
        <v>3</v>
      </c>
      <c r="DG178" t="s">
        <v>3</v>
      </c>
      <c r="DH178" t="s">
        <v>3</v>
      </c>
      <c r="DI178" t="s">
        <v>3</v>
      </c>
      <c r="DJ178" t="s">
        <v>3</v>
      </c>
      <c r="DK178" t="s">
        <v>3</v>
      </c>
      <c r="DL178" t="s">
        <v>3</v>
      </c>
      <c r="DM178" t="s">
        <v>3</v>
      </c>
      <c r="DN178">
        <v>0</v>
      </c>
      <c r="DO178">
        <v>0</v>
      </c>
      <c r="DP178">
        <v>1</v>
      </c>
      <c r="DQ178">
        <v>1</v>
      </c>
      <c r="DU178">
        <v>1005</v>
      </c>
      <c r="DV178" t="s">
        <v>17</v>
      </c>
      <c r="DW178" t="s">
        <v>17</v>
      </c>
      <c r="DX178">
        <v>100</v>
      </c>
      <c r="EE178">
        <v>40050625</v>
      </c>
      <c r="EF178">
        <v>1</v>
      </c>
      <c r="EG178" t="s">
        <v>19</v>
      </c>
      <c r="EH178">
        <v>0</v>
      </c>
      <c r="EI178" t="s">
        <v>3</v>
      </c>
      <c r="EJ178">
        <v>4</v>
      </c>
      <c r="EK178">
        <v>0</v>
      </c>
      <c r="EL178" t="s">
        <v>20</v>
      </c>
      <c r="EM178" t="s">
        <v>21</v>
      </c>
      <c r="EO178" t="s">
        <v>3</v>
      </c>
      <c r="EQ178">
        <v>0</v>
      </c>
      <c r="ER178">
        <v>296.60000000000002</v>
      </c>
      <c r="ES178">
        <v>0</v>
      </c>
      <c r="ET178">
        <v>296.60000000000002</v>
      </c>
      <c r="EU178">
        <v>111.43</v>
      </c>
      <c r="EV178">
        <v>0</v>
      </c>
      <c r="EW178">
        <v>0</v>
      </c>
      <c r="EX178">
        <v>0</v>
      </c>
      <c r="EY178">
        <v>0</v>
      </c>
      <c r="FQ178">
        <v>0</v>
      </c>
      <c r="FR178">
        <f t="shared" si="194"/>
        <v>0</v>
      </c>
      <c r="FS178">
        <v>0</v>
      </c>
      <c r="FX178">
        <v>70</v>
      </c>
      <c r="FY178">
        <v>10</v>
      </c>
      <c r="GA178" t="s">
        <v>3</v>
      </c>
      <c r="GD178">
        <v>0</v>
      </c>
      <c r="GF178">
        <v>-1532506742</v>
      </c>
      <c r="GG178">
        <v>2</v>
      </c>
      <c r="GH178">
        <v>1</v>
      </c>
      <c r="GI178">
        <v>-2</v>
      </c>
      <c r="GJ178">
        <v>0</v>
      </c>
      <c r="GK178">
        <f>ROUND(R178*(R12)/100,2)</f>
        <v>45.98</v>
      </c>
      <c r="GL178">
        <f t="shared" si="195"/>
        <v>0</v>
      </c>
      <c r="GM178">
        <f t="shared" si="196"/>
        <v>159.28</v>
      </c>
      <c r="GN178">
        <f t="shared" si="197"/>
        <v>0</v>
      </c>
      <c r="GO178">
        <f t="shared" si="198"/>
        <v>0</v>
      </c>
      <c r="GP178">
        <f t="shared" si="199"/>
        <v>159.28</v>
      </c>
      <c r="GR178">
        <v>0</v>
      </c>
      <c r="GS178">
        <v>0</v>
      </c>
      <c r="GT178">
        <v>0</v>
      </c>
      <c r="GU178" t="s">
        <v>3</v>
      </c>
      <c r="GV178">
        <f t="shared" si="200"/>
        <v>0</v>
      </c>
      <c r="GW178">
        <v>1</v>
      </c>
      <c r="GX178">
        <f t="shared" si="201"/>
        <v>0</v>
      </c>
      <c r="HA178">
        <v>0</v>
      </c>
      <c r="HB178">
        <v>0</v>
      </c>
      <c r="HC178">
        <f t="shared" si="202"/>
        <v>0</v>
      </c>
      <c r="IK178">
        <v>0</v>
      </c>
    </row>
    <row r="179" spans="1:245">
      <c r="A179">
        <v>17</v>
      </c>
      <c r="B179">
        <v>1</v>
      </c>
      <c r="C179">
        <f>ROW(SmtRes!A85)</f>
        <v>85</v>
      </c>
      <c r="D179">
        <f>ROW(EtalonRes!A76)</f>
        <v>76</v>
      </c>
      <c r="E179" t="s">
        <v>198</v>
      </c>
      <c r="F179" t="s">
        <v>133</v>
      </c>
      <c r="G179" t="s">
        <v>199</v>
      </c>
      <c r="H179" t="s">
        <v>17</v>
      </c>
      <c r="I179">
        <f>ROUND(12.8/100,9)</f>
        <v>0.128</v>
      </c>
      <c r="J179">
        <v>0</v>
      </c>
      <c r="O179">
        <f t="shared" si="163"/>
        <v>271.37</v>
      </c>
      <c r="P179">
        <f t="shared" si="164"/>
        <v>0</v>
      </c>
      <c r="Q179">
        <f t="shared" si="165"/>
        <v>0</v>
      </c>
      <c r="R179">
        <f t="shared" si="166"/>
        <v>0</v>
      </c>
      <c r="S179">
        <f t="shared" si="167"/>
        <v>271.37</v>
      </c>
      <c r="T179">
        <f t="shared" si="168"/>
        <v>0</v>
      </c>
      <c r="U179">
        <f t="shared" si="169"/>
        <v>1.5014400000000001</v>
      </c>
      <c r="V179">
        <f t="shared" si="170"/>
        <v>0</v>
      </c>
      <c r="W179">
        <f t="shared" si="171"/>
        <v>0</v>
      </c>
      <c r="X179">
        <f t="shared" si="172"/>
        <v>189.96</v>
      </c>
      <c r="Y179">
        <f t="shared" si="173"/>
        <v>27.14</v>
      </c>
      <c r="AA179">
        <v>41858681</v>
      </c>
      <c r="AB179">
        <f t="shared" si="174"/>
        <v>2120.08</v>
      </c>
      <c r="AC179">
        <f t="shared" si="175"/>
        <v>0</v>
      </c>
      <c r="AD179">
        <f t="shared" si="176"/>
        <v>0</v>
      </c>
      <c r="AE179">
        <f t="shared" si="177"/>
        <v>0</v>
      </c>
      <c r="AF179">
        <f t="shared" si="178"/>
        <v>2120.08</v>
      </c>
      <c r="AG179">
        <f t="shared" si="179"/>
        <v>0</v>
      </c>
      <c r="AH179">
        <f t="shared" si="180"/>
        <v>11.73</v>
      </c>
      <c r="AI179">
        <f t="shared" si="181"/>
        <v>0</v>
      </c>
      <c r="AJ179">
        <f t="shared" si="182"/>
        <v>0</v>
      </c>
      <c r="AK179">
        <v>2120.08</v>
      </c>
      <c r="AL179">
        <v>0</v>
      </c>
      <c r="AM179">
        <v>0</v>
      </c>
      <c r="AN179">
        <v>0</v>
      </c>
      <c r="AO179">
        <v>2120.08</v>
      </c>
      <c r="AP179">
        <v>0</v>
      </c>
      <c r="AQ179">
        <v>11.73</v>
      </c>
      <c r="AR179">
        <v>0</v>
      </c>
      <c r="AS179">
        <v>0</v>
      </c>
      <c r="AT179">
        <v>70</v>
      </c>
      <c r="AU179">
        <v>10</v>
      </c>
      <c r="AV179">
        <v>1</v>
      </c>
      <c r="AW179">
        <v>1</v>
      </c>
      <c r="AZ179">
        <v>1</v>
      </c>
      <c r="BA179">
        <v>1</v>
      </c>
      <c r="BB179">
        <v>1</v>
      </c>
      <c r="BC179">
        <v>1</v>
      </c>
      <c r="BD179" t="s">
        <v>3</v>
      </c>
      <c r="BE179" t="s">
        <v>3</v>
      </c>
      <c r="BF179" t="s">
        <v>3</v>
      </c>
      <c r="BG179" t="s">
        <v>3</v>
      </c>
      <c r="BH179">
        <v>0</v>
      </c>
      <c r="BI179">
        <v>4</v>
      </c>
      <c r="BJ179" t="s">
        <v>135</v>
      </c>
      <c r="BM179">
        <v>0</v>
      </c>
      <c r="BN179">
        <v>0</v>
      </c>
      <c r="BO179" t="s">
        <v>3</v>
      </c>
      <c r="BP179">
        <v>0</v>
      </c>
      <c r="BQ179">
        <v>1</v>
      </c>
      <c r="BR179">
        <v>0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 t="s">
        <v>3</v>
      </c>
      <c r="BZ179">
        <v>70</v>
      </c>
      <c r="CA179">
        <v>10</v>
      </c>
      <c r="CE179">
        <v>0</v>
      </c>
      <c r="CF179">
        <v>0</v>
      </c>
      <c r="CG179">
        <v>0</v>
      </c>
      <c r="CM179">
        <v>0</v>
      </c>
      <c r="CN179" t="s">
        <v>3</v>
      </c>
      <c r="CO179">
        <v>0</v>
      </c>
      <c r="CP179">
        <f t="shared" si="183"/>
        <v>271.37</v>
      </c>
      <c r="CQ179">
        <f t="shared" si="184"/>
        <v>0</v>
      </c>
      <c r="CR179">
        <f t="shared" si="185"/>
        <v>0</v>
      </c>
      <c r="CS179">
        <f t="shared" si="186"/>
        <v>0</v>
      </c>
      <c r="CT179">
        <f t="shared" si="187"/>
        <v>2120.08</v>
      </c>
      <c r="CU179">
        <f t="shared" si="188"/>
        <v>0</v>
      </c>
      <c r="CV179">
        <f t="shared" si="189"/>
        <v>11.73</v>
      </c>
      <c r="CW179">
        <f t="shared" si="190"/>
        <v>0</v>
      </c>
      <c r="CX179">
        <f t="shared" si="191"/>
        <v>0</v>
      </c>
      <c r="CY179">
        <f t="shared" si="192"/>
        <v>189.959</v>
      </c>
      <c r="CZ179">
        <f t="shared" si="193"/>
        <v>27.136999999999997</v>
      </c>
      <c r="DC179" t="s">
        <v>3</v>
      </c>
      <c r="DD179" t="s">
        <v>3</v>
      </c>
      <c r="DE179" t="s">
        <v>3</v>
      </c>
      <c r="DF179" t="s">
        <v>3</v>
      </c>
      <c r="DG179" t="s">
        <v>3</v>
      </c>
      <c r="DH179" t="s">
        <v>3</v>
      </c>
      <c r="DI179" t="s">
        <v>3</v>
      </c>
      <c r="DJ179" t="s">
        <v>3</v>
      </c>
      <c r="DK179" t="s">
        <v>3</v>
      </c>
      <c r="DL179" t="s">
        <v>3</v>
      </c>
      <c r="DM179" t="s">
        <v>3</v>
      </c>
      <c r="DN179">
        <v>0</v>
      </c>
      <c r="DO179">
        <v>0</v>
      </c>
      <c r="DP179">
        <v>1</v>
      </c>
      <c r="DQ179">
        <v>1</v>
      </c>
      <c r="DU179">
        <v>1005</v>
      </c>
      <c r="DV179" t="s">
        <v>17</v>
      </c>
      <c r="DW179" t="s">
        <v>17</v>
      </c>
      <c r="DX179">
        <v>100</v>
      </c>
      <c r="EE179">
        <v>40050625</v>
      </c>
      <c r="EF179">
        <v>1</v>
      </c>
      <c r="EG179" t="s">
        <v>19</v>
      </c>
      <c r="EH179">
        <v>0</v>
      </c>
      <c r="EI179" t="s">
        <v>3</v>
      </c>
      <c r="EJ179">
        <v>4</v>
      </c>
      <c r="EK179">
        <v>0</v>
      </c>
      <c r="EL179" t="s">
        <v>20</v>
      </c>
      <c r="EM179" t="s">
        <v>21</v>
      </c>
      <c r="EO179" t="s">
        <v>3</v>
      </c>
      <c r="EQ179">
        <v>0</v>
      </c>
      <c r="ER179">
        <v>2120.08</v>
      </c>
      <c r="ES179">
        <v>0</v>
      </c>
      <c r="ET179">
        <v>0</v>
      </c>
      <c r="EU179">
        <v>0</v>
      </c>
      <c r="EV179">
        <v>2120.08</v>
      </c>
      <c r="EW179">
        <v>11.73</v>
      </c>
      <c r="EX179">
        <v>0</v>
      </c>
      <c r="EY179">
        <v>0</v>
      </c>
      <c r="FQ179">
        <v>0</v>
      </c>
      <c r="FR179">
        <f t="shared" si="194"/>
        <v>0</v>
      </c>
      <c r="FS179">
        <v>0</v>
      </c>
      <c r="FX179">
        <v>70</v>
      </c>
      <c r="FY179">
        <v>10</v>
      </c>
      <c r="GA179" t="s">
        <v>3</v>
      </c>
      <c r="GD179">
        <v>0</v>
      </c>
      <c r="GF179">
        <v>-802863305</v>
      </c>
      <c r="GG179">
        <v>2</v>
      </c>
      <c r="GH179">
        <v>1</v>
      </c>
      <c r="GI179">
        <v>-2</v>
      </c>
      <c r="GJ179">
        <v>0</v>
      </c>
      <c r="GK179">
        <f>ROUND(R179*(R12)/100,2)</f>
        <v>0</v>
      </c>
      <c r="GL179">
        <f t="shared" si="195"/>
        <v>0</v>
      </c>
      <c r="GM179">
        <f t="shared" si="196"/>
        <v>488.47</v>
      </c>
      <c r="GN179">
        <f t="shared" si="197"/>
        <v>0</v>
      </c>
      <c r="GO179">
        <f t="shared" si="198"/>
        <v>0</v>
      </c>
      <c r="GP179">
        <f t="shared" si="199"/>
        <v>488.47</v>
      </c>
      <c r="GR179">
        <v>0</v>
      </c>
      <c r="GS179">
        <v>0</v>
      </c>
      <c r="GT179">
        <v>0</v>
      </c>
      <c r="GU179" t="s">
        <v>3</v>
      </c>
      <c r="GV179">
        <f t="shared" si="200"/>
        <v>0</v>
      </c>
      <c r="GW179">
        <v>1</v>
      </c>
      <c r="GX179">
        <f t="shared" si="201"/>
        <v>0</v>
      </c>
      <c r="HA179">
        <v>0</v>
      </c>
      <c r="HB179">
        <v>0</v>
      </c>
      <c r="HC179">
        <f t="shared" si="202"/>
        <v>0</v>
      </c>
      <c r="IK179">
        <v>0</v>
      </c>
    </row>
    <row r="180" spans="1:245">
      <c r="A180">
        <v>17</v>
      </c>
      <c r="B180">
        <v>1</v>
      </c>
      <c r="C180">
        <f>ROW(SmtRes!A95)</f>
        <v>95</v>
      </c>
      <c r="D180">
        <f>ROW(EtalonRes!A83)</f>
        <v>83</v>
      </c>
      <c r="E180" t="s">
        <v>200</v>
      </c>
      <c r="F180" t="s">
        <v>201</v>
      </c>
      <c r="G180" t="s">
        <v>202</v>
      </c>
      <c r="H180" t="s">
        <v>139</v>
      </c>
      <c r="I180">
        <f>ROUND(20/10,9)</f>
        <v>2</v>
      </c>
      <c r="J180">
        <v>0</v>
      </c>
      <c r="O180">
        <f t="shared" si="163"/>
        <v>11275.12</v>
      </c>
      <c r="P180">
        <f t="shared" si="164"/>
        <v>1631.84</v>
      </c>
      <c r="Q180">
        <f t="shared" si="165"/>
        <v>2667.18</v>
      </c>
      <c r="R180">
        <f t="shared" si="166"/>
        <v>605.29999999999995</v>
      </c>
      <c r="S180">
        <f t="shared" si="167"/>
        <v>6976.1</v>
      </c>
      <c r="T180">
        <f t="shared" si="168"/>
        <v>0</v>
      </c>
      <c r="U180">
        <f t="shared" si="169"/>
        <v>28.84</v>
      </c>
      <c r="V180">
        <f t="shared" si="170"/>
        <v>0</v>
      </c>
      <c r="W180">
        <f t="shared" si="171"/>
        <v>0</v>
      </c>
      <c r="X180">
        <f t="shared" si="172"/>
        <v>4883.2700000000004</v>
      </c>
      <c r="Y180">
        <f t="shared" si="173"/>
        <v>697.61</v>
      </c>
      <c r="AA180">
        <v>41858681</v>
      </c>
      <c r="AB180">
        <f t="shared" si="174"/>
        <v>5637.56</v>
      </c>
      <c r="AC180">
        <f t="shared" si="175"/>
        <v>815.92</v>
      </c>
      <c r="AD180">
        <f t="shared" si="176"/>
        <v>1333.59</v>
      </c>
      <c r="AE180">
        <f t="shared" si="177"/>
        <v>302.64999999999998</v>
      </c>
      <c r="AF180">
        <f t="shared" si="178"/>
        <v>3488.05</v>
      </c>
      <c r="AG180">
        <f t="shared" si="179"/>
        <v>0</v>
      </c>
      <c r="AH180">
        <f t="shared" si="180"/>
        <v>14.42</v>
      </c>
      <c r="AI180">
        <f t="shared" si="181"/>
        <v>0</v>
      </c>
      <c r="AJ180">
        <f t="shared" si="182"/>
        <v>0</v>
      </c>
      <c r="AK180">
        <v>5637.56</v>
      </c>
      <c r="AL180">
        <v>815.92</v>
      </c>
      <c r="AM180">
        <v>1333.59</v>
      </c>
      <c r="AN180">
        <v>302.64999999999998</v>
      </c>
      <c r="AO180">
        <v>3488.05</v>
      </c>
      <c r="AP180">
        <v>0</v>
      </c>
      <c r="AQ180">
        <v>14.42</v>
      </c>
      <c r="AR180">
        <v>0</v>
      </c>
      <c r="AS180">
        <v>0</v>
      </c>
      <c r="AT180">
        <v>70</v>
      </c>
      <c r="AU180">
        <v>10</v>
      </c>
      <c r="AV180">
        <v>1</v>
      </c>
      <c r="AW180">
        <v>1</v>
      </c>
      <c r="AZ180">
        <v>1</v>
      </c>
      <c r="BA180">
        <v>1</v>
      </c>
      <c r="BB180">
        <v>1</v>
      </c>
      <c r="BC180">
        <v>1</v>
      </c>
      <c r="BD180" t="s">
        <v>3</v>
      </c>
      <c r="BE180" t="s">
        <v>3</v>
      </c>
      <c r="BF180" t="s">
        <v>3</v>
      </c>
      <c r="BG180" t="s">
        <v>3</v>
      </c>
      <c r="BH180">
        <v>0</v>
      </c>
      <c r="BI180">
        <v>4</v>
      </c>
      <c r="BJ180" t="s">
        <v>203</v>
      </c>
      <c r="BM180">
        <v>0</v>
      </c>
      <c r="BN180">
        <v>0</v>
      </c>
      <c r="BO180" t="s">
        <v>3</v>
      </c>
      <c r="BP180">
        <v>0</v>
      </c>
      <c r="BQ180">
        <v>1</v>
      </c>
      <c r="BR180">
        <v>0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 t="s">
        <v>3</v>
      </c>
      <c r="BZ180">
        <v>70</v>
      </c>
      <c r="CA180">
        <v>10</v>
      </c>
      <c r="CE180">
        <v>0</v>
      </c>
      <c r="CF180">
        <v>0</v>
      </c>
      <c r="CG180">
        <v>0</v>
      </c>
      <c r="CM180">
        <v>0</v>
      </c>
      <c r="CN180" t="s">
        <v>3</v>
      </c>
      <c r="CO180">
        <v>0</v>
      </c>
      <c r="CP180">
        <f t="shared" si="183"/>
        <v>11275.119999999999</v>
      </c>
      <c r="CQ180">
        <f t="shared" si="184"/>
        <v>815.92</v>
      </c>
      <c r="CR180">
        <f t="shared" si="185"/>
        <v>1333.5900000000001</v>
      </c>
      <c r="CS180">
        <f t="shared" si="186"/>
        <v>302.64999999999998</v>
      </c>
      <c r="CT180">
        <f t="shared" si="187"/>
        <v>3488.05</v>
      </c>
      <c r="CU180">
        <f t="shared" si="188"/>
        <v>0</v>
      </c>
      <c r="CV180">
        <f t="shared" si="189"/>
        <v>14.42</v>
      </c>
      <c r="CW180">
        <f t="shared" si="190"/>
        <v>0</v>
      </c>
      <c r="CX180">
        <f t="shared" si="191"/>
        <v>0</v>
      </c>
      <c r="CY180">
        <f t="shared" si="192"/>
        <v>4883.2700000000004</v>
      </c>
      <c r="CZ180">
        <f t="shared" si="193"/>
        <v>697.61</v>
      </c>
      <c r="DC180" t="s">
        <v>3</v>
      </c>
      <c r="DD180" t="s">
        <v>3</v>
      </c>
      <c r="DE180" t="s">
        <v>3</v>
      </c>
      <c r="DF180" t="s">
        <v>3</v>
      </c>
      <c r="DG180" t="s">
        <v>3</v>
      </c>
      <c r="DH180" t="s">
        <v>3</v>
      </c>
      <c r="DI180" t="s">
        <v>3</v>
      </c>
      <c r="DJ180" t="s">
        <v>3</v>
      </c>
      <c r="DK180" t="s">
        <v>3</v>
      </c>
      <c r="DL180" t="s">
        <v>3</v>
      </c>
      <c r="DM180" t="s">
        <v>3</v>
      </c>
      <c r="DN180">
        <v>0</v>
      </c>
      <c r="DO180">
        <v>0</v>
      </c>
      <c r="DP180">
        <v>1</v>
      </c>
      <c r="DQ180">
        <v>1</v>
      </c>
      <c r="DU180">
        <v>1010</v>
      </c>
      <c r="DV180" t="s">
        <v>139</v>
      </c>
      <c r="DW180" t="s">
        <v>139</v>
      </c>
      <c r="DX180">
        <v>10</v>
      </c>
      <c r="EE180">
        <v>40050625</v>
      </c>
      <c r="EF180">
        <v>1</v>
      </c>
      <c r="EG180" t="s">
        <v>19</v>
      </c>
      <c r="EH180">
        <v>0</v>
      </c>
      <c r="EI180" t="s">
        <v>3</v>
      </c>
      <c r="EJ180">
        <v>4</v>
      </c>
      <c r="EK180">
        <v>0</v>
      </c>
      <c r="EL180" t="s">
        <v>20</v>
      </c>
      <c r="EM180" t="s">
        <v>21</v>
      </c>
      <c r="EO180" t="s">
        <v>3</v>
      </c>
      <c r="EQ180">
        <v>0</v>
      </c>
      <c r="ER180">
        <v>5637.56</v>
      </c>
      <c r="ES180">
        <v>815.92</v>
      </c>
      <c r="ET180">
        <v>1333.59</v>
      </c>
      <c r="EU180">
        <v>302.64999999999998</v>
      </c>
      <c r="EV180">
        <v>3488.05</v>
      </c>
      <c r="EW180">
        <v>14.42</v>
      </c>
      <c r="EX180">
        <v>0</v>
      </c>
      <c r="EY180">
        <v>0</v>
      </c>
      <c r="FQ180">
        <v>0</v>
      </c>
      <c r="FR180">
        <f t="shared" si="194"/>
        <v>0</v>
      </c>
      <c r="FS180">
        <v>0</v>
      </c>
      <c r="FX180">
        <v>70</v>
      </c>
      <c r="FY180">
        <v>10</v>
      </c>
      <c r="GA180" t="s">
        <v>3</v>
      </c>
      <c r="GD180">
        <v>0</v>
      </c>
      <c r="GF180">
        <v>1531671440</v>
      </c>
      <c r="GG180">
        <v>2</v>
      </c>
      <c r="GH180">
        <v>1</v>
      </c>
      <c r="GI180">
        <v>-2</v>
      </c>
      <c r="GJ180">
        <v>0</v>
      </c>
      <c r="GK180">
        <f>ROUND(R180*(R12)/100,2)</f>
        <v>653.72</v>
      </c>
      <c r="GL180">
        <f t="shared" si="195"/>
        <v>0</v>
      </c>
      <c r="GM180">
        <f t="shared" si="196"/>
        <v>17509.72</v>
      </c>
      <c r="GN180">
        <f t="shared" si="197"/>
        <v>0</v>
      </c>
      <c r="GO180">
        <f t="shared" si="198"/>
        <v>0</v>
      </c>
      <c r="GP180">
        <f t="shared" si="199"/>
        <v>17509.72</v>
      </c>
      <c r="GR180">
        <v>0</v>
      </c>
      <c r="GS180">
        <v>0</v>
      </c>
      <c r="GT180">
        <v>0</v>
      </c>
      <c r="GU180" t="s">
        <v>3</v>
      </c>
      <c r="GV180">
        <f t="shared" si="200"/>
        <v>0</v>
      </c>
      <c r="GW180">
        <v>1</v>
      </c>
      <c r="GX180">
        <f t="shared" si="201"/>
        <v>0</v>
      </c>
      <c r="HA180">
        <v>0</v>
      </c>
      <c r="HB180">
        <v>0</v>
      </c>
      <c r="HC180">
        <f t="shared" si="202"/>
        <v>0</v>
      </c>
      <c r="IK180">
        <v>0</v>
      </c>
    </row>
    <row r="181" spans="1:245">
      <c r="A181">
        <v>18</v>
      </c>
      <c r="B181">
        <v>1</v>
      </c>
      <c r="C181">
        <v>94</v>
      </c>
      <c r="E181" t="s">
        <v>204</v>
      </c>
      <c r="F181" t="s">
        <v>187</v>
      </c>
      <c r="G181" t="s">
        <v>205</v>
      </c>
      <c r="H181" t="s">
        <v>50</v>
      </c>
      <c r="I181">
        <f>I180*J181</f>
        <v>10</v>
      </c>
      <c r="J181">
        <v>5</v>
      </c>
      <c r="O181">
        <f t="shared" si="163"/>
        <v>42500</v>
      </c>
      <c r="P181">
        <f t="shared" si="164"/>
        <v>42500</v>
      </c>
      <c r="Q181">
        <f t="shared" si="165"/>
        <v>0</v>
      </c>
      <c r="R181">
        <f t="shared" si="166"/>
        <v>0</v>
      </c>
      <c r="S181">
        <f t="shared" si="167"/>
        <v>0</v>
      </c>
      <c r="T181">
        <f t="shared" si="168"/>
        <v>0</v>
      </c>
      <c r="U181">
        <f t="shared" si="169"/>
        <v>0</v>
      </c>
      <c r="V181">
        <f t="shared" si="170"/>
        <v>0</v>
      </c>
      <c r="W181">
        <f t="shared" si="171"/>
        <v>0</v>
      </c>
      <c r="X181">
        <f t="shared" si="172"/>
        <v>0</v>
      </c>
      <c r="Y181">
        <f t="shared" si="173"/>
        <v>0</v>
      </c>
      <c r="AA181">
        <v>41858681</v>
      </c>
      <c r="AB181">
        <f t="shared" si="174"/>
        <v>4250</v>
      </c>
      <c r="AC181">
        <f t="shared" si="175"/>
        <v>4250</v>
      </c>
      <c r="AD181">
        <f t="shared" si="176"/>
        <v>0</v>
      </c>
      <c r="AE181">
        <f t="shared" si="177"/>
        <v>0</v>
      </c>
      <c r="AF181">
        <f t="shared" si="178"/>
        <v>0</v>
      </c>
      <c r="AG181">
        <f t="shared" si="179"/>
        <v>0</v>
      </c>
      <c r="AH181">
        <f t="shared" si="180"/>
        <v>0</v>
      </c>
      <c r="AI181">
        <f t="shared" si="181"/>
        <v>0</v>
      </c>
      <c r="AJ181">
        <f t="shared" si="182"/>
        <v>0</v>
      </c>
      <c r="AK181">
        <v>4250</v>
      </c>
      <c r="AL181">
        <v>4250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70</v>
      </c>
      <c r="AU181">
        <v>10</v>
      </c>
      <c r="AV181">
        <v>1</v>
      </c>
      <c r="AW181">
        <v>1</v>
      </c>
      <c r="AZ181">
        <v>1</v>
      </c>
      <c r="BA181">
        <v>1</v>
      </c>
      <c r="BB181">
        <v>1</v>
      </c>
      <c r="BC181">
        <v>1</v>
      </c>
      <c r="BD181" t="s">
        <v>3</v>
      </c>
      <c r="BE181" t="s">
        <v>3</v>
      </c>
      <c r="BF181" t="s">
        <v>3</v>
      </c>
      <c r="BG181" t="s">
        <v>3</v>
      </c>
      <c r="BH181">
        <v>3</v>
      </c>
      <c r="BI181">
        <v>4</v>
      </c>
      <c r="BJ181" t="s">
        <v>3</v>
      </c>
      <c r="BM181">
        <v>0</v>
      </c>
      <c r="BN181">
        <v>0</v>
      </c>
      <c r="BO181" t="s">
        <v>3</v>
      </c>
      <c r="BP181">
        <v>0</v>
      </c>
      <c r="BQ181">
        <v>1</v>
      </c>
      <c r="BR181">
        <v>0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 t="s">
        <v>3</v>
      </c>
      <c r="BZ181">
        <v>70</v>
      </c>
      <c r="CA181">
        <v>10</v>
      </c>
      <c r="CE181">
        <v>0</v>
      </c>
      <c r="CF181">
        <v>0</v>
      </c>
      <c r="CG181">
        <v>0</v>
      </c>
      <c r="CM181">
        <v>0</v>
      </c>
      <c r="CN181" t="s">
        <v>3</v>
      </c>
      <c r="CO181">
        <v>0</v>
      </c>
      <c r="CP181">
        <f t="shared" si="183"/>
        <v>42500</v>
      </c>
      <c r="CQ181">
        <f t="shared" si="184"/>
        <v>4250</v>
      </c>
      <c r="CR181">
        <f t="shared" si="185"/>
        <v>0</v>
      </c>
      <c r="CS181">
        <f t="shared" si="186"/>
        <v>0</v>
      </c>
      <c r="CT181">
        <f t="shared" si="187"/>
        <v>0</v>
      </c>
      <c r="CU181">
        <f t="shared" si="188"/>
        <v>0</v>
      </c>
      <c r="CV181">
        <f t="shared" si="189"/>
        <v>0</v>
      </c>
      <c r="CW181">
        <f t="shared" si="190"/>
        <v>0</v>
      </c>
      <c r="CX181">
        <f t="shared" si="191"/>
        <v>0</v>
      </c>
      <c r="CY181">
        <f t="shared" si="192"/>
        <v>0</v>
      </c>
      <c r="CZ181">
        <f t="shared" si="193"/>
        <v>0</v>
      </c>
      <c r="DC181" t="s">
        <v>3</v>
      </c>
      <c r="DD181" t="s">
        <v>3</v>
      </c>
      <c r="DE181" t="s">
        <v>3</v>
      </c>
      <c r="DF181" t="s">
        <v>3</v>
      </c>
      <c r="DG181" t="s">
        <v>3</v>
      </c>
      <c r="DH181" t="s">
        <v>3</v>
      </c>
      <c r="DI181" t="s">
        <v>3</v>
      </c>
      <c r="DJ181" t="s">
        <v>3</v>
      </c>
      <c r="DK181" t="s">
        <v>3</v>
      </c>
      <c r="DL181" t="s">
        <v>3</v>
      </c>
      <c r="DM181" t="s">
        <v>3</v>
      </c>
      <c r="DN181">
        <v>0</v>
      </c>
      <c r="DO181">
        <v>0</v>
      </c>
      <c r="DP181">
        <v>1</v>
      </c>
      <c r="DQ181">
        <v>1</v>
      </c>
      <c r="DU181">
        <v>1010</v>
      </c>
      <c r="DV181" t="s">
        <v>50</v>
      </c>
      <c r="DW181" t="s">
        <v>50</v>
      </c>
      <c r="DX181">
        <v>1</v>
      </c>
      <c r="EE181">
        <v>40050625</v>
      </c>
      <c r="EF181">
        <v>1</v>
      </c>
      <c r="EG181" t="s">
        <v>19</v>
      </c>
      <c r="EH181">
        <v>0</v>
      </c>
      <c r="EI181" t="s">
        <v>3</v>
      </c>
      <c r="EJ181">
        <v>4</v>
      </c>
      <c r="EK181">
        <v>0</v>
      </c>
      <c r="EL181" t="s">
        <v>20</v>
      </c>
      <c r="EM181" t="s">
        <v>21</v>
      </c>
      <c r="EO181" t="s">
        <v>3</v>
      </c>
      <c r="EQ181">
        <v>0</v>
      </c>
      <c r="ER181">
        <v>4250</v>
      </c>
      <c r="ES181">
        <v>4250</v>
      </c>
      <c r="ET181">
        <v>0</v>
      </c>
      <c r="EU181">
        <v>0</v>
      </c>
      <c r="EV181">
        <v>0</v>
      </c>
      <c r="EW181">
        <v>0</v>
      </c>
      <c r="EX181">
        <v>0</v>
      </c>
      <c r="FQ181">
        <v>0</v>
      </c>
      <c r="FR181">
        <f t="shared" si="194"/>
        <v>0</v>
      </c>
      <c r="FS181">
        <v>0</v>
      </c>
      <c r="FX181">
        <v>70</v>
      </c>
      <c r="FY181">
        <v>10</v>
      </c>
      <c r="GA181" t="s">
        <v>3</v>
      </c>
      <c r="GD181">
        <v>0</v>
      </c>
      <c r="GF181">
        <v>-1872626533</v>
      </c>
      <c r="GG181">
        <v>2</v>
      </c>
      <c r="GH181">
        <v>0</v>
      </c>
      <c r="GI181">
        <v>-2</v>
      </c>
      <c r="GJ181">
        <v>0</v>
      </c>
      <c r="GK181">
        <f>ROUND(R181*(R12)/100,2)</f>
        <v>0</v>
      </c>
      <c r="GL181">
        <f t="shared" si="195"/>
        <v>0</v>
      </c>
      <c r="GM181">
        <f t="shared" si="196"/>
        <v>42500</v>
      </c>
      <c r="GN181">
        <f t="shared" si="197"/>
        <v>0</v>
      </c>
      <c r="GO181">
        <f t="shared" si="198"/>
        <v>0</v>
      </c>
      <c r="GP181">
        <f t="shared" si="199"/>
        <v>42500</v>
      </c>
      <c r="GR181">
        <v>0</v>
      </c>
      <c r="GS181">
        <v>0</v>
      </c>
      <c r="GT181">
        <v>0</v>
      </c>
      <c r="GU181" t="s">
        <v>3</v>
      </c>
      <c r="GV181">
        <f t="shared" si="200"/>
        <v>0</v>
      </c>
      <c r="GW181">
        <v>1</v>
      </c>
      <c r="GX181">
        <f t="shared" si="201"/>
        <v>0</v>
      </c>
      <c r="HA181">
        <v>0</v>
      </c>
      <c r="HB181">
        <v>0</v>
      </c>
      <c r="HC181">
        <f t="shared" si="202"/>
        <v>0</v>
      </c>
      <c r="IK181">
        <v>0</v>
      </c>
    </row>
    <row r="182" spans="1:245">
      <c r="A182">
        <v>18</v>
      </c>
      <c r="B182">
        <v>1</v>
      </c>
      <c r="C182">
        <v>93</v>
      </c>
      <c r="E182" t="s">
        <v>206</v>
      </c>
      <c r="F182" t="s">
        <v>187</v>
      </c>
      <c r="G182" t="s">
        <v>207</v>
      </c>
      <c r="H182" t="s">
        <v>50</v>
      </c>
      <c r="I182">
        <f>I180*J182</f>
        <v>3</v>
      </c>
      <c r="J182">
        <v>1.5</v>
      </c>
      <c r="O182">
        <f t="shared" si="163"/>
        <v>6750</v>
      </c>
      <c r="P182">
        <f t="shared" si="164"/>
        <v>6750</v>
      </c>
      <c r="Q182">
        <f t="shared" si="165"/>
        <v>0</v>
      </c>
      <c r="R182">
        <f t="shared" si="166"/>
        <v>0</v>
      </c>
      <c r="S182">
        <f t="shared" si="167"/>
        <v>0</v>
      </c>
      <c r="T182">
        <f t="shared" si="168"/>
        <v>0</v>
      </c>
      <c r="U182">
        <f t="shared" si="169"/>
        <v>0</v>
      </c>
      <c r="V182">
        <f t="shared" si="170"/>
        <v>0</v>
      </c>
      <c r="W182">
        <f t="shared" si="171"/>
        <v>0</v>
      </c>
      <c r="X182">
        <f t="shared" si="172"/>
        <v>0</v>
      </c>
      <c r="Y182">
        <f t="shared" si="173"/>
        <v>0</v>
      </c>
      <c r="AA182">
        <v>41858681</v>
      </c>
      <c r="AB182">
        <f t="shared" si="174"/>
        <v>2250</v>
      </c>
      <c r="AC182">
        <f t="shared" si="175"/>
        <v>2250</v>
      </c>
      <c r="AD182">
        <f t="shared" si="176"/>
        <v>0</v>
      </c>
      <c r="AE182">
        <f t="shared" si="177"/>
        <v>0</v>
      </c>
      <c r="AF182">
        <f t="shared" si="178"/>
        <v>0</v>
      </c>
      <c r="AG182">
        <f t="shared" si="179"/>
        <v>0</v>
      </c>
      <c r="AH182">
        <f t="shared" si="180"/>
        <v>0</v>
      </c>
      <c r="AI182">
        <f t="shared" si="181"/>
        <v>0</v>
      </c>
      <c r="AJ182">
        <f t="shared" si="182"/>
        <v>0</v>
      </c>
      <c r="AK182">
        <v>2250</v>
      </c>
      <c r="AL182">
        <v>2250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70</v>
      </c>
      <c r="AU182">
        <v>10</v>
      </c>
      <c r="AV182">
        <v>1</v>
      </c>
      <c r="AW182">
        <v>1</v>
      </c>
      <c r="AZ182">
        <v>1</v>
      </c>
      <c r="BA182">
        <v>1</v>
      </c>
      <c r="BB182">
        <v>1</v>
      </c>
      <c r="BC182">
        <v>1</v>
      </c>
      <c r="BD182" t="s">
        <v>3</v>
      </c>
      <c r="BE182" t="s">
        <v>3</v>
      </c>
      <c r="BF182" t="s">
        <v>3</v>
      </c>
      <c r="BG182" t="s">
        <v>3</v>
      </c>
      <c r="BH182">
        <v>3</v>
      </c>
      <c r="BI182">
        <v>4</v>
      </c>
      <c r="BJ182" t="s">
        <v>3</v>
      </c>
      <c r="BM182">
        <v>0</v>
      </c>
      <c r="BN182">
        <v>0</v>
      </c>
      <c r="BO182" t="s">
        <v>3</v>
      </c>
      <c r="BP182">
        <v>0</v>
      </c>
      <c r="BQ182">
        <v>1</v>
      </c>
      <c r="BR182">
        <v>0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 t="s">
        <v>3</v>
      </c>
      <c r="BZ182">
        <v>70</v>
      </c>
      <c r="CA182">
        <v>10</v>
      </c>
      <c r="CE182">
        <v>0</v>
      </c>
      <c r="CF182">
        <v>0</v>
      </c>
      <c r="CG182">
        <v>0</v>
      </c>
      <c r="CM182">
        <v>0</v>
      </c>
      <c r="CN182" t="s">
        <v>3</v>
      </c>
      <c r="CO182">
        <v>0</v>
      </c>
      <c r="CP182">
        <f t="shared" si="183"/>
        <v>6750</v>
      </c>
      <c r="CQ182">
        <f t="shared" si="184"/>
        <v>2250</v>
      </c>
      <c r="CR182">
        <f t="shared" si="185"/>
        <v>0</v>
      </c>
      <c r="CS182">
        <f t="shared" si="186"/>
        <v>0</v>
      </c>
      <c r="CT182">
        <f t="shared" si="187"/>
        <v>0</v>
      </c>
      <c r="CU182">
        <f t="shared" si="188"/>
        <v>0</v>
      </c>
      <c r="CV182">
        <f t="shared" si="189"/>
        <v>0</v>
      </c>
      <c r="CW182">
        <f t="shared" si="190"/>
        <v>0</v>
      </c>
      <c r="CX182">
        <f t="shared" si="191"/>
        <v>0</v>
      </c>
      <c r="CY182">
        <f t="shared" si="192"/>
        <v>0</v>
      </c>
      <c r="CZ182">
        <f t="shared" si="193"/>
        <v>0</v>
      </c>
      <c r="DC182" t="s">
        <v>3</v>
      </c>
      <c r="DD182" t="s">
        <v>3</v>
      </c>
      <c r="DE182" t="s">
        <v>3</v>
      </c>
      <c r="DF182" t="s">
        <v>3</v>
      </c>
      <c r="DG182" t="s">
        <v>3</v>
      </c>
      <c r="DH182" t="s">
        <v>3</v>
      </c>
      <c r="DI182" t="s">
        <v>3</v>
      </c>
      <c r="DJ182" t="s">
        <v>3</v>
      </c>
      <c r="DK182" t="s">
        <v>3</v>
      </c>
      <c r="DL182" t="s">
        <v>3</v>
      </c>
      <c r="DM182" t="s">
        <v>3</v>
      </c>
      <c r="DN182">
        <v>0</v>
      </c>
      <c r="DO182">
        <v>0</v>
      </c>
      <c r="DP182">
        <v>1</v>
      </c>
      <c r="DQ182">
        <v>1</v>
      </c>
      <c r="DU182">
        <v>1010</v>
      </c>
      <c r="DV182" t="s">
        <v>50</v>
      </c>
      <c r="DW182" t="s">
        <v>50</v>
      </c>
      <c r="DX182">
        <v>1</v>
      </c>
      <c r="EE182">
        <v>40050625</v>
      </c>
      <c r="EF182">
        <v>1</v>
      </c>
      <c r="EG182" t="s">
        <v>19</v>
      </c>
      <c r="EH182">
        <v>0</v>
      </c>
      <c r="EI182" t="s">
        <v>3</v>
      </c>
      <c r="EJ182">
        <v>4</v>
      </c>
      <c r="EK182">
        <v>0</v>
      </c>
      <c r="EL182" t="s">
        <v>20</v>
      </c>
      <c r="EM182" t="s">
        <v>21</v>
      </c>
      <c r="EO182" t="s">
        <v>3</v>
      </c>
      <c r="EQ182">
        <v>0</v>
      </c>
      <c r="ER182">
        <v>2250</v>
      </c>
      <c r="ES182">
        <v>2250</v>
      </c>
      <c r="ET182">
        <v>0</v>
      </c>
      <c r="EU182">
        <v>0</v>
      </c>
      <c r="EV182">
        <v>0</v>
      </c>
      <c r="EW182">
        <v>0</v>
      </c>
      <c r="EX182">
        <v>0</v>
      </c>
      <c r="FQ182">
        <v>0</v>
      </c>
      <c r="FR182">
        <f t="shared" si="194"/>
        <v>0</v>
      </c>
      <c r="FS182">
        <v>0</v>
      </c>
      <c r="FX182">
        <v>70</v>
      </c>
      <c r="FY182">
        <v>10</v>
      </c>
      <c r="GA182" t="s">
        <v>3</v>
      </c>
      <c r="GD182">
        <v>0</v>
      </c>
      <c r="GF182">
        <v>1783154136</v>
      </c>
      <c r="GG182">
        <v>2</v>
      </c>
      <c r="GH182">
        <v>0</v>
      </c>
      <c r="GI182">
        <v>-2</v>
      </c>
      <c r="GJ182">
        <v>0</v>
      </c>
      <c r="GK182">
        <f>ROUND(R182*(R12)/100,2)</f>
        <v>0</v>
      </c>
      <c r="GL182">
        <f t="shared" si="195"/>
        <v>0</v>
      </c>
      <c r="GM182">
        <f t="shared" si="196"/>
        <v>6750</v>
      </c>
      <c r="GN182">
        <f t="shared" si="197"/>
        <v>0</v>
      </c>
      <c r="GO182">
        <f t="shared" si="198"/>
        <v>0</v>
      </c>
      <c r="GP182">
        <f t="shared" si="199"/>
        <v>6750</v>
      </c>
      <c r="GR182">
        <v>0</v>
      </c>
      <c r="GS182">
        <v>0</v>
      </c>
      <c r="GT182">
        <v>0</v>
      </c>
      <c r="GU182" t="s">
        <v>3</v>
      </c>
      <c r="GV182">
        <f t="shared" si="200"/>
        <v>0</v>
      </c>
      <c r="GW182">
        <v>1</v>
      </c>
      <c r="GX182">
        <f t="shared" si="201"/>
        <v>0</v>
      </c>
      <c r="HA182">
        <v>0</v>
      </c>
      <c r="HB182">
        <v>0</v>
      </c>
      <c r="HC182">
        <f t="shared" si="202"/>
        <v>0</v>
      </c>
      <c r="IK182">
        <v>0</v>
      </c>
    </row>
    <row r="183" spans="1:245">
      <c r="A183">
        <v>18</v>
      </c>
      <c r="B183">
        <v>1</v>
      </c>
      <c r="C183">
        <v>92</v>
      </c>
      <c r="E183" t="s">
        <v>208</v>
      </c>
      <c r="F183" t="s">
        <v>187</v>
      </c>
      <c r="G183" t="s">
        <v>209</v>
      </c>
      <c r="H183" t="s">
        <v>50</v>
      </c>
      <c r="I183">
        <f>I180*J183</f>
        <v>4</v>
      </c>
      <c r="J183">
        <v>2</v>
      </c>
      <c r="O183">
        <f t="shared" si="163"/>
        <v>9833.32</v>
      </c>
      <c r="P183">
        <f t="shared" si="164"/>
        <v>9833.32</v>
      </c>
      <c r="Q183">
        <f t="shared" si="165"/>
        <v>0</v>
      </c>
      <c r="R183">
        <f t="shared" si="166"/>
        <v>0</v>
      </c>
      <c r="S183">
        <f t="shared" si="167"/>
        <v>0</v>
      </c>
      <c r="T183">
        <f t="shared" si="168"/>
        <v>0</v>
      </c>
      <c r="U183">
        <f t="shared" si="169"/>
        <v>0</v>
      </c>
      <c r="V183">
        <f t="shared" si="170"/>
        <v>0</v>
      </c>
      <c r="W183">
        <f t="shared" si="171"/>
        <v>0</v>
      </c>
      <c r="X183">
        <f t="shared" si="172"/>
        <v>0</v>
      </c>
      <c r="Y183">
        <f t="shared" si="173"/>
        <v>0</v>
      </c>
      <c r="AA183">
        <v>41858681</v>
      </c>
      <c r="AB183">
        <f t="shared" si="174"/>
        <v>2458.33</v>
      </c>
      <c r="AC183">
        <f t="shared" si="175"/>
        <v>2458.33</v>
      </c>
      <c r="AD183">
        <f t="shared" si="176"/>
        <v>0</v>
      </c>
      <c r="AE183">
        <f t="shared" si="177"/>
        <v>0</v>
      </c>
      <c r="AF183">
        <f t="shared" si="178"/>
        <v>0</v>
      </c>
      <c r="AG183">
        <f t="shared" si="179"/>
        <v>0</v>
      </c>
      <c r="AH183">
        <f t="shared" si="180"/>
        <v>0</v>
      </c>
      <c r="AI183">
        <f t="shared" si="181"/>
        <v>0</v>
      </c>
      <c r="AJ183">
        <f t="shared" si="182"/>
        <v>0</v>
      </c>
      <c r="AK183">
        <v>2458.33</v>
      </c>
      <c r="AL183">
        <v>2458.33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70</v>
      </c>
      <c r="AU183">
        <v>10</v>
      </c>
      <c r="AV183">
        <v>1</v>
      </c>
      <c r="AW183">
        <v>1</v>
      </c>
      <c r="AZ183">
        <v>1</v>
      </c>
      <c r="BA183">
        <v>1</v>
      </c>
      <c r="BB183">
        <v>1</v>
      </c>
      <c r="BC183">
        <v>1</v>
      </c>
      <c r="BD183" t="s">
        <v>3</v>
      </c>
      <c r="BE183" t="s">
        <v>3</v>
      </c>
      <c r="BF183" t="s">
        <v>3</v>
      </c>
      <c r="BG183" t="s">
        <v>3</v>
      </c>
      <c r="BH183">
        <v>3</v>
      </c>
      <c r="BI183">
        <v>4</v>
      </c>
      <c r="BJ183" t="s">
        <v>3</v>
      </c>
      <c r="BM183">
        <v>0</v>
      </c>
      <c r="BN183">
        <v>0</v>
      </c>
      <c r="BO183" t="s">
        <v>3</v>
      </c>
      <c r="BP183">
        <v>0</v>
      </c>
      <c r="BQ183">
        <v>1</v>
      </c>
      <c r="BR183">
        <v>0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 t="s">
        <v>3</v>
      </c>
      <c r="BZ183">
        <v>70</v>
      </c>
      <c r="CA183">
        <v>10</v>
      </c>
      <c r="CE183">
        <v>0</v>
      </c>
      <c r="CF183">
        <v>0</v>
      </c>
      <c r="CG183">
        <v>0</v>
      </c>
      <c r="CM183">
        <v>0</v>
      </c>
      <c r="CN183" t="s">
        <v>3</v>
      </c>
      <c r="CO183">
        <v>0</v>
      </c>
      <c r="CP183">
        <f t="shared" si="183"/>
        <v>9833.32</v>
      </c>
      <c r="CQ183">
        <f t="shared" si="184"/>
        <v>2458.33</v>
      </c>
      <c r="CR183">
        <f t="shared" si="185"/>
        <v>0</v>
      </c>
      <c r="CS183">
        <f t="shared" si="186"/>
        <v>0</v>
      </c>
      <c r="CT183">
        <f t="shared" si="187"/>
        <v>0</v>
      </c>
      <c r="CU183">
        <f t="shared" si="188"/>
        <v>0</v>
      </c>
      <c r="CV183">
        <f t="shared" si="189"/>
        <v>0</v>
      </c>
      <c r="CW183">
        <f t="shared" si="190"/>
        <v>0</v>
      </c>
      <c r="CX183">
        <f t="shared" si="191"/>
        <v>0</v>
      </c>
      <c r="CY183">
        <f t="shared" si="192"/>
        <v>0</v>
      </c>
      <c r="CZ183">
        <f t="shared" si="193"/>
        <v>0</v>
      </c>
      <c r="DC183" t="s">
        <v>3</v>
      </c>
      <c r="DD183" t="s">
        <v>3</v>
      </c>
      <c r="DE183" t="s">
        <v>3</v>
      </c>
      <c r="DF183" t="s">
        <v>3</v>
      </c>
      <c r="DG183" t="s">
        <v>3</v>
      </c>
      <c r="DH183" t="s">
        <v>3</v>
      </c>
      <c r="DI183" t="s">
        <v>3</v>
      </c>
      <c r="DJ183" t="s">
        <v>3</v>
      </c>
      <c r="DK183" t="s">
        <v>3</v>
      </c>
      <c r="DL183" t="s">
        <v>3</v>
      </c>
      <c r="DM183" t="s">
        <v>3</v>
      </c>
      <c r="DN183">
        <v>0</v>
      </c>
      <c r="DO183">
        <v>0</v>
      </c>
      <c r="DP183">
        <v>1</v>
      </c>
      <c r="DQ183">
        <v>1</v>
      </c>
      <c r="DU183">
        <v>1010</v>
      </c>
      <c r="DV183" t="s">
        <v>50</v>
      </c>
      <c r="DW183" t="s">
        <v>50</v>
      </c>
      <c r="DX183">
        <v>1</v>
      </c>
      <c r="EE183">
        <v>40050625</v>
      </c>
      <c r="EF183">
        <v>1</v>
      </c>
      <c r="EG183" t="s">
        <v>19</v>
      </c>
      <c r="EH183">
        <v>0</v>
      </c>
      <c r="EI183" t="s">
        <v>3</v>
      </c>
      <c r="EJ183">
        <v>4</v>
      </c>
      <c r="EK183">
        <v>0</v>
      </c>
      <c r="EL183" t="s">
        <v>20</v>
      </c>
      <c r="EM183" t="s">
        <v>21</v>
      </c>
      <c r="EO183" t="s">
        <v>3</v>
      </c>
      <c r="EQ183">
        <v>0</v>
      </c>
      <c r="ER183">
        <v>2458.33</v>
      </c>
      <c r="ES183">
        <v>2458.33</v>
      </c>
      <c r="ET183">
        <v>0</v>
      </c>
      <c r="EU183">
        <v>0</v>
      </c>
      <c r="EV183">
        <v>0</v>
      </c>
      <c r="EW183">
        <v>0</v>
      </c>
      <c r="EX183">
        <v>0</v>
      </c>
      <c r="FQ183">
        <v>0</v>
      </c>
      <c r="FR183">
        <f t="shared" si="194"/>
        <v>0</v>
      </c>
      <c r="FS183">
        <v>0</v>
      </c>
      <c r="FX183">
        <v>70</v>
      </c>
      <c r="FY183">
        <v>10</v>
      </c>
      <c r="GA183" t="s">
        <v>3</v>
      </c>
      <c r="GD183">
        <v>0</v>
      </c>
      <c r="GF183">
        <v>1812474931</v>
      </c>
      <c r="GG183">
        <v>2</v>
      </c>
      <c r="GH183">
        <v>0</v>
      </c>
      <c r="GI183">
        <v>-2</v>
      </c>
      <c r="GJ183">
        <v>0</v>
      </c>
      <c r="GK183">
        <f>ROUND(R183*(R12)/100,2)</f>
        <v>0</v>
      </c>
      <c r="GL183">
        <f t="shared" si="195"/>
        <v>0</v>
      </c>
      <c r="GM183">
        <f t="shared" si="196"/>
        <v>9833.32</v>
      </c>
      <c r="GN183">
        <f t="shared" si="197"/>
        <v>0</v>
      </c>
      <c r="GO183">
        <f t="shared" si="198"/>
        <v>0</v>
      </c>
      <c r="GP183">
        <f t="shared" si="199"/>
        <v>9833.32</v>
      </c>
      <c r="GR183">
        <v>0</v>
      </c>
      <c r="GS183">
        <v>0</v>
      </c>
      <c r="GT183">
        <v>0</v>
      </c>
      <c r="GU183" t="s">
        <v>3</v>
      </c>
      <c r="GV183">
        <f t="shared" si="200"/>
        <v>0</v>
      </c>
      <c r="GW183">
        <v>1</v>
      </c>
      <c r="GX183">
        <f t="shared" si="201"/>
        <v>0</v>
      </c>
      <c r="HA183">
        <v>0</v>
      </c>
      <c r="HB183">
        <v>0</v>
      </c>
      <c r="HC183">
        <f t="shared" si="202"/>
        <v>0</v>
      </c>
      <c r="IK183">
        <v>0</v>
      </c>
    </row>
    <row r="184" spans="1:245">
      <c r="A184">
        <v>18</v>
      </c>
      <c r="B184">
        <v>1</v>
      </c>
      <c r="C184">
        <v>95</v>
      </c>
      <c r="E184" t="s">
        <v>210</v>
      </c>
      <c r="F184" t="s">
        <v>187</v>
      </c>
      <c r="G184" t="s">
        <v>211</v>
      </c>
      <c r="H184" t="s">
        <v>50</v>
      </c>
      <c r="I184">
        <f>I180*J184</f>
        <v>3</v>
      </c>
      <c r="J184">
        <v>1.5</v>
      </c>
      <c r="O184">
        <f t="shared" si="163"/>
        <v>10749.99</v>
      </c>
      <c r="P184">
        <f t="shared" si="164"/>
        <v>10749.99</v>
      </c>
      <c r="Q184">
        <f t="shared" si="165"/>
        <v>0</v>
      </c>
      <c r="R184">
        <f t="shared" si="166"/>
        <v>0</v>
      </c>
      <c r="S184">
        <f t="shared" si="167"/>
        <v>0</v>
      </c>
      <c r="T184">
        <f t="shared" si="168"/>
        <v>0</v>
      </c>
      <c r="U184">
        <f t="shared" si="169"/>
        <v>0</v>
      </c>
      <c r="V184">
        <f t="shared" si="170"/>
        <v>0</v>
      </c>
      <c r="W184">
        <f t="shared" si="171"/>
        <v>0</v>
      </c>
      <c r="X184">
        <f t="shared" si="172"/>
        <v>0</v>
      </c>
      <c r="Y184">
        <f t="shared" si="173"/>
        <v>0</v>
      </c>
      <c r="AA184">
        <v>41858681</v>
      </c>
      <c r="AB184">
        <f t="shared" si="174"/>
        <v>3583.33</v>
      </c>
      <c r="AC184">
        <f t="shared" si="175"/>
        <v>3583.33</v>
      </c>
      <c r="AD184">
        <f t="shared" si="176"/>
        <v>0</v>
      </c>
      <c r="AE184">
        <f t="shared" si="177"/>
        <v>0</v>
      </c>
      <c r="AF184">
        <f t="shared" si="178"/>
        <v>0</v>
      </c>
      <c r="AG184">
        <f t="shared" si="179"/>
        <v>0</v>
      </c>
      <c r="AH184">
        <f t="shared" si="180"/>
        <v>0</v>
      </c>
      <c r="AI184">
        <f t="shared" si="181"/>
        <v>0</v>
      </c>
      <c r="AJ184">
        <f t="shared" si="182"/>
        <v>0</v>
      </c>
      <c r="AK184">
        <v>3583.33</v>
      </c>
      <c r="AL184">
        <v>3583.33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70</v>
      </c>
      <c r="AU184">
        <v>10</v>
      </c>
      <c r="AV184">
        <v>1</v>
      </c>
      <c r="AW184">
        <v>1</v>
      </c>
      <c r="AZ184">
        <v>1</v>
      </c>
      <c r="BA184">
        <v>1</v>
      </c>
      <c r="BB184">
        <v>1</v>
      </c>
      <c r="BC184">
        <v>1</v>
      </c>
      <c r="BD184" t="s">
        <v>3</v>
      </c>
      <c r="BE184" t="s">
        <v>3</v>
      </c>
      <c r="BF184" t="s">
        <v>3</v>
      </c>
      <c r="BG184" t="s">
        <v>3</v>
      </c>
      <c r="BH184">
        <v>3</v>
      </c>
      <c r="BI184">
        <v>4</v>
      </c>
      <c r="BJ184" t="s">
        <v>3</v>
      </c>
      <c r="BM184">
        <v>0</v>
      </c>
      <c r="BN184">
        <v>0</v>
      </c>
      <c r="BO184" t="s">
        <v>3</v>
      </c>
      <c r="BP184">
        <v>0</v>
      </c>
      <c r="BQ184">
        <v>1</v>
      </c>
      <c r="BR184">
        <v>0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 t="s">
        <v>3</v>
      </c>
      <c r="BZ184">
        <v>70</v>
      </c>
      <c r="CA184">
        <v>10</v>
      </c>
      <c r="CE184">
        <v>0</v>
      </c>
      <c r="CF184">
        <v>0</v>
      </c>
      <c r="CG184">
        <v>0</v>
      </c>
      <c r="CM184">
        <v>0</v>
      </c>
      <c r="CN184" t="s">
        <v>3</v>
      </c>
      <c r="CO184">
        <v>0</v>
      </c>
      <c r="CP184">
        <f t="shared" si="183"/>
        <v>10749.99</v>
      </c>
      <c r="CQ184">
        <f t="shared" si="184"/>
        <v>3583.33</v>
      </c>
      <c r="CR184">
        <f t="shared" si="185"/>
        <v>0</v>
      </c>
      <c r="CS184">
        <f t="shared" si="186"/>
        <v>0</v>
      </c>
      <c r="CT184">
        <f t="shared" si="187"/>
        <v>0</v>
      </c>
      <c r="CU184">
        <f t="shared" si="188"/>
        <v>0</v>
      </c>
      <c r="CV184">
        <f t="shared" si="189"/>
        <v>0</v>
      </c>
      <c r="CW184">
        <f t="shared" si="190"/>
        <v>0</v>
      </c>
      <c r="CX184">
        <f t="shared" si="191"/>
        <v>0</v>
      </c>
      <c r="CY184">
        <f t="shared" si="192"/>
        <v>0</v>
      </c>
      <c r="CZ184">
        <f t="shared" si="193"/>
        <v>0</v>
      </c>
      <c r="DC184" t="s">
        <v>3</v>
      </c>
      <c r="DD184" t="s">
        <v>3</v>
      </c>
      <c r="DE184" t="s">
        <v>3</v>
      </c>
      <c r="DF184" t="s">
        <v>3</v>
      </c>
      <c r="DG184" t="s">
        <v>3</v>
      </c>
      <c r="DH184" t="s">
        <v>3</v>
      </c>
      <c r="DI184" t="s">
        <v>3</v>
      </c>
      <c r="DJ184" t="s">
        <v>3</v>
      </c>
      <c r="DK184" t="s">
        <v>3</v>
      </c>
      <c r="DL184" t="s">
        <v>3</v>
      </c>
      <c r="DM184" t="s">
        <v>3</v>
      </c>
      <c r="DN184">
        <v>0</v>
      </c>
      <c r="DO184">
        <v>0</v>
      </c>
      <c r="DP184">
        <v>1</v>
      </c>
      <c r="DQ184">
        <v>1</v>
      </c>
      <c r="DU184">
        <v>1010</v>
      </c>
      <c r="DV184" t="s">
        <v>50</v>
      </c>
      <c r="DW184" t="s">
        <v>50</v>
      </c>
      <c r="DX184">
        <v>1</v>
      </c>
      <c r="EE184">
        <v>40050625</v>
      </c>
      <c r="EF184">
        <v>1</v>
      </c>
      <c r="EG184" t="s">
        <v>19</v>
      </c>
      <c r="EH184">
        <v>0</v>
      </c>
      <c r="EI184" t="s">
        <v>3</v>
      </c>
      <c r="EJ184">
        <v>4</v>
      </c>
      <c r="EK184">
        <v>0</v>
      </c>
      <c r="EL184" t="s">
        <v>20</v>
      </c>
      <c r="EM184" t="s">
        <v>21</v>
      </c>
      <c r="EO184" t="s">
        <v>3</v>
      </c>
      <c r="EQ184">
        <v>0</v>
      </c>
      <c r="ER184">
        <v>3583.33</v>
      </c>
      <c r="ES184">
        <v>3583.33</v>
      </c>
      <c r="ET184">
        <v>0</v>
      </c>
      <c r="EU184">
        <v>0</v>
      </c>
      <c r="EV184">
        <v>0</v>
      </c>
      <c r="EW184">
        <v>0</v>
      </c>
      <c r="EX184">
        <v>0</v>
      </c>
      <c r="FQ184">
        <v>0</v>
      </c>
      <c r="FR184">
        <f t="shared" si="194"/>
        <v>0</v>
      </c>
      <c r="FS184">
        <v>0</v>
      </c>
      <c r="FX184">
        <v>70</v>
      </c>
      <c r="FY184">
        <v>10</v>
      </c>
      <c r="GA184" t="s">
        <v>3</v>
      </c>
      <c r="GD184">
        <v>0</v>
      </c>
      <c r="GF184">
        <v>1312657559</v>
      </c>
      <c r="GG184">
        <v>2</v>
      </c>
      <c r="GH184">
        <v>0</v>
      </c>
      <c r="GI184">
        <v>-2</v>
      </c>
      <c r="GJ184">
        <v>0</v>
      </c>
      <c r="GK184">
        <f>ROUND(R184*(R12)/100,2)</f>
        <v>0</v>
      </c>
      <c r="GL184">
        <f t="shared" si="195"/>
        <v>0</v>
      </c>
      <c r="GM184">
        <f t="shared" si="196"/>
        <v>10749.99</v>
      </c>
      <c r="GN184">
        <f t="shared" si="197"/>
        <v>0</v>
      </c>
      <c r="GO184">
        <f t="shared" si="198"/>
        <v>0</v>
      </c>
      <c r="GP184">
        <f t="shared" si="199"/>
        <v>10749.99</v>
      </c>
      <c r="GR184">
        <v>0</v>
      </c>
      <c r="GS184">
        <v>0</v>
      </c>
      <c r="GT184">
        <v>0</v>
      </c>
      <c r="GU184" t="s">
        <v>3</v>
      </c>
      <c r="GV184">
        <f t="shared" si="200"/>
        <v>0</v>
      </c>
      <c r="GW184">
        <v>1</v>
      </c>
      <c r="GX184">
        <f t="shared" si="201"/>
        <v>0</v>
      </c>
      <c r="HA184">
        <v>0</v>
      </c>
      <c r="HB184">
        <v>0</v>
      </c>
      <c r="HC184">
        <f t="shared" si="202"/>
        <v>0</v>
      </c>
      <c r="IK184">
        <v>0</v>
      </c>
    </row>
    <row r="186" spans="1:245">
      <c r="A186" s="2">
        <v>51</v>
      </c>
      <c r="B186" s="2">
        <f>B166</f>
        <v>1</v>
      </c>
      <c r="C186" s="2">
        <f>A166</f>
        <v>4</v>
      </c>
      <c r="D186" s="2">
        <f>ROW(A166)</f>
        <v>166</v>
      </c>
      <c r="E186" s="2"/>
      <c r="F186" s="2" t="str">
        <f>IF(F166&lt;&gt;"",F166,"")</f>
        <v>Новый раздел</v>
      </c>
      <c r="G186" s="2" t="str">
        <f>IF(G166&lt;&gt;"",G166,"")</f>
        <v>Посадка деревьев хвойных - 21шт.</v>
      </c>
      <c r="H186" s="2">
        <v>0</v>
      </c>
      <c r="I186" s="2"/>
      <c r="J186" s="2"/>
      <c r="K186" s="2"/>
      <c r="L186" s="2"/>
      <c r="M186" s="2"/>
      <c r="N186" s="2"/>
      <c r="O186" s="2">
        <f t="shared" ref="O186:T186" si="203">ROUND(AB186,2)</f>
        <v>105054.01</v>
      </c>
      <c r="P186" s="2">
        <f t="shared" si="203"/>
        <v>86650.45</v>
      </c>
      <c r="Q186" s="2">
        <f t="shared" si="203"/>
        <v>3322.31</v>
      </c>
      <c r="R186" s="2">
        <f t="shared" si="203"/>
        <v>831.02</v>
      </c>
      <c r="S186" s="2">
        <f t="shared" si="203"/>
        <v>15081.25</v>
      </c>
      <c r="T186" s="2">
        <f t="shared" si="203"/>
        <v>0</v>
      </c>
      <c r="U186" s="2">
        <f>AH186</f>
        <v>73.034233</v>
      </c>
      <c r="V186" s="2">
        <f>AI186</f>
        <v>0</v>
      </c>
      <c r="W186" s="2">
        <f>ROUND(AJ186,2)</f>
        <v>0</v>
      </c>
      <c r="X186" s="2">
        <f>ROUND(AK186,2)</f>
        <v>10556.88</v>
      </c>
      <c r="Y186" s="2">
        <f>ROUND(AL186,2)</f>
        <v>1508.13</v>
      </c>
      <c r="Z186" s="2"/>
      <c r="AA186" s="2"/>
      <c r="AB186" s="2">
        <f>ROUND(SUMIF(AA170:AA184,"=41858681",O170:O184),2)</f>
        <v>105054.01</v>
      </c>
      <c r="AC186" s="2">
        <f>ROUND(SUMIF(AA170:AA184,"=41858681",P170:P184),2)</f>
        <v>86650.45</v>
      </c>
      <c r="AD186" s="2">
        <f>ROUND(SUMIF(AA170:AA184,"=41858681",Q170:Q184),2)</f>
        <v>3322.31</v>
      </c>
      <c r="AE186" s="2">
        <f>ROUND(SUMIF(AA170:AA184,"=41858681",R170:R184),2)</f>
        <v>831.02</v>
      </c>
      <c r="AF186" s="2">
        <f>ROUND(SUMIF(AA170:AA184,"=41858681",S170:S184),2)</f>
        <v>15081.25</v>
      </c>
      <c r="AG186" s="2">
        <f>ROUND(SUMIF(AA170:AA184,"=41858681",T170:T184),2)</f>
        <v>0</v>
      </c>
      <c r="AH186" s="2">
        <f>SUMIF(AA170:AA184,"=41858681",U170:U184)</f>
        <v>73.034233</v>
      </c>
      <c r="AI186" s="2">
        <f>SUMIF(AA170:AA184,"=41858681",V170:V184)</f>
        <v>0</v>
      </c>
      <c r="AJ186" s="2">
        <f>ROUND(SUMIF(AA170:AA184,"=41858681",W170:W184),2)</f>
        <v>0</v>
      </c>
      <c r="AK186" s="2">
        <f>ROUND(SUMIF(AA170:AA184,"=41858681",X170:X184),2)</f>
        <v>10556.88</v>
      </c>
      <c r="AL186" s="2">
        <f>ROUND(SUMIF(AA170:AA184,"=41858681",Y170:Y184),2)</f>
        <v>1508.13</v>
      </c>
      <c r="AM186" s="2"/>
      <c r="AN186" s="2"/>
      <c r="AO186" s="2">
        <f t="shared" ref="AO186:BC186" si="204">ROUND(BX186,2)</f>
        <v>0</v>
      </c>
      <c r="AP186" s="2">
        <f t="shared" si="204"/>
        <v>0</v>
      </c>
      <c r="AQ186" s="2">
        <f t="shared" si="204"/>
        <v>0</v>
      </c>
      <c r="AR186" s="2">
        <f t="shared" si="204"/>
        <v>118016.52</v>
      </c>
      <c r="AS186" s="2">
        <f t="shared" si="204"/>
        <v>0</v>
      </c>
      <c r="AT186" s="2">
        <f t="shared" si="204"/>
        <v>0</v>
      </c>
      <c r="AU186" s="2">
        <f t="shared" si="204"/>
        <v>118016.52</v>
      </c>
      <c r="AV186" s="2">
        <f t="shared" si="204"/>
        <v>86650.45</v>
      </c>
      <c r="AW186" s="2">
        <f t="shared" si="204"/>
        <v>86650.45</v>
      </c>
      <c r="AX186" s="2">
        <f t="shared" si="204"/>
        <v>0</v>
      </c>
      <c r="AY186" s="2">
        <f t="shared" si="204"/>
        <v>86650.45</v>
      </c>
      <c r="AZ186" s="2">
        <f t="shared" si="204"/>
        <v>0</v>
      </c>
      <c r="BA186" s="2">
        <f t="shared" si="204"/>
        <v>0</v>
      </c>
      <c r="BB186" s="2">
        <f t="shared" si="204"/>
        <v>0</v>
      </c>
      <c r="BC186" s="2">
        <f t="shared" si="204"/>
        <v>0</v>
      </c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>
        <f>ROUND(SUMIF(AA170:AA184,"=41858681",FQ170:FQ184),2)</f>
        <v>0</v>
      </c>
      <c r="BY186" s="2">
        <f>ROUND(SUMIF(AA170:AA184,"=41858681",FR170:FR184),2)</f>
        <v>0</v>
      </c>
      <c r="BZ186" s="2">
        <f>ROUND(SUMIF(AA170:AA184,"=41858681",GL170:GL184),2)</f>
        <v>0</v>
      </c>
      <c r="CA186" s="2">
        <f>ROUND(SUMIF(AA170:AA184,"=41858681",GM170:GM184),2)</f>
        <v>118016.52</v>
      </c>
      <c r="CB186" s="2">
        <f>ROUND(SUMIF(AA170:AA184,"=41858681",GN170:GN184),2)</f>
        <v>0</v>
      </c>
      <c r="CC186" s="2">
        <f>ROUND(SUMIF(AA170:AA184,"=41858681",GO170:GO184),2)</f>
        <v>0</v>
      </c>
      <c r="CD186" s="2">
        <f>ROUND(SUMIF(AA170:AA184,"=41858681",GP170:GP184),2)</f>
        <v>118016.52</v>
      </c>
      <c r="CE186" s="2">
        <f>AC186-BX186</f>
        <v>86650.45</v>
      </c>
      <c r="CF186" s="2">
        <f>AC186-BY186</f>
        <v>86650.45</v>
      </c>
      <c r="CG186" s="2">
        <f>BX186-BZ186</f>
        <v>0</v>
      </c>
      <c r="CH186" s="2">
        <f>AC186-BX186-BY186+BZ186</f>
        <v>86650.45</v>
      </c>
      <c r="CI186" s="2">
        <f>BY186-BZ186</f>
        <v>0</v>
      </c>
      <c r="CJ186" s="2">
        <f>ROUND(SUMIF(AA170:AA184,"=41858681",GX170:GX184),2)</f>
        <v>0</v>
      </c>
      <c r="CK186" s="2">
        <f>ROUND(SUMIF(AA170:AA184,"=41858681",GY170:GY184),2)</f>
        <v>0</v>
      </c>
      <c r="CL186" s="2">
        <f>ROUND(SUMIF(AA170:AA184,"=41858681",GZ170:GZ184),2)</f>
        <v>0</v>
      </c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>
        <v>0</v>
      </c>
    </row>
    <row r="188" spans="1:245">
      <c r="A188" s="4">
        <v>50</v>
      </c>
      <c r="B188" s="4">
        <v>0</v>
      </c>
      <c r="C188" s="4">
        <v>0</v>
      </c>
      <c r="D188" s="4">
        <v>1</v>
      </c>
      <c r="E188" s="4">
        <v>201</v>
      </c>
      <c r="F188" s="4">
        <f>ROUND(Source!O186,O188)</f>
        <v>105054.01</v>
      </c>
      <c r="G188" s="4" t="s">
        <v>64</v>
      </c>
      <c r="H188" s="4" t="s">
        <v>65</v>
      </c>
      <c r="I188" s="4"/>
      <c r="J188" s="4"/>
      <c r="K188" s="4">
        <v>201</v>
      </c>
      <c r="L188" s="4">
        <v>1</v>
      </c>
      <c r="M188" s="4">
        <v>3</v>
      </c>
      <c r="N188" s="4" t="s">
        <v>3</v>
      </c>
      <c r="O188" s="4">
        <v>2</v>
      </c>
      <c r="P188" s="4"/>
      <c r="Q188" s="4"/>
      <c r="R188" s="4"/>
      <c r="S188" s="4"/>
      <c r="T188" s="4"/>
      <c r="U188" s="4"/>
      <c r="V188" s="4"/>
      <c r="W188" s="4"/>
    </row>
    <row r="189" spans="1:245">
      <c r="A189" s="4">
        <v>50</v>
      </c>
      <c r="B189" s="4">
        <v>0</v>
      </c>
      <c r="C189" s="4">
        <v>0</v>
      </c>
      <c r="D189" s="4">
        <v>1</v>
      </c>
      <c r="E189" s="4">
        <v>202</v>
      </c>
      <c r="F189" s="4">
        <f>ROUND(Source!P186,O189)</f>
        <v>86650.45</v>
      </c>
      <c r="G189" s="4" t="s">
        <v>66</v>
      </c>
      <c r="H189" s="4" t="s">
        <v>67</v>
      </c>
      <c r="I189" s="4"/>
      <c r="J189" s="4"/>
      <c r="K189" s="4">
        <v>202</v>
      </c>
      <c r="L189" s="4">
        <v>2</v>
      </c>
      <c r="M189" s="4">
        <v>3</v>
      </c>
      <c r="N189" s="4" t="s">
        <v>3</v>
      </c>
      <c r="O189" s="4">
        <v>2</v>
      </c>
      <c r="P189" s="4"/>
      <c r="Q189" s="4"/>
      <c r="R189" s="4"/>
      <c r="S189" s="4"/>
      <c r="T189" s="4"/>
      <c r="U189" s="4"/>
      <c r="V189" s="4"/>
      <c r="W189" s="4"/>
    </row>
    <row r="190" spans="1:245">
      <c r="A190" s="4">
        <v>50</v>
      </c>
      <c r="B190" s="4">
        <v>0</v>
      </c>
      <c r="C190" s="4">
        <v>0</v>
      </c>
      <c r="D190" s="4">
        <v>1</v>
      </c>
      <c r="E190" s="4">
        <v>222</v>
      </c>
      <c r="F190" s="4">
        <f>ROUND(Source!AO186,O190)</f>
        <v>0</v>
      </c>
      <c r="G190" s="4" t="s">
        <v>68</v>
      </c>
      <c r="H190" s="4" t="s">
        <v>69</v>
      </c>
      <c r="I190" s="4"/>
      <c r="J190" s="4"/>
      <c r="K190" s="4">
        <v>222</v>
      </c>
      <c r="L190" s="4">
        <v>3</v>
      </c>
      <c r="M190" s="4">
        <v>3</v>
      </c>
      <c r="N190" s="4" t="s">
        <v>3</v>
      </c>
      <c r="O190" s="4">
        <v>2</v>
      </c>
      <c r="P190" s="4"/>
      <c r="Q190" s="4"/>
      <c r="R190" s="4"/>
      <c r="S190" s="4"/>
      <c r="T190" s="4"/>
      <c r="U190" s="4"/>
      <c r="V190" s="4"/>
      <c r="W190" s="4"/>
    </row>
    <row r="191" spans="1:245">
      <c r="A191" s="4">
        <v>50</v>
      </c>
      <c r="B191" s="4">
        <v>0</v>
      </c>
      <c r="C191" s="4">
        <v>0</v>
      </c>
      <c r="D191" s="4">
        <v>1</v>
      </c>
      <c r="E191" s="4">
        <v>225</v>
      </c>
      <c r="F191" s="4">
        <f>ROUND(Source!AV186,O191)</f>
        <v>86650.45</v>
      </c>
      <c r="G191" s="4" t="s">
        <v>70</v>
      </c>
      <c r="H191" s="4" t="s">
        <v>71</v>
      </c>
      <c r="I191" s="4"/>
      <c r="J191" s="4"/>
      <c r="K191" s="4">
        <v>225</v>
      </c>
      <c r="L191" s="4">
        <v>4</v>
      </c>
      <c r="M191" s="4">
        <v>3</v>
      </c>
      <c r="N191" s="4" t="s">
        <v>3</v>
      </c>
      <c r="O191" s="4">
        <v>2</v>
      </c>
      <c r="P191" s="4"/>
      <c r="Q191" s="4"/>
      <c r="R191" s="4"/>
      <c r="S191" s="4"/>
      <c r="T191" s="4"/>
      <c r="U191" s="4"/>
      <c r="V191" s="4"/>
      <c r="W191" s="4"/>
    </row>
    <row r="192" spans="1:245">
      <c r="A192" s="4">
        <v>50</v>
      </c>
      <c r="B192" s="4">
        <v>0</v>
      </c>
      <c r="C192" s="4">
        <v>0</v>
      </c>
      <c r="D192" s="4">
        <v>1</v>
      </c>
      <c r="E192" s="4">
        <v>226</v>
      </c>
      <c r="F192" s="4">
        <f>ROUND(Source!AW186,O192)</f>
        <v>86650.45</v>
      </c>
      <c r="G192" s="4" t="s">
        <v>72</v>
      </c>
      <c r="H192" s="4" t="s">
        <v>73</v>
      </c>
      <c r="I192" s="4"/>
      <c r="J192" s="4"/>
      <c r="K192" s="4">
        <v>226</v>
      </c>
      <c r="L192" s="4">
        <v>5</v>
      </c>
      <c r="M192" s="4">
        <v>3</v>
      </c>
      <c r="N192" s="4" t="s">
        <v>3</v>
      </c>
      <c r="O192" s="4">
        <v>2</v>
      </c>
      <c r="P192" s="4"/>
      <c r="Q192" s="4"/>
      <c r="R192" s="4"/>
      <c r="S192" s="4"/>
      <c r="T192" s="4"/>
      <c r="U192" s="4"/>
      <c r="V192" s="4"/>
      <c r="W192" s="4"/>
    </row>
    <row r="193" spans="1:23">
      <c r="A193" s="4">
        <v>50</v>
      </c>
      <c r="B193" s="4">
        <v>0</v>
      </c>
      <c r="C193" s="4">
        <v>0</v>
      </c>
      <c r="D193" s="4">
        <v>1</v>
      </c>
      <c r="E193" s="4">
        <v>227</v>
      </c>
      <c r="F193" s="4">
        <f>ROUND(Source!AX186,O193)</f>
        <v>0</v>
      </c>
      <c r="G193" s="4" t="s">
        <v>74</v>
      </c>
      <c r="H193" s="4" t="s">
        <v>75</v>
      </c>
      <c r="I193" s="4"/>
      <c r="J193" s="4"/>
      <c r="K193" s="4">
        <v>227</v>
      </c>
      <c r="L193" s="4">
        <v>6</v>
      </c>
      <c r="M193" s="4">
        <v>3</v>
      </c>
      <c r="N193" s="4" t="s">
        <v>3</v>
      </c>
      <c r="O193" s="4">
        <v>2</v>
      </c>
      <c r="P193" s="4"/>
      <c r="Q193" s="4"/>
      <c r="R193" s="4"/>
      <c r="S193" s="4"/>
      <c r="T193" s="4"/>
      <c r="U193" s="4"/>
      <c r="V193" s="4"/>
      <c r="W193" s="4"/>
    </row>
    <row r="194" spans="1:23">
      <c r="A194" s="4">
        <v>50</v>
      </c>
      <c r="B194" s="4">
        <v>0</v>
      </c>
      <c r="C194" s="4">
        <v>0</v>
      </c>
      <c r="D194" s="4">
        <v>1</v>
      </c>
      <c r="E194" s="4">
        <v>228</v>
      </c>
      <c r="F194" s="4">
        <f>ROUND(Source!AY186,O194)</f>
        <v>86650.45</v>
      </c>
      <c r="G194" s="4" t="s">
        <v>76</v>
      </c>
      <c r="H194" s="4" t="s">
        <v>77</v>
      </c>
      <c r="I194" s="4"/>
      <c r="J194" s="4"/>
      <c r="K194" s="4">
        <v>228</v>
      </c>
      <c r="L194" s="4">
        <v>7</v>
      </c>
      <c r="M194" s="4">
        <v>3</v>
      </c>
      <c r="N194" s="4" t="s">
        <v>3</v>
      </c>
      <c r="O194" s="4">
        <v>2</v>
      </c>
      <c r="P194" s="4"/>
      <c r="Q194" s="4"/>
      <c r="R194" s="4"/>
      <c r="S194" s="4"/>
      <c r="T194" s="4"/>
      <c r="U194" s="4"/>
      <c r="V194" s="4"/>
      <c r="W194" s="4"/>
    </row>
    <row r="195" spans="1:23">
      <c r="A195" s="4">
        <v>50</v>
      </c>
      <c r="B195" s="4">
        <v>0</v>
      </c>
      <c r="C195" s="4">
        <v>0</v>
      </c>
      <c r="D195" s="4">
        <v>1</v>
      </c>
      <c r="E195" s="4">
        <v>216</v>
      </c>
      <c r="F195" s="4">
        <f>ROUND(Source!AP186,O195)</f>
        <v>0</v>
      </c>
      <c r="G195" s="4" t="s">
        <v>78</v>
      </c>
      <c r="H195" s="4" t="s">
        <v>79</v>
      </c>
      <c r="I195" s="4"/>
      <c r="J195" s="4"/>
      <c r="K195" s="4">
        <v>216</v>
      </c>
      <c r="L195" s="4">
        <v>8</v>
      </c>
      <c r="M195" s="4">
        <v>3</v>
      </c>
      <c r="N195" s="4" t="s">
        <v>3</v>
      </c>
      <c r="O195" s="4">
        <v>2</v>
      </c>
      <c r="P195" s="4"/>
      <c r="Q195" s="4"/>
      <c r="R195" s="4"/>
      <c r="S195" s="4"/>
      <c r="T195" s="4"/>
      <c r="U195" s="4"/>
      <c r="V195" s="4"/>
      <c r="W195" s="4"/>
    </row>
    <row r="196" spans="1:23">
      <c r="A196" s="4">
        <v>50</v>
      </c>
      <c r="B196" s="4">
        <v>0</v>
      </c>
      <c r="C196" s="4">
        <v>0</v>
      </c>
      <c r="D196" s="4">
        <v>1</v>
      </c>
      <c r="E196" s="4">
        <v>223</v>
      </c>
      <c r="F196" s="4">
        <f>ROUND(Source!AQ186,O196)</f>
        <v>0</v>
      </c>
      <c r="G196" s="4" t="s">
        <v>80</v>
      </c>
      <c r="H196" s="4" t="s">
        <v>81</v>
      </c>
      <c r="I196" s="4"/>
      <c r="J196" s="4"/>
      <c r="K196" s="4">
        <v>223</v>
      </c>
      <c r="L196" s="4">
        <v>9</v>
      </c>
      <c r="M196" s="4">
        <v>3</v>
      </c>
      <c r="N196" s="4" t="s">
        <v>3</v>
      </c>
      <c r="O196" s="4">
        <v>2</v>
      </c>
      <c r="P196" s="4"/>
      <c r="Q196" s="4"/>
      <c r="R196" s="4"/>
      <c r="S196" s="4"/>
      <c r="T196" s="4"/>
      <c r="U196" s="4"/>
      <c r="V196" s="4"/>
      <c r="W196" s="4"/>
    </row>
    <row r="197" spans="1:23">
      <c r="A197" s="4">
        <v>50</v>
      </c>
      <c r="B197" s="4">
        <v>0</v>
      </c>
      <c r="C197" s="4">
        <v>0</v>
      </c>
      <c r="D197" s="4">
        <v>1</v>
      </c>
      <c r="E197" s="4">
        <v>229</v>
      </c>
      <c r="F197" s="4">
        <f>ROUND(Source!AZ186,O197)</f>
        <v>0</v>
      </c>
      <c r="G197" s="4" t="s">
        <v>82</v>
      </c>
      <c r="H197" s="4" t="s">
        <v>83</v>
      </c>
      <c r="I197" s="4"/>
      <c r="J197" s="4"/>
      <c r="K197" s="4">
        <v>229</v>
      </c>
      <c r="L197" s="4">
        <v>10</v>
      </c>
      <c r="M197" s="4">
        <v>3</v>
      </c>
      <c r="N197" s="4" t="s">
        <v>3</v>
      </c>
      <c r="O197" s="4">
        <v>2</v>
      </c>
      <c r="P197" s="4"/>
      <c r="Q197" s="4"/>
      <c r="R197" s="4"/>
      <c r="S197" s="4"/>
      <c r="T197" s="4"/>
      <c r="U197" s="4"/>
      <c r="V197" s="4"/>
      <c r="W197" s="4"/>
    </row>
    <row r="198" spans="1:23">
      <c r="A198" s="4">
        <v>50</v>
      </c>
      <c r="B198" s="4">
        <v>0</v>
      </c>
      <c r="C198" s="4">
        <v>0</v>
      </c>
      <c r="D198" s="4">
        <v>1</v>
      </c>
      <c r="E198" s="4">
        <v>203</v>
      </c>
      <c r="F198" s="4">
        <f>ROUND(Source!Q186,O198)</f>
        <v>3322.31</v>
      </c>
      <c r="G198" s="4" t="s">
        <v>84</v>
      </c>
      <c r="H198" s="4" t="s">
        <v>85</v>
      </c>
      <c r="I198" s="4"/>
      <c r="J198" s="4"/>
      <c r="K198" s="4">
        <v>203</v>
      </c>
      <c r="L198" s="4">
        <v>11</v>
      </c>
      <c r="M198" s="4">
        <v>3</v>
      </c>
      <c r="N198" s="4" t="s">
        <v>3</v>
      </c>
      <c r="O198" s="4">
        <v>2</v>
      </c>
      <c r="P198" s="4"/>
      <c r="Q198" s="4"/>
      <c r="R198" s="4"/>
      <c r="S198" s="4"/>
      <c r="T198" s="4"/>
      <c r="U198" s="4"/>
      <c r="V198" s="4"/>
      <c r="W198" s="4"/>
    </row>
    <row r="199" spans="1:23">
      <c r="A199" s="4">
        <v>50</v>
      </c>
      <c r="B199" s="4">
        <v>0</v>
      </c>
      <c r="C199" s="4">
        <v>0</v>
      </c>
      <c r="D199" s="4">
        <v>1</v>
      </c>
      <c r="E199" s="4">
        <v>231</v>
      </c>
      <c r="F199" s="4">
        <f>ROUND(Source!BB186,O199)</f>
        <v>0</v>
      </c>
      <c r="G199" s="4" t="s">
        <v>86</v>
      </c>
      <c r="H199" s="4" t="s">
        <v>87</v>
      </c>
      <c r="I199" s="4"/>
      <c r="J199" s="4"/>
      <c r="K199" s="4">
        <v>231</v>
      </c>
      <c r="L199" s="4">
        <v>12</v>
      </c>
      <c r="M199" s="4">
        <v>3</v>
      </c>
      <c r="N199" s="4" t="s">
        <v>3</v>
      </c>
      <c r="O199" s="4">
        <v>2</v>
      </c>
      <c r="P199" s="4"/>
      <c r="Q199" s="4"/>
      <c r="R199" s="4"/>
      <c r="S199" s="4"/>
      <c r="T199" s="4"/>
      <c r="U199" s="4"/>
      <c r="V199" s="4"/>
      <c r="W199" s="4"/>
    </row>
    <row r="200" spans="1:23">
      <c r="A200" s="4">
        <v>50</v>
      </c>
      <c r="B200" s="4">
        <v>0</v>
      </c>
      <c r="C200" s="4">
        <v>0</v>
      </c>
      <c r="D200" s="4">
        <v>1</v>
      </c>
      <c r="E200" s="4">
        <v>204</v>
      </c>
      <c r="F200" s="4">
        <f>ROUND(Source!R186,O200)</f>
        <v>831.02</v>
      </c>
      <c r="G200" s="4" t="s">
        <v>88</v>
      </c>
      <c r="H200" s="4" t="s">
        <v>89</v>
      </c>
      <c r="I200" s="4"/>
      <c r="J200" s="4"/>
      <c r="K200" s="4">
        <v>204</v>
      </c>
      <c r="L200" s="4">
        <v>13</v>
      </c>
      <c r="M200" s="4">
        <v>3</v>
      </c>
      <c r="N200" s="4" t="s">
        <v>3</v>
      </c>
      <c r="O200" s="4">
        <v>2</v>
      </c>
      <c r="P200" s="4"/>
      <c r="Q200" s="4"/>
      <c r="R200" s="4"/>
      <c r="S200" s="4"/>
      <c r="T200" s="4"/>
      <c r="U200" s="4"/>
      <c r="V200" s="4"/>
      <c r="W200" s="4"/>
    </row>
    <row r="201" spans="1:23">
      <c r="A201" s="4">
        <v>50</v>
      </c>
      <c r="B201" s="4">
        <v>0</v>
      </c>
      <c r="C201" s="4">
        <v>0</v>
      </c>
      <c r="D201" s="4">
        <v>1</v>
      </c>
      <c r="E201" s="4">
        <v>205</v>
      </c>
      <c r="F201" s="4">
        <f>ROUND(Source!S186,O201)</f>
        <v>15081.25</v>
      </c>
      <c r="G201" s="4" t="s">
        <v>90</v>
      </c>
      <c r="H201" s="4" t="s">
        <v>91</v>
      </c>
      <c r="I201" s="4"/>
      <c r="J201" s="4"/>
      <c r="K201" s="4">
        <v>205</v>
      </c>
      <c r="L201" s="4">
        <v>14</v>
      </c>
      <c r="M201" s="4">
        <v>3</v>
      </c>
      <c r="N201" s="4" t="s">
        <v>3</v>
      </c>
      <c r="O201" s="4">
        <v>2</v>
      </c>
      <c r="P201" s="4"/>
      <c r="Q201" s="4"/>
      <c r="R201" s="4"/>
      <c r="S201" s="4"/>
      <c r="T201" s="4"/>
      <c r="U201" s="4"/>
      <c r="V201" s="4"/>
      <c r="W201" s="4"/>
    </row>
    <row r="202" spans="1:23">
      <c r="A202" s="4">
        <v>50</v>
      </c>
      <c r="B202" s="4">
        <v>0</v>
      </c>
      <c r="C202" s="4">
        <v>0</v>
      </c>
      <c r="D202" s="4">
        <v>1</v>
      </c>
      <c r="E202" s="4">
        <v>232</v>
      </c>
      <c r="F202" s="4">
        <f>ROUND(Source!BC186,O202)</f>
        <v>0</v>
      </c>
      <c r="G202" s="4" t="s">
        <v>92</v>
      </c>
      <c r="H202" s="4" t="s">
        <v>93</v>
      </c>
      <c r="I202" s="4"/>
      <c r="J202" s="4"/>
      <c r="K202" s="4">
        <v>232</v>
      </c>
      <c r="L202" s="4">
        <v>15</v>
      </c>
      <c r="M202" s="4">
        <v>3</v>
      </c>
      <c r="N202" s="4" t="s">
        <v>3</v>
      </c>
      <c r="O202" s="4">
        <v>2</v>
      </c>
      <c r="P202" s="4"/>
      <c r="Q202" s="4"/>
      <c r="R202" s="4"/>
      <c r="S202" s="4"/>
      <c r="T202" s="4"/>
      <c r="U202" s="4"/>
      <c r="V202" s="4"/>
      <c r="W202" s="4"/>
    </row>
    <row r="203" spans="1:23">
      <c r="A203" s="4">
        <v>50</v>
      </c>
      <c r="B203" s="4">
        <v>0</v>
      </c>
      <c r="C203" s="4">
        <v>0</v>
      </c>
      <c r="D203" s="4">
        <v>1</v>
      </c>
      <c r="E203" s="4">
        <v>214</v>
      </c>
      <c r="F203" s="4">
        <f>ROUND(Source!AS186,O203)</f>
        <v>0</v>
      </c>
      <c r="G203" s="4" t="s">
        <v>94</v>
      </c>
      <c r="H203" s="4" t="s">
        <v>95</v>
      </c>
      <c r="I203" s="4"/>
      <c r="J203" s="4"/>
      <c r="K203" s="4">
        <v>214</v>
      </c>
      <c r="L203" s="4">
        <v>16</v>
      </c>
      <c r="M203" s="4">
        <v>3</v>
      </c>
      <c r="N203" s="4" t="s">
        <v>3</v>
      </c>
      <c r="O203" s="4">
        <v>2</v>
      </c>
      <c r="P203" s="4"/>
      <c r="Q203" s="4"/>
      <c r="R203" s="4"/>
      <c r="S203" s="4"/>
      <c r="T203" s="4"/>
      <c r="U203" s="4"/>
      <c r="V203" s="4"/>
      <c r="W203" s="4"/>
    </row>
    <row r="204" spans="1:23">
      <c r="A204" s="4">
        <v>50</v>
      </c>
      <c r="B204" s="4">
        <v>0</v>
      </c>
      <c r="C204" s="4">
        <v>0</v>
      </c>
      <c r="D204" s="4">
        <v>1</v>
      </c>
      <c r="E204" s="4">
        <v>215</v>
      </c>
      <c r="F204" s="4">
        <f>ROUND(Source!AT186,O204)</f>
        <v>0</v>
      </c>
      <c r="G204" s="4" t="s">
        <v>96</v>
      </c>
      <c r="H204" s="4" t="s">
        <v>97</v>
      </c>
      <c r="I204" s="4"/>
      <c r="J204" s="4"/>
      <c r="K204" s="4">
        <v>215</v>
      </c>
      <c r="L204" s="4">
        <v>17</v>
      </c>
      <c r="M204" s="4">
        <v>3</v>
      </c>
      <c r="N204" s="4" t="s">
        <v>3</v>
      </c>
      <c r="O204" s="4">
        <v>2</v>
      </c>
      <c r="P204" s="4"/>
      <c r="Q204" s="4"/>
      <c r="R204" s="4"/>
      <c r="S204" s="4"/>
      <c r="T204" s="4"/>
      <c r="U204" s="4"/>
      <c r="V204" s="4"/>
      <c r="W204" s="4"/>
    </row>
    <row r="205" spans="1:23">
      <c r="A205" s="4">
        <v>50</v>
      </c>
      <c r="B205" s="4">
        <v>0</v>
      </c>
      <c r="C205" s="4">
        <v>0</v>
      </c>
      <c r="D205" s="4">
        <v>1</v>
      </c>
      <c r="E205" s="4">
        <v>217</v>
      </c>
      <c r="F205" s="4">
        <f>ROUND(Source!AU186,O205)</f>
        <v>118016.52</v>
      </c>
      <c r="G205" s="4" t="s">
        <v>98</v>
      </c>
      <c r="H205" s="4" t="s">
        <v>99</v>
      </c>
      <c r="I205" s="4"/>
      <c r="J205" s="4"/>
      <c r="K205" s="4">
        <v>217</v>
      </c>
      <c r="L205" s="4">
        <v>18</v>
      </c>
      <c r="M205" s="4">
        <v>3</v>
      </c>
      <c r="N205" s="4" t="s">
        <v>3</v>
      </c>
      <c r="O205" s="4">
        <v>2</v>
      </c>
      <c r="P205" s="4"/>
      <c r="Q205" s="4"/>
      <c r="R205" s="4"/>
      <c r="S205" s="4"/>
      <c r="T205" s="4"/>
      <c r="U205" s="4"/>
      <c r="V205" s="4"/>
      <c r="W205" s="4"/>
    </row>
    <row r="206" spans="1:23">
      <c r="A206" s="4">
        <v>50</v>
      </c>
      <c r="B206" s="4">
        <v>0</v>
      </c>
      <c r="C206" s="4">
        <v>0</v>
      </c>
      <c r="D206" s="4">
        <v>1</v>
      </c>
      <c r="E206" s="4">
        <v>230</v>
      </c>
      <c r="F206" s="4">
        <f>ROUND(Source!BA186,O206)</f>
        <v>0</v>
      </c>
      <c r="G206" s="4" t="s">
        <v>100</v>
      </c>
      <c r="H206" s="4" t="s">
        <v>101</v>
      </c>
      <c r="I206" s="4"/>
      <c r="J206" s="4"/>
      <c r="K206" s="4">
        <v>230</v>
      </c>
      <c r="L206" s="4">
        <v>19</v>
      </c>
      <c r="M206" s="4">
        <v>3</v>
      </c>
      <c r="N206" s="4" t="s">
        <v>3</v>
      </c>
      <c r="O206" s="4">
        <v>2</v>
      </c>
      <c r="P206" s="4"/>
      <c r="Q206" s="4"/>
      <c r="R206" s="4"/>
      <c r="S206" s="4"/>
      <c r="T206" s="4"/>
      <c r="U206" s="4"/>
      <c r="V206" s="4"/>
      <c r="W206" s="4"/>
    </row>
    <row r="207" spans="1:23">
      <c r="A207" s="4">
        <v>50</v>
      </c>
      <c r="B207" s="4">
        <v>0</v>
      </c>
      <c r="C207" s="4">
        <v>0</v>
      </c>
      <c r="D207" s="4">
        <v>1</v>
      </c>
      <c r="E207" s="4">
        <v>206</v>
      </c>
      <c r="F207" s="4">
        <f>ROUND(Source!T186,O207)</f>
        <v>0</v>
      </c>
      <c r="G207" s="4" t="s">
        <v>102</v>
      </c>
      <c r="H207" s="4" t="s">
        <v>103</v>
      </c>
      <c r="I207" s="4"/>
      <c r="J207" s="4"/>
      <c r="K207" s="4">
        <v>206</v>
      </c>
      <c r="L207" s="4">
        <v>20</v>
      </c>
      <c r="M207" s="4">
        <v>3</v>
      </c>
      <c r="N207" s="4" t="s">
        <v>3</v>
      </c>
      <c r="O207" s="4">
        <v>2</v>
      </c>
      <c r="P207" s="4"/>
      <c r="Q207" s="4"/>
      <c r="R207" s="4"/>
      <c r="S207" s="4"/>
      <c r="T207" s="4"/>
      <c r="U207" s="4"/>
      <c r="V207" s="4"/>
      <c r="W207" s="4"/>
    </row>
    <row r="208" spans="1:23">
      <c r="A208" s="4">
        <v>50</v>
      </c>
      <c r="B208" s="4">
        <v>0</v>
      </c>
      <c r="C208" s="4">
        <v>0</v>
      </c>
      <c r="D208" s="4">
        <v>1</v>
      </c>
      <c r="E208" s="4">
        <v>207</v>
      </c>
      <c r="F208" s="4">
        <f>Source!U186</f>
        <v>73.034233</v>
      </c>
      <c r="G208" s="4" t="s">
        <v>104</v>
      </c>
      <c r="H208" s="4" t="s">
        <v>105</v>
      </c>
      <c r="I208" s="4"/>
      <c r="J208" s="4"/>
      <c r="K208" s="4">
        <v>207</v>
      </c>
      <c r="L208" s="4">
        <v>21</v>
      </c>
      <c r="M208" s="4">
        <v>3</v>
      </c>
      <c r="N208" s="4" t="s">
        <v>3</v>
      </c>
      <c r="O208" s="4">
        <v>-1</v>
      </c>
      <c r="P208" s="4"/>
      <c r="Q208" s="4"/>
      <c r="R208" s="4"/>
      <c r="S208" s="4"/>
      <c r="T208" s="4"/>
      <c r="U208" s="4"/>
      <c r="V208" s="4"/>
      <c r="W208" s="4"/>
    </row>
    <row r="209" spans="1:245">
      <c r="A209" s="4">
        <v>50</v>
      </c>
      <c r="B209" s="4">
        <v>0</v>
      </c>
      <c r="C209" s="4">
        <v>0</v>
      </c>
      <c r="D209" s="4">
        <v>1</v>
      </c>
      <c r="E209" s="4">
        <v>208</v>
      </c>
      <c r="F209" s="4">
        <f>Source!V186</f>
        <v>0</v>
      </c>
      <c r="G209" s="4" t="s">
        <v>106</v>
      </c>
      <c r="H209" s="4" t="s">
        <v>107</v>
      </c>
      <c r="I209" s="4"/>
      <c r="J209" s="4"/>
      <c r="K209" s="4">
        <v>208</v>
      </c>
      <c r="L209" s="4">
        <v>22</v>
      </c>
      <c r="M209" s="4">
        <v>3</v>
      </c>
      <c r="N209" s="4" t="s">
        <v>3</v>
      </c>
      <c r="O209" s="4">
        <v>-1</v>
      </c>
      <c r="P209" s="4"/>
      <c r="Q209" s="4"/>
      <c r="R209" s="4"/>
      <c r="S209" s="4"/>
      <c r="T209" s="4"/>
      <c r="U209" s="4"/>
      <c r="V209" s="4"/>
      <c r="W209" s="4"/>
    </row>
    <row r="210" spans="1:245">
      <c r="A210" s="4">
        <v>50</v>
      </c>
      <c r="B210" s="4">
        <v>0</v>
      </c>
      <c r="C210" s="4">
        <v>0</v>
      </c>
      <c r="D210" s="4">
        <v>1</v>
      </c>
      <c r="E210" s="4">
        <v>209</v>
      </c>
      <c r="F210" s="4">
        <f>ROUND(Source!W186,O210)</f>
        <v>0</v>
      </c>
      <c r="G210" s="4" t="s">
        <v>108</v>
      </c>
      <c r="H210" s="4" t="s">
        <v>109</v>
      </c>
      <c r="I210" s="4"/>
      <c r="J210" s="4"/>
      <c r="K210" s="4">
        <v>209</v>
      </c>
      <c r="L210" s="4">
        <v>23</v>
      </c>
      <c r="M210" s="4">
        <v>3</v>
      </c>
      <c r="N210" s="4" t="s">
        <v>3</v>
      </c>
      <c r="O210" s="4">
        <v>2</v>
      </c>
      <c r="P210" s="4"/>
      <c r="Q210" s="4"/>
      <c r="R210" s="4"/>
      <c r="S210" s="4"/>
      <c r="T210" s="4"/>
      <c r="U210" s="4"/>
      <c r="V210" s="4"/>
      <c r="W210" s="4"/>
    </row>
    <row r="211" spans="1:245">
      <c r="A211" s="4">
        <v>50</v>
      </c>
      <c r="B211" s="4">
        <v>0</v>
      </c>
      <c r="C211" s="4">
        <v>0</v>
      </c>
      <c r="D211" s="4">
        <v>1</v>
      </c>
      <c r="E211" s="4">
        <v>210</v>
      </c>
      <c r="F211" s="4">
        <f>ROUND(Source!X186,O211)</f>
        <v>10556.88</v>
      </c>
      <c r="G211" s="4" t="s">
        <v>110</v>
      </c>
      <c r="H211" s="4" t="s">
        <v>111</v>
      </c>
      <c r="I211" s="4"/>
      <c r="J211" s="4"/>
      <c r="K211" s="4">
        <v>210</v>
      </c>
      <c r="L211" s="4">
        <v>24</v>
      </c>
      <c r="M211" s="4">
        <v>3</v>
      </c>
      <c r="N211" s="4" t="s">
        <v>3</v>
      </c>
      <c r="O211" s="4">
        <v>2</v>
      </c>
      <c r="P211" s="4"/>
      <c r="Q211" s="4"/>
      <c r="R211" s="4"/>
      <c r="S211" s="4"/>
      <c r="T211" s="4"/>
      <c r="U211" s="4"/>
      <c r="V211" s="4"/>
      <c r="W211" s="4"/>
    </row>
    <row r="212" spans="1:245">
      <c r="A212" s="4">
        <v>50</v>
      </c>
      <c r="B212" s="4">
        <v>0</v>
      </c>
      <c r="C212" s="4">
        <v>0</v>
      </c>
      <c r="D212" s="4">
        <v>1</v>
      </c>
      <c r="E212" s="4">
        <v>211</v>
      </c>
      <c r="F212" s="4">
        <f>ROUND(Source!Y186,O212)</f>
        <v>1508.13</v>
      </c>
      <c r="G212" s="4" t="s">
        <v>112</v>
      </c>
      <c r="H212" s="4" t="s">
        <v>113</v>
      </c>
      <c r="I212" s="4"/>
      <c r="J212" s="4"/>
      <c r="K212" s="4">
        <v>211</v>
      </c>
      <c r="L212" s="4">
        <v>25</v>
      </c>
      <c r="M212" s="4">
        <v>3</v>
      </c>
      <c r="N212" s="4" t="s">
        <v>3</v>
      </c>
      <c r="O212" s="4">
        <v>2</v>
      </c>
      <c r="P212" s="4"/>
      <c r="Q212" s="4"/>
      <c r="R212" s="4"/>
      <c r="S212" s="4"/>
      <c r="T212" s="4"/>
      <c r="U212" s="4"/>
      <c r="V212" s="4"/>
      <c r="W212" s="4"/>
    </row>
    <row r="213" spans="1:245">
      <c r="A213" s="4">
        <v>50</v>
      </c>
      <c r="B213" s="4">
        <v>0</v>
      </c>
      <c r="C213" s="4">
        <v>0</v>
      </c>
      <c r="D213" s="4">
        <v>1</v>
      </c>
      <c r="E213" s="4">
        <v>224</v>
      </c>
      <c r="F213" s="4">
        <f>ROUND(Source!AR186,O213)</f>
        <v>118016.52</v>
      </c>
      <c r="G213" s="4" t="s">
        <v>114</v>
      </c>
      <c r="H213" s="4" t="s">
        <v>115</v>
      </c>
      <c r="I213" s="4"/>
      <c r="J213" s="4"/>
      <c r="K213" s="4">
        <v>224</v>
      </c>
      <c r="L213" s="4">
        <v>26</v>
      </c>
      <c r="M213" s="4">
        <v>3</v>
      </c>
      <c r="N213" s="4" t="s">
        <v>3</v>
      </c>
      <c r="O213" s="4">
        <v>2</v>
      </c>
      <c r="P213" s="4"/>
      <c r="Q213" s="4"/>
      <c r="R213" s="4"/>
      <c r="S213" s="4"/>
      <c r="T213" s="4"/>
      <c r="U213" s="4"/>
      <c r="V213" s="4"/>
      <c r="W213" s="4"/>
    </row>
    <row r="214" spans="1:245">
      <c r="A214" s="4">
        <v>50</v>
      </c>
      <c r="B214" s="4">
        <v>1</v>
      </c>
      <c r="C214" s="4">
        <v>0</v>
      </c>
      <c r="D214" s="4">
        <v>2</v>
      </c>
      <c r="E214" s="4">
        <v>0</v>
      </c>
      <c r="F214" s="4">
        <f>ROUND(F213,O214)</f>
        <v>118016.52</v>
      </c>
      <c r="G214" s="4" t="s">
        <v>4</v>
      </c>
      <c r="H214" s="4" t="s">
        <v>116</v>
      </c>
      <c r="I214" s="4"/>
      <c r="J214" s="4"/>
      <c r="K214" s="4">
        <v>212</v>
      </c>
      <c r="L214" s="4">
        <v>27</v>
      </c>
      <c r="M214" s="4">
        <v>0</v>
      </c>
      <c r="N214" s="4" t="s">
        <v>3</v>
      </c>
      <c r="O214" s="4">
        <v>2</v>
      </c>
      <c r="P214" s="4"/>
      <c r="Q214" s="4"/>
      <c r="R214" s="4"/>
      <c r="S214" s="4"/>
      <c r="T214" s="4"/>
      <c r="U214" s="4"/>
      <c r="V214" s="4"/>
      <c r="W214" s="4"/>
    </row>
    <row r="215" spans="1:245">
      <c r="A215" s="4">
        <v>50</v>
      </c>
      <c r="B215" s="4">
        <v>1</v>
      </c>
      <c r="C215" s="4">
        <v>0</v>
      </c>
      <c r="D215" s="4">
        <v>2</v>
      </c>
      <c r="E215" s="4">
        <v>0</v>
      </c>
      <c r="F215" s="4">
        <f>ROUND(F214*0.2,O215)</f>
        <v>23603.3</v>
      </c>
      <c r="G215" s="4" t="s">
        <v>22</v>
      </c>
      <c r="H215" s="4" t="s">
        <v>117</v>
      </c>
      <c r="I215" s="4"/>
      <c r="J215" s="4"/>
      <c r="K215" s="4">
        <v>212</v>
      </c>
      <c r="L215" s="4">
        <v>28</v>
      </c>
      <c r="M215" s="4">
        <v>0</v>
      </c>
      <c r="N215" s="4" t="s">
        <v>3</v>
      </c>
      <c r="O215" s="4">
        <v>2</v>
      </c>
      <c r="P215" s="4"/>
      <c r="Q215" s="4"/>
      <c r="R215" s="4"/>
      <c r="S215" s="4"/>
      <c r="T215" s="4"/>
      <c r="U215" s="4"/>
      <c r="V215" s="4"/>
      <c r="W215" s="4"/>
    </row>
    <row r="216" spans="1:245">
      <c r="A216" s="4">
        <v>50</v>
      </c>
      <c r="B216" s="4">
        <v>1</v>
      </c>
      <c r="C216" s="4">
        <v>0</v>
      </c>
      <c r="D216" s="4">
        <v>2</v>
      </c>
      <c r="E216" s="4">
        <v>0</v>
      </c>
      <c r="F216" s="4">
        <f>ROUND(F214+F215,O216)</f>
        <v>141619.82</v>
      </c>
      <c r="G216" s="4" t="s">
        <v>26</v>
      </c>
      <c r="H216" s="4" t="s">
        <v>118</v>
      </c>
      <c r="I216" s="4"/>
      <c r="J216" s="4"/>
      <c r="K216" s="4">
        <v>212</v>
      </c>
      <c r="L216" s="4">
        <v>29</v>
      </c>
      <c r="M216" s="4">
        <v>0</v>
      </c>
      <c r="N216" s="4" t="s">
        <v>3</v>
      </c>
      <c r="O216" s="4">
        <v>2</v>
      </c>
      <c r="P216" s="4"/>
      <c r="Q216" s="4"/>
      <c r="R216" s="4"/>
      <c r="S216" s="4"/>
      <c r="T216" s="4"/>
      <c r="U216" s="4"/>
      <c r="V216" s="4"/>
      <c r="W216" s="4"/>
    </row>
    <row r="218" spans="1:245">
      <c r="A218" s="1">
        <v>4</v>
      </c>
      <c r="B218" s="1">
        <v>1</v>
      </c>
      <c r="C218" s="1"/>
      <c r="D218" s="1">
        <f>ROW(A226)</f>
        <v>226</v>
      </c>
      <c r="E218" s="1"/>
      <c r="F218" s="1" t="s">
        <v>13</v>
      </c>
      <c r="G218" s="1" t="s">
        <v>212</v>
      </c>
      <c r="H218" s="1" t="s">
        <v>3</v>
      </c>
      <c r="I218" s="1">
        <v>0</v>
      </c>
      <c r="J218" s="1"/>
      <c r="K218" s="1">
        <v>0</v>
      </c>
      <c r="L218" s="1"/>
      <c r="M218" s="1"/>
      <c r="N218" s="1"/>
      <c r="O218" s="1"/>
      <c r="P218" s="1"/>
      <c r="Q218" s="1"/>
      <c r="R218" s="1"/>
      <c r="S218" s="1"/>
      <c r="T218" s="1"/>
      <c r="U218" s="1" t="s">
        <v>3</v>
      </c>
      <c r="V218" s="1">
        <v>0</v>
      </c>
      <c r="W218" s="1"/>
      <c r="X218" s="1"/>
      <c r="Y218" s="1"/>
      <c r="Z218" s="1"/>
      <c r="AA218" s="1"/>
      <c r="AB218" s="1" t="s">
        <v>3</v>
      </c>
      <c r="AC218" s="1" t="s">
        <v>3</v>
      </c>
      <c r="AD218" s="1" t="s">
        <v>3</v>
      </c>
      <c r="AE218" s="1" t="s">
        <v>3</v>
      </c>
      <c r="AF218" s="1" t="s">
        <v>3</v>
      </c>
      <c r="AG218" s="1" t="s">
        <v>3</v>
      </c>
      <c r="AH218" s="1"/>
      <c r="AI218" s="1"/>
      <c r="AJ218" s="1"/>
      <c r="AK218" s="1"/>
      <c r="AL218" s="1"/>
      <c r="AM218" s="1"/>
      <c r="AN218" s="1"/>
      <c r="AO218" s="1"/>
      <c r="AP218" s="1" t="s">
        <v>3</v>
      </c>
      <c r="AQ218" s="1" t="s">
        <v>3</v>
      </c>
      <c r="AR218" s="1" t="s">
        <v>3</v>
      </c>
      <c r="AS218" s="1"/>
      <c r="AT218" s="1"/>
      <c r="AU218" s="1"/>
      <c r="AV218" s="1"/>
      <c r="AW218" s="1"/>
      <c r="AX218" s="1"/>
      <c r="AY218" s="1"/>
      <c r="AZ218" s="1" t="s">
        <v>3</v>
      </c>
      <c r="BA218" s="1"/>
      <c r="BB218" s="1" t="s">
        <v>3</v>
      </c>
      <c r="BC218" s="1" t="s">
        <v>3</v>
      </c>
      <c r="BD218" s="1" t="s">
        <v>3</v>
      </c>
      <c r="BE218" s="1" t="s">
        <v>3</v>
      </c>
      <c r="BF218" s="1" t="s">
        <v>3</v>
      </c>
      <c r="BG218" s="1" t="s">
        <v>3</v>
      </c>
      <c r="BH218" s="1" t="s">
        <v>3</v>
      </c>
      <c r="BI218" s="1" t="s">
        <v>3</v>
      </c>
      <c r="BJ218" s="1" t="s">
        <v>3</v>
      </c>
      <c r="BK218" s="1" t="s">
        <v>3</v>
      </c>
      <c r="BL218" s="1" t="s">
        <v>3</v>
      </c>
      <c r="BM218" s="1" t="s">
        <v>3</v>
      </c>
      <c r="BN218" s="1" t="s">
        <v>3</v>
      </c>
      <c r="BO218" s="1" t="s">
        <v>3</v>
      </c>
      <c r="BP218" s="1" t="s">
        <v>3</v>
      </c>
      <c r="BQ218" s="1"/>
      <c r="BR218" s="1"/>
      <c r="BS218" s="1"/>
      <c r="BT218" s="1"/>
      <c r="BU218" s="1"/>
      <c r="BV218" s="1"/>
      <c r="BW218" s="1"/>
      <c r="BX218" s="1">
        <v>0</v>
      </c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>
        <v>0</v>
      </c>
    </row>
    <row r="220" spans="1:245">
      <c r="A220" s="2">
        <v>52</v>
      </c>
      <c r="B220" s="2">
        <f t="shared" ref="B220:G220" si="205">B226</f>
        <v>1</v>
      </c>
      <c r="C220" s="2">
        <f t="shared" si="205"/>
        <v>4</v>
      </c>
      <c r="D220" s="2">
        <f t="shared" si="205"/>
        <v>218</v>
      </c>
      <c r="E220" s="2">
        <f t="shared" si="205"/>
        <v>0</v>
      </c>
      <c r="F220" s="2" t="str">
        <f t="shared" si="205"/>
        <v>Новый раздел</v>
      </c>
      <c r="G220" s="2" t="str">
        <f t="shared" si="205"/>
        <v>Декоративное украшение территори озеленения</v>
      </c>
      <c r="H220" s="2"/>
      <c r="I220" s="2"/>
      <c r="J220" s="2"/>
      <c r="K220" s="2"/>
      <c r="L220" s="2"/>
      <c r="M220" s="2"/>
      <c r="N220" s="2"/>
      <c r="O220" s="2">
        <f t="shared" ref="O220:AT220" si="206">O226</f>
        <v>59598.82</v>
      </c>
      <c r="P220" s="2">
        <f t="shared" si="206"/>
        <v>46234.67</v>
      </c>
      <c r="Q220" s="2">
        <f t="shared" si="206"/>
        <v>381.41</v>
      </c>
      <c r="R220" s="2">
        <f t="shared" si="206"/>
        <v>234.17</v>
      </c>
      <c r="S220" s="2">
        <f t="shared" si="206"/>
        <v>12982.74</v>
      </c>
      <c r="T220" s="2">
        <f t="shared" si="206"/>
        <v>0</v>
      </c>
      <c r="U220" s="2">
        <f t="shared" si="206"/>
        <v>64.349800000000002</v>
      </c>
      <c r="V220" s="2">
        <f t="shared" si="206"/>
        <v>0</v>
      </c>
      <c r="W220" s="2">
        <f t="shared" si="206"/>
        <v>0</v>
      </c>
      <c r="X220" s="2">
        <f t="shared" si="206"/>
        <v>9087.91</v>
      </c>
      <c r="Y220" s="2">
        <f t="shared" si="206"/>
        <v>1298.27</v>
      </c>
      <c r="Z220" s="2">
        <f t="shared" si="206"/>
        <v>0</v>
      </c>
      <c r="AA220" s="2">
        <f t="shared" si="206"/>
        <v>0</v>
      </c>
      <c r="AB220" s="2">
        <f t="shared" si="206"/>
        <v>59598.82</v>
      </c>
      <c r="AC220" s="2">
        <f t="shared" si="206"/>
        <v>46234.67</v>
      </c>
      <c r="AD220" s="2">
        <f t="shared" si="206"/>
        <v>381.41</v>
      </c>
      <c r="AE220" s="2">
        <f t="shared" si="206"/>
        <v>234.17</v>
      </c>
      <c r="AF220" s="2">
        <f t="shared" si="206"/>
        <v>12982.74</v>
      </c>
      <c r="AG220" s="2">
        <f t="shared" si="206"/>
        <v>0</v>
      </c>
      <c r="AH220" s="2">
        <f t="shared" si="206"/>
        <v>64.349800000000002</v>
      </c>
      <c r="AI220" s="2">
        <f t="shared" si="206"/>
        <v>0</v>
      </c>
      <c r="AJ220" s="2">
        <f t="shared" si="206"/>
        <v>0</v>
      </c>
      <c r="AK220" s="2">
        <f t="shared" si="206"/>
        <v>9087.91</v>
      </c>
      <c r="AL220" s="2">
        <f t="shared" si="206"/>
        <v>1298.27</v>
      </c>
      <c r="AM220" s="2">
        <f t="shared" si="206"/>
        <v>0</v>
      </c>
      <c r="AN220" s="2">
        <f t="shared" si="206"/>
        <v>0</v>
      </c>
      <c r="AO220" s="2">
        <f t="shared" si="206"/>
        <v>0</v>
      </c>
      <c r="AP220" s="2">
        <f t="shared" si="206"/>
        <v>0</v>
      </c>
      <c r="AQ220" s="2">
        <f t="shared" si="206"/>
        <v>0</v>
      </c>
      <c r="AR220" s="2">
        <f t="shared" si="206"/>
        <v>70237.899999999994</v>
      </c>
      <c r="AS220" s="2">
        <f t="shared" si="206"/>
        <v>0</v>
      </c>
      <c r="AT220" s="2">
        <f t="shared" si="206"/>
        <v>0</v>
      </c>
      <c r="AU220" s="2">
        <f t="shared" ref="AU220:BZ220" si="207">AU226</f>
        <v>70237.899999999994</v>
      </c>
      <c r="AV220" s="2">
        <f t="shared" si="207"/>
        <v>46234.67</v>
      </c>
      <c r="AW220" s="2">
        <f t="shared" si="207"/>
        <v>46234.67</v>
      </c>
      <c r="AX220" s="2">
        <f t="shared" si="207"/>
        <v>0</v>
      </c>
      <c r="AY220" s="2">
        <f t="shared" si="207"/>
        <v>46234.67</v>
      </c>
      <c r="AZ220" s="2">
        <f t="shared" si="207"/>
        <v>0</v>
      </c>
      <c r="BA220" s="2">
        <f t="shared" si="207"/>
        <v>0</v>
      </c>
      <c r="BB220" s="2">
        <f t="shared" si="207"/>
        <v>0</v>
      </c>
      <c r="BC220" s="2">
        <f t="shared" si="207"/>
        <v>0</v>
      </c>
      <c r="BD220" s="2">
        <f t="shared" si="207"/>
        <v>0</v>
      </c>
      <c r="BE220" s="2">
        <f t="shared" si="207"/>
        <v>0</v>
      </c>
      <c r="BF220" s="2">
        <f t="shared" si="207"/>
        <v>0</v>
      </c>
      <c r="BG220" s="2">
        <f t="shared" si="207"/>
        <v>0</v>
      </c>
      <c r="BH220" s="2">
        <f t="shared" si="207"/>
        <v>0</v>
      </c>
      <c r="BI220" s="2">
        <f t="shared" si="207"/>
        <v>0</v>
      </c>
      <c r="BJ220" s="2">
        <f t="shared" si="207"/>
        <v>0</v>
      </c>
      <c r="BK220" s="2">
        <f t="shared" si="207"/>
        <v>0</v>
      </c>
      <c r="BL220" s="2">
        <f t="shared" si="207"/>
        <v>0</v>
      </c>
      <c r="BM220" s="2">
        <f t="shared" si="207"/>
        <v>0</v>
      </c>
      <c r="BN220" s="2">
        <f t="shared" si="207"/>
        <v>0</v>
      </c>
      <c r="BO220" s="2">
        <f t="shared" si="207"/>
        <v>0</v>
      </c>
      <c r="BP220" s="2">
        <f t="shared" si="207"/>
        <v>0</v>
      </c>
      <c r="BQ220" s="2">
        <f t="shared" si="207"/>
        <v>0</v>
      </c>
      <c r="BR220" s="2">
        <f t="shared" si="207"/>
        <v>0</v>
      </c>
      <c r="BS220" s="2">
        <f t="shared" si="207"/>
        <v>0</v>
      </c>
      <c r="BT220" s="2">
        <f t="shared" si="207"/>
        <v>0</v>
      </c>
      <c r="BU220" s="2">
        <f t="shared" si="207"/>
        <v>0</v>
      </c>
      <c r="BV220" s="2">
        <f t="shared" si="207"/>
        <v>0</v>
      </c>
      <c r="BW220" s="2">
        <f t="shared" si="207"/>
        <v>0</v>
      </c>
      <c r="BX220" s="2">
        <f t="shared" si="207"/>
        <v>0</v>
      </c>
      <c r="BY220" s="2">
        <f t="shared" si="207"/>
        <v>0</v>
      </c>
      <c r="BZ220" s="2">
        <f t="shared" si="207"/>
        <v>0</v>
      </c>
      <c r="CA220" s="2">
        <f t="shared" ref="CA220:DF220" si="208">CA226</f>
        <v>70237.899999999994</v>
      </c>
      <c r="CB220" s="2">
        <f t="shared" si="208"/>
        <v>0</v>
      </c>
      <c r="CC220" s="2">
        <f t="shared" si="208"/>
        <v>0</v>
      </c>
      <c r="CD220" s="2">
        <f t="shared" si="208"/>
        <v>70237.899999999994</v>
      </c>
      <c r="CE220" s="2">
        <f t="shared" si="208"/>
        <v>46234.67</v>
      </c>
      <c r="CF220" s="2">
        <f t="shared" si="208"/>
        <v>46234.67</v>
      </c>
      <c r="CG220" s="2">
        <f t="shared" si="208"/>
        <v>0</v>
      </c>
      <c r="CH220" s="2">
        <f t="shared" si="208"/>
        <v>46234.67</v>
      </c>
      <c r="CI220" s="2">
        <f t="shared" si="208"/>
        <v>0</v>
      </c>
      <c r="CJ220" s="2">
        <f t="shared" si="208"/>
        <v>0</v>
      </c>
      <c r="CK220" s="2">
        <f t="shared" si="208"/>
        <v>0</v>
      </c>
      <c r="CL220" s="2">
        <f t="shared" si="208"/>
        <v>0</v>
      </c>
      <c r="CM220" s="2">
        <f t="shared" si="208"/>
        <v>0</v>
      </c>
      <c r="CN220" s="2">
        <f t="shared" si="208"/>
        <v>0</v>
      </c>
      <c r="CO220" s="2">
        <f t="shared" si="208"/>
        <v>0</v>
      </c>
      <c r="CP220" s="2">
        <f t="shared" si="208"/>
        <v>0</v>
      </c>
      <c r="CQ220" s="2">
        <f t="shared" si="208"/>
        <v>0</v>
      </c>
      <c r="CR220" s="2">
        <f t="shared" si="208"/>
        <v>0</v>
      </c>
      <c r="CS220" s="2">
        <f t="shared" si="208"/>
        <v>0</v>
      </c>
      <c r="CT220" s="2">
        <f t="shared" si="208"/>
        <v>0</v>
      </c>
      <c r="CU220" s="2">
        <f t="shared" si="208"/>
        <v>0</v>
      </c>
      <c r="CV220" s="2">
        <f t="shared" si="208"/>
        <v>0</v>
      </c>
      <c r="CW220" s="2">
        <f t="shared" si="208"/>
        <v>0</v>
      </c>
      <c r="CX220" s="2">
        <f t="shared" si="208"/>
        <v>0</v>
      </c>
      <c r="CY220" s="2">
        <f t="shared" si="208"/>
        <v>0</v>
      </c>
      <c r="CZ220" s="2">
        <f t="shared" si="208"/>
        <v>0</v>
      </c>
      <c r="DA220" s="2">
        <f t="shared" si="208"/>
        <v>0</v>
      </c>
      <c r="DB220" s="2">
        <f t="shared" si="208"/>
        <v>0</v>
      </c>
      <c r="DC220" s="2">
        <f t="shared" si="208"/>
        <v>0</v>
      </c>
      <c r="DD220" s="2">
        <f t="shared" si="208"/>
        <v>0</v>
      </c>
      <c r="DE220" s="2">
        <f t="shared" si="208"/>
        <v>0</v>
      </c>
      <c r="DF220" s="2">
        <f t="shared" si="208"/>
        <v>0</v>
      </c>
      <c r="DG220" s="3">
        <f t="shared" ref="DG220:EL220" si="209">DG226</f>
        <v>0</v>
      </c>
      <c r="DH220" s="3">
        <f t="shared" si="209"/>
        <v>0</v>
      </c>
      <c r="DI220" s="3">
        <f t="shared" si="209"/>
        <v>0</v>
      </c>
      <c r="DJ220" s="3">
        <f t="shared" si="209"/>
        <v>0</v>
      </c>
      <c r="DK220" s="3">
        <f t="shared" si="209"/>
        <v>0</v>
      </c>
      <c r="DL220" s="3">
        <f t="shared" si="209"/>
        <v>0</v>
      </c>
      <c r="DM220" s="3">
        <f t="shared" si="209"/>
        <v>0</v>
      </c>
      <c r="DN220" s="3">
        <f t="shared" si="209"/>
        <v>0</v>
      </c>
      <c r="DO220" s="3">
        <f t="shared" si="209"/>
        <v>0</v>
      </c>
      <c r="DP220" s="3">
        <f t="shared" si="209"/>
        <v>0</v>
      </c>
      <c r="DQ220" s="3">
        <f t="shared" si="209"/>
        <v>0</v>
      </c>
      <c r="DR220" s="3">
        <f t="shared" si="209"/>
        <v>0</v>
      </c>
      <c r="DS220" s="3">
        <f t="shared" si="209"/>
        <v>0</v>
      </c>
      <c r="DT220" s="3">
        <f t="shared" si="209"/>
        <v>0</v>
      </c>
      <c r="DU220" s="3">
        <f t="shared" si="209"/>
        <v>0</v>
      </c>
      <c r="DV220" s="3">
        <f t="shared" si="209"/>
        <v>0</v>
      </c>
      <c r="DW220" s="3">
        <f t="shared" si="209"/>
        <v>0</v>
      </c>
      <c r="DX220" s="3">
        <f t="shared" si="209"/>
        <v>0</v>
      </c>
      <c r="DY220" s="3">
        <f t="shared" si="209"/>
        <v>0</v>
      </c>
      <c r="DZ220" s="3">
        <f t="shared" si="209"/>
        <v>0</v>
      </c>
      <c r="EA220" s="3">
        <f t="shared" si="209"/>
        <v>0</v>
      </c>
      <c r="EB220" s="3">
        <f t="shared" si="209"/>
        <v>0</v>
      </c>
      <c r="EC220" s="3">
        <f t="shared" si="209"/>
        <v>0</v>
      </c>
      <c r="ED220" s="3">
        <f t="shared" si="209"/>
        <v>0</v>
      </c>
      <c r="EE220" s="3">
        <f t="shared" si="209"/>
        <v>0</v>
      </c>
      <c r="EF220" s="3">
        <f t="shared" si="209"/>
        <v>0</v>
      </c>
      <c r="EG220" s="3">
        <f t="shared" si="209"/>
        <v>0</v>
      </c>
      <c r="EH220" s="3">
        <f t="shared" si="209"/>
        <v>0</v>
      </c>
      <c r="EI220" s="3">
        <f t="shared" si="209"/>
        <v>0</v>
      </c>
      <c r="EJ220" s="3">
        <f t="shared" si="209"/>
        <v>0</v>
      </c>
      <c r="EK220" s="3">
        <f t="shared" si="209"/>
        <v>0</v>
      </c>
      <c r="EL220" s="3">
        <f t="shared" si="209"/>
        <v>0</v>
      </c>
      <c r="EM220" s="3">
        <f t="shared" ref="EM220:FR220" si="210">EM226</f>
        <v>0</v>
      </c>
      <c r="EN220" s="3">
        <f t="shared" si="210"/>
        <v>0</v>
      </c>
      <c r="EO220" s="3">
        <f t="shared" si="210"/>
        <v>0</v>
      </c>
      <c r="EP220" s="3">
        <f t="shared" si="210"/>
        <v>0</v>
      </c>
      <c r="EQ220" s="3">
        <f t="shared" si="210"/>
        <v>0</v>
      </c>
      <c r="ER220" s="3">
        <f t="shared" si="210"/>
        <v>0</v>
      </c>
      <c r="ES220" s="3">
        <f t="shared" si="210"/>
        <v>0</v>
      </c>
      <c r="ET220" s="3">
        <f t="shared" si="210"/>
        <v>0</v>
      </c>
      <c r="EU220" s="3">
        <f t="shared" si="210"/>
        <v>0</v>
      </c>
      <c r="EV220" s="3">
        <f t="shared" si="210"/>
        <v>0</v>
      </c>
      <c r="EW220" s="3">
        <f t="shared" si="210"/>
        <v>0</v>
      </c>
      <c r="EX220" s="3">
        <f t="shared" si="210"/>
        <v>0</v>
      </c>
      <c r="EY220" s="3">
        <f t="shared" si="210"/>
        <v>0</v>
      </c>
      <c r="EZ220" s="3">
        <f t="shared" si="210"/>
        <v>0</v>
      </c>
      <c r="FA220" s="3">
        <f t="shared" si="210"/>
        <v>0</v>
      </c>
      <c r="FB220" s="3">
        <f t="shared" si="210"/>
        <v>0</v>
      </c>
      <c r="FC220" s="3">
        <f t="shared" si="210"/>
        <v>0</v>
      </c>
      <c r="FD220" s="3">
        <f t="shared" si="210"/>
        <v>0</v>
      </c>
      <c r="FE220" s="3">
        <f t="shared" si="210"/>
        <v>0</v>
      </c>
      <c r="FF220" s="3">
        <f t="shared" si="210"/>
        <v>0</v>
      </c>
      <c r="FG220" s="3">
        <f t="shared" si="210"/>
        <v>0</v>
      </c>
      <c r="FH220" s="3">
        <f t="shared" si="210"/>
        <v>0</v>
      </c>
      <c r="FI220" s="3">
        <f t="shared" si="210"/>
        <v>0</v>
      </c>
      <c r="FJ220" s="3">
        <f t="shared" si="210"/>
        <v>0</v>
      </c>
      <c r="FK220" s="3">
        <f t="shared" si="210"/>
        <v>0</v>
      </c>
      <c r="FL220" s="3">
        <f t="shared" si="210"/>
        <v>0</v>
      </c>
      <c r="FM220" s="3">
        <f t="shared" si="210"/>
        <v>0</v>
      </c>
      <c r="FN220" s="3">
        <f t="shared" si="210"/>
        <v>0</v>
      </c>
      <c r="FO220" s="3">
        <f t="shared" si="210"/>
        <v>0</v>
      </c>
      <c r="FP220" s="3">
        <f t="shared" si="210"/>
        <v>0</v>
      </c>
      <c r="FQ220" s="3">
        <f t="shared" si="210"/>
        <v>0</v>
      </c>
      <c r="FR220" s="3">
        <f t="shared" si="210"/>
        <v>0</v>
      </c>
      <c r="FS220" s="3">
        <f t="shared" ref="FS220:GX220" si="211">FS226</f>
        <v>0</v>
      </c>
      <c r="FT220" s="3">
        <f t="shared" si="211"/>
        <v>0</v>
      </c>
      <c r="FU220" s="3">
        <f t="shared" si="211"/>
        <v>0</v>
      </c>
      <c r="FV220" s="3">
        <f t="shared" si="211"/>
        <v>0</v>
      </c>
      <c r="FW220" s="3">
        <f t="shared" si="211"/>
        <v>0</v>
      </c>
      <c r="FX220" s="3">
        <f t="shared" si="211"/>
        <v>0</v>
      </c>
      <c r="FY220" s="3">
        <f t="shared" si="211"/>
        <v>0</v>
      </c>
      <c r="FZ220" s="3">
        <f t="shared" si="211"/>
        <v>0</v>
      </c>
      <c r="GA220" s="3">
        <f t="shared" si="211"/>
        <v>0</v>
      </c>
      <c r="GB220" s="3">
        <f t="shared" si="211"/>
        <v>0</v>
      </c>
      <c r="GC220" s="3">
        <f t="shared" si="211"/>
        <v>0</v>
      </c>
      <c r="GD220" s="3">
        <f t="shared" si="211"/>
        <v>0</v>
      </c>
      <c r="GE220" s="3">
        <f t="shared" si="211"/>
        <v>0</v>
      </c>
      <c r="GF220" s="3">
        <f t="shared" si="211"/>
        <v>0</v>
      </c>
      <c r="GG220" s="3">
        <f t="shared" si="211"/>
        <v>0</v>
      </c>
      <c r="GH220" s="3">
        <f t="shared" si="211"/>
        <v>0</v>
      </c>
      <c r="GI220" s="3">
        <f t="shared" si="211"/>
        <v>0</v>
      </c>
      <c r="GJ220" s="3">
        <f t="shared" si="211"/>
        <v>0</v>
      </c>
      <c r="GK220" s="3">
        <f t="shared" si="211"/>
        <v>0</v>
      </c>
      <c r="GL220" s="3">
        <f t="shared" si="211"/>
        <v>0</v>
      </c>
      <c r="GM220" s="3">
        <f t="shared" si="211"/>
        <v>0</v>
      </c>
      <c r="GN220" s="3">
        <f t="shared" si="211"/>
        <v>0</v>
      </c>
      <c r="GO220" s="3">
        <f t="shared" si="211"/>
        <v>0</v>
      </c>
      <c r="GP220" s="3">
        <f t="shared" si="211"/>
        <v>0</v>
      </c>
      <c r="GQ220" s="3">
        <f t="shared" si="211"/>
        <v>0</v>
      </c>
      <c r="GR220" s="3">
        <f t="shared" si="211"/>
        <v>0</v>
      </c>
      <c r="GS220" s="3">
        <f t="shared" si="211"/>
        <v>0</v>
      </c>
      <c r="GT220" s="3">
        <f t="shared" si="211"/>
        <v>0</v>
      </c>
      <c r="GU220" s="3">
        <f t="shared" si="211"/>
        <v>0</v>
      </c>
      <c r="GV220" s="3">
        <f t="shared" si="211"/>
        <v>0</v>
      </c>
      <c r="GW220" s="3">
        <f t="shared" si="211"/>
        <v>0</v>
      </c>
      <c r="GX220" s="3">
        <f t="shared" si="211"/>
        <v>0</v>
      </c>
    </row>
    <row r="222" spans="1:245">
      <c r="A222">
        <v>17</v>
      </c>
      <c r="B222">
        <v>1</v>
      </c>
      <c r="C222">
        <f>ROW(SmtRes!A97)</f>
        <v>97</v>
      </c>
      <c r="D222">
        <f>ROW(EtalonRes!A85)</f>
        <v>85</v>
      </c>
      <c r="E222" t="s">
        <v>213</v>
      </c>
      <c r="F222" t="s">
        <v>214</v>
      </c>
      <c r="G222" t="s">
        <v>215</v>
      </c>
      <c r="H222" t="s">
        <v>17</v>
      </c>
      <c r="I222">
        <f>ROUND(48/100,9)</f>
        <v>0.48</v>
      </c>
      <c r="J222">
        <v>0</v>
      </c>
      <c r="O222">
        <f>ROUND(CP222,2)</f>
        <v>2706.73</v>
      </c>
      <c r="P222">
        <f>ROUND(CQ222*I222,2)</f>
        <v>2516.54</v>
      </c>
      <c r="Q222">
        <f>ROUND(CR222*I222,2)</f>
        <v>0</v>
      </c>
      <c r="R222">
        <f>ROUND(CS222*I222,2)</f>
        <v>0</v>
      </c>
      <c r="S222">
        <f>ROUND(CT222*I222,2)</f>
        <v>190.19</v>
      </c>
      <c r="T222">
        <f>ROUND(CU222*I222,2)</f>
        <v>0</v>
      </c>
      <c r="U222">
        <f>CV222*I222</f>
        <v>0.94079999999999997</v>
      </c>
      <c r="V222">
        <f>CW222*I222</f>
        <v>0</v>
      </c>
      <c r="W222">
        <f>ROUND(CX222*I222,2)</f>
        <v>0</v>
      </c>
      <c r="X222">
        <f t="shared" ref="X222:Y224" si="212">ROUND(CY222,2)</f>
        <v>133.13</v>
      </c>
      <c r="Y222">
        <f t="shared" si="212"/>
        <v>19.02</v>
      </c>
      <c r="AA222">
        <v>41858681</v>
      </c>
      <c r="AB222">
        <f>ROUND((AC222+AD222+AF222),6)</f>
        <v>5639.03</v>
      </c>
      <c r="AC222">
        <f>ROUND((ES222),6)</f>
        <v>5242.8</v>
      </c>
      <c r="AD222">
        <f>ROUND((((ET222)-(EU222))+AE222),6)</f>
        <v>0</v>
      </c>
      <c r="AE222">
        <f>ROUND((EU222),6)</f>
        <v>0</v>
      </c>
      <c r="AF222">
        <f>ROUND((EV222),6)</f>
        <v>396.23</v>
      </c>
      <c r="AG222">
        <f>ROUND((AP222),6)</f>
        <v>0</v>
      </c>
      <c r="AH222">
        <f>(EW222)</f>
        <v>1.96</v>
      </c>
      <c r="AI222">
        <f>(EX222)</f>
        <v>0</v>
      </c>
      <c r="AJ222">
        <f>(AS222)</f>
        <v>0</v>
      </c>
      <c r="AK222">
        <v>5639.03</v>
      </c>
      <c r="AL222">
        <v>5242.8</v>
      </c>
      <c r="AM222">
        <v>0</v>
      </c>
      <c r="AN222">
        <v>0</v>
      </c>
      <c r="AO222">
        <v>396.23</v>
      </c>
      <c r="AP222">
        <v>0</v>
      </c>
      <c r="AQ222">
        <v>1.96</v>
      </c>
      <c r="AR222">
        <v>0</v>
      </c>
      <c r="AS222">
        <v>0</v>
      </c>
      <c r="AT222">
        <v>70</v>
      </c>
      <c r="AU222">
        <v>10</v>
      </c>
      <c r="AV222">
        <v>1</v>
      </c>
      <c r="AW222">
        <v>1</v>
      </c>
      <c r="AZ222">
        <v>1</v>
      </c>
      <c r="BA222">
        <v>1</v>
      </c>
      <c r="BB222">
        <v>1</v>
      </c>
      <c r="BC222">
        <v>1</v>
      </c>
      <c r="BD222" t="s">
        <v>3</v>
      </c>
      <c r="BE222" t="s">
        <v>3</v>
      </c>
      <c r="BF222" t="s">
        <v>3</v>
      </c>
      <c r="BG222" t="s">
        <v>3</v>
      </c>
      <c r="BH222">
        <v>0</v>
      </c>
      <c r="BI222">
        <v>4</v>
      </c>
      <c r="BJ222" t="s">
        <v>216</v>
      </c>
      <c r="BM222">
        <v>0</v>
      </c>
      <c r="BN222">
        <v>0</v>
      </c>
      <c r="BO222" t="s">
        <v>3</v>
      </c>
      <c r="BP222">
        <v>0</v>
      </c>
      <c r="BQ222">
        <v>1</v>
      </c>
      <c r="BR222">
        <v>0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 t="s">
        <v>3</v>
      </c>
      <c r="BZ222">
        <v>70</v>
      </c>
      <c r="CA222">
        <v>10</v>
      </c>
      <c r="CE222">
        <v>0</v>
      </c>
      <c r="CF222">
        <v>0</v>
      </c>
      <c r="CG222">
        <v>0</v>
      </c>
      <c r="CM222">
        <v>0</v>
      </c>
      <c r="CN222" t="s">
        <v>3</v>
      </c>
      <c r="CO222">
        <v>0</v>
      </c>
      <c r="CP222">
        <f>(P222+Q222+S222)</f>
        <v>2706.73</v>
      </c>
      <c r="CQ222">
        <f>(AC222*BC222*AW222)</f>
        <v>5242.8</v>
      </c>
      <c r="CR222">
        <f>((((ET222)*BB222-(EU222)*BS222)+AE222*BS222)*AV222)</f>
        <v>0</v>
      </c>
      <c r="CS222">
        <f>(AE222*BS222*AV222)</f>
        <v>0</v>
      </c>
      <c r="CT222">
        <f>(AF222*BA222*AV222)</f>
        <v>396.23</v>
      </c>
      <c r="CU222">
        <f>AG222</f>
        <v>0</v>
      </c>
      <c r="CV222">
        <f>(AH222*AV222)</f>
        <v>1.96</v>
      </c>
      <c r="CW222">
        <f t="shared" ref="CW222:CX224" si="213">AI222</f>
        <v>0</v>
      </c>
      <c r="CX222">
        <f t="shared" si="213"/>
        <v>0</v>
      </c>
      <c r="CY222">
        <f>((S222*BZ222)/100)</f>
        <v>133.13299999999998</v>
      </c>
      <c r="CZ222">
        <f>((S222*CA222)/100)</f>
        <v>19.019000000000002</v>
      </c>
      <c r="DC222" t="s">
        <v>3</v>
      </c>
      <c r="DD222" t="s">
        <v>3</v>
      </c>
      <c r="DE222" t="s">
        <v>3</v>
      </c>
      <c r="DF222" t="s">
        <v>3</v>
      </c>
      <c r="DG222" t="s">
        <v>3</v>
      </c>
      <c r="DH222" t="s">
        <v>3</v>
      </c>
      <c r="DI222" t="s">
        <v>3</v>
      </c>
      <c r="DJ222" t="s">
        <v>3</v>
      </c>
      <c r="DK222" t="s">
        <v>3</v>
      </c>
      <c r="DL222" t="s">
        <v>3</v>
      </c>
      <c r="DM222" t="s">
        <v>3</v>
      </c>
      <c r="DN222">
        <v>0</v>
      </c>
      <c r="DO222">
        <v>0</v>
      </c>
      <c r="DP222">
        <v>1</v>
      </c>
      <c r="DQ222">
        <v>1</v>
      </c>
      <c r="DU222">
        <v>1005</v>
      </c>
      <c r="DV222" t="s">
        <v>17</v>
      </c>
      <c r="DW222" t="s">
        <v>17</v>
      </c>
      <c r="DX222">
        <v>100</v>
      </c>
      <c r="EE222">
        <v>40050625</v>
      </c>
      <c r="EF222">
        <v>1</v>
      </c>
      <c r="EG222" t="s">
        <v>19</v>
      </c>
      <c r="EH222">
        <v>0</v>
      </c>
      <c r="EI222" t="s">
        <v>3</v>
      </c>
      <c r="EJ222">
        <v>4</v>
      </c>
      <c r="EK222">
        <v>0</v>
      </c>
      <c r="EL222" t="s">
        <v>20</v>
      </c>
      <c r="EM222" t="s">
        <v>21</v>
      </c>
      <c r="EO222" t="s">
        <v>3</v>
      </c>
      <c r="EQ222">
        <v>0</v>
      </c>
      <c r="ER222">
        <v>5639.03</v>
      </c>
      <c r="ES222">
        <v>5242.8</v>
      </c>
      <c r="ET222">
        <v>0</v>
      </c>
      <c r="EU222">
        <v>0</v>
      </c>
      <c r="EV222">
        <v>396.23</v>
      </c>
      <c r="EW222">
        <v>1.96</v>
      </c>
      <c r="EX222">
        <v>0</v>
      </c>
      <c r="EY222">
        <v>0</v>
      </c>
      <c r="FQ222">
        <v>0</v>
      </c>
      <c r="FR222">
        <f>ROUND(IF(AND(BH222=3,BI222=3),P222,0),2)</f>
        <v>0</v>
      </c>
      <c r="FS222">
        <v>0</v>
      </c>
      <c r="FX222">
        <v>70</v>
      </c>
      <c r="FY222">
        <v>10</v>
      </c>
      <c r="GA222" t="s">
        <v>3</v>
      </c>
      <c r="GD222">
        <v>0</v>
      </c>
      <c r="GF222">
        <v>-1041078693</v>
      </c>
      <c r="GG222">
        <v>2</v>
      </c>
      <c r="GH222">
        <v>1</v>
      </c>
      <c r="GI222">
        <v>-2</v>
      </c>
      <c r="GJ222">
        <v>0</v>
      </c>
      <c r="GK222">
        <f>ROUND(R222*(R12)/100,2)</f>
        <v>0</v>
      </c>
      <c r="GL222">
        <f>ROUND(IF(AND(BH222=3,BI222=3,FS222&lt;&gt;0),P222,0),2)</f>
        <v>0</v>
      </c>
      <c r="GM222">
        <f>ROUND(O222+X222+Y222+GK222,2)+GX222</f>
        <v>2858.88</v>
      </c>
      <c r="GN222">
        <f>IF(OR(BI222=0,BI222=1),ROUND(O222+X222+Y222+GK222,2),0)</f>
        <v>0</v>
      </c>
      <c r="GO222">
        <f>IF(BI222=2,ROUND(O222+X222+Y222+GK222,2),0)</f>
        <v>0</v>
      </c>
      <c r="GP222">
        <f>IF(BI222=4,ROUND(O222+X222+Y222+GK222,2)+GX222,0)</f>
        <v>2858.88</v>
      </c>
      <c r="GR222">
        <v>0</v>
      </c>
      <c r="GS222">
        <v>0</v>
      </c>
      <c r="GT222">
        <v>0</v>
      </c>
      <c r="GU222" t="s">
        <v>3</v>
      </c>
      <c r="GV222">
        <f>ROUND((GT222),6)</f>
        <v>0</v>
      </c>
      <c r="GW222">
        <v>1</v>
      </c>
      <c r="GX222">
        <f>ROUND(HC222*I222,2)</f>
        <v>0</v>
      </c>
      <c r="HA222">
        <v>0</v>
      </c>
      <c r="HB222">
        <v>0</v>
      </c>
      <c r="HC222">
        <f>GV222*GW222</f>
        <v>0</v>
      </c>
      <c r="IK222">
        <v>0</v>
      </c>
    </row>
    <row r="223" spans="1:245">
      <c r="A223">
        <v>17</v>
      </c>
      <c r="B223">
        <v>1</v>
      </c>
      <c r="C223">
        <f>ROW(SmtRes!A99)</f>
        <v>99</v>
      </c>
      <c r="D223">
        <f>ROW(EtalonRes!A87)</f>
        <v>87</v>
      </c>
      <c r="E223" t="s">
        <v>217</v>
      </c>
      <c r="F223" t="s">
        <v>218</v>
      </c>
      <c r="G223" t="s">
        <v>219</v>
      </c>
      <c r="H223" t="s">
        <v>17</v>
      </c>
      <c r="I223">
        <f>ROUND(48/100,9)</f>
        <v>0.48</v>
      </c>
      <c r="J223">
        <v>0</v>
      </c>
      <c r="O223">
        <f>ROUND(CP223,2)</f>
        <v>3996.05</v>
      </c>
      <c r="P223">
        <f>ROUND(CQ223*I223,2)</f>
        <v>3774.82</v>
      </c>
      <c r="Q223">
        <f>ROUND(CR223*I223,2)</f>
        <v>0</v>
      </c>
      <c r="R223">
        <f>ROUND(CS223*I223,2)</f>
        <v>0</v>
      </c>
      <c r="S223">
        <f>ROUND(CT223*I223,2)</f>
        <v>221.23</v>
      </c>
      <c r="T223">
        <f>ROUND(CU223*I223,2)</f>
        <v>0</v>
      </c>
      <c r="U223">
        <f>CV223*I223</f>
        <v>1.224</v>
      </c>
      <c r="V223">
        <f>CW223*I223</f>
        <v>0</v>
      </c>
      <c r="W223">
        <f>ROUND(CX223*I223,2)</f>
        <v>0</v>
      </c>
      <c r="X223">
        <f t="shared" si="212"/>
        <v>154.86000000000001</v>
      </c>
      <c r="Y223">
        <f t="shared" si="212"/>
        <v>22.12</v>
      </c>
      <c r="AA223">
        <v>41858681</v>
      </c>
      <c r="AB223">
        <f>ROUND((AC223+AD223+AF223),6)</f>
        <v>8325.09</v>
      </c>
      <c r="AC223">
        <f>ROUND(((ES223*3)),6)</f>
        <v>7864.2</v>
      </c>
      <c r="AD223">
        <f>ROUND(((((ET223*3))-((EU223*3)))+AE223),6)</f>
        <v>0</v>
      </c>
      <c r="AE223">
        <f>ROUND(((EU223*3)),6)</f>
        <v>0</v>
      </c>
      <c r="AF223">
        <f>ROUND(((EV223*3)),6)</f>
        <v>460.89</v>
      </c>
      <c r="AG223">
        <f>ROUND((AP223),6)</f>
        <v>0</v>
      </c>
      <c r="AH223">
        <f>((EW223*3))</f>
        <v>2.5499999999999998</v>
      </c>
      <c r="AI223">
        <f>((EX223*3))</f>
        <v>0</v>
      </c>
      <c r="AJ223">
        <f>(AS223)</f>
        <v>0</v>
      </c>
      <c r="AK223">
        <v>2775.03</v>
      </c>
      <c r="AL223">
        <v>2621.4</v>
      </c>
      <c r="AM223">
        <v>0</v>
      </c>
      <c r="AN223">
        <v>0</v>
      </c>
      <c r="AO223">
        <v>153.63</v>
      </c>
      <c r="AP223">
        <v>0</v>
      </c>
      <c r="AQ223">
        <v>0.85</v>
      </c>
      <c r="AR223">
        <v>0</v>
      </c>
      <c r="AS223">
        <v>0</v>
      </c>
      <c r="AT223">
        <v>70</v>
      </c>
      <c r="AU223">
        <v>10</v>
      </c>
      <c r="AV223">
        <v>1</v>
      </c>
      <c r="AW223">
        <v>1</v>
      </c>
      <c r="AZ223">
        <v>1</v>
      </c>
      <c r="BA223">
        <v>1</v>
      </c>
      <c r="BB223">
        <v>1</v>
      </c>
      <c r="BC223">
        <v>1</v>
      </c>
      <c r="BD223" t="s">
        <v>3</v>
      </c>
      <c r="BE223" t="s">
        <v>3</v>
      </c>
      <c r="BF223" t="s">
        <v>3</v>
      </c>
      <c r="BG223" t="s">
        <v>3</v>
      </c>
      <c r="BH223">
        <v>0</v>
      </c>
      <c r="BI223">
        <v>4</v>
      </c>
      <c r="BJ223" t="s">
        <v>220</v>
      </c>
      <c r="BM223">
        <v>0</v>
      </c>
      <c r="BN223">
        <v>0</v>
      </c>
      <c r="BO223" t="s">
        <v>3</v>
      </c>
      <c r="BP223">
        <v>0</v>
      </c>
      <c r="BQ223">
        <v>1</v>
      </c>
      <c r="BR223">
        <v>0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 t="s">
        <v>3</v>
      </c>
      <c r="BZ223">
        <v>70</v>
      </c>
      <c r="CA223">
        <v>10</v>
      </c>
      <c r="CE223">
        <v>0</v>
      </c>
      <c r="CF223">
        <v>0</v>
      </c>
      <c r="CG223">
        <v>0</v>
      </c>
      <c r="CM223">
        <v>0</v>
      </c>
      <c r="CN223" t="s">
        <v>3</v>
      </c>
      <c r="CO223">
        <v>0</v>
      </c>
      <c r="CP223">
        <f>(P223+Q223+S223)</f>
        <v>3996.05</v>
      </c>
      <c r="CQ223">
        <f>(AC223*BC223*AW223)</f>
        <v>7864.2</v>
      </c>
      <c r="CR223">
        <f>(((((ET223*3))*BB223-((EU223*3))*BS223)+AE223*BS223)*AV223)</f>
        <v>0</v>
      </c>
      <c r="CS223">
        <f>(AE223*BS223*AV223)</f>
        <v>0</v>
      </c>
      <c r="CT223">
        <f>(AF223*BA223*AV223)</f>
        <v>460.89</v>
      </c>
      <c r="CU223">
        <f>AG223</f>
        <v>0</v>
      </c>
      <c r="CV223">
        <f>(AH223*AV223)</f>
        <v>2.5499999999999998</v>
      </c>
      <c r="CW223">
        <f t="shared" si="213"/>
        <v>0</v>
      </c>
      <c r="CX223">
        <f t="shared" si="213"/>
        <v>0</v>
      </c>
      <c r="CY223">
        <f>((S223*BZ223)/100)</f>
        <v>154.86099999999999</v>
      </c>
      <c r="CZ223">
        <f>((S223*CA223)/100)</f>
        <v>22.122999999999998</v>
      </c>
      <c r="DC223" t="s">
        <v>3</v>
      </c>
      <c r="DD223" t="s">
        <v>221</v>
      </c>
      <c r="DE223" t="s">
        <v>221</v>
      </c>
      <c r="DF223" t="s">
        <v>221</v>
      </c>
      <c r="DG223" t="s">
        <v>221</v>
      </c>
      <c r="DH223" t="s">
        <v>3</v>
      </c>
      <c r="DI223" t="s">
        <v>221</v>
      </c>
      <c r="DJ223" t="s">
        <v>221</v>
      </c>
      <c r="DK223" t="s">
        <v>3</v>
      </c>
      <c r="DL223" t="s">
        <v>3</v>
      </c>
      <c r="DM223" t="s">
        <v>3</v>
      </c>
      <c r="DN223">
        <v>0</v>
      </c>
      <c r="DO223">
        <v>0</v>
      </c>
      <c r="DP223">
        <v>1</v>
      </c>
      <c r="DQ223">
        <v>1</v>
      </c>
      <c r="DU223">
        <v>1005</v>
      </c>
      <c r="DV223" t="s">
        <v>17</v>
      </c>
      <c r="DW223" t="s">
        <v>17</v>
      </c>
      <c r="DX223">
        <v>100</v>
      </c>
      <c r="EE223">
        <v>40050625</v>
      </c>
      <c r="EF223">
        <v>1</v>
      </c>
      <c r="EG223" t="s">
        <v>19</v>
      </c>
      <c r="EH223">
        <v>0</v>
      </c>
      <c r="EI223" t="s">
        <v>3</v>
      </c>
      <c r="EJ223">
        <v>4</v>
      </c>
      <c r="EK223">
        <v>0</v>
      </c>
      <c r="EL223" t="s">
        <v>20</v>
      </c>
      <c r="EM223" t="s">
        <v>21</v>
      </c>
      <c r="EO223" t="s">
        <v>3</v>
      </c>
      <c r="EQ223">
        <v>0</v>
      </c>
      <c r="ER223">
        <v>2775.03</v>
      </c>
      <c r="ES223">
        <v>2621.4</v>
      </c>
      <c r="ET223">
        <v>0</v>
      </c>
      <c r="EU223">
        <v>0</v>
      </c>
      <c r="EV223">
        <v>153.63</v>
      </c>
      <c r="EW223">
        <v>0.85</v>
      </c>
      <c r="EX223">
        <v>0</v>
      </c>
      <c r="EY223">
        <v>0</v>
      </c>
      <c r="FQ223">
        <v>0</v>
      </c>
      <c r="FR223">
        <f>ROUND(IF(AND(BH223=3,BI223=3),P223,0),2)</f>
        <v>0</v>
      </c>
      <c r="FS223">
        <v>0</v>
      </c>
      <c r="FX223">
        <v>70</v>
      </c>
      <c r="FY223">
        <v>10</v>
      </c>
      <c r="GA223" t="s">
        <v>3</v>
      </c>
      <c r="GD223">
        <v>0</v>
      </c>
      <c r="GF223">
        <v>1933159789</v>
      </c>
      <c r="GG223">
        <v>2</v>
      </c>
      <c r="GH223">
        <v>1</v>
      </c>
      <c r="GI223">
        <v>-2</v>
      </c>
      <c r="GJ223">
        <v>0</v>
      </c>
      <c r="GK223">
        <f>ROUND(R223*(R12)/100,2)</f>
        <v>0</v>
      </c>
      <c r="GL223">
        <f>ROUND(IF(AND(BH223=3,BI223=3,FS223&lt;&gt;0),P223,0),2)</f>
        <v>0</v>
      </c>
      <c r="GM223">
        <f>ROUND(O223+X223+Y223+GK223,2)+GX223</f>
        <v>4173.03</v>
      </c>
      <c r="GN223">
        <f>IF(OR(BI223=0,BI223=1),ROUND(O223+X223+Y223+GK223,2),0)</f>
        <v>0</v>
      </c>
      <c r="GO223">
        <f>IF(BI223=2,ROUND(O223+X223+Y223+GK223,2),0)</f>
        <v>0</v>
      </c>
      <c r="GP223">
        <f>IF(BI223=4,ROUND(O223+X223+Y223+GK223,2)+GX223,0)</f>
        <v>4173.03</v>
      </c>
      <c r="GR223">
        <v>0</v>
      </c>
      <c r="GS223">
        <v>0</v>
      </c>
      <c r="GT223">
        <v>0</v>
      </c>
      <c r="GU223" t="s">
        <v>3</v>
      </c>
      <c r="GV223">
        <f>ROUND((GT223),6)</f>
        <v>0</v>
      </c>
      <c r="GW223">
        <v>1</v>
      </c>
      <c r="GX223">
        <f>ROUND(HC223*I223,2)</f>
        <v>0</v>
      </c>
      <c r="HA223">
        <v>0</v>
      </c>
      <c r="HB223">
        <v>0</v>
      </c>
      <c r="HC223">
        <f>GV223*GW223</f>
        <v>0</v>
      </c>
      <c r="IK223">
        <v>0</v>
      </c>
    </row>
    <row r="224" spans="1:245">
      <c r="A224">
        <v>17</v>
      </c>
      <c r="B224">
        <v>1</v>
      </c>
      <c r="C224">
        <f>ROW(SmtRes!A110)</f>
        <v>110</v>
      </c>
      <c r="D224">
        <f>ROW(EtalonRes!A98)</f>
        <v>98</v>
      </c>
      <c r="E224" t="s">
        <v>222</v>
      </c>
      <c r="F224" t="s">
        <v>223</v>
      </c>
      <c r="G224" t="s">
        <v>224</v>
      </c>
      <c r="H224" t="s">
        <v>225</v>
      </c>
      <c r="I224">
        <f>ROUND(50/100,9)</f>
        <v>0.5</v>
      </c>
      <c r="J224">
        <v>0</v>
      </c>
      <c r="O224">
        <f>ROUND(CP224,2)</f>
        <v>52896.04</v>
      </c>
      <c r="P224">
        <f>ROUND(CQ224*I224,2)</f>
        <v>39943.31</v>
      </c>
      <c r="Q224">
        <f>ROUND(CR224*I224,2)</f>
        <v>381.41</v>
      </c>
      <c r="R224">
        <f>ROUND(CS224*I224,2)</f>
        <v>234.17</v>
      </c>
      <c r="S224">
        <f>ROUND(CT224*I224,2)</f>
        <v>12571.32</v>
      </c>
      <c r="T224">
        <f>ROUND(CU224*I224,2)</f>
        <v>0</v>
      </c>
      <c r="U224">
        <f>CV224*I224</f>
        <v>62.185000000000002</v>
      </c>
      <c r="V224">
        <f>CW224*I224</f>
        <v>0</v>
      </c>
      <c r="W224">
        <f>ROUND(CX224*I224,2)</f>
        <v>0</v>
      </c>
      <c r="X224">
        <f t="shared" si="212"/>
        <v>8799.92</v>
      </c>
      <c r="Y224">
        <f t="shared" si="212"/>
        <v>1257.1300000000001</v>
      </c>
      <c r="AA224">
        <v>41858681</v>
      </c>
      <c r="AB224">
        <f>ROUND((AC224+AD224+AF224),6)</f>
        <v>105792.07</v>
      </c>
      <c r="AC224">
        <f>ROUND((ES224),6)</f>
        <v>79886.62</v>
      </c>
      <c r="AD224">
        <f>ROUND((((ET224)-(EU224))+AE224),6)</f>
        <v>762.81</v>
      </c>
      <c r="AE224">
        <f>ROUND((EU224),6)</f>
        <v>468.34</v>
      </c>
      <c r="AF224">
        <f>ROUND((EV224),6)</f>
        <v>25142.639999999999</v>
      </c>
      <c r="AG224">
        <f>ROUND((AP224),6)</f>
        <v>0</v>
      </c>
      <c r="AH224">
        <f>(EW224)</f>
        <v>124.37</v>
      </c>
      <c r="AI224">
        <f>(EX224)</f>
        <v>0</v>
      </c>
      <c r="AJ224">
        <f>(AS224)</f>
        <v>0</v>
      </c>
      <c r="AK224">
        <v>105792.07</v>
      </c>
      <c r="AL224">
        <v>79886.62</v>
      </c>
      <c r="AM224">
        <v>762.81</v>
      </c>
      <c r="AN224">
        <v>468.34</v>
      </c>
      <c r="AO224">
        <v>25142.639999999999</v>
      </c>
      <c r="AP224">
        <v>0</v>
      </c>
      <c r="AQ224">
        <v>124.37</v>
      </c>
      <c r="AR224">
        <v>0</v>
      </c>
      <c r="AS224">
        <v>0</v>
      </c>
      <c r="AT224">
        <v>70</v>
      </c>
      <c r="AU224">
        <v>10</v>
      </c>
      <c r="AV224">
        <v>1</v>
      </c>
      <c r="AW224">
        <v>1</v>
      </c>
      <c r="AZ224">
        <v>1</v>
      </c>
      <c r="BA224">
        <v>1</v>
      </c>
      <c r="BB224">
        <v>1</v>
      </c>
      <c r="BC224">
        <v>1</v>
      </c>
      <c r="BD224" t="s">
        <v>3</v>
      </c>
      <c r="BE224" t="s">
        <v>3</v>
      </c>
      <c r="BF224" t="s">
        <v>3</v>
      </c>
      <c r="BG224" t="s">
        <v>3</v>
      </c>
      <c r="BH224">
        <v>0</v>
      </c>
      <c r="BI224">
        <v>4</v>
      </c>
      <c r="BJ224" t="s">
        <v>226</v>
      </c>
      <c r="BM224">
        <v>0</v>
      </c>
      <c r="BN224">
        <v>0</v>
      </c>
      <c r="BO224" t="s">
        <v>3</v>
      </c>
      <c r="BP224">
        <v>0</v>
      </c>
      <c r="BQ224">
        <v>1</v>
      </c>
      <c r="BR224">
        <v>0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 t="s">
        <v>3</v>
      </c>
      <c r="BZ224">
        <v>70</v>
      </c>
      <c r="CA224">
        <v>10</v>
      </c>
      <c r="CE224">
        <v>0</v>
      </c>
      <c r="CF224">
        <v>0</v>
      </c>
      <c r="CG224">
        <v>0</v>
      </c>
      <c r="CM224">
        <v>0</v>
      </c>
      <c r="CN224" t="s">
        <v>3</v>
      </c>
      <c r="CO224">
        <v>0</v>
      </c>
      <c r="CP224">
        <f>(P224+Q224+S224)</f>
        <v>52896.04</v>
      </c>
      <c r="CQ224">
        <f>(AC224*BC224*AW224)</f>
        <v>79886.62</v>
      </c>
      <c r="CR224">
        <f>((((ET224)*BB224-(EU224)*BS224)+AE224*BS224)*AV224)</f>
        <v>762.81</v>
      </c>
      <c r="CS224">
        <f>(AE224*BS224*AV224)</f>
        <v>468.34</v>
      </c>
      <c r="CT224">
        <f>(AF224*BA224*AV224)</f>
        <v>25142.639999999999</v>
      </c>
      <c r="CU224">
        <f>AG224</f>
        <v>0</v>
      </c>
      <c r="CV224">
        <f>(AH224*AV224)</f>
        <v>124.37</v>
      </c>
      <c r="CW224">
        <f t="shared" si="213"/>
        <v>0</v>
      </c>
      <c r="CX224">
        <f t="shared" si="213"/>
        <v>0</v>
      </c>
      <c r="CY224">
        <f>((S224*BZ224)/100)</f>
        <v>8799.9240000000009</v>
      </c>
      <c r="CZ224">
        <f>((S224*CA224)/100)</f>
        <v>1257.1320000000001</v>
      </c>
      <c r="DC224" t="s">
        <v>3</v>
      </c>
      <c r="DD224" t="s">
        <v>3</v>
      </c>
      <c r="DE224" t="s">
        <v>3</v>
      </c>
      <c r="DF224" t="s">
        <v>3</v>
      </c>
      <c r="DG224" t="s">
        <v>3</v>
      </c>
      <c r="DH224" t="s">
        <v>3</v>
      </c>
      <c r="DI224" t="s">
        <v>3</v>
      </c>
      <c r="DJ224" t="s">
        <v>3</v>
      </c>
      <c r="DK224" t="s">
        <v>3</v>
      </c>
      <c r="DL224" t="s">
        <v>3</v>
      </c>
      <c r="DM224" t="s">
        <v>3</v>
      </c>
      <c r="DN224">
        <v>0</v>
      </c>
      <c r="DO224">
        <v>0</v>
      </c>
      <c r="DP224">
        <v>1</v>
      </c>
      <c r="DQ224">
        <v>1</v>
      </c>
      <c r="DU224">
        <v>1003</v>
      </c>
      <c r="DV224" t="s">
        <v>225</v>
      </c>
      <c r="DW224" t="s">
        <v>225</v>
      </c>
      <c r="DX224">
        <v>100</v>
      </c>
      <c r="EE224">
        <v>40050625</v>
      </c>
      <c r="EF224">
        <v>1</v>
      </c>
      <c r="EG224" t="s">
        <v>19</v>
      </c>
      <c r="EH224">
        <v>0</v>
      </c>
      <c r="EI224" t="s">
        <v>3</v>
      </c>
      <c r="EJ224">
        <v>4</v>
      </c>
      <c r="EK224">
        <v>0</v>
      </c>
      <c r="EL224" t="s">
        <v>20</v>
      </c>
      <c r="EM224" t="s">
        <v>21</v>
      </c>
      <c r="EO224" t="s">
        <v>3</v>
      </c>
      <c r="EQ224">
        <v>0</v>
      </c>
      <c r="ER224">
        <v>105792.07</v>
      </c>
      <c r="ES224">
        <v>79886.62</v>
      </c>
      <c r="ET224">
        <v>762.81</v>
      </c>
      <c r="EU224">
        <v>468.34</v>
      </c>
      <c r="EV224">
        <v>25142.639999999999</v>
      </c>
      <c r="EW224">
        <v>124.37</v>
      </c>
      <c r="EX224">
        <v>0</v>
      </c>
      <c r="EY224">
        <v>0</v>
      </c>
      <c r="FQ224">
        <v>0</v>
      </c>
      <c r="FR224">
        <f>ROUND(IF(AND(BH224=3,BI224=3),P224,0),2)</f>
        <v>0</v>
      </c>
      <c r="FS224">
        <v>0</v>
      </c>
      <c r="FX224">
        <v>70</v>
      </c>
      <c r="FY224">
        <v>10</v>
      </c>
      <c r="GA224" t="s">
        <v>3</v>
      </c>
      <c r="GD224">
        <v>0</v>
      </c>
      <c r="GF224">
        <v>975154479</v>
      </c>
      <c r="GG224">
        <v>2</v>
      </c>
      <c r="GH224">
        <v>1</v>
      </c>
      <c r="GI224">
        <v>-2</v>
      </c>
      <c r="GJ224">
        <v>0</v>
      </c>
      <c r="GK224">
        <f>ROUND(R224*(R12)/100,2)</f>
        <v>252.9</v>
      </c>
      <c r="GL224">
        <f>ROUND(IF(AND(BH224=3,BI224=3,FS224&lt;&gt;0),P224,0),2)</f>
        <v>0</v>
      </c>
      <c r="GM224">
        <f>ROUND(O224+X224+Y224+GK224,2)+GX224</f>
        <v>63205.99</v>
      </c>
      <c r="GN224">
        <f>IF(OR(BI224=0,BI224=1),ROUND(O224+X224+Y224+GK224,2),0)</f>
        <v>0</v>
      </c>
      <c r="GO224">
        <f>IF(BI224=2,ROUND(O224+X224+Y224+GK224,2),0)</f>
        <v>0</v>
      </c>
      <c r="GP224">
        <f>IF(BI224=4,ROUND(O224+X224+Y224+GK224,2)+GX224,0)</f>
        <v>63205.99</v>
      </c>
      <c r="GR224">
        <v>0</v>
      </c>
      <c r="GS224">
        <v>0</v>
      </c>
      <c r="GT224">
        <v>0</v>
      </c>
      <c r="GU224" t="s">
        <v>3</v>
      </c>
      <c r="GV224">
        <f>ROUND((GT224),6)</f>
        <v>0</v>
      </c>
      <c r="GW224">
        <v>1</v>
      </c>
      <c r="GX224">
        <f>ROUND(HC224*I224,2)</f>
        <v>0</v>
      </c>
      <c r="HA224">
        <v>0</v>
      </c>
      <c r="HB224">
        <v>0</v>
      </c>
      <c r="HC224">
        <f>GV224*GW224</f>
        <v>0</v>
      </c>
      <c r="IK224">
        <v>0</v>
      </c>
    </row>
    <row r="226" spans="1:206">
      <c r="A226" s="2">
        <v>51</v>
      </c>
      <c r="B226" s="2">
        <f>B218</f>
        <v>1</v>
      </c>
      <c r="C226" s="2">
        <f>A218</f>
        <v>4</v>
      </c>
      <c r="D226" s="2">
        <f>ROW(A218)</f>
        <v>218</v>
      </c>
      <c r="E226" s="2"/>
      <c r="F226" s="2" t="str">
        <f>IF(F218&lt;&gt;"",F218,"")</f>
        <v>Новый раздел</v>
      </c>
      <c r="G226" s="2" t="str">
        <f>IF(G218&lt;&gt;"",G218,"")</f>
        <v>Декоративное украшение территори озеленения</v>
      </c>
      <c r="H226" s="2">
        <v>0</v>
      </c>
      <c r="I226" s="2"/>
      <c r="J226" s="2"/>
      <c r="K226" s="2"/>
      <c r="L226" s="2"/>
      <c r="M226" s="2"/>
      <c r="N226" s="2"/>
      <c r="O226" s="2">
        <f t="shared" ref="O226:T226" si="214">ROUND(AB226,2)</f>
        <v>59598.82</v>
      </c>
      <c r="P226" s="2">
        <f t="shared" si="214"/>
        <v>46234.67</v>
      </c>
      <c r="Q226" s="2">
        <f t="shared" si="214"/>
        <v>381.41</v>
      </c>
      <c r="R226" s="2">
        <f t="shared" si="214"/>
        <v>234.17</v>
      </c>
      <c r="S226" s="2">
        <f t="shared" si="214"/>
        <v>12982.74</v>
      </c>
      <c r="T226" s="2">
        <f t="shared" si="214"/>
        <v>0</v>
      </c>
      <c r="U226" s="2">
        <f>AH226</f>
        <v>64.349800000000002</v>
      </c>
      <c r="V226" s="2">
        <f>AI226</f>
        <v>0</v>
      </c>
      <c r="W226" s="2">
        <f>ROUND(AJ226,2)</f>
        <v>0</v>
      </c>
      <c r="X226" s="2">
        <f>ROUND(AK226,2)</f>
        <v>9087.91</v>
      </c>
      <c r="Y226" s="2">
        <f>ROUND(AL226,2)</f>
        <v>1298.27</v>
      </c>
      <c r="Z226" s="2"/>
      <c r="AA226" s="2"/>
      <c r="AB226" s="2">
        <f>ROUND(SUMIF(AA222:AA224,"=41858681",O222:O224),2)</f>
        <v>59598.82</v>
      </c>
      <c r="AC226" s="2">
        <f>ROUND(SUMIF(AA222:AA224,"=41858681",P222:P224),2)</f>
        <v>46234.67</v>
      </c>
      <c r="AD226" s="2">
        <f>ROUND(SUMIF(AA222:AA224,"=41858681",Q222:Q224),2)</f>
        <v>381.41</v>
      </c>
      <c r="AE226" s="2">
        <f>ROUND(SUMIF(AA222:AA224,"=41858681",R222:R224),2)</f>
        <v>234.17</v>
      </c>
      <c r="AF226" s="2">
        <f>ROUND(SUMIF(AA222:AA224,"=41858681",S222:S224),2)</f>
        <v>12982.74</v>
      </c>
      <c r="AG226" s="2">
        <f>ROUND(SUMIF(AA222:AA224,"=41858681",T222:T224),2)</f>
        <v>0</v>
      </c>
      <c r="AH226" s="2">
        <f>SUMIF(AA222:AA224,"=41858681",U222:U224)</f>
        <v>64.349800000000002</v>
      </c>
      <c r="AI226" s="2">
        <f>SUMIF(AA222:AA224,"=41858681",V222:V224)</f>
        <v>0</v>
      </c>
      <c r="AJ226" s="2">
        <f>ROUND(SUMIF(AA222:AA224,"=41858681",W222:W224),2)</f>
        <v>0</v>
      </c>
      <c r="AK226" s="2">
        <f>ROUND(SUMIF(AA222:AA224,"=41858681",X222:X224),2)</f>
        <v>9087.91</v>
      </c>
      <c r="AL226" s="2">
        <f>ROUND(SUMIF(AA222:AA224,"=41858681",Y222:Y224),2)</f>
        <v>1298.27</v>
      </c>
      <c r="AM226" s="2"/>
      <c r="AN226" s="2"/>
      <c r="AO226" s="2">
        <f t="shared" ref="AO226:BC226" si="215">ROUND(BX226,2)</f>
        <v>0</v>
      </c>
      <c r="AP226" s="2">
        <f t="shared" si="215"/>
        <v>0</v>
      </c>
      <c r="AQ226" s="2">
        <f t="shared" si="215"/>
        <v>0</v>
      </c>
      <c r="AR226" s="2">
        <f t="shared" si="215"/>
        <v>70237.899999999994</v>
      </c>
      <c r="AS226" s="2">
        <f t="shared" si="215"/>
        <v>0</v>
      </c>
      <c r="AT226" s="2">
        <f t="shared" si="215"/>
        <v>0</v>
      </c>
      <c r="AU226" s="2">
        <f t="shared" si="215"/>
        <v>70237.899999999994</v>
      </c>
      <c r="AV226" s="2">
        <f t="shared" si="215"/>
        <v>46234.67</v>
      </c>
      <c r="AW226" s="2">
        <f t="shared" si="215"/>
        <v>46234.67</v>
      </c>
      <c r="AX226" s="2">
        <f t="shared" si="215"/>
        <v>0</v>
      </c>
      <c r="AY226" s="2">
        <f t="shared" si="215"/>
        <v>46234.67</v>
      </c>
      <c r="AZ226" s="2">
        <f t="shared" si="215"/>
        <v>0</v>
      </c>
      <c r="BA226" s="2">
        <f t="shared" si="215"/>
        <v>0</v>
      </c>
      <c r="BB226" s="2">
        <f t="shared" si="215"/>
        <v>0</v>
      </c>
      <c r="BC226" s="2">
        <f t="shared" si="215"/>
        <v>0</v>
      </c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>
        <f>ROUND(SUMIF(AA222:AA224,"=41858681",FQ222:FQ224),2)</f>
        <v>0</v>
      </c>
      <c r="BY226" s="2">
        <f>ROUND(SUMIF(AA222:AA224,"=41858681",FR222:FR224),2)</f>
        <v>0</v>
      </c>
      <c r="BZ226" s="2">
        <f>ROUND(SUMIF(AA222:AA224,"=41858681",GL222:GL224),2)</f>
        <v>0</v>
      </c>
      <c r="CA226" s="2">
        <f>ROUND(SUMIF(AA222:AA224,"=41858681",GM222:GM224),2)</f>
        <v>70237.899999999994</v>
      </c>
      <c r="CB226" s="2">
        <f>ROUND(SUMIF(AA222:AA224,"=41858681",GN222:GN224),2)</f>
        <v>0</v>
      </c>
      <c r="CC226" s="2">
        <f>ROUND(SUMIF(AA222:AA224,"=41858681",GO222:GO224),2)</f>
        <v>0</v>
      </c>
      <c r="CD226" s="2">
        <f>ROUND(SUMIF(AA222:AA224,"=41858681",GP222:GP224),2)</f>
        <v>70237.899999999994</v>
      </c>
      <c r="CE226" s="2">
        <f>AC226-BX226</f>
        <v>46234.67</v>
      </c>
      <c r="CF226" s="2">
        <f>AC226-BY226</f>
        <v>46234.67</v>
      </c>
      <c r="CG226" s="2">
        <f>BX226-BZ226</f>
        <v>0</v>
      </c>
      <c r="CH226" s="2">
        <f>AC226-BX226-BY226+BZ226</f>
        <v>46234.67</v>
      </c>
      <c r="CI226" s="2">
        <f>BY226-BZ226</f>
        <v>0</v>
      </c>
      <c r="CJ226" s="2">
        <f>ROUND(SUMIF(AA222:AA224,"=41858681",GX222:GX224),2)</f>
        <v>0</v>
      </c>
      <c r="CK226" s="2">
        <f>ROUND(SUMIF(AA222:AA224,"=41858681",GY222:GY224),2)</f>
        <v>0</v>
      </c>
      <c r="CL226" s="2">
        <f>ROUND(SUMIF(AA222:AA224,"=41858681",GZ222:GZ224),2)</f>
        <v>0</v>
      </c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>
        <v>0</v>
      </c>
    </row>
    <row r="228" spans="1:206">
      <c r="A228" s="4">
        <v>50</v>
      </c>
      <c r="B228" s="4">
        <v>0</v>
      </c>
      <c r="C228" s="4">
        <v>0</v>
      </c>
      <c r="D228" s="4">
        <v>1</v>
      </c>
      <c r="E228" s="4">
        <v>201</v>
      </c>
      <c r="F228" s="4">
        <f>ROUND(Source!O226,O228)</f>
        <v>59598.82</v>
      </c>
      <c r="G228" s="4" t="s">
        <v>64</v>
      </c>
      <c r="H228" s="4" t="s">
        <v>65</v>
      </c>
      <c r="I228" s="4"/>
      <c r="J228" s="4"/>
      <c r="K228" s="4">
        <v>201</v>
      </c>
      <c r="L228" s="4">
        <v>1</v>
      </c>
      <c r="M228" s="4">
        <v>3</v>
      </c>
      <c r="N228" s="4" t="s">
        <v>3</v>
      </c>
      <c r="O228" s="4">
        <v>2</v>
      </c>
      <c r="P228" s="4"/>
      <c r="Q228" s="4"/>
      <c r="R228" s="4"/>
      <c r="S228" s="4"/>
      <c r="T228" s="4"/>
      <c r="U228" s="4"/>
      <c r="V228" s="4"/>
      <c r="W228" s="4"/>
    </row>
    <row r="229" spans="1:206">
      <c r="A229" s="4">
        <v>50</v>
      </c>
      <c r="B229" s="4">
        <v>0</v>
      </c>
      <c r="C229" s="4">
        <v>0</v>
      </c>
      <c r="D229" s="4">
        <v>1</v>
      </c>
      <c r="E229" s="4">
        <v>202</v>
      </c>
      <c r="F229" s="4">
        <f>ROUND(Source!P226,O229)</f>
        <v>46234.67</v>
      </c>
      <c r="G229" s="4" t="s">
        <v>66</v>
      </c>
      <c r="H229" s="4" t="s">
        <v>67</v>
      </c>
      <c r="I229" s="4"/>
      <c r="J229" s="4"/>
      <c r="K229" s="4">
        <v>202</v>
      </c>
      <c r="L229" s="4">
        <v>2</v>
      </c>
      <c r="M229" s="4">
        <v>3</v>
      </c>
      <c r="N229" s="4" t="s">
        <v>3</v>
      </c>
      <c r="O229" s="4">
        <v>2</v>
      </c>
      <c r="P229" s="4"/>
      <c r="Q229" s="4"/>
      <c r="R229" s="4"/>
      <c r="S229" s="4"/>
      <c r="T229" s="4"/>
      <c r="U229" s="4"/>
      <c r="V229" s="4"/>
      <c r="W229" s="4"/>
    </row>
    <row r="230" spans="1:206">
      <c r="A230" s="4">
        <v>50</v>
      </c>
      <c r="B230" s="4">
        <v>0</v>
      </c>
      <c r="C230" s="4">
        <v>0</v>
      </c>
      <c r="D230" s="4">
        <v>1</v>
      </c>
      <c r="E230" s="4">
        <v>222</v>
      </c>
      <c r="F230" s="4">
        <f>ROUND(Source!AO226,O230)</f>
        <v>0</v>
      </c>
      <c r="G230" s="4" t="s">
        <v>68</v>
      </c>
      <c r="H230" s="4" t="s">
        <v>69</v>
      </c>
      <c r="I230" s="4"/>
      <c r="J230" s="4"/>
      <c r="K230" s="4">
        <v>222</v>
      </c>
      <c r="L230" s="4">
        <v>3</v>
      </c>
      <c r="M230" s="4">
        <v>3</v>
      </c>
      <c r="N230" s="4" t="s">
        <v>3</v>
      </c>
      <c r="O230" s="4">
        <v>2</v>
      </c>
      <c r="P230" s="4"/>
      <c r="Q230" s="4"/>
      <c r="R230" s="4"/>
      <c r="S230" s="4"/>
      <c r="T230" s="4"/>
      <c r="U230" s="4"/>
      <c r="V230" s="4"/>
      <c r="W230" s="4"/>
    </row>
    <row r="231" spans="1:206">
      <c r="A231" s="4">
        <v>50</v>
      </c>
      <c r="B231" s="4">
        <v>0</v>
      </c>
      <c r="C231" s="4">
        <v>0</v>
      </c>
      <c r="D231" s="4">
        <v>1</v>
      </c>
      <c r="E231" s="4">
        <v>225</v>
      </c>
      <c r="F231" s="4">
        <f>ROUND(Source!AV226,O231)</f>
        <v>46234.67</v>
      </c>
      <c r="G231" s="4" t="s">
        <v>70</v>
      </c>
      <c r="H231" s="4" t="s">
        <v>71</v>
      </c>
      <c r="I231" s="4"/>
      <c r="J231" s="4"/>
      <c r="K231" s="4">
        <v>225</v>
      </c>
      <c r="L231" s="4">
        <v>4</v>
      </c>
      <c r="M231" s="4">
        <v>3</v>
      </c>
      <c r="N231" s="4" t="s">
        <v>3</v>
      </c>
      <c r="O231" s="4">
        <v>2</v>
      </c>
      <c r="P231" s="4"/>
      <c r="Q231" s="4"/>
      <c r="R231" s="4"/>
      <c r="S231" s="4"/>
      <c r="T231" s="4"/>
      <c r="U231" s="4"/>
      <c r="V231" s="4"/>
      <c r="W231" s="4"/>
    </row>
    <row r="232" spans="1:206">
      <c r="A232" s="4">
        <v>50</v>
      </c>
      <c r="B232" s="4">
        <v>0</v>
      </c>
      <c r="C232" s="4">
        <v>0</v>
      </c>
      <c r="D232" s="4">
        <v>1</v>
      </c>
      <c r="E232" s="4">
        <v>226</v>
      </c>
      <c r="F232" s="4">
        <f>ROUND(Source!AW226,O232)</f>
        <v>46234.67</v>
      </c>
      <c r="G232" s="4" t="s">
        <v>72</v>
      </c>
      <c r="H232" s="4" t="s">
        <v>73</v>
      </c>
      <c r="I232" s="4"/>
      <c r="J232" s="4"/>
      <c r="K232" s="4">
        <v>226</v>
      </c>
      <c r="L232" s="4">
        <v>5</v>
      </c>
      <c r="M232" s="4">
        <v>3</v>
      </c>
      <c r="N232" s="4" t="s">
        <v>3</v>
      </c>
      <c r="O232" s="4">
        <v>2</v>
      </c>
      <c r="P232" s="4"/>
      <c r="Q232" s="4"/>
      <c r="R232" s="4"/>
      <c r="S232" s="4"/>
      <c r="T232" s="4"/>
      <c r="U232" s="4"/>
      <c r="V232" s="4"/>
      <c r="W232" s="4"/>
    </row>
    <row r="233" spans="1:206">
      <c r="A233" s="4">
        <v>50</v>
      </c>
      <c r="B233" s="4">
        <v>0</v>
      </c>
      <c r="C233" s="4">
        <v>0</v>
      </c>
      <c r="D233" s="4">
        <v>1</v>
      </c>
      <c r="E233" s="4">
        <v>227</v>
      </c>
      <c r="F233" s="4">
        <f>ROUND(Source!AX226,O233)</f>
        <v>0</v>
      </c>
      <c r="G233" s="4" t="s">
        <v>74</v>
      </c>
      <c r="H233" s="4" t="s">
        <v>75</v>
      </c>
      <c r="I233" s="4"/>
      <c r="J233" s="4"/>
      <c r="K233" s="4">
        <v>227</v>
      </c>
      <c r="L233" s="4">
        <v>6</v>
      </c>
      <c r="M233" s="4">
        <v>3</v>
      </c>
      <c r="N233" s="4" t="s">
        <v>3</v>
      </c>
      <c r="O233" s="4">
        <v>2</v>
      </c>
      <c r="P233" s="4"/>
      <c r="Q233" s="4"/>
      <c r="R233" s="4"/>
      <c r="S233" s="4"/>
      <c r="T233" s="4"/>
      <c r="U233" s="4"/>
      <c r="V233" s="4"/>
      <c r="W233" s="4"/>
    </row>
    <row r="234" spans="1:206">
      <c r="A234" s="4">
        <v>50</v>
      </c>
      <c r="B234" s="4">
        <v>0</v>
      </c>
      <c r="C234" s="4">
        <v>0</v>
      </c>
      <c r="D234" s="4">
        <v>1</v>
      </c>
      <c r="E234" s="4">
        <v>228</v>
      </c>
      <c r="F234" s="4">
        <f>ROUND(Source!AY226,O234)</f>
        <v>46234.67</v>
      </c>
      <c r="G234" s="4" t="s">
        <v>76</v>
      </c>
      <c r="H234" s="4" t="s">
        <v>77</v>
      </c>
      <c r="I234" s="4"/>
      <c r="J234" s="4"/>
      <c r="K234" s="4">
        <v>228</v>
      </c>
      <c r="L234" s="4">
        <v>7</v>
      </c>
      <c r="M234" s="4">
        <v>3</v>
      </c>
      <c r="N234" s="4" t="s">
        <v>3</v>
      </c>
      <c r="O234" s="4">
        <v>2</v>
      </c>
      <c r="P234" s="4"/>
      <c r="Q234" s="4"/>
      <c r="R234" s="4"/>
      <c r="S234" s="4"/>
      <c r="T234" s="4"/>
      <c r="U234" s="4"/>
      <c r="V234" s="4"/>
      <c r="W234" s="4"/>
    </row>
    <row r="235" spans="1:206">
      <c r="A235" s="4">
        <v>50</v>
      </c>
      <c r="B235" s="4">
        <v>0</v>
      </c>
      <c r="C235" s="4">
        <v>0</v>
      </c>
      <c r="D235" s="4">
        <v>1</v>
      </c>
      <c r="E235" s="4">
        <v>216</v>
      </c>
      <c r="F235" s="4">
        <f>ROUND(Source!AP226,O235)</f>
        <v>0</v>
      </c>
      <c r="G235" s="4" t="s">
        <v>78</v>
      </c>
      <c r="H235" s="4" t="s">
        <v>79</v>
      </c>
      <c r="I235" s="4"/>
      <c r="J235" s="4"/>
      <c r="K235" s="4">
        <v>216</v>
      </c>
      <c r="L235" s="4">
        <v>8</v>
      </c>
      <c r="M235" s="4">
        <v>3</v>
      </c>
      <c r="N235" s="4" t="s">
        <v>3</v>
      </c>
      <c r="O235" s="4">
        <v>2</v>
      </c>
      <c r="P235" s="4"/>
      <c r="Q235" s="4"/>
      <c r="R235" s="4"/>
      <c r="S235" s="4"/>
      <c r="T235" s="4"/>
      <c r="U235" s="4"/>
      <c r="V235" s="4"/>
      <c r="W235" s="4"/>
    </row>
    <row r="236" spans="1:206">
      <c r="A236" s="4">
        <v>50</v>
      </c>
      <c r="B236" s="4">
        <v>0</v>
      </c>
      <c r="C236" s="4">
        <v>0</v>
      </c>
      <c r="D236" s="4">
        <v>1</v>
      </c>
      <c r="E236" s="4">
        <v>223</v>
      </c>
      <c r="F236" s="4">
        <f>ROUND(Source!AQ226,O236)</f>
        <v>0</v>
      </c>
      <c r="G236" s="4" t="s">
        <v>80</v>
      </c>
      <c r="H236" s="4" t="s">
        <v>81</v>
      </c>
      <c r="I236" s="4"/>
      <c r="J236" s="4"/>
      <c r="K236" s="4">
        <v>223</v>
      </c>
      <c r="L236" s="4">
        <v>9</v>
      </c>
      <c r="M236" s="4">
        <v>3</v>
      </c>
      <c r="N236" s="4" t="s">
        <v>3</v>
      </c>
      <c r="O236" s="4">
        <v>2</v>
      </c>
      <c r="P236" s="4"/>
      <c r="Q236" s="4"/>
      <c r="R236" s="4"/>
      <c r="S236" s="4"/>
      <c r="T236" s="4"/>
      <c r="U236" s="4"/>
      <c r="V236" s="4"/>
      <c r="W236" s="4"/>
    </row>
    <row r="237" spans="1:206">
      <c r="A237" s="4">
        <v>50</v>
      </c>
      <c r="B237" s="4">
        <v>0</v>
      </c>
      <c r="C237" s="4">
        <v>0</v>
      </c>
      <c r="D237" s="4">
        <v>1</v>
      </c>
      <c r="E237" s="4">
        <v>229</v>
      </c>
      <c r="F237" s="4">
        <f>ROUND(Source!AZ226,O237)</f>
        <v>0</v>
      </c>
      <c r="G237" s="4" t="s">
        <v>82</v>
      </c>
      <c r="H237" s="4" t="s">
        <v>83</v>
      </c>
      <c r="I237" s="4"/>
      <c r="J237" s="4"/>
      <c r="K237" s="4">
        <v>229</v>
      </c>
      <c r="L237" s="4">
        <v>10</v>
      </c>
      <c r="M237" s="4">
        <v>3</v>
      </c>
      <c r="N237" s="4" t="s">
        <v>3</v>
      </c>
      <c r="O237" s="4">
        <v>2</v>
      </c>
      <c r="P237" s="4"/>
      <c r="Q237" s="4"/>
      <c r="R237" s="4"/>
      <c r="S237" s="4"/>
      <c r="T237" s="4"/>
      <c r="U237" s="4"/>
      <c r="V237" s="4"/>
      <c r="W237" s="4"/>
    </row>
    <row r="238" spans="1:206">
      <c r="A238" s="4">
        <v>50</v>
      </c>
      <c r="B238" s="4">
        <v>0</v>
      </c>
      <c r="C238" s="4">
        <v>0</v>
      </c>
      <c r="D238" s="4">
        <v>1</v>
      </c>
      <c r="E238" s="4">
        <v>203</v>
      </c>
      <c r="F238" s="4">
        <f>ROUND(Source!Q226,O238)</f>
        <v>381.41</v>
      </c>
      <c r="G238" s="4" t="s">
        <v>84</v>
      </c>
      <c r="H238" s="4" t="s">
        <v>85</v>
      </c>
      <c r="I238" s="4"/>
      <c r="J238" s="4"/>
      <c r="K238" s="4">
        <v>203</v>
      </c>
      <c r="L238" s="4">
        <v>11</v>
      </c>
      <c r="M238" s="4">
        <v>3</v>
      </c>
      <c r="N238" s="4" t="s">
        <v>3</v>
      </c>
      <c r="O238" s="4">
        <v>2</v>
      </c>
      <c r="P238" s="4"/>
      <c r="Q238" s="4"/>
      <c r="R238" s="4"/>
      <c r="S238" s="4"/>
      <c r="T238" s="4"/>
      <c r="U238" s="4"/>
      <c r="V238" s="4"/>
      <c r="W238" s="4"/>
    </row>
    <row r="239" spans="1:206">
      <c r="A239" s="4">
        <v>50</v>
      </c>
      <c r="B239" s="4">
        <v>0</v>
      </c>
      <c r="C239" s="4">
        <v>0</v>
      </c>
      <c r="D239" s="4">
        <v>1</v>
      </c>
      <c r="E239" s="4">
        <v>231</v>
      </c>
      <c r="F239" s="4">
        <f>ROUND(Source!BB226,O239)</f>
        <v>0</v>
      </c>
      <c r="G239" s="4" t="s">
        <v>86</v>
      </c>
      <c r="H239" s="4" t="s">
        <v>87</v>
      </c>
      <c r="I239" s="4"/>
      <c r="J239" s="4"/>
      <c r="K239" s="4">
        <v>231</v>
      </c>
      <c r="L239" s="4">
        <v>12</v>
      </c>
      <c r="M239" s="4">
        <v>3</v>
      </c>
      <c r="N239" s="4" t="s">
        <v>3</v>
      </c>
      <c r="O239" s="4">
        <v>2</v>
      </c>
      <c r="P239" s="4"/>
      <c r="Q239" s="4"/>
      <c r="R239" s="4"/>
      <c r="S239" s="4"/>
      <c r="T239" s="4"/>
      <c r="U239" s="4"/>
      <c r="V239" s="4"/>
      <c r="W239" s="4"/>
    </row>
    <row r="240" spans="1:206">
      <c r="A240" s="4">
        <v>50</v>
      </c>
      <c r="B240" s="4">
        <v>0</v>
      </c>
      <c r="C240" s="4">
        <v>0</v>
      </c>
      <c r="D240" s="4">
        <v>1</v>
      </c>
      <c r="E240" s="4">
        <v>204</v>
      </c>
      <c r="F240" s="4">
        <f>ROUND(Source!R226,O240)</f>
        <v>234.17</v>
      </c>
      <c r="G240" s="4" t="s">
        <v>88</v>
      </c>
      <c r="H240" s="4" t="s">
        <v>89</v>
      </c>
      <c r="I240" s="4"/>
      <c r="J240" s="4"/>
      <c r="K240" s="4">
        <v>204</v>
      </c>
      <c r="L240" s="4">
        <v>13</v>
      </c>
      <c r="M240" s="4">
        <v>3</v>
      </c>
      <c r="N240" s="4" t="s">
        <v>3</v>
      </c>
      <c r="O240" s="4">
        <v>2</v>
      </c>
      <c r="P240" s="4"/>
      <c r="Q240" s="4"/>
      <c r="R240" s="4"/>
      <c r="S240" s="4"/>
      <c r="T240" s="4"/>
      <c r="U240" s="4"/>
      <c r="V240" s="4"/>
      <c r="W240" s="4"/>
    </row>
    <row r="241" spans="1:23">
      <c r="A241" s="4">
        <v>50</v>
      </c>
      <c r="B241" s="4">
        <v>0</v>
      </c>
      <c r="C241" s="4">
        <v>0</v>
      </c>
      <c r="D241" s="4">
        <v>1</v>
      </c>
      <c r="E241" s="4">
        <v>205</v>
      </c>
      <c r="F241" s="4">
        <f>ROUND(Source!S226,O241)</f>
        <v>12982.74</v>
      </c>
      <c r="G241" s="4" t="s">
        <v>90</v>
      </c>
      <c r="H241" s="4" t="s">
        <v>91</v>
      </c>
      <c r="I241" s="4"/>
      <c r="J241" s="4"/>
      <c r="K241" s="4">
        <v>205</v>
      </c>
      <c r="L241" s="4">
        <v>14</v>
      </c>
      <c r="M241" s="4">
        <v>3</v>
      </c>
      <c r="N241" s="4" t="s">
        <v>3</v>
      </c>
      <c r="O241" s="4">
        <v>2</v>
      </c>
      <c r="P241" s="4"/>
      <c r="Q241" s="4"/>
      <c r="R241" s="4"/>
      <c r="S241" s="4"/>
      <c r="T241" s="4"/>
      <c r="U241" s="4"/>
      <c r="V241" s="4"/>
      <c r="W241" s="4"/>
    </row>
    <row r="242" spans="1:23">
      <c r="A242" s="4">
        <v>50</v>
      </c>
      <c r="B242" s="4">
        <v>0</v>
      </c>
      <c r="C242" s="4">
        <v>0</v>
      </c>
      <c r="D242" s="4">
        <v>1</v>
      </c>
      <c r="E242" s="4">
        <v>232</v>
      </c>
      <c r="F242" s="4">
        <f>ROUND(Source!BC226,O242)</f>
        <v>0</v>
      </c>
      <c r="G242" s="4" t="s">
        <v>92</v>
      </c>
      <c r="H242" s="4" t="s">
        <v>93</v>
      </c>
      <c r="I242" s="4"/>
      <c r="J242" s="4"/>
      <c r="K242" s="4">
        <v>232</v>
      </c>
      <c r="L242" s="4">
        <v>15</v>
      </c>
      <c r="M242" s="4">
        <v>3</v>
      </c>
      <c r="N242" s="4" t="s">
        <v>3</v>
      </c>
      <c r="O242" s="4">
        <v>2</v>
      </c>
      <c r="P242" s="4"/>
      <c r="Q242" s="4"/>
      <c r="R242" s="4"/>
      <c r="S242" s="4"/>
      <c r="T242" s="4"/>
      <c r="U242" s="4"/>
      <c r="V242" s="4"/>
      <c r="W242" s="4"/>
    </row>
    <row r="243" spans="1:23">
      <c r="A243" s="4">
        <v>50</v>
      </c>
      <c r="B243" s="4">
        <v>0</v>
      </c>
      <c r="C243" s="4">
        <v>0</v>
      </c>
      <c r="D243" s="4">
        <v>1</v>
      </c>
      <c r="E243" s="4">
        <v>214</v>
      </c>
      <c r="F243" s="4">
        <f>ROUND(Source!AS226,O243)</f>
        <v>0</v>
      </c>
      <c r="G243" s="4" t="s">
        <v>94</v>
      </c>
      <c r="H243" s="4" t="s">
        <v>95</v>
      </c>
      <c r="I243" s="4"/>
      <c r="J243" s="4"/>
      <c r="K243" s="4">
        <v>214</v>
      </c>
      <c r="L243" s="4">
        <v>16</v>
      </c>
      <c r="M243" s="4">
        <v>3</v>
      </c>
      <c r="N243" s="4" t="s">
        <v>3</v>
      </c>
      <c r="O243" s="4">
        <v>2</v>
      </c>
      <c r="P243" s="4"/>
      <c r="Q243" s="4"/>
      <c r="R243" s="4"/>
      <c r="S243" s="4"/>
      <c r="T243" s="4"/>
      <c r="U243" s="4"/>
      <c r="V243" s="4"/>
      <c r="W243" s="4"/>
    </row>
    <row r="244" spans="1:23">
      <c r="A244" s="4">
        <v>50</v>
      </c>
      <c r="B244" s="4">
        <v>0</v>
      </c>
      <c r="C244" s="4">
        <v>0</v>
      </c>
      <c r="D244" s="4">
        <v>1</v>
      </c>
      <c r="E244" s="4">
        <v>215</v>
      </c>
      <c r="F244" s="4">
        <f>ROUND(Source!AT226,O244)</f>
        <v>0</v>
      </c>
      <c r="G244" s="4" t="s">
        <v>96</v>
      </c>
      <c r="H244" s="4" t="s">
        <v>97</v>
      </c>
      <c r="I244" s="4"/>
      <c r="J244" s="4"/>
      <c r="K244" s="4">
        <v>215</v>
      </c>
      <c r="L244" s="4">
        <v>17</v>
      </c>
      <c r="M244" s="4">
        <v>3</v>
      </c>
      <c r="N244" s="4" t="s">
        <v>3</v>
      </c>
      <c r="O244" s="4">
        <v>2</v>
      </c>
      <c r="P244" s="4"/>
      <c r="Q244" s="4"/>
      <c r="R244" s="4"/>
      <c r="S244" s="4"/>
      <c r="T244" s="4"/>
      <c r="U244" s="4"/>
      <c r="V244" s="4"/>
      <c r="W244" s="4"/>
    </row>
    <row r="245" spans="1:23">
      <c r="A245" s="4">
        <v>50</v>
      </c>
      <c r="B245" s="4">
        <v>0</v>
      </c>
      <c r="C245" s="4">
        <v>0</v>
      </c>
      <c r="D245" s="4">
        <v>1</v>
      </c>
      <c r="E245" s="4">
        <v>217</v>
      </c>
      <c r="F245" s="4">
        <f>ROUND(Source!AU226,O245)</f>
        <v>70237.899999999994</v>
      </c>
      <c r="G245" s="4" t="s">
        <v>98</v>
      </c>
      <c r="H245" s="4" t="s">
        <v>99</v>
      </c>
      <c r="I245" s="4"/>
      <c r="J245" s="4"/>
      <c r="K245" s="4">
        <v>217</v>
      </c>
      <c r="L245" s="4">
        <v>18</v>
      </c>
      <c r="M245" s="4">
        <v>3</v>
      </c>
      <c r="N245" s="4" t="s">
        <v>3</v>
      </c>
      <c r="O245" s="4">
        <v>2</v>
      </c>
      <c r="P245" s="4"/>
      <c r="Q245" s="4"/>
      <c r="R245" s="4"/>
      <c r="S245" s="4"/>
      <c r="T245" s="4"/>
      <c r="U245" s="4"/>
      <c r="V245" s="4"/>
      <c r="W245" s="4"/>
    </row>
    <row r="246" spans="1:23">
      <c r="A246" s="4">
        <v>50</v>
      </c>
      <c r="B246" s="4">
        <v>0</v>
      </c>
      <c r="C246" s="4">
        <v>0</v>
      </c>
      <c r="D246" s="4">
        <v>1</v>
      </c>
      <c r="E246" s="4">
        <v>230</v>
      </c>
      <c r="F246" s="4">
        <f>ROUND(Source!BA226,O246)</f>
        <v>0</v>
      </c>
      <c r="G246" s="4" t="s">
        <v>100</v>
      </c>
      <c r="H246" s="4" t="s">
        <v>101</v>
      </c>
      <c r="I246" s="4"/>
      <c r="J246" s="4"/>
      <c r="K246" s="4">
        <v>230</v>
      </c>
      <c r="L246" s="4">
        <v>19</v>
      </c>
      <c r="M246" s="4">
        <v>3</v>
      </c>
      <c r="N246" s="4" t="s">
        <v>3</v>
      </c>
      <c r="O246" s="4">
        <v>2</v>
      </c>
      <c r="P246" s="4"/>
      <c r="Q246" s="4"/>
      <c r="R246" s="4"/>
      <c r="S246" s="4"/>
      <c r="T246" s="4"/>
      <c r="U246" s="4"/>
      <c r="V246" s="4"/>
      <c r="W246" s="4"/>
    </row>
    <row r="247" spans="1:23">
      <c r="A247" s="4">
        <v>50</v>
      </c>
      <c r="B247" s="4">
        <v>0</v>
      </c>
      <c r="C247" s="4">
        <v>0</v>
      </c>
      <c r="D247" s="4">
        <v>1</v>
      </c>
      <c r="E247" s="4">
        <v>206</v>
      </c>
      <c r="F247" s="4">
        <f>ROUND(Source!T226,O247)</f>
        <v>0</v>
      </c>
      <c r="G247" s="4" t="s">
        <v>102</v>
      </c>
      <c r="H247" s="4" t="s">
        <v>103</v>
      </c>
      <c r="I247" s="4"/>
      <c r="J247" s="4"/>
      <c r="K247" s="4">
        <v>206</v>
      </c>
      <c r="L247" s="4">
        <v>20</v>
      </c>
      <c r="M247" s="4">
        <v>3</v>
      </c>
      <c r="N247" s="4" t="s">
        <v>3</v>
      </c>
      <c r="O247" s="4">
        <v>2</v>
      </c>
      <c r="P247" s="4"/>
      <c r="Q247" s="4"/>
      <c r="R247" s="4"/>
      <c r="S247" s="4"/>
      <c r="T247" s="4"/>
      <c r="U247" s="4"/>
      <c r="V247" s="4"/>
      <c r="W247" s="4"/>
    </row>
    <row r="248" spans="1:23">
      <c r="A248" s="4">
        <v>50</v>
      </c>
      <c r="B248" s="4">
        <v>0</v>
      </c>
      <c r="C248" s="4">
        <v>0</v>
      </c>
      <c r="D248" s="4">
        <v>1</v>
      </c>
      <c r="E248" s="4">
        <v>207</v>
      </c>
      <c r="F248" s="4">
        <f>Source!U226</f>
        <v>64.349800000000002</v>
      </c>
      <c r="G248" s="4" t="s">
        <v>104</v>
      </c>
      <c r="H248" s="4" t="s">
        <v>105</v>
      </c>
      <c r="I248" s="4"/>
      <c r="J248" s="4"/>
      <c r="K248" s="4">
        <v>207</v>
      </c>
      <c r="L248" s="4">
        <v>21</v>
      </c>
      <c r="M248" s="4">
        <v>3</v>
      </c>
      <c r="N248" s="4" t="s">
        <v>3</v>
      </c>
      <c r="O248" s="4">
        <v>-1</v>
      </c>
      <c r="P248" s="4"/>
      <c r="Q248" s="4"/>
      <c r="R248" s="4"/>
      <c r="S248" s="4"/>
      <c r="T248" s="4"/>
      <c r="U248" s="4"/>
      <c r="V248" s="4"/>
      <c r="W248" s="4"/>
    </row>
    <row r="249" spans="1:23">
      <c r="A249" s="4">
        <v>50</v>
      </c>
      <c r="B249" s="4">
        <v>0</v>
      </c>
      <c r="C249" s="4">
        <v>0</v>
      </c>
      <c r="D249" s="4">
        <v>1</v>
      </c>
      <c r="E249" s="4">
        <v>208</v>
      </c>
      <c r="F249" s="4">
        <f>Source!V226</f>
        <v>0</v>
      </c>
      <c r="G249" s="4" t="s">
        <v>106</v>
      </c>
      <c r="H249" s="4" t="s">
        <v>107</v>
      </c>
      <c r="I249" s="4"/>
      <c r="J249" s="4"/>
      <c r="K249" s="4">
        <v>208</v>
      </c>
      <c r="L249" s="4">
        <v>22</v>
      </c>
      <c r="M249" s="4">
        <v>3</v>
      </c>
      <c r="N249" s="4" t="s">
        <v>3</v>
      </c>
      <c r="O249" s="4">
        <v>-1</v>
      </c>
      <c r="P249" s="4"/>
      <c r="Q249" s="4"/>
      <c r="R249" s="4"/>
      <c r="S249" s="4"/>
      <c r="T249" s="4"/>
      <c r="U249" s="4"/>
      <c r="V249" s="4"/>
      <c r="W249" s="4"/>
    </row>
    <row r="250" spans="1:23">
      <c r="A250" s="4">
        <v>50</v>
      </c>
      <c r="B250" s="4">
        <v>0</v>
      </c>
      <c r="C250" s="4">
        <v>0</v>
      </c>
      <c r="D250" s="4">
        <v>1</v>
      </c>
      <c r="E250" s="4">
        <v>209</v>
      </c>
      <c r="F250" s="4">
        <f>ROUND(Source!W226,O250)</f>
        <v>0</v>
      </c>
      <c r="G250" s="4" t="s">
        <v>108</v>
      </c>
      <c r="H250" s="4" t="s">
        <v>109</v>
      </c>
      <c r="I250" s="4"/>
      <c r="J250" s="4"/>
      <c r="K250" s="4">
        <v>209</v>
      </c>
      <c r="L250" s="4">
        <v>23</v>
      </c>
      <c r="M250" s="4">
        <v>3</v>
      </c>
      <c r="N250" s="4" t="s">
        <v>3</v>
      </c>
      <c r="O250" s="4">
        <v>2</v>
      </c>
      <c r="P250" s="4"/>
      <c r="Q250" s="4"/>
      <c r="R250" s="4"/>
      <c r="S250" s="4"/>
      <c r="T250" s="4"/>
      <c r="U250" s="4"/>
      <c r="V250" s="4"/>
      <c r="W250" s="4"/>
    </row>
    <row r="251" spans="1:23">
      <c r="A251" s="4">
        <v>50</v>
      </c>
      <c r="B251" s="4">
        <v>0</v>
      </c>
      <c r="C251" s="4">
        <v>0</v>
      </c>
      <c r="D251" s="4">
        <v>1</v>
      </c>
      <c r="E251" s="4">
        <v>210</v>
      </c>
      <c r="F251" s="4">
        <f>ROUND(Source!X226,O251)</f>
        <v>9087.91</v>
      </c>
      <c r="G251" s="4" t="s">
        <v>110</v>
      </c>
      <c r="H251" s="4" t="s">
        <v>111</v>
      </c>
      <c r="I251" s="4"/>
      <c r="J251" s="4"/>
      <c r="K251" s="4">
        <v>210</v>
      </c>
      <c r="L251" s="4">
        <v>24</v>
      </c>
      <c r="M251" s="4">
        <v>3</v>
      </c>
      <c r="N251" s="4" t="s">
        <v>3</v>
      </c>
      <c r="O251" s="4">
        <v>2</v>
      </c>
      <c r="P251" s="4"/>
      <c r="Q251" s="4"/>
      <c r="R251" s="4"/>
      <c r="S251" s="4"/>
      <c r="T251" s="4"/>
      <c r="U251" s="4"/>
      <c r="V251" s="4"/>
      <c r="W251" s="4"/>
    </row>
    <row r="252" spans="1:23">
      <c r="A252" s="4">
        <v>50</v>
      </c>
      <c r="B252" s="4">
        <v>0</v>
      </c>
      <c r="C252" s="4">
        <v>0</v>
      </c>
      <c r="D252" s="4">
        <v>1</v>
      </c>
      <c r="E252" s="4">
        <v>211</v>
      </c>
      <c r="F252" s="4">
        <f>ROUND(Source!Y226,O252)</f>
        <v>1298.27</v>
      </c>
      <c r="G252" s="4" t="s">
        <v>112</v>
      </c>
      <c r="H252" s="4" t="s">
        <v>113</v>
      </c>
      <c r="I252" s="4"/>
      <c r="J252" s="4"/>
      <c r="K252" s="4">
        <v>211</v>
      </c>
      <c r="L252" s="4">
        <v>25</v>
      </c>
      <c r="M252" s="4">
        <v>3</v>
      </c>
      <c r="N252" s="4" t="s">
        <v>3</v>
      </c>
      <c r="O252" s="4">
        <v>2</v>
      </c>
      <c r="P252" s="4"/>
      <c r="Q252" s="4"/>
      <c r="R252" s="4"/>
      <c r="S252" s="4"/>
      <c r="T252" s="4"/>
      <c r="U252" s="4"/>
      <c r="V252" s="4"/>
      <c r="W252" s="4"/>
    </row>
    <row r="253" spans="1:23">
      <c r="A253" s="4">
        <v>50</v>
      </c>
      <c r="B253" s="4">
        <v>0</v>
      </c>
      <c r="C253" s="4">
        <v>0</v>
      </c>
      <c r="D253" s="4">
        <v>1</v>
      </c>
      <c r="E253" s="4">
        <v>224</v>
      </c>
      <c r="F253" s="4">
        <f>ROUND(Source!AR226,O253)</f>
        <v>70237.899999999994</v>
      </c>
      <c r="G253" s="4" t="s">
        <v>114</v>
      </c>
      <c r="H253" s="4" t="s">
        <v>115</v>
      </c>
      <c r="I253" s="4"/>
      <c r="J253" s="4"/>
      <c r="K253" s="4">
        <v>224</v>
      </c>
      <c r="L253" s="4">
        <v>26</v>
      </c>
      <c r="M253" s="4">
        <v>3</v>
      </c>
      <c r="N253" s="4" t="s">
        <v>3</v>
      </c>
      <c r="O253" s="4">
        <v>2</v>
      </c>
      <c r="P253" s="4"/>
      <c r="Q253" s="4"/>
      <c r="R253" s="4"/>
      <c r="S253" s="4"/>
      <c r="T253" s="4"/>
      <c r="U253" s="4"/>
      <c r="V253" s="4"/>
      <c r="W253" s="4"/>
    </row>
    <row r="254" spans="1:23">
      <c r="A254" s="4">
        <v>50</v>
      </c>
      <c r="B254" s="4">
        <v>1</v>
      </c>
      <c r="C254" s="4">
        <v>0</v>
      </c>
      <c r="D254" s="4">
        <v>2</v>
      </c>
      <c r="E254" s="4">
        <v>0</v>
      </c>
      <c r="F254" s="4">
        <f>ROUND(F253,O254)</f>
        <v>70237.899999999994</v>
      </c>
      <c r="G254" s="4" t="s">
        <v>4</v>
      </c>
      <c r="H254" s="4" t="s">
        <v>116</v>
      </c>
      <c r="I254" s="4"/>
      <c r="J254" s="4"/>
      <c r="K254" s="4">
        <v>212</v>
      </c>
      <c r="L254" s="4">
        <v>27</v>
      </c>
      <c r="M254" s="4">
        <v>0</v>
      </c>
      <c r="N254" s="4" t="s">
        <v>3</v>
      </c>
      <c r="O254" s="4">
        <v>2</v>
      </c>
      <c r="P254" s="4"/>
      <c r="Q254" s="4"/>
      <c r="R254" s="4"/>
      <c r="S254" s="4"/>
      <c r="T254" s="4"/>
      <c r="U254" s="4"/>
      <c r="V254" s="4"/>
      <c r="W254" s="4"/>
    </row>
    <row r="255" spans="1:23">
      <c r="A255" s="4">
        <v>50</v>
      </c>
      <c r="B255" s="4">
        <v>1</v>
      </c>
      <c r="C255" s="4">
        <v>0</v>
      </c>
      <c r="D255" s="4">
        <v>2</v>
      </c>
      <c r="E255" s="4">
        <v>0</v>
      </c>
      <c r="F255" s="4">
        <f>ROUND(F254*0.2,O255)</f>
        <v>14047.58</v>
      </c>
      <c r="G255" s="4" t="s">
        <v>22</v>
      </c>
      <c r="H255" s="4" t="s">
        <v>117</v>
      </c>
      <c r="I255" s="4"/>
      <c r="J255" s="4"/>
      <c r="K255" s="4">
        <v>212</v>
      </c>
      <c r="L255" s="4">
        <v>28</v>
      </c>
      <c r="M255" s="4">
        <v>0</v>
      </c>
      <c r="N255" s="4" t="s">
        <v>3</v>
      </c>
      <c r="O255" s="4">
        <v>2</v>
      </c>
      <c r="P255" s="4"/>
      <c r="Q255" s="4"/>
      <c r="R255" s="4"/>
      <c r="S255" s="4"/>
      <c r="T255" s="4"/>
      <c r="U255" s="4"/>
      <c r="V255" s="4"/>
      <c r="W255" s="4"/>
    </row>
    <row r="256" spans="1:23">
      <c r="A256" s="4">
        <v>50</v>
      </c>
      <c r="B256" s="4">
        <v>1</v>
      </c>
      <c r="C256" s="4">
        <v>0</v>
      </c>
      <c r="D256" s="4">
        <v>2</v>
      </c>
      <c r="E256" s="4">
        <v>0</v>
      </c>
      <c r="F256" s="4">
        <f>ROUND(F254+F255,O256)</f>
        <v>84285.48</v>
      </c>
      <c r="G256" s="4" t="s">
        <v>26</v>
      </c>
      <c r="H256" s="4" t="s">
        <v>118</v>
      </c>
      <c r="I256" s="4"/>
      <c r="J256" s="4"/>
      <c r="K256" s="4">
        <v>212</v>
      </c>
      <c r="L256" s="4">
        <v>29</v>
      </c>
      <c r="M256" s="4">
        <v>0</v>
      </c>
      <c r="N256" s="4" t="s">
        <v>3</v>
      </c>
      <c r="O256" s="4">
        <v>2</v>
      </c>
      <c r="P256" s="4"/>
      <c r="Q256" s="4"/>
      <c r="R256" s="4"/>
      <c r="S256" s="4"/>
      <c r="T256" s="4"/>
      <c r="U256" s="4"/>
      <c r="V256" s="4"/>
      <c r="W256" s="4"/>
    </row>
    <row r="258" spans="1:245">
      <c r="A258" s="1">
        <v>4</v>
      </c>
      <c r="B258" s="1">
        <v>1</v>
      </c>
      <c r="C258" s="1"/>
      <c r="D258" s="1">
        <f>ROW(A267)</f>
        <v>267</v>
      </c>
      <c r="E258" s="1"/>
      <c r="F258" s="1" t="s">
        <v>13</v>
      </c>
      <c r="G258" s="1" t="s">
        <v>227</v>
      </c>
      <c r="H258" s="1" t="s">
        <v>3</v>
      </c>
      <c r="I258" s="1">
        <v>0</v>
      </c>
      <c r="J258" s="1"/>
      <c r="K258" s="1">
        <v>0</v>
      </c>
      <c r="L258" s="1"/>
      <c r="M258" s="1"/>
      <c r="N258" s="1"/>
      <c r="O258" s="1"/>
      <c r="P258" s="1"/>
      <c r="Q258" s="1"/>
      <c r="R258" s="1"/>
      <c r="S258" s="1"/>
      <c r="T258" s="1"/>
      <c r="U258" s="1" t="s">
        <v>3</v>
      </c>
      <c r="V258" s="1">
        <v>0</v>
      </c>
      <c r="W258" s="1"/>
      <c r="X258" s="1"/>
      <c r="Y258" s="1"/>
      <c r="Z258" s="1"/>
      <c r="AA258" s="1"/>
      <c r="AB258" s="1" t="s">
        <v>3</v>
      </c>
      <c r="AC258" s="1" t="s">
        <v>3</v>
      </c>
      <c r="AD258" s="1" t="s">
        <v>3</v>
      </c>
      <c r="AE258" s="1" t="s">
        <v>3</v>
      </c>
      <c r="AF258" s="1" t="s">
        <v>3</v>
      </c>
      <c r="AG258" s="1" t="s">
        <v>3</v>
      </c>
      <c r="AH258" s="1"/>
      <c r="AI258" s="1"/>
      <c r="AJ258" s="1"/>
      <c r="AK258" s="1"/>
      <c r="AL258" s="1"/>
      <c r="AM258" s="1"/>
      <c r="AN258" s="1"/>
      <c r="AO258" s="1"/>
      <c r="AP258" s="1" t="s">
        <v>3</v>
      </c>
      <c r="AQ258" s="1" t="s">
        <v>3</v>
      </c>
      <c r="AR258" s="1" t="s">
        <v>3</v>
      </c>
      <c r="AS258" s="1"/>
      <c r="AT258" s="1"/>
      <c r="AU258" s="1"/>
      <c r="AV258" s="1"/>
      <c r="AW258" s="1"/>
      <c r="AX258" s="1"/>
      <c r="AY258" s="1"/>
      <c r="AZ258" s="1" t="s">
        <v>3</v>
      </c>
      <c r="BA258" s="1"/>
      <c r="BB258" s="1" t="s">
        <v>3</v>
      </c>
      <c r="BC258" s="1" t="s">
        <v>3</v>
      </c>
      <c r="BD258" s="1" t="s">
        <v>3</v>
      </c>
      <c r="BE258" s="1" t="s">
        <v>3</v>
      </c>
      <c r="BF258" s="1" t="s">
        <v>3</v>
      </c>
      <c r="BG258" s="1" t="s">
        <v>3</v>
      </c>
      <c r="BH258" s="1" t="s">
        <v>3</v>
      </c>
      <c r="BI258" s="1" t="s">
        <v>3</v>
      </c>
      <c r="BJ258" s="1" t="s">
        <v>3</v>
      </c>
      <c r="BK258" s="1" t="s">
        <v>3</v>
      </c>
      <c r="BL258" s="1" t="s">
        <v>3</v>
      </c>
      <c r="BM258" s="1" t="s">
        <v>3</v>
      </c>
      <c r="BN258" s="1" t="s">
        <v>3</v>
      </c>
      <c r="BO258" s="1" t="s">
        <v>3</v>
      </c>
      <c r="BP258" s="1" t="s">
        <v>3</v>
      </c>
      <c r="BQ258" s="1"/>
      <c r="BR258" s="1"/>
      <c r="BS258" s="1"/>
      <c r="BT258" s="1"/>
      <c r="BU258" s="1"/>
      <c r="BV258" s="1"/>
      <c r="BW258" s="1"/>
      <c r="BX258" s="1">
        <v>0</v>
      </c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>
        <v>0</v>
      </c>
    </row>
    <row r="260" spans="1:245">
      <c r="A260" s="2">
        <v>52</v>
      </c>
      <c r="B260" s="2">
        <f t="shared" ref="B260:G260" si="216">B267</f>
        <v>1</v>
      </c>
      <c r="C260" s="2">
        <f t="shared" si="216"/>
        <v>4</v>
      </c>
      <c r="D260" s="2">
        <f t="shared" si="216"/>
        <v>258</v>
      </c>
      <c r="E260" s="2">
        <f t="shared" si="216"/>
        <v>0</v>
      </c>
      <c r="F260" s="2" t="str">
        <f t="shared" si="216"/>
        <v>Новый раздел</v>
      </c>
      <c r="G260" s="2" t="str">
        <f t="shared" si="216"/>
        <v>Ремонт газона (посевной) - 550м2 ( вокруг цветника с кустами и деревьями)</v>
      </c>
      <c r="H260" s="2"/>
      <c r="I260" s="2"/>
      <c r="J260" s="2"/>
      <c r="K260" s="2"/>
      <c r="L260" s="2"/>
      <c r="M260" s="2"/>
      <c r="N260" s="2"/>
      <c r="O260" s="2">
        <f t="shared" ref="O260:AT260" si="217">O267</f>
        <v>85833.53</v>
      </c>
      <c r="P260" s="2">
        <f t="shared" si="217"/>
        <v>50058.57</v>
      </c>
      <c r="Q260" s="2">
        <f t="shared" si="217"/>
        <v>250.64</v>
      </c>
      <c r="R260" s="2">
        <f t="shared" si="217"/>
        <v>91.7</v>
      </c>
      <c r="S260" s="2">
        <f t="shared" si="217"/>
        <v>35524.32</v>
      </c>
      <c r="T260" s="2">
        <f t="shared" si="217"/>
        <v>0</v>
      </c>
      <c r="U260" s="2">
        <f t="shared" si="217"/>
        <v>188.92500000000001</v>
      </c>
      <c r="V260" s="2">
        <f t="shared" si="217"/>
        <v>0</v>
      </c>
      <c r="W260" s="2">
        <f t="shared" si="217"/>
        <v>0</v>
      </c>
      <c r="X260" s="2">
        <f t="shared" si="217"/>
        <v>24867.03</v>
      </c>
      <c r="Y260" s="2">
        <f t="shared" si="217"/>
        <v>3552.43</v>
      </c>
      <c r="Z260" s="2">
        <f t="shared" si="217"/>
        <v>0</v>
      </c>
      <c r="AA260" s="2">
        <f t="shared" si="217"/>
        <v>0</v>
      </c>
      <c r="AB260" s="2">
        <f t="shared" si="217"/>
        <v>85833.53</v>
      </c>
      <c r="AC260" s="2">
        <f t="shared" si="217"/>
        <v>50058.57</v>
      </c>
      <c r="AD260" s="2">
        <f t="shared" si="217"/>
        <v>250.64</v>
      </c>
      <c r="AE260" s="2">
        <f t="shared" si="217"/>
        <v>91.7</v>
      </c>
      <c r="AF260" s="2">
        <f t="shared" si="217"/>
        <v>35524.32</v>
      </c>
      <c r="AG260" s="2">
        <f t="shared" si="217"/>
        <v>0</v>
      </c>
      <c r="AH260" s="2">
        <f t="shared" si="217"/>
        <v>188.92500000000001</v>
      </c>
      <c r="AI260" s="2">
        <f t="shared" si="217"/>
        <v>0</v>
      </c>
      <c r="AJ260" s="2">
        <f t="shared" si="217"/>
        <v>0</v>
      </c>
      <c r="AK260" s="2">
        <f t="shared" si="217"/>
        <v>24867.03</v>
      </c>
      <c r="AL260" s="2">
        <f t="shared" si="217"/>
        <v>3552.43</v>
      </c>
      <c r="AM260" s="2">
        <f t="shared" si="217"/>
        <v>0</v>
      </c>
      <c r="AN260" s="2">
        <f t="shared" si="217"/>
        <v>0</v>
      </c>
      <c r="AO260" s="2">
        <f t="shared" si="217"/>
        <v>0</v>
      </c>
      <c r="AP260" s="2">
        <f t="shared" si="217"/>
        <v>0</v>
      </c>
      <c r="AQ260" s="2">
        <f t="shared" si="217"/>
        <v>0</v>
      </c>
      <c r="AR260" s="2">
        <f t="shared" si="217"/>
        <v>114352.03</v>
      </c>
      <c r="AS260" s="2">
        <f t="shared" si="217"/>
        <v>0</v>
      </c>
      <c r="AT260" s="2">
        <f t="shared" si="217"/>
        <v>0</v>
      </c>
      <c r="AU260" s="2">
        <f t="shared" ref="AU260:BZ260" si="218">AU267</f>
        <v>114352.03</v>
      </c>
      <c r="AV260" s="2">
        <f t="shared" si="218"/>
        <v>50058.57</v>
      </c>
      <c r="AW260" s="2">
        <f t="shared" si="218"/>
        <v>50058.57</v>
      </c>
      <c r="AX260" s="2">
        <f t="shared" si="218"/>
        <v>0</v>
      </c>
      <c r="AY260" s="2">
        <f t="shared" si="218"/>
        <v>50058.57</v>
      </c>
      <c r="AZ260" s="2">
        <f t="shared" si="218"/>
        <v>0</v>
      </c>
      <c r="BA260" s="2">
        <f t="shared" si="218"/>
        <v>0</v>
      </c>
      <c r="BB260" s="2">
        <f t="shared" si="218"/>
        <v>0</v>
      </c>
      <c r="BC260" s="2">
        <f t="shared" si="218"/>
        <v>0</v>
      </c>
      <c r="BD260" s="2">
        <f t="shared" si="218"/>
        <v>0</v>
      </c>
      <c r="BE260" s="2">
        <f t="shared" si="218"/>
        <v>0</v>
      </c>
      <c r="BF260" s="2">
        <f t="shared" si="218"/>
        <v>0</v>
      </c>
      <c r="BG260" s="2">
        <f t="shared" si="218"/>
        <v>0</v>
      </c>
      <c r="BH260" s="2">
        <f t="shared" si="218"/>
        <v>0</v>
      </c>
      <c r="BI260" s="2">
        <f t="shared" si="218"/>
        <v>0</v>
      </c>
      <c r="BJ260" s="2">
        <f t="shared" si="218"/>
        <v>0</v>
      </c>
      <c r="BK260" s="2">
        <f t="shared" si="218"/>
        <v>0</v>
      </c>
      <c r="BL260" s="2">
        <f t="shared" si="218"/>
        <v>0</v>
      </c>
      <c r="BM260" s="2">
        <f t="shared" si="218"/>
        <v>0</v>
      </c>
      <c r="BN260" s="2">
        <f t="shared" si="218"/>
        <v>0</v>
      </c>
      <c r="BO260" s="2">
        <f t="shared" si="218"/>
        <v>0</v>
      </c>
      <c r="BP260" s="2">
        <f t="shared" si="218"/>
        <v>0</v>
      </c>
      <c r="BQ260" s="2">
        <f t="shared" si="218"/>
        <v>0</v>
      </c>
      <c r="BR260" s="2">
        <f t="shared" si="218"/>
        <v>0</v>
      </c>
      <c r="BS260" s="2">
        <f t="shared" si="218"/>
        <v>0</v>
      </c>
      <c r="BT260" s="2">
        <f t="shared" si="218"/>
        <v>0</v>
      </c>
      <c r="BU260" s="2">
        <f t="shared" si="218"/>
        <v>0</v>
      </c>
      <c r="BV260" s="2">
        <f t="shared" si="218"/>
        <v>0</v>
      </c>
      <c r="BW260" s="2">
        <f t="shared" si="218"/>
        <v>0</v>
      </c>
      <c r="BX260" s="2">
        <f t="shared" si="218"/>
        <v>0</v>
      </c>
      <c r="BY260" s="2">
        <f t="shared" si="218"/>
        <v>0</v>
      </c>
      <c r="BZ260" s="2">
        <f t="shared" si="218"/>
        <v>0</v>
      </c>
      <c r="CA260" s="2">
        <f t="shared" ref="CA260:DF260" si="219">CA267</f>
        <v>114352.03</v>
      </c>
      <c r="CB260" s="2">
        <f t="shared" si="219"/>
        <v>0</v>
      </c>
      <c r="CC260" s="2">
        <f t="shared" si="219"/>
        <v>0</v>
      </c>
      <c r="CD260" s="2">
        <f t="shared" si="219"/>
        <v>114352.03</v>
      </c>
      <c r="CE260" s="2">
        <f t="shared" si="219"/>
        <v>50058.57</v>
      </c>
      <c r="CF260" s="2">
        <f t="shared" si="219"/>
        <v>50058.57</v>
      </c>
      <c r="CG260" s="2">
        <f t="shared" si="219"/>
        <v>0</v>
      </c>
      <c r="CH260" s="2">
        <f t="shared" si="219"/>
        <v>50058.57</v>
      </c>
      <c r="CI260" s="2">
        <f t="shared" si="219"/>
        <v>0</v>
      </c>
      <c r="CJ260" s="2">
        <f t="shared" si="219"/>
        <v>0</v>
      </c>
      <c r="CK260" s="2">
        <f t="shared" si="219"/>
        <v>0</v>
      </c>
      <c r="CL260" s="2">
        <f t="shared" si="219"/>
        <v>0</v>
      </c>
      <c r="CM260" s="2">
        <f t="shared" si="219"/>
        <v>0</v>
      </c>
      <c r="CN260" s="2">
        <f t="shared" si="219"/>
        <v>0</v>
      </c>
      <c r="CO260" s="2">
        <f t="shared" si="219"/>
        <v>0</v>
      </c>
      <c r="CP260" s="2">
        <f t="shared" si="219"/>
        <v>0</v>
      </c>
      <c r="CQ260" s="2">
        <f t="shared" si="219"/>
        <v>0</v>
      </c>
      <c r="CR260" s="2">
        <f t="shared" si="219"/>
        <v>0</v>
      </c>
      <c r="CS260" s="2">
        <f t="shared" si="219"/>
        <v>0</v>
      </c>
      <c r="CT260" s="2">
        <f t="shared" si="219"/>
        <v>0</v>
      </c>
      <c r="CU260" s="2">
        <f t="shared" si="219"/>
        <v>0</v>
      </c>
      <c r="CV260" s="2">
        <f t="shared" si="219"/>
        <v>0</v>
      </c>
      <c r="CW260" s="2">
        <f t="shared" si="219"/>
        <v>0</v>
      </c>
      <c r="CX260" s="2">
        <f t="shared" si="219"/>
        <v>0</v>
      </c>
      <c r="CY260" s="2">
        <f t="shared" si="219"/>
        <v>0</v>
      </c>
      <c r="CZ260" s="2">
        <f t="shared" si="219"/>
        <v>0</v>
      </c>
      <c r="DA260" s="2">
        <f t="shared" si="219"/>
        <v>0</v>
      </c>
      <c r="DB260" s="2">
        <f t="shared" si="219"/>
        <v>0</v>
      </c>
      <c r="DC260" s="2">
        <f t="shared" si="219"/>
        <v>0</v>
      </c>
      <c r="DD260" s="2">
        <f t="shared" si="219"/>
        <v>0</v>
      </c>
      <c r="DE260" s="2">
        <f t="shared" si="219"/>
        <v>0</v>
      </c>
      <c r="DF260" s="2">
        <f t="shared" si="219"/>
        <v>0</v>
      </c>
      <c r="DG260" s="3">
        <f t="shared" ref="DG260:EL260" si="220">DG267</f>
        <v>0</v>
      </c>
      <c r="DH260" s="3">
        <f t="shared" si="220"/>
        <v>0</v>
      </c>
      <c r="DI260" s="3">
        <f t="shared" si="220"/>
        <v>0</v>
      </c>
      <c r="DJ260" s="3">
        <f t="shared" si="220"/>
        <v>0</v>
      </c>
      <c r="DK260" s="3">
        <f t="shared" si="220"/>
        <v>0</v>
      </c>
      <c r="DL260" s="3">
        <f t="shared" si="220"/>
        <v>0</v>
      </c>
      <c r="DM260" s="3">
        <f t="shared" si="220"/>
        <v>0</v>
      </c>
      <c r="DN260" s="3">
        <f t="shared" si="220"/>
        <v>0</v>
      </c>
      <c r="DO260" s="3">
        <f t="shared" si="220"/>
        <v>0</v>
      </c>
      <c r="DP260" s="3">
        <f t="shared" si="220"/>
        <v>0</v>
      </c>
      <c r="DQ260" s="3">
        <f t="shared" si="220"/>
        <v>0</v>
      </c>
      <c r="DR260" s="3">
        <f t="shared" si="220"/>
        <v>0</v>
      </c>
      <c r="DS260" s="3">
        <f t="shared" si="220"/>
        <v>0</v>
      </c>
      <c r="DT260" s="3">
        <f t="shared" si="220"/>
        <v>0</v>
      </c>
      <c r="DU260" s="3">
        <f t="shared" si="220"/>
        <v>0</v>
      </c>
      <c r="DV260" s="3">
        <f t="shared" si="220"/>
        <v>0</v>
      </c>
      <c r="DW260" s="3">
        <f t="shared" si="220"/>
        <v>0</v>
      </c>
      <c r="DX260" s="3">
        <f t="shared" si="220"/>
        <v>0</v>
      </c>
      <c r="DY260" s="3">
        <f t="shared" si="220"/>
        <v>0</v>
      </c>
      <c r="DZ260" s="3">
        <f t="shared" si="220"/>
        <v>0</v>
      </c>
      <c r="EA260" s="3">
        <f t="shared" si="220"/>
        <v>0</v>
      </c>
      <c r="EB260" s="3">
        <f t="shared" si="220"/>
        <v>0</v>
      </c>
      <c r="EC260" s="3">
        <f t="shared" si="220"/>
        <v>0</v>
      </c>
      <c r="ED260" s="3">
        <f t="shared" si="220"/>
        <v>0</v>
      </c>
      <c r="EE260" s="3">
        <f t="shared" si="220"/>
        <v>0</v>
      </c>
      <c r="EF260" s="3">
        <f t="shared" si="220"/>
        <v>0</v>
      </c>
      <c r="EG260" s="3">
        <f t="shared" si="220"/>
        <v>0</v>
      </c>
      <c r="EH260" s="3">
        <f t="shared" si="220"/>
        <v>0</v>
      </c>
      <c r="EI260" s="3">
        <f t="shared" si="220"/>
        <v>0</v>
      </c>
      <c r="EJ260" s="3">
        <f t="shared" si="220"/>
        <v>0</v>
      </c>
      <c r="EK260" s="3">
        <f t="shared" si="220"/>
        <v>0</v>
      </c>
      <c r="EL260" s="3">
        <f t="shared" si="220"/>
        <v>0</v>
      </c>
      <c r="EM260" s="3">
        <f t="shared" ref="EM260:FR260" si="221">EM267</f>
        <v>0</v>
      </c>
      <c r="EN260" s="3">
        <f t="shared" si="221"/>
        <v>0</v>
      </c>
      <c r="EO260" s="3">
        <f t="shared" si="221"/>
        <v>0</v>
      </c>
      <c r="EP260" s="3">
        <f t="shared" si="221"/>
        <v>0</v>
      </c>
      <c r="EQ260" s="3">
        <f t="shared" si="221"/>
        <v>0</v>
      </c>
      <c r="ER260" s="3">
        <f t="shared" si="221"/>
        <v>0</v>
      </c>
      <c r="ES260" s="3">
        <f t="shared" si="221"/>
        <v>0</v>
      </c>
      <c r="ET260" s="3">
        <f t="shared" si="221"/>
        <v>0</v>
      </c>
      <c r="EU260" s="3">
        <f t="shared" si="221"/>
        <v>0</v>
      </c>
      <c r="EV260" s="3">
        <f t="shared" si="221"/>
        <v>0</v>
      </c>
      <c r="EW260" s="3">
        <f t="shared" si="221"/>
        <v>0</v>
      </c>
      <c r="EX260" s="3">
        <f t="shared" si="221"/>
        <v>0</v>
      </c>
      <c r="EY260" s="3">
        <f t="shared" si="221"/>
        <v>0</v>
      </c>
      <c r="EZ260" s="3">
        <f t="shared" si="221"/>
        <v>0</v>
      </c>
      <c r="FA260" s="3">
        <f t="shared" si="221"/>
        <v>0</v>
      </c>
      <c r="FB260" s="3">
        <f t="shared" si="221"/>
        <v>0</v>
      </c>
      <c r="FC260" s="3">
        <f t="shared" si="221"/>
        <v>0</v>
      </c>
      <c r="FD260" s="3">
        <f t="shared" si="221"/>
        <v>0</v>
      </c>
      <c r="FE260" s="3">
        <f t="shared" si="221"/>
        <v>0</v>
      </c>
      <c r="FF260" s="3">
        <f t="shared" si="221"/>
        <v>0</v>
      </c>
      <c r="FG260" s="3">
        <f t="shared" si="221"/>
        <v>0</v>
      </c>
      <c r="FH260" s="3">
        <f t="shared" si="221"/>
        <v>0</v>
      </c>
      <c r="FI260" s="3">
        <f t="shared" si="221"/>
        <v>0</v>
      </c>
      <c r="FJ260" s="3">
        <f t="shared" si="221"/>
        <v>0</v>
      </c>
      <c r="FK260" s="3">
        <f t="shared" si="221"/>
        <v>0</v>
      </c>
      <c r="FL260" s="3">
        <f t="shared" si="221"/>
        <v>0</v>
      </c>
      <c r="FM260" s="3">
        <f t="shared" si="221"/>
        <v>0</v>
      </c>
      <c r="FN260" s="3">
        <f t="shared" si="221"/>
        <v>0</v>
      </c>
      <c r="FO260" s="3">
        <f t="shared" si="221"/>
        <v>0</v>
      </c>
      <c r="FP260" s="3">
        <f t="shared" si="221"/>
        <v>0</v>
      </c>
      <c r="FQ260" s="3">
        <f t="shared" si="221"/>
        <v>0</v>
      </c>
      <c r="FR260" s="3">
        <f t="shared" si="221"/>
        <v>0</v>
      </c>
      <c r="FS260" s="3">
        <f t="shared" ref="FS260:GX260" si="222">FS267</f>
        <v>0</v>
      </c>
      <c r="FT260" s="3">
        <f t="shared" si="222"/>
        <v>0</v>
      </c>
      <c r="FU260" s="3">
        <f t="shared" si="222"/>
        <v>0</v>
      </c>
      <c r="FV260" s="3">
        <f t="shared" si="222"/>
        <v>0</v>
      </c>
      <c r="FW260" s="3">
        <f t="shared" si="222"/>
        <v>0</v>
      </c>
      <c r="FX260" s="3">
        <f t="shared" si="222"/>
        <v>0</v>
      </c>
      <c r="FY260" s="3">
        <f t="shared" si="222"/>
        <v>0</v>
      </c>
      <c r="FZ260" s="3">
        <f t="shared" si="222"/>
        <v>0</v>
      </c>
      <c r="GA260" s="3">
        <f t="shared" si="222"/>
        <v>0</v>
      </c>
      <c r="GB260" s="3">
        <f t="shared" si="222"/>
        <v>0</v>
      </c>
      <c r="GC260" s="3">
        <f t="shared" si="222"/>
        <v>0</v>
      </c>
      <c r="GD260" s="3">
        <f t="shared" si="222"/>
        <v>0</v>
      </c>
      <c r="GE260" s="3">
        <f t="shared" si="222"/>
        <v>0</v>
      </c>
      <c r="GF260" s="3">
        <f t="shared" si="222"/>
        <v>0</v>
      </c>
      <c r="GG260" s="3">
        <f t="shared" si="222"/>
        <v>0</v>
      </c>
      <c r="GH260" s="3">
        <f t="shared" si="222"/>
        <v>0</v>
      </c>
      <c r="GI260" s="3">
        <f t="shared" si="222"/>
        <v>0</v>
      </c>
      <c r="GJ260" s="3">
        <f t="shared" si="222"/>
        <v>0</v>
      </c>
      <c r="GK260" s="3">
        <f t="shared" si="222"/>
        <v>0</v>
      </c>
      <c r="GL260" s="3">
        <f t="shared" si="222"/>
        <v>0</v>
      </c>
      <c r="GM260" s="3">
        <f t="shared" si="222"/>
        <v>0</v>
      </c>
      <c r="GN260" s="3">
        <f t="shared" si="222"/>
        <v>0</v>
      </c>
      <c r="GO260" s="3">
        <f t="shared" si="222"/>
        <v>0</v>
      </c>
      <c r="GP260" s="3">
        <f t="shared" si="222"/>
        <v>0</v>
      </c>
      <c r="GQ260" s="3">
        <f t="shared" si="222"/>
        <v>0</v>
      </c>
      <c r="GR260" s="3">
        <f t="shared" si="222"/>
        <v>0</v>
      </c>
      <c r="GS260" s="3">
        <f t="shared" si="222"/>
        <v>0</v>
      </c>
      <c r="GT260" s="3">
        <f t="shared" si="222"/>
        <v>0</v>
      </c>
      <c r="GU260" s="3">
        <f t="shared" si="222"/>
        <v>0</v>
      </c>
      <c r="GV260" s="3">
        <f t="shared" si="222"/>
        <v>0</v>
      </c>
      <c r="GW260" s="3">
        <f t="shared" si="222"/>
        <v>0</v>
      </c>
      <c r="GX260" s="3">
        <f t="shared" si="222"/>
        <v>0</v>
      </c>
    </row>
    <row r="262" spans="1:245">
      <c r="A262">
        <v>17</v>
      </c>
      <c r="B262">
        <v>1</v>
      </c>
      <c r="C262">
        <f>ROW(SmtRes!A114)</f>
        <v>114</v>
      </c>
      <c r="D262">
        <f>ROW(EtalonRes!A102)</f>
        <v>102</v>
      </c>
      <c r="E262" t="s">
        <v>228</v>
      </c>
      <c r="F262" t="s">
        <v>229</v>
      </c>
      <c r="G262" t="s">
        <v>230</v>
      </c>
      <c r="H262" t="s">
        <v>17</v>
      </c>
      <c r="I262">
        <f>ROUND(550*0.75/100,9)</f>
        <v>4.125</v>
      </c>
      <c r="J262">
        <v>0</v>
      </c>
      <c r="O262">
        <f>ROUND(CP262,2)</f>
        <v>70390.78</v>
      </c>
      <c r="P262">
        <f>ROUND(CQ262*I262,2)</f>
        <v>46633.33</v>
      </c>
      <c r="Q262">
        <f>ROUND(CR262*I262,2)</f>
        <v>250.64</v>
      </c>
      <c r="R262">
        <f>ROUND(CS262*I262,2)</f>
        <v>91.7</v>
      </c>
      <c r="S262">
        <f>ROUND(CT262*I262,2)</f>
        <v>23506.81</v>
      </c>
      <c r="T262">
        <f>ROUND(CU262*I262,2)</f>
        <v>0</v>
      </c>
      <c r="U262">
        <f>CV262*I262</f>
        <v>127.05</v>
      </c>
      <c r="V262">
        <f>CW262*I262</f>
        <v>0</v>
      </c>
      <c r="W262">
        <f>ROUND(CX262*I262,2)</f>
        <v>0</v>
      </c>
      <c r="X262">
        <f t="shared" ref="X262:Y265" si="223">ROUND(CY262,2)</f>
        <v>16454.77</v>
      </c>
      <c r="Y262">
        <f t="shared" si="223"/>
        <v>2350.6799999999998</v>
      </c>
      <c r="AA262">
        <v>41858681</v>
      </c>
      <c r="AB262">
        <f>ROUND((AC262+AD262+AF262),6)</f>
        <v>17064.43</v>
      </c>
      <c r="AC262">
        <f>ROUND((ES262),6)</f>
        <v>11305.05</v>
      </c>
      <c r="AD262">
        <f>ROUND((((ET262)-(EU262))+AE262),6)</f>
        <v>60.76</v>
      </c>
      <c r="AE262">
        <f t="shared" ref="AE262:AF265" si="224">ROUND((EU262),6)</f>
        <v>22.23</v>
      </c>
      <c r="AF262">
        <f t="shared" si="224"/>
        <v>5698.62</v>
      </c>
      <c r="AG262">
        <f>ROUND((AP262),6)</f>
        <v>0</v>
      </c>
      <c r="AH262">
        <f t="shared" ref="AH262:AI265" si="225">(EW262)</f>
        <v>30.8</v>
      </c>
      <c r="AI262">
        <f t="shared" si="225"/>
        <v>0</v>
      </c>
      <c r="AJ262">
        <f>(AS262)</f>
        <v>0</v>
      </c>
      <c r="AK262">
        <v>17064.43</v>
      </c>
      <c r="AL262">
        <v>11305.05</v>
      </c>
      <c r="AM262">
        <v>60.76</v>
      </c>
      <c r="AN262">
        <v>22.23</v>
      </c>
      <c r="AO262">
        <v>5698.62</v>
      </c>
      <c r="AP262">
        <v>0</v>
      </c>
      <c r="AQ262">
        <v>30.8</v>
      </c>
      <c r="AR262">
        <v>0</v>
      </c>
      <c r="AS262">
        <v>0</v>
      </c>
      <c r="AT262">
        <v>70</v>
      </c>
      <c r="AU262">
        <v>10</v>
      </c>
      <c r="AV262">
        <v>1</v>
      </c>
      <c r="AW262">
        <v>1</v>
      </c>
      <c r="AZ262">
        <v>1</v>
      </c>
      <c r="BA262">
        <v>1</v>
      </c>
      <c r="BB262">
        <v>1</v>
      </c>
      <c r="BC262">
        <v>1</v>
      </c>
      <c r="BD262" t="s">
        <v>3</v>
      </c>
      <c r="BE262" t="s">
        <v>3</v>
      </c>
      <c r="BF262" t="s">
        <v>3</v>
      </c>
      <c r="BG262" t="s">
        <v>3</v>
      </c>
      <c r="BH262">
        <v>0</v>
      </c>
      <c r="BI262">
        <v>4</v>
      </c>
      <c r="BJ262" t="s">
        <v>231</v>
      </c>
      <c r="BM262">
        <v>0</v>
      </c>
      <c r="BN262">
        <v>0</v>
      </c>
      <c r="BO262" t="s">
        <v>3</v>
      </c>
      <c r="BP262">
        <v>0</v>
      </c>
      <c r="BQ262">
        <v>1</v>
      </c>
      <c r="BR262">
        <v>0</v>
      </c>
      <c r="BS262">
        <v>1</v>
      </c>
      <c r="BT262">
        <v>1</v>
      </c>
      <c r="BU262">
        <v>1</v>
      </c>
      <c r="BV262">
        <v>1</v>
      </c>
      <c r="BW262">
        <v>1</v>
      </c>
      <c r="BX262">
        <v>1</v>
      </c>
      <c r="BY262" t="s">
        <v>3</v>
      </c>
      <c r="BZ262">
        <v>70</v>
      </c>
      <c r="CA262">
        <v>10</v>
      </c>
      <c r="CE262">
        <v>0</v>
      </c>
      <c r="CF262">
        <v>0</v>
      </c>
      <c r="CG262">
        <v>0</v>
      </c>
      <c r="CM262">
        <v>0</v>
      </c>
      <c r="CN262" t="s">
        <v>3</v>
      </c>
      <c r="CO262">
        <v>0</v>
      </c>
      <c r="CP262">
        <f>(P262+Q262+S262)</f>
        <v>70390.78</v>
      </c>
      <c r="CQ262">
        <f>(AC262*BC262*AW262)</f>
        <v>11305.05</v>
      </c>
      <c r="CR262">
        <f>((((ET262)*BB262-(EU262)*BS262)+AE262*BS262)*AV262)</f>
        <v>60.760000000000005</v>
      </c>
      <c r="CS262">
        <f>(AE262*BS262*AV262)</f>
        <v>22.23</v>
      </c>
      <c r="CT262">
        <f>(AF262*BA262*AV262)</f>
        <v>5698.62</v>
      </c>
      <c r="CU262">
        <f>AG262</f>
        <v>0</v>
      </c>
      <c r="CV262">
        <f>(AH262*AV262)</f>
        <v>30.8</v>
      </c>
      <c r="CW262">
        <f t="shared" ref="CW262:CX265" si="226">AI262</f>
        <v>0</v>
      </c>
      <c r="CX262">
        <f t="shared" si="226"/>
        <v>0</v>
      </c>
      <c r="CY262">
        <f>((S262*BZ262)/100)</f>
        <v>16454.767000000003</v>
      </c>
      <c r="CZ262">
        <f>((S262*CA262)/100)</f>
        <v>2350.681</v>
      </c>
      <c r="DC262" t="s">
        <v>3</v>
      </c>
      <c r="DD262" t="s">
        <v>3</v>
      </c>
      <c r="DE262" t="s">
        <v>3</v>
      </c>
      <c r="DF262" t="s">
        <v>3</v>
      </c>
      <c r="DG262" t="s">
        <v>3</v>
      </c>
      <c r="DH262" t="s">
        <v>3</v>
      </c>
      <c r="DI262" t="s">
        <v>3</v>
      </c>
      <c r="DJ262" t="s">
        <v>3</v>
      </c>
      <c r="DK262" t="s">
        <v>3</v>
      </c>
      <c r="DL262" t="s">
        <v>3</v>
      </c>
      <c r="DM262" t="s">
        <v>3</v>
      </c>
      <c r="DN262">
        <v>0</v>
      </c>
      <c r="DO262">
        <v>0</v>
      </c>
      <c r="DP262">
        <v>1</v>
      </c>
      <c r="DQ262">
        <v>1</v>
      </c>
      <c r="DU262">
        <v>1005</v>
      </c>
      <c r="DV262" t="s">
        <v>17</v>
      </c>
      <c r="DW262" t="s">
        <v>17</v>
      </c>
      <c r="DX262">
        <v>100</v>
      </c>
      <c r="EE262">
        <v>40050625</v>
      </c>
      <c r="EF262">
        <v>1</v>
      </c>
      <c r="EG262" t="s">
        <v>19</v>
      </c>
      <c r="EH262">
        <v>0</v>
      </c>
      <c r="EI262" t="s">
        <v>3</v>
      </c>
      <c r="EJ262">
        <v>4</v>
      </c>
      <c r="EK262">
        <v>0</v>
      </c>
      <c r="EL262" t="s">
        <v>20</v>
      </c>
      <c r="EM262" t="s">
        <v>21</v>
      </c>
      <c r="EO262" t="s">
        <v>3</v>
      </c>
      <c r="EQ262">
        <v>0</v>
      </c>
      <c r="ER262">
        <v>17064.43</v>
      </c>
      <c r="ES262">
        <v>11305.05</v>
      </c>
      <c r="ET262">
        <v>60.76</v>
      </c>
      <c r="EU262">
        <v>22.23</v>
      </c>
      <c r="EV262">
        <v>5698.62</v>
      </c>
      <c r="EW262">
        <v>30.8</v>
      </c>
      <c r="EX262">
        <v>0</v>
      </c>
      <c r="EY262">
        <v>0</v>
      </c>
      <c r="FQ262">
        <v>0</v>
      </c>
      <c r="FR262">
        <f>ROUND(IF(AND(BH262=3,BI262=3),P262,0),2)</f>
        <v>0</v>
      </c>
      <c r="FS262">
        <v>0</v>
      </c>
      <c r="FX262">
        <v>70</v>
      </c>
      <c r="FY262">
        <v>10</v>
      </c>
      <c r="GA262" t="s">
        <v>3</v>
      </c>
      <c r="GD262">
        <v>0</v>
      </c>
      <c r="GF262">
        <v>690024525</v>
      </c>
      <c r="GG262">
        <v>2</v>
      </c>
      <c r="GH262">
        <v>1</v>
      </c>
      <c r="GI262">
        <v>-2</v>
      </c>
      <c r="GJ262">
        <v>0</v>
      </c>
      <c r="GK262">
        <f>ROUND(R262*(R12)/100,2)</f>
        <v>99.04</v>
      </c>
      <c r="GL262">
        <f>ROUND(IF(AND(BH262=3,BI262=3,FS262&lt;&gt;0),P262,0),2)</f>
        <v>0</v>
      </c>
      <c r="GM262">
        <f>ROUND(O262+X262+Y262+GK262,2)+GX262</f>
        <v>89295.27</v>
      </c>
      <c r="GN262">
        <f>IF(OR(BI262=0,BI262=1),ROUND(O262+X262+Y262+GK262,2),0)</f>
        <v>0</v>
      </c>
      <c r="GO262">
        <f>IF(BI262=2,ROUND(O262+X262+Y262+GK262,2),0)</f>
        <v>0</v>
      </c>
      <c r="GP262">
        <f>IF(BI262=4,ROUND(O262+X262+Y262+GK262,2)+GX262,0)</f>
        <v>89295.27</v>
      </c>
      <c r="GR262">
        <v>0</v>
      </c>
      <c r="GS262">
        <v>0</v>
      </c>
      <c r="GT262">
        <v>0</v>
      </c>
      <c r="GU262" t="s">
        <v>3</v>
      </c>
      <c r="GV262">
        <f>ROUND((GT262),6)</f>
        <v>0</v>
      </c>
      <c r="GW262">
        <v>1</v>
      </c>
      <c r="GX262">
        <f>ROUND(HC262*I262,2)</f>
        <v>0</v>
      </c>
      <c r="HA262">
        <v>0</v>
      </c>
      <c r="HB262">
        <v>0</v>
      </c>
      <c r="HC262">
        <f>GV262*GW262</f>
        <v>0</v>
      </c>
      <c r="IK262">
        <v>0</v>
      </c>
    </row>
    <row r="263" spans="1:245">
      <c r="A263">
        <v>17</v>
      </c>
      <c r="B263">
        <v>1</v>
      </c>
      <c r="C263">
        <f>ROW(SmtRes!A116)</f>
        <v>116</v>
      </c>
      <c r="D263">
        <f>ROW(EtalonRes!A104)</f>
        <v>104</v>
      </c>
      <c r="E263" t="s">
        <v>232</v>
      </c>
      <c r="F263" t="s">
        <v>233</v>
      </c>
      <c r="G263" t="s">
        <v>234</v>
      </c>
      <c r="H263" t="s">
        <v>17</v>
      </c>
      <c r="I263">
        <f>ROUND(550*0.25/100,9)</f>
        <v>1.375</v>
      </c>
      <c r="J263">
        <v>0</v>
      </c>
      <c r="O263">
        <f>ROUND(CP263,2)</f>
        <v>27246.959999999999</v>
      </c>
      <c r="P263">
        <f>ROUND(CQ263*I263,2)</f>
        <v>15544.44</v>
      </c>
      <c r="Q263">
        <f>ROUND(CR263*I263,2)</f>
        <v>0</v>
      </c>
      <c r="R263">
        <f>ROUND(CS263*I263,2)</f>
        <v>0</v>
      </c>
      <c r="S263">
        <f>ROUND(CT263*I263,2)</f>
        <v>11702.52</v>
      </c>
      <c r="T263">
        <f>ROUND(CU263*I263,2)</f>
        <v>0</v>
      </c>
      <c r="U263">
        <f>CV263*I263</f>
        <v>63.25</v>
      </c>
      <c r="V263">
        <f>CW263*I263</f>
        <v>0</v>
      </c>
      <c r="W263">
        <f>ROUND(CX263*I263,2)</f>
        <v>0</v>
      </c>
      <c r="X263">
        <f t="shared" si="223"/>
        <v>8191.76</v>
      </c>
      <c r="Y263">
        <f t="shared" si="223"/>
        <v>1170.25</v>
      </c>
      <c r="AA263">
        <v>41858681</v>
      </c>
      <c r="AB263">
        <f>ROUND((AC263+AD263+AF263),6)</f>
        <v>19815.97</v>
      </c>
      <c r="AC263">
        <f>ROUND((ES263),6)</f>
        <v>11305.05</v>
      </c>
      <c r="AD263">
        <f>ROUND((((ET263)-(EU263))+AE263),6)</f>
        <v>0</v>
      </c>
      <c r="AE263">
        <f t="shared" si="224"/>
        <v>0</v>
      </c>
      <c r="AF263">
        <f t="shared" si="224"/>
        <v>8510.92</v>
      </c>
      <c r="AG263">
        <f>ROUND((AP263),6)</f>
        <v>0</v>
      </c>
      <c r="AH263">
        <f t="shared" si="225"/>
        <v>46</v>
      </c>
      <c r="AI263">
        <f t="shared" si="225"/>
        <v>0</v>
      </c>
      <c r="AJ263">
        <f>(AS263)</f>
        <v>0</v>
      </c>
      <c r="AK263">
        <v>19815.97</v>
      </c>
      <c r="AL263">
        <v>11305.05</v>
      </c>
      <c r="AM263">
        <v>0</v>
      </c>
      <c r="AN263">
        <v>0</v>
      </c>
      <c r="AO263">
        <v>8510.92</v>
      </c>
      <c r="AP263">
        <v>0</v>
      </c>
      <c r="AQ263">
        <v>46</v>
      </c>
      <c r="AR263">
        <v>0</v>
      </c>
      <c r="AS263">
        <v>0</v>
      </c>
      <c r="AT263">
        <v>70</v>
      </c>
      <c r="AU263">
        <v>10</v>
      </c>
      <c r="AV263">
        <v>1</v>
      </c>
      <c r="AW263">
        <v>1</v>
      </c>
      <c r="AZ263">
        <v>1</v>
      </c>
      <c r="BA263">
        <v>1</v>
      </c>
      <c r="BB263">
        <v>1</v>
      </c>
      <c r="BC263">
        <v>1</v>
      </c>
      <c r="BD263" t="s">
        <v>3</v>
      </c>
      <c r="BE263" t="s">
        <v>3</v>
      </c>
      <c r="BF263" t="s">
        <v>3</v>
      </c>
      <c r="BG263" t="s">
        <v>3</v>
      </c>
      <c r="BH263">
        <v>0</v>
      </c>
      <c r="BI263">
        <v>4</v>
      </c>
      <c r="BJ263" t="s">
        <v>235</v>
      </c>
      <c r="BM263">
        <v>0</v>
      </c>
      <c r="BN263">
        <v>0</v>
      </c>
      <c r="BO263" t="s">
        <v>3</v>
      </c>
      <c r="BP263">
        <v>0</v>
      </c>
      <c r="BQ263">
        <v>1</v>
      </c>
      <c r="BR263">
        <v>0</v>
      </c>
      <c r="BS263">
        <v>1</v>
      </c>
      <c r="BT263">
        <v>1</v>
      </c>
      <c r="BU263">
        <v>1</v>
      </c>
      <c r="BV263">
        <v>1</v>
      </c>
      <c r="BW263">
        <v>1</v>
      </c>
      <c r="BX263">
        <v>1</v>
      </c>
      <c r="BY263" t="s">
        <v>3</v>
      </c>
      <c r="BZ263">
        <v>70</v>
      </c>
      <c r="CA263">
        <v>10</v>
      </c>
      <c r="CE263">
        <v>0</v>
      </c>
      <c r="CF263">
        <v>0</v>
      </c>
      <c r="CG263">
        <v>0</v>
      </c>
      <c r="CM263">
        <v>0</v>
      </c>
      <c r="CN263" t="s">
        <v>3</v>
      </c>
      <c r="CO263">
        <v>0</v>
      </c>
      <c r="CP263">
        <f>(P263+Q263+S263)</f>
        <v>27246.959999999999</v>
      </c>
      <c r="CQ263">
        <f>(AC263*BC263*AW263)</f>
        <v>11305.05</v>
      </c>
      <c r="CR263">
        <f>((((ET263)*BB263-(EU263)*BS263)+AE263*BS263)*AV263)</f>
        <v>0</v>
      </c>
      <c r="CS263">
        <f>(AE263*BS263*AV263)</f>
        <v>0</v>
      </c>
      <c r="CT263">
        <f>(AF263*BA263*AV263)</f>
        <v>8510.92</v>
      </c>
      <c r="CU263">
        <f>AG263</f>
        <v>0</v>
      </c>
      <c r="CV263">
        <f>(AH263*AV263)</f>
        <v>46</v>
      </c>
      <c r="CW263">
        <f t="shared" si="226"/>
        <v>0</v>
      </c>
      <c r="CX263">
        <f t="shared" si="226"/>
        <v>0</v>
      </c>
      <c r="CY263">
        <f>((S263*BZ263)/100)</f>
        <v>8191.7640000000001</v>
      </c>
      <c r="CZ263">
        <f>((S263*CA263)/100)</f>
        <v>1170.2520000000002</v>
      </c>
      <c r="DC263" t="s">
        <v>3</v>
      </c>
      <c r="DD263" t="s">
        <v>3</v>
      </c>
      <c r="DE263" t="s">
        <v>3</v>
      </c>
      <c r="DF263" t="s">
        <v>3</v>
      </c>
      <c r="DG263" t="s">
        <v>3</v>
      </c>
      <c r="DH263" t="s">
        <v>3</v>
      </c>
      <c r="DI263" t="s">
        <v>3</v>
      </c>
      <c r="DJ263" t="s">
        <v>3</v>
      </c>
      <c r="DK263" t="s">
        <v>3</v>
      </c>
      <c r="DL263" t="s">
        <v>3</v>
      </c>
      <c r="DM263" t="s">
        <v>3</v>
      </c>
      <c r="DN263">
        <v>0</v>
      </c>
      <c r="DO263">
        <v>0</v>
      </c>
      <c r="DP263">
        <v>1</v>
      </c>
      <c r="DQ263">
        <v>1</v>
      </c>
      <c r="DU263">
        <v>1005</v>
      </c>
      <c r="DV263" t="s">
        <v>17</v>
      </c>
      <c r="DW263" t="s">
        <v>17</v>
      </c>
      <c r="DX263">
        <v>100</v>
      </c>
      <c r="EE263">
        <v>40050625</v>
      </c>
      <c r="EF263">
        <v>1</v>
      </c>
      <c r="EG263" t="s">
        <v>19</v>
      </c>
      <c r="EH263">
        <v>0</v>
      </c>
      <c r="EI263" t="s">
        <v>3</v>
      </c>
      <c r="EJ263">
        <v>4</v>
      </c>
      <c r="EK263">
        <v>0</v>
      </c>
      <c r="EL263" t="s">
        <v>20</v>
      </c>
      <c r="EM263" t="s">
        <v>21</v>
      </c>
      <c r="EO263" t="s">
        <v>3</v>
      </c>
      <c r="EQ263">
        <v>0</v>
      </c>
      <c r="ER263">
        <v>19815.97</v>
      </c>
      <c r="ES263">
        <v>11305.05</v>
      </c>
      <c r="ET263">
        <v>0</v>
      </c>
      <c r="EU263">
        <v>0</v>
      </c>
      <c r="EV263">
        <v>8510.92</v>
      </c>
      <c r="EW263">
        <v>46</v>
      </c>
      <c r="EX263">
        <v>0</v>
      </c>
      <c r="EY263">
        <v>0</v>
      </c>
      <c r="FQ263">
        <v>0</v>
      </c>
      <c r="FR263">
        <f>ROUND(IF(AND(BH263=3,BI263=3),P263,0),2)</f>
        <v>0</v>
      </c>
      <c r="FS263">
        <v>0</v>
      </c>
      <c r="FX263">
        <v>70</v>
      </c>
      <c r="FY263">
        <v>10</v>
      </c>
      <c r="GA263" t="s">
        <v>3</v>
      </c>
      <c r="GD263">
        <v>0</v>
      </c>
      <c r="GF263">
        <v>-1712119925</v>
      </c>
      <c r="GG263">
        <v>2</v>
      </c>
      <c r="GH263">
        <v>1</v>
      </c>
      <c r="GI263">
        <v>-2</v>
      </c>
      <c r="GJ263">
        <v>0</v>
      </c>
      <c r="GK263">
        <f>ROUND(R263*(R12)/100,2)</f>
        <v>0</v>
      </c>
      <c r="GL263">
        <f>ROUND(IF(AND(BH263=3,BI263=3,FS263&lt;&gt;0),P263,0),2)</f>
        <v>0</v>
      </c>
      <c r="GM263">
        <f>ROUND(O263+X263+Y263+GK263,2)+GX263</f>
        <v>36608.97</v>
      </c>
      <c r="GN263">
        <f>IF(OR(BI263=0,BI263=1),ROUND(O263+X263+Y263+GK263,2),0)</f>
        <v>0</v>
      </c>
      <c r="GO263">
        <f>IF(BI263=2,ROUND(O263+X263+Y263+GK263,2),0)</f>
        <v>0</v>
      </c>
      <c r="GP263">
        <f>IF(BI263=4,ROUND(O263+X263+Y263+GK263,2)+GX263,0)</f>
        <v>36608.97</v>
      </c>
      <c r="GR263">
        <v>0</v>
      </c>
      <c r="GS263">
        <v>0</v>
      </c>
      <c r="GT263">
        <v>0</v>
      </c>
      <c r="GU263" t="s">
        <v>3</v>
      </c>
      <c r="GV263">
        <f>ROUND((GT263),6)</f>
        <v>0</v>
      </c>
      <c r="GW263">
        <v>1</v>
      </c>
      <c r="GX263">
        <f>ROUND(HC263*I263,2)</f>
        <v>0</v>
      </c>
      <c r="HA263">
        <v>0</v>
      </c>
      <c r="HB263">
        <v>0</v>
      </c>
      <c r="HC263">
        <f>GV263*GW263</f>
        <v>0</v>
      </c>
      <c r="IK263">
        <v>0</v>
      </c>
    </row>
    <row r="264" spans="1:245">
      <c r="A264">
        <v>17</v>
      </c>
      <c r="B264">
        <v>1</v>
      </c>
      <c r="C264">
        <f>ROW(SmtRes!A118)</f>
        <v>118</v>
      </c>
      <c r="D264">
        <f>ROW(EtalonRes!A106)</f>
        <v>106</v>
      </c>
      <c r="E264" t="s">
        <v>236</v>
      </c>
      <c r="F264" t="s">
        <v>237</v>
      </c>
      <c r="G264" t="s">
        <v>238</v>
      </c>
      <c r="H264" t="s">
        <v>17</v>
      </c>
      <c r="I264">
        <f>ROUND(-550/100,9)</f>
        <v>-5.5</v>
      </c>
      <c r="J264">
        <v>0</v>
      </c>
      <c r="O264">
        <f>ROUND(CP264,2)</f>
        <v>-27126.720000000001</v>
      </c>
      <c r="P264">
        <f>ROUND(CQ264*I264,2)</f>
        <v>-20725.93</v>
      </c>
      <c r="Q264">
        <f>ROUND(CR264*I264,2)</f>
        <v>0</v>
      </c>
      <c r="R264">
        <f>ROUND(CS264*I264,2)</f>
        <v>0</v>
      </c>
      <c r="S264">
        <f>ROUND(CT264*I264,2)</f>
        <v>-6400.79</v>
      </c>
      <c r="T264">
        <f>ROUND(CU264*I264,2)</f>
        <v>0</v>
      </c>
      <c r="U264">
        <f>CV264*I264</f>
        <v>-34.594999999999999</v>
      </c>
      <c r="V264">
        <f>CW264*I264</f>
        <v>0</v>
      </c>
      <c r="W264">
        <f>ROUND(CX264*I264,2)</f>
        <v>0</v>
      </c>
      <c r="X264">
        <f t="shared" si="223"/>
        <v>-4480.55</v>
      </c>
      <c r="Y264">
        <f t="shared" si="223"/>
        <v>-640.08000000000004</v>
      </c>
      <c r="AA264">
        <v>41858681</v>
      </c>
      <c r="AB264">
        <f>ROUND((AC264+AD264+AF264),6)</f>
        <v>4932.13</v>
      </c>
      <c r="AC264">
        <f>ROUND((ES264),6)</f>
        <v>3768.35</v>
      </c>
      <c r="AD264">
        <f>ROUND((((ET264)-(EU264))+AE264),6)</f>
        <v>0</v>
      </c>
      <c r="AE264">
        <f t="shared" si="224"/>
        <v>0</v>
      </c>
      <c r="AF264">
        <f t="shared" si="224"/>
        <v>1163.78</v>
      </c>
      <c r="AG264">
        <f>ROUND((AP264),6)</f>
        <v>0</v>
      </c>
      <c r="AH264">
        <f t="shared" si="225"/>
        <v>6.29</v>
      </c>
      <c r="AI264">
        <f t="shared" si="225"/>
        <v>0</v>
      </c>
      <c r="AJ264">
        <f>(AS264)</f>
        <v>0</v>
      </c>
      <c r="AK264">
        <v>4932.13</v>
      </c>
      <c r="AL264">
        <v>3768.35</v>
      </c>
      <c r="AM264">
        <v>0</v>
      </c>
      <c r="AN264">
        <v>0</v>
      </c>
      <c r="AO264">
        <v>1163.78</v>
      </c>
      <c r="AP264">
        <v>0</v>
      </c>
      <c r="AQ264">
        <v>6.29</v>
      </c>
      <c r="AR264">
        <v>0</v>
      </c>
      <c r="AS264">
        <v>0</v>
      </c>
      <c r="AT264">
        <v>70</v>
      </c>
      <c r="AU264">
        <v>10</v>
      </c>
      <c r="AV264">
        <v>1</v>
      </c>
      <c r="AW264">
        <v>1</v>
      </c>
      <c r="AZ264">
        <v>1</v>
      </c>
      <c r="BA264">
        <v>1</v>
      </c>
      <c r="BB264">
        <v>1</v>
      </c>
      <c r="BC264">
        <v>1</v>
      </c>
      <c r="BD264" t="s">
        <v>3</v>
      </c>
      <c r="BE264" t="s">
        <v>3</v>
      </c>
      <c r="BF264" t="s">
        <v>3</v>
      </c>
      <c r="BG264" t="s">
        <v>3</v>
      </c>
      <c r="BH264">
        <v>0</v>
      </c>
      <c r="BI264">
        <v>4</v>
      </c>
      <c r="BJ264" t="s">
        <v>239</v>
      </c>
      <c r="BM264">
        <v>0</v>
      </c>
      <c r="BN264">
        <v>0</v>
      </c>
      <c r="BO264" t="s">
        <v>3</v>
      </c>
      <c r="BP264">
        <v>0</v>
      </c>
      <c r="BQ264">
        <v>1</v>
      </c>
      <c r="BR264">
        <v>0</v>
      </c>
      <c r="BS264">
        <v>1</v>
      </c>
      <c r="BT264">
        <v>1</v>
      </c>
      <c r="BU264">
        <v>1</v>
      </c>
      <c r="BV264">
        <v>1</v>
      </c>
      <c r="BW264">
        <v>1</v>
      </c>
      <c r="BX264">
        <v>1</v>
      </c>
      <c r="BY264" t="s">
        <v>3</v>
      </c>
      <c r="BZ264">
        <v>70</v>
      </c>
      <c r="CA264">
        <v>10</v>
      </c>
      <c r="CE264">
        <v>0</v>
      </c>
      <c r="CF264">
        <v>0</v>
      </c>
      <c r="CG264">
        <v>0</v>
      </c>
      <c r="CM264">
        <v>0</v>
      </c>
      <c r="CN264" t="s">
        <v>3</v>
      </c>
      <c r="CO264">
        <v>0</v>
      </c>
      <c r="CP264">
        <f>(P264+Q264+S264)</f>
        <v>-27126.720000000001</v>
      </c>
      <c r="CQ264">
        <f>(AC264*BC264*AW264)</f>
        <v>3768.35</v>
      </c>
      <c r="CR264">
        <f>((((ET264)*BB264-(EU264)*BS264)+AE264*BS264)*AV264)</f>
        <v>0</v>
      </c>
      <c r="CS264">
        <f>(AE264*BS264*AV264)</f>
        <v>0</v>
      </c>
      <c r="CT264">
        <f>(AF264*BA264*AV264)</f>
        <v>1163.78</v>
      </c>
      <c r="CU264">
        <f>AG264</f>
        <v>0</v>
      </c>
      <c r="CV264">
        <f>(AH264*AV264)</f>
        <v>6.29</v>
      </c>
      <c r="CW264">
        <f t="shared" si="226"/>
        <v>0</v>
      </c>
      <c r="CX264">
        <f t="shared" si="226"/>
        <v>0</v>
      </c>
      <c r="CY264">
        <f>((S264*BZ264)/100)</f>
        <v>-4480.5529999999999</v>
      </c>
      <c r="CZ264">
        <f>((S264*CA264)/100)</f>
        <v>-640.07900000000006</v>
      </c>
      <c r="DC264" t="s">
        <v>3</v>
      </c>
      <c r="DD264" t="s">
        <v>3</v>
      </c>
      <c r="DE264" t="s">
        <v>3</v>
      </c>
      <c r="DF264" t="s">
        <v>3</v>
      </c>
      <c r="DG264" t="s">
        <v>3</v>
      </c>
      <c r="DH264" t="s">
        <v>3</v>
      </c>
      <c r="DI264" t="s">
        <v>3</v>
      </c>
      <c r="DJ264" t="s">
        <v>3</v>
      </c>
      <c r="DK264" t="s">
        <v>3</v>
      </c>
      <c r="DL264" t="s">
        <v>3</v>
      </c>
      <c r="DM264" t="s">
        <v>3</v>
      </c>
      <c r="DN264">
        <v>0</v>
      </c>
      <c r="DO264">
        <v>0</v>
      </c>
      <c r="DP264">
        <v>1</v>
      </c>
      <c r="DQ264">
        <v>1</v>
      </c>
      <c r="DU264">
        <v>1005</v>
      </c>
      <c r="DV264" t="s">
        <v>17</v>
      </c>
      <c r="DW264" t="s">
        <v>17</v>
      </c>
      <c r="DX264">
        <v>100</v>
      </c>
      <c r="EE264">
        <v>40050625</v>
      </c>
      <c r="EF264">
        <v>1</v>
      </c>
      <c r="EG264" t="s">
        <v>19</v>
      </c>
      <c r="EH264">
        <v>0</v>
      </c>
      <c r="EI264" t="s">
        <v>3</v>
      </c>
      <c r="EJ264">
        <v>4</v>
      </c>
      <c r="EK264">
        <v>0</v>
      </c>
      <c r="EL264" t="s">
        <v>20</v>
      </c>
      <c r="EM264" t="s">
        <v>21</v>
      </c>
      <c r="EO264" t="s">
        <v>3</v>
      </c>
      <c r="EQ264">
        <v>0</v>
      </c>
      <c r="ER264">
        <v>4932.13</v>
      </c>
      <c r="ES264">
        <v>3768.35</v>
      </c>
      <c r="ET264">
        <v>0</v>
      </c>
      <c r="EU264">
        <v>0</v>
      </c>
      <c r="EV264">
        <v>1163.78</v>
      </c>
      <c r="EW264">
        <v>6.29</v>
      </c>
      <c r="EX264">
        <v>0</v>
      </c>
      <c r="EY264">
        <v>0</v>
      </c>
      <c r="FQ264">
        <v>0</v>
      </c>
      <c r="FR264">
        <f>ROUND(IF(AND(BH264=3,BI264=3),P264,0),2)</f>
        <v>0</v>
      </c>
      <c r="FS264">
        <v>0</v>
      </c>
      <c r="FX264">
        <v>70</v>
      </c>
      <c r="FY264">
        <v>10</v>
      </c>
      <c r="GA264" t="s">
        <v>3</v>
      </c>
      <c r="GD264">
        <v>0</v>
      </c>
      <c r="GF264">
        <v>163889514</v>
      </c>
      <c r="GG264">
        <v>2</v>
      </c>
      <c r="GH264">
        <v>1</v>
      </c>
      <c r="GI264">
        <v>-2</v>
      </c>
      <c r="GJ264">
        <v>0</v>
      </c>
      <c r="GK264">
        <f>ROUND(R264*(R12)/100,2)</f>
        <v>0</v>
      </c>
      <c r="GL264">
        <f>ROUND(IF(AND(BH264=3,BI264=3,FS264&lt;&gt;0),P264,0),2)</f>
        <v>0</v>
      </c>
      <c r="GM264">
        <f>ROUND(O264+X264+Y264+GK264,2)+GX264</f>
        <v>-32247.35</v>
      </c>
      <c r="GN264">
        <f>IF(OR(BI264=0,BI264=1),ROUND(O264+X264+Y264+GK264,2),0)</f>
        <v>0</v>
      </c>
      <c r="GO264">
        <f>IF(BI264=2,ROUND(O264+X264+Y264+GK264,2),0)</f>
        <v>0</v>
      </c>
      <c r="GP264">
        <f>IF(BI264=4,ROUND(O264+X264+Y264+GK264,2)+GX264,0)</f>
        <v>-32247.35</v>
      </c>
      <c r="GR264">
        <v>0</v>
      </c>
      <c r="GS264">
        <v>0</v>
      </c>
      <c r="GT264">
        <v>0</v>
      </c>
      <c r="GU264" t="s">
        <v>3</v>
      </c>
      <c r="GV264">
        <f>ROUND((GT264),6)</f>
        <v>0</v>
      </c>
      <c r="GW264">
        <v>1</v>
      </c>
      <c r="GX264">
        <f>ROUND(HC264*I264,2)</f>
        <v>0</v>
      </c>
      <c r="HA264">
        <v>0</v>
      </c>
      <c r="HB264">
        <v>0</v>
      </c>
      <c r="HC264">
        <f>GV264*GW264</f>
        <v>0</v>
      </c>
      <c r="IK264">
        <v>0</v>
      </c>
    </row>
    <row r="265" spans="1:245">
      <c r="A265">
        <v>17</v>
      </c>
      <c r="B265">
        <v>1</v>
      </c>
      <c r="C265">
        <f>ROW(SmtRes!A121)</f>
        <v>121</v>
      </c>
      <c r="D265">
        <f>ROW(EtalonRes!A109)</f>
        <v>109</v>
      </c>
      <c r="E265" t="s">
        <v>240</v>
      </c>
      <c r="F265" t="s">
        <v>241</v>
      </c>
      <c r="G265" t="s">
        <v>242</v>
      </c>
      <c r="H265" t="s">
        <v>17</v>
      </c>
      <c r="I265">
        <f>ROUND(550/100,9)</f>
        <v>5.5</v>
      </c>
      <c r="J265">
        <v>0</v>
      </c>
      <c r="O265">
        <f>ROUND(CP265,2)</f>
        <v>15322.51</v>
      </c>
      <c r="P265">
        <f>ROUND(CQ265*I265,2)</f>
        <v>8606.73</v>
      </c>
      <c r="Q265">
        <f>ROUND(CR265*I265,2)</f>
        <v>0</v>
      </c>
      <c r="R265">
        <f>ROUND(CS265*I265,2)</f>
        <v>0</v>
      </c>
      <c r="S265">
        <f>ROUND(CT265*I265,2)</f>
        <v>6715.78</v>
      </c>
      <c r="T265">
        <f>ROUND(CU265*I265,2)</f>
        <v>0</v>
      </c>
      <c r="U265">
        <f>CV265*I265</f>
        <v>33.22</v>
      </c>
      <c r="V265">
        <f>CW265*I265</f>
        <v>0</v>
      </c>
      <c r="W265">
        <f>ROUND(CX265*I265,2)</f>
        <v>0</v>
      </c>
      <c r="X265">
        <f t="shared" si="223"/>
        <v>4701.05</v>
      </c>
      <c r="Y265">
        <f t="shared" si="223"/>
        <v>671.58</v>
      </c>
      <c r="AA265">
        <v>41858681</v>
      </c>
      <c r="AB265">
        <f>ROUND((AC265+AD265+AF265),6)</f>
        <v>2785.91</v>
      </c>
      <c r="AC265">
        <f>ROUND((ES265),6)</f>
        <v>1564.86</v>
      </c>
      <c r="AD265">
        <f>ROUND((((ET265)-(EU265))+AE265),6)</f>
        <v>0</v>
      </c>
      <c r="AE265">
        <f t="shared" si="224"/>
        <v>0</v>
      </c>
      <c r="AF265">
        <f t="shared" si="224"/>
        <v>1221.05</v>
      </c>
      <c r="AG265">
        <f>ROUND((AP265),6)</f>
        <v>0</v>
      </c>
      <c r="AH265">
        <f t="shared" si="225"/>
        <v>6.04</v>
      </c>
      <c r="AI265">
        <f t="shared" si="225"/>
        <v>0</v>
      </c>
      <c r="AJ265">
        <f>(AS265)</f>
        <v>0</v>
      </c>
      <c r="AK265">
        <v>2785.91</v>
      </c>
      <c r="AL265">
        <v>1564.86</v>
      </c>
      <c r="AM265">
        <v>0</v>
      </c>
      <c r="AN265">
        <v>0</v>
      </c>
      <c r="AO265">
        <v>1221.05</v>
      </c>
      <c r="AP265">
        <v>0</v>
      </c>
      <c r="AQ265">
        <v>6.04</v>
      </c>
      <c r="AR265">
        <v>0</v>
      </c>
      <c r="AS265">
        <v>0</v>
      </c>
      <c r="AT265">
        <v>70</v>
      </c>
      <c r="AU265">
        <v>10</v>
      </c>
      <c r="AV265">
        <v>1</v>
      </c>
      <c r="AW265">
        <v>1</v>
      </c>
      <c r="AZ265">
        <v>1</v>
      </c>
      <c r="BA265">
        <v>1</v>
      </c>
      <c r="BB265">
        <v>1</v>
      </c>
      <c r="BC265">
        <v>1</v>
      </c>
      <c r="BD265" t="s">
        <v>3</v>
      </c>
      <c r="BE265" t="s">
        <v>3</v>
      </c>
      <c r="BF265" t="s">
        <v>3</v>
      </c>
      <c r="BG265" t="s">
        <v>3</v>
      </c>
      <c r="BH265">
        <v>0</v>
      </c>
      <c r="BI265">
        <v>4</v>
      </c>
      <c r="BJ265" t="s">
        <v>243</v>
      </c>
      <c r="BM265">
        <v>0</v>
      </c>
      <c r="BN265">
        <v>0</v>
      </c>
      <c r="BO265" t="s">
        <v>3</v>
      </c>
      <c r="BP265">
        <v>0</v>
      </c>
      <c r="BQ265">
        <v>1</v>
      </c>
      <c r="BR265">
        <v>0</v>
      </c>
      <c r="BS265">
        <v>1</v>
      </c>
      <c r="BT265">
        <v>1</v>
      </c>
      <c r="BU265">
        <v>1</v>
      </c>
      <c r="BV265">
        <v>1</v>
      </c>
      <c r="BW265">
        <v>1</v>
      </c>
      <c r="BX265">
        <v>1</v>
      </c>
      <c r="BY265" t="s">
        <v>3</v>
      </c>
      <c r="BZ265">
        <v>70</v>
      </c>
      <c r="CA265">
        <v>10</v>
      </c>
      <c r="CE265">
        <v>0</v>
      </c>
      <c r="CF265">
        <v>0</v>
      </c>
      <c r="CG265">
        <v>0</v>
      </c>
      <c r="CM265">
        <v>0</v>
      </c>
      <c r="CN265" t="s">
        <v>3</v>
      </c>
      <c r="CO265">
        <v>0</v>
      </c>
      <c r="CP265">
        <f>(P265+Q265+S265)</f>
        <v>15322.509999999998</v>
      </c>
      <c r="CQ265">
        <f>(AC265*BC265*AW265)</f>
        <v>1564.86</v>
      </c>
      <c r="CR265">
        <f>((((ET265)*BB265-(EU265)*BS265)+AE265*BS265)*AV265)</f>
        <v>0</v>
      </c>
      <c r="CS265">
        <f>(AE265*BS265*AV265)</f>
        <v>0</v>
      </c>
      <c r="CT265">
        <f>(AF265*BA265*AV265)</f>
        <v>1221.05</v>
      </c>
      <c r="CU265">
        <f>AG265</f>
        <v>0</v>
      </c>
      <c r="CV265">
        <f>(AH265*AV265)</f>
        <v>6.04</v>
      </c>
      <c r="CW265">
        <f t="shared" si="226"/>
        <v>0</v>
      </c>
      <c r="CX265">
        <f t="shared" si="226"/>
        <v>0</v>
      </c>
      <c r="CY265">
        <f>((S265*BZ265)/100)</f>
        <v>4701.0459999999994</v>
      </c>
      <c r="CZ265">
        <f>((S265*CA265)/100)</f>
        <v>671.57799999999997</v>
      </c>
      <c r="DC265" t="s">
        <v>3</v>
      </c>
      <c r="DD265" t="s">
        <v>3</v>
      </c>
      <c r="DE265" t="s">
        <v>3</v>
      </c>
      <c r="DF265" t="s">
        <v>3</v>
      </c>
      <c r="DG265" t="s">
        <v>3</v>
      </c>
      <c r="DH265" t="s">
        <v>3</v>
      </c>
      <c r="DI265" t="s">
        <v>3</v>
      </c>
      <c r="DJ265" t="s">
        <v>3</v>
      </c>
      <c r="DK265" t="s">
        <v>3</v>
      </c>
      <c r="DL265" t="s">
        <v>3</v>
      </c>
      <c r="DM265" t="s">
        <v>3</v>
      </c>
      <c r="DN265">
        <v>0</v>
      </c>
      <c r="DO265">
        <v>0</v>
      </c>
      <c r="DP265">
        <v>1</v>
      </c>
      <c r="DQ265">
        <v>1</v>
      </c>
      <c r="DU265">
        <v>1005</v>
      </c>
      <c r="DV265" t="s">
        <v>17</v>
      </c>
      <c r="DW265" t="s">
        <v>17</v>
      </c>
      <c r="DX265">
        <v>100</v>
      </c>
      <c r="EE265">
        <v>40050625</v>
      </c>
      <c r="EF265">
        <v>1</v>
      </c>
      <c r="EG265" t="s">
        <v>19</v>
      </c>
      <c r="EH265">
        <v>0</v>
      </c>
      <c r="EI265" t="s">
        <v>3</v>
      </c>
      <c r="EJ265">
        <v>4</v>
      </c>
      <c r="EK265">
        <v>0</v>
      </c>
      <c r="EL265" t="s">
        <v>20</v>
      </c>
      <c r="EM265" t="s">
        <v>21</v>
      </c>
      <c r="EO265" t="s">
        <v>3</v>
      </c>
      <c r="EQ265">
        <v>0</v>
      </c>
      <c r="ER265">
        <v>2785.91</v>
      </c>
      <c r="ES265">
        <v>1564.86</v>
      </c>
      <c r="ET265">
        <v>0</v>
      </c>
      <c r="EU265">
        <v>0</v>
      </c>
      <c r="EV265">
        <v>1221.05</v>
      </c>
      <c r="EW265">
        <v>6.04</v>
      </c>
      <c r="EX265">
        <v>0</v>
      </c>
      <c r="EY265">
        <v>0</v>
      </c>
      <c r="FQ265">
        <v>0</v>
      </c>
      <c r="FR265">
        <f>ROUND(IF(AND(BH265=3,BI265=3),P265,0),2)</f>
        <v>0</v>
      </c>
      <c r="FS265">
        <v>0</v>
      </c>
      <c r="FX265">
        <v>70</v>
      </c>
      <c r="FY265">
        <v>10</v>
      </c>
      <c r="GA265" t="s">
        <v>3</v>
      </c>
      <c r="GD265">
        <v>0</v>
      </c>
      <c r="GF265">
        <v>-840038154</v>
      </c>
      <c r="GG265">
        <v>2</v>
      </c>
      <c r="GH265">
        <v>1</v>
      </c>
      <c r="GI265">
        <v>-2</v>
      </c>
      <c r="GJ265">
        <v>0</v>
      </c>
      <c r="GK265">
        <f>ROUND(R265*(R12)/100,2)</f>
        <v>0</v>
      </c>
      <c r="GL265">
        <f>ROUND(IF(AND(BH265=3,BI265=3,FS265&lt;&gt;0),P265,0),2)</f>
        <v>0</v>
      </c>
      <c r="GM265">
        <f>ROUND(O265+X265+Y265+GK265,2)+GX265</f>
        <v>20695.14</v>
      </c>
      <c r="GN265">
        <f>IF(OR(BI265=0,BI265=1),ROUND(O265+X265+Y265+GK265,2),0)</f>
        <v>0</v>
      </c>
      <c r="GO265">
        <f>IF(BI265=2,ROUND(O265+X265+Y265+GK265,2),0)</f>
        <v>0</v>
      </c>
      <c r="GP265">
        <f>IF(BI265=4,ROUND(O265+X265+Y265+GK265,2)+GX265,0)</f>
        <v>20695.14</v>
      </c>
      <c r="GR265">
        <v>0</v>
      </c>
      <c r="GS265">
        <v>0</v>
      </c>
      <c r="GT265">
        <v>0</v>
      </c>
      <c r="GU265" t="s">
        <v>3</v>
      </c>
      <c r="GV265">
        <f>ROUND((GT265),6)</f>
        <v>0</v>
      </c>
      <c r="GW265">
        <v>1</v>
      </c>
      <c r="GX265">
        <f>ROUND(HC265*I265,2)</f>
        <v>0</v>
      </c>
      <c r="HA265">
        <v>0</v>
      </c>
      <c r="HB265">
        <v>0</v>
      </c>
      <c r="HC265">
        <f>GV265*GW265</f>
        <v>0</v>
      </c>
      <c r="IK265">
        <v>0</v>
      </c>
    </row>
    <row r="267" spans="1:245">
      <c r="A267" s="2">
        <v>51</v>
      </c>
      <c r="B267" s="2">
        <f>B258</f>
        <v>1</v>
      </c>
      <c r="C267" s="2">
        <f>A258</f>
        <v>4</v>
      </c>
      <c r="D267" s="2">
        <f>ROW(A258)</f>
        <v>258</v>
      </c>
      <c r="E267" s="2"/>
      <c r="F267" s="2" t="str">
        <f>IF(F258&lt;&gt;"",F258,"")</f>
        <v>Новый раздел</v>
      </c>
      <c r="G267" s="2" t="str">
        <f>IF(G258&lt;&gt;"",G258,"")</f>
        <v>Ремонт газона (посевной) - 550м2 ( вокруг цветника с кустами и деревьями)</v>
      </c>
      <c r="H267" s="2">
        <v>0</v>
      </c>
      <c r="I267" s="2"/>
      <c r="J267" s="2"/>
      <c r="K267" s="2"/>
      <c r="L267" s="2"/>
      <c r="M267" s="2"/>
      <c r="N267" s="2"/>
      <c r="O267" s="2">
        <f t="shared" ref="O267:T267" si="227">ROUND(AB267,2)</f>
        <v>85833.53</v>
      </c>
      <c r="P267" s="2">
        <f t="shared" si="227"/>
        <v>50058.57</v>
      </c>
      <c r="Q267" s="2">
        <f t="shared" si="227"/>
        <v>250.64</v>
      </c>
      <c r="R267" s="2">
        <f t="shared" si="227"/>
        <v>91.7</v>
      </c>
      <c r="S267" s="2">
        <f t="shared" si="227"/>
        <v>35524.32</v>
      </c>
      <c r="T267" s="2">
        <f t="shared" si="227"/>
        <v>0</v>
      </c>
      <c r="U267" s="2">
        <f>AH267</f>
        <v>188.92500000000001</v>
      </c>
      <c r="V267" s="2">
        <f>AI267</f>
        <v>0</v>
      </c>
      <c r="W267" s="2">
        <f>ROUND(AJ267,2)</f>
        <v>0</v>
      </c>
      <c r="X267" s="2">
        <f>ROUND(AK267,2)</f>
        <v>24867.03</v>
      </c>
      <c r="Y267" s="2">
        <f>ROUND(AL267,2)</f>
        <v>3552.43</v>
      </c>
      <c r="Z267" s="2"/>
      <c r="AA267" s="2"/>
      <c r="AB267" s="2">
        <f>ROUND(SUMIF(AA262:AA265,"=41858681",O262:O265),2)</f>
        <v>85833.53</v>
      </c>
      <c r="AC267" s="2">
        <f>ROUND(SUMIF(AA262:AA265,"=41858681",P262:P265),2)</f>
        <v>50058.57</v>
      </c>
      <c r="AD267" s="2">
        <f>ROUND(SUMIF(AA262:AA265,"=41858681",Q262:Q265),2)</f>
        <v>250.64</v>
      </c>
      <c r="AE267" s="2">
        <f>ROUND(SUMIF(AA262:AA265,"=41858681",R262:R265),2)</f>
        <v>91.7</v>
      </c>
      <c r="AF267" s="2">
        <f>ROUND(SUMIF(AA262:AA265,"=41858681",S262:S265),2)</f>
        <v>35524.32</v>
      </c>
      <c r="AG267" s="2">
        <f>ROUND(SUMIF(AA262:AA265,"=41858681",T262:T265),2)</f>
        <v>0</v>
      </c>
      <c r="AH267" s="2">
        <f>SUMIF(AA262:AA265,"=41858681",U262:U265)</f>
        <v>188.92500000000001</v>
      </c>
      <c r="AI267" s="2">
        <f>SUMIF(AA262:AA265,"=41858681",V262:V265)</f>
        <v>0</v>
      </c>
      <c r="AJ267" s="2">
        <f>ROUND(SUMIF(AA262:AA265,"=41858681",W262:W265),2)</f>
        <v>0</v>
      </c>
      <c r="AK267" s="2">
        <f>ROUND(SUMIF(AA262:AA265,"=41858681",X262:X265),2)</f>
        <v>24867.03</v>
      </c>
      <c r="AL267" s="2">
        <f>ROUND(SUMIF(AA262:AA265,"=41858681",Y262:Y265),2)</f>
        <v>3552.43</v>
      </c>
      <c r="AM267" s="2"/>
      <c r="AN267" s="2"/>
      <c r="AO267" s="2">
        <f t="shared" ref="AO267:BC267" si="228">ROUND(BX267,2)</f>
        <v>0</v>
      </c>
      <c r="AP267" s="2">
        <f t="shared" si="228"/>
        <v>0</v>
      </c>
      <c r="AQ267" s="2">
        <f t="shared" si="228"/>
        <v>0</v>
      </c>
      <c r="AR267" s="2">
        <f t="shared" si="228"/>
        <v>114352.03</v>
      </c>
      <c r="AS267" s="2">
        <f t="shared" si="228"/>
        <v>0</v>
      </c>
      <c r="AT267" s="2">
        <f t="shared" si="228"/>
        <v>0</v>
      </c>
      <c r="AU267" s="2">
        <f t="shared" si="228"/>
        <v>114352.03</v>
      </c>
      <c r="AV267" s="2">
        <f t="shared" si="228"/>
        <v>50058.57</v>
      </c>
      <c r="AW267" s="2">
        <f t="shared" si="228"/>
        <v>50058.57</v>
      </c>
      <c r="AX267" s="2">
        <f t="shared" si="228"/>
        <v>0</v>
      </c>
      <c r="AY267" s="2">
        <f t="shared" si="228"/>
        <v>50058.57</v>
      </c>
      <c r="AZ267" s="2">
        <f t="shared" si="228"/>
        <v>0</v>
      </c>
      <c r="BA267" s="2">
        <f t="shared" si="228"/>
        <v>0</v>
      </c>
      <c r="BB267" s="2">
        <f t="shared" si="228"/>
        <v>0</v>
      </c>
      <c r="BC267" s="2">
        <f t="shared" si="228"/>
        <v>0</v>
      </c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>
        <f>ROUND(SUMIF(AA262:AA265,"=41858681",FQ262:FQ265),2)</f>
        <v>0</v>
      </c>
      <c r="BY267" s="2">
        <f>ROUND(SUMIF(AA262:AA265,"=41858681",FR262:FR265),2)</f>
        <v>0</v>
      </c>
      <c r="BZ267" s="2">
        <f>ROUND(SUMIF(AA262:AA265,"=41858681",GL262:GL265),2)</f>
        <v>0</v>
      </c>
      <c r="CA267" s="2">
        <f>ROUND(SUMIF(AA262:AA265,"=41858681",GM262:GM265),2)</f>
        <v>114352.03</v>
      </c>
      <c r="CB267" s="2">
        <f>ROUND(SUMIF(AA262:AA265,"=41858681",GN262:GN265),2)</f>
        <v>0</v>
      </c>
      <c r="CC267" s="2">
        <f>ROUND(SUMIF(AA262:AA265,"=41858681",GO262:GO265),2)</f>
        <v>0</v>
      </c>
      <c r="CD267" s="2">
        <f>ROUND(SUMIF(AA262:AA265,"=41858681",GP262:GP265),2)</f>
        <v>114352.03</v>
      </c>
      <c r="CE267" s="2">
        <f>AC267-BX267</f>
        <v>50058.57</v>
      </c>
      <c r="CF267" s="2">
        <f>AC267-BY267</f>
        <v>50058.57</v>
      </c>
      <c r="CG267" s="2">
        <f>BX267-BZ267</f>
        <v>0</v>
      </c>
      <c r="CH267" s="2">
        <f>AC267-BX267-BY267+BZ267</f>
        <v>50058.57</v>
      </c>
      <c r="CI267" s="2">
        <f>BY267-BZ267</f>
        <v>0</v>
      </c>
      <c r="CJ267" s="2">
        <f>ROUND(SUMIF(AA262:AA265,"=41858681",GX262:GX265),2)</f>
        <v>0</v>
      </c>
      <c r="CK267" s="2">
        <f>ROUND(SUMIF(AA262:AA265,"=41858681",GY262:GY265),2)</f>
        <v>0</v>
      </c>
      <c r="CL267" s="2">
        <f>ROUND(SUMIF(AA262:AA265,"=41858681",GZ262:GZ265),2)</f>
        <v>0</v>
      </c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>
        <v>0</v>
      </c>
    </row>
    <row r="269" spans="1:245">
      <c r="A269" s="4">
        <v>50</v>
      </c>
      <c r="B269" s="4">
        <v>0</v>
      </c>
      <c r="C269" s="4">
        <v>0</v>
      </c>
      <c r="D269" s="4">
        <v>1</v>
      </c>
      <c r="E269" s="4">
        <v>201</v>
      </c>
      <c r="F269" s="4">
        <f>ROUND(Source!O267,O269)</f>
        <v>85833.53</v>
      </c>
      <c r="G269" s="4" t="s">
        <v>64</v>
      </c>
      <c r="H269" s="4" t="s">
        <v>65</v>
      </c>
      <c r="I269" s="4"/>
      <c r="J269" s="4"/>
      <c r="K269" s="4">
        <v>201</v>
      </c>
      <c r="L269" s="4">
        <v>1</v>
      </c>
      <c r="M269" s="4">
        <v>3</v>
      </c>
      <c r="N269" s="4" t="s">
        <v>3</v>
      </c>
      <c r="O269" s="4">
        <v>2</v>
      </c>
      <c r="P269" s="4"/>
      <c r="Q269" s="4"/>
      <c r="R269" s="4"/>
      <c r="S269" s="4"/>
      <c r="T269" s="4"/>
      <c r="U269" s="4"/>
      <c r="V269" s="4"/>
      <c r="W269" s="4"/>
    </row>
    <row r="270" spans="1:245">
      <c r="A270" s="4">
        <v>50</v>
      </c>
      <c r="B270" s="4">
        <v>0</v>
      </c>
      <c r="C270" s="4">
        <v>0</v>
      </c>
      <c r="D270" s="4">
        <v>1</v>
      </c>
      <c r="E270" s="4">
        <v>202</v>
      </c>
      <c r="F270" s="4">
        <f>ROUND(Source!P267,O270)</f>
        <v>50058.57</v>
      </c>
      <c r="G270" s="4" t="s">
        <v>66</v>
      </c>
      <c r="H270" s="4" t="s">
        <v>67</v>
      </c>
      <c r="I270" s="4"/>
      <c r="J270" s="4"/>
      <c r="K270" s="4">
        <v>202</v>
      </c>
      <c r="L270" s="4">
        <v>2</v>
      </c>
      <c r="M270" s="4">
        <v>3</v>
      </c>
      <c r="N270" s="4" t="s">
        <v>3</v>
      </c>
      <c r="O270" s="4">
        <v>2</v>
      </c>
      <c r="P270" s="4"/>
      <c r="Q270" s="4"/>
      <c r="R270" s="4"/>
      <c r="S270" s="4"/>
      <c r="T270" s="4"/>
      <c r="U270" s="4"/>
      <c r="V270" s="4"/>
      <c r="W270" s="4"/>
    </row>
    <row r="271" spans="1:245">
      <c r="A271" s="4">
        <v>50</v>
      </c>
      <c r="B271" s="4">
        <v>0</v>
      </c>
      <c r="C271" s="4">
        <v>0</v>
      </c>
      <c r="D271" s="4">
        <v>1</v>
      </c>
      <c r="E271" s="4">
        <v>222</v>
      </c>
      <c r="F271" s="4">
        <f>ROUND(Source!AO267,O271)</f>
        <v>0</v>
      </c>
      <c r="G271" s="4" t="s">
        <v>68</v>
      </c>
      <c r="H271" s="4" t="s">
        <v>69</v>
      </c>
      <c r="I271" s="4"/>
      <c r="J271" s="4"/>
      <c r="K271" s="4">
        <v>222</v>
      </c>
      <c r="L271" s="4">
        <v>3</v>
      </c>
      <c r="M271" s="4">
        <v>3</v>
      </c>
      <c r="N271" s="4" t="s">
        <v>3</v>
      </c>
      <c r="O271" s="4">
        <v>2</v>
      </c>
      <c r="P271" s="4"/>
      <c r="Q271" s="4"/>
      <c r="R271" s="4"/>
      <c r="S271" s="4"/>
      <c r="T271" s="4"/>
      <c r="U271" s="4"/>
      <c r="V271" s="4"/>
      <c r="W271" s="4"/>
    </row>
    <row r="272" spans="1:245">
      <c r="A272" s="4">
        <v>50</v>
      </c>
      <c r="B272" s="4">
        <v>0</v>
      </c>
      <c r="C272" s="4">
        <v>0</v>
      </c>
      <c r="D272" s="4">
        <v>1</v>
      </c>
      <c r="E272" s="4">
        <v>225</v>
      </c>
      <c r="F272" s="4">
        <f>ROUND(Source!AV267,O272)</f>
        <v>50058.57</v>
      </c>
      <c r="G272" s="4" t="s">
        <v>70</v>
      </c>
      <c r="H272" s="4" t="s">
        <v>71</v>
      </c>
      <c r="I272" s="4"/>
      <c r="J272" s="4"/>
      <c r="K272" s="4">
        <v>225</v>
      </c>
      <c r="L272" s="4">
        <v>4</v>
      </c>
      <c r="M272" s="4">
        <v>3</v>
      </c>
      <c r="N272" s="4" t="s">
        <v>3</v>
      </c>
      <c r="O272" s="4">
        <v>2</v>
      </c>
      <c r="P272" s="4"/>
      <c r="Q272" s="4"/>
      <c r="R272" s="4"/>
      <c r="S272" s="4"/>
      <c r="T272" s="4"/>
      <c r="U272" s="4"/>
      <c r="V272" s="4"/>
      <c r="W272" s="4"/>
    </row>
    <row r="273" spans="1:23">
      <c r="A273" s="4">
        <v>50</v>
      </c>
      <c r="B273" s="4">
        <v>0</v>
      </c>
      <c r="C273" s="4">
        <v>0</v>
      </c>
      <c r="D273" s="4">
        <v>1</v>
      </c>
      <c r="E273" s="4">
        <v>226</v>
      </c>
      <c r="F273" s="4">
        <f>ROUND(Source!AW267,O273)</f>
        <v>50058.57</v>
      </c>
      <c r="G273" s="4" t="s">
        <v>72</v>
      </c>
      <c r="H273" s="4" t="s">
        <v>73</v>
      </c>
      <c r="I273" s="4"/>
      <c r="J273" s="4"/>
      <c r="K273" s="4">
        <v>226</v>
      </c>
      <c r="L273" s="4">
        <v>5</v>
      </c>
      <c r="M273" s="4">
        <v>3</v>
      </c>
      <c r="N273" s="4" t="s">
        <v>3</v>
      </c>
      <c r="O273" s="4">
        <v>2</v>
      </c>
      <c r="P273" s="4"/>
      <c r="Q273" s="4"/>
      <c r="R273" s="4"/>
      <c r="S273" s="4"/>
      <c r="T273" s="4"/>
      <c r="U273" s="4"/>
      <c r="V273" s="4"/>
      <c r="W273" s="4"/>
    </row>
    <row r="274" spans="1:23">
      <c r="A274" s="4">
        <v>50</v>
      </c>
      <c r="B274" s="4">
        <v>0</v>
      </c>
      <c r="C274" s="4">
        <v>0</v>
      </c>
      <c r="D274" s="4">
        <v>1</v>
      </c>
      <c r="E274" s="4">
        <v>227</v>
      </c>
      <c r="F274" s="4">
        <f>ROUND(Source!AX267,O274)</f>
        <v>0</v>
      </c>
      <c r="G274" s="4" t="s">
        <v>74</v>
      </c>
      <c r="H274" s="4" t="s">
        <v>75</v>
      </c>
      <c r="I274" s="4"/>
      <c r="J274" s="4"/>
      <c r="K274" s="4">
        <v>227</v>
      </c>
      <c r="L274" s="4">
        <v>6</v>
      </c>
      <c r="M274" s="4">
        <v>3</v>
      </c>
      <c r="N274" s="4" t="s">
        <v>3</v>
      </c>
      <c r="O274" s="4">
        <v>2</v>
      </c>
      <c r="P274" s="4"/>
      <c r="Q274" s="4"/>
      <c r="R274" s="4"/>
      <c r="S274" s="4"/>
      <c r="T274" s="4"/>
      <c r="U274" s="4"/>
      <c r="V274" s="4"/>
      <c r="W274" s="4"/>
    </row>
    <row r="275" spans="1:23">
      <c r="A275" s="4">
        <v>50</v>
      </c>
      <c r="B275" s="4">
        <v>0</v>
      </c>
      <c r="C275" s="4">
        <v>0</v>
      </c>
      <c r="D275" s="4">
        <v>1</v>
      </c>
      <c r="E275" s="4">
        <v>228</v>
      </c>
      <c r="F275" s="4">
        <f>ROUND(Source!AY267,O275)</f>
        <v>50058.57</v>
      </c>
      <c r="G275" s="4" t="s">
        <v>76</v>
      </c>
      <c r="H275" s="4" t="s">
        <v>77</v>
      </c>
      <c r="I275" s="4"/>
      <c r="J275" s="4"/>
      <c r="K275" s="4">
        <v>228</v>
      </c>
      <c r="L275" s="4">
        <v>7</v>
      </c>
      <c r="M275" s="4">
        <v>3</v>
      </c>
      <c r="N275" s="4" t="s">
        <v>3</v>
      </c>
      <c r="O275" s="4">
        <v>2</v>
      </c>
      <c r="P275" s="4"/>
      <c r="Q275" s="4"/>
      <c r="R275" s="4"/>
      <c r="S275" s="4"/>
      <c r="T275" s="4"/>
      <c r="U275" s="4"/>
      <c r="V275" s="4"/>
      <c r="W275" s="4"/>
    </row>
    <row r="276" spans="1:23">
      <c r="A276" s="4">
        <v>50</v>
      </c>
      <c r="B276" s="4">
        <v>0</v>
      </c>
      <c r="C276" s="4">
        <v>0</v>
      </c>
      <c r="D276" s="4">
        <v>1</v>
      </c>
      <c r="E276" s="4">
        <v>216</v>
      </c>
      <c r="F276" s="4">
        <f>ROUND(Source!AP267,O276)</f>
        <v>0</v>
      </c>
      <c r="G276" s="4" t="s">
        <v>78</v>
      </c>
      <c r="H276" s="4" t="s">
        <v>79</v>
      </c>
      <c r="I276" s="4"/>
      <c r="J276" s="4"/>
      <c r="K276" s="4">
        <v>216</v>
      </c>
      <c r="L276" s="4">
        <v>8</v>
      </c>
      <c r="M276" s="4">
        <v>3</v>
      </c>
      <c r="N276" s="4" t="s">
        <v>3</v>
      </c>
      <c r="O276" s="4">
        <v>2</v>
      </c>
      <c r="P276" s="4"/>
      <c r="Q276" s="4"/>
      <c r="R276" s="4"/>
      <c r="S276" s="4"/>
      <c r="T276" s="4"/>
      <c r="U276" s="4"/>
      <c r="V276" s="4"/>
      <c r="W276" s="4"/>
    </row>
    <row r="277" spans="1:23">
      <c r="A277" s="4">
        <v>50</v>
      </c>
      <c r="B277" s="4">
        <v>0</v>
      </c>
      <c r="C277" s="4">
        <v>0</v>
      </c>
      <c r="D277" s="4">
        <v>1</v>
      </c>
      <c r="E277" s="4">
        <v>223</v>
      </c>
      <c r="F277" s="4">
        <f>ROUND(Source!AQ267,O277)</f>
        <v>0</v>
      </c>
      <c r="G277" s="4" t="s">
        <v>80</v>
      </c>
      <c r="H277" s="4" t="s">
        <v>81</v>
      </c>
      <c r="I277" s="4"/>
      <c r="J277" s="4"/>
      <c r="K277" s="4">
        <v>223</v>
      </c>
      <c r="L277" s="4">
        <v>9</v>
      </c>
      <c r="M277" s="4">
        <v>3</v>
      </c>
      <c r="N277" s="4" t="s">
        <v>3</v>
      </c>
      <c r="O277" s="4">
        <v>2</v>
      </c>
      <c r="P277" s="4"/>
      <c r="Q277" s="4"/>
      <c r="R277" s="4"/>
      <c r="S277" s="4"/>
      <c r="T277" s="4"/>
      <c r="U277" s="4"/>
      <c r="V277" s="4"/>
      <c r="W277" s="4"/>
    </row>
    <row r="278" spans="1:23">
      <c r="A278" s="4">
        <v>50</v>
      </c>
      <c r="B278" s="4">
        <v>0</v>
      </c>
      <c r="C278" s="4">
        <v>0</v>
      </c>
      <c r="D278" s="4">
        <v>1</v>
      </c>
      <c r="E278" s="4">
        <v>229</v>
      </c>
      <c r="F278" s="4">
        <f>ROUND(Source!AZ267,O278)</f>
        <v>0</v>
      </c>
      <c r="G278" s="4" t="s">
        <v>82</v>
      </c>
      <c r="H278" s="4" t="s">
        <v>83</v>
      </c>
      <c r="I278" s="4"/>
      <c r="J278" s="4"/>
      <c r="K278" s="4">
        <v>229</v>
      </c>
      <c r="L278" s="4">
        <v>10</v>
      </c>
      <c r="M278" s="4">
        <v>3</v>
      </c>
      <c r="N278" s="4" t="s">
        <v>3</v>
      </c>
      <c r="O278" s="4">
        <v>2</v>
      </c>
      <c r="P278" s="4"/>
      <c r="Q278" s="4"/>
      <c r="R278" s="4"/>
      <c r="S278" s="4"/>
      <c r="T278" s="4"/>
      <c r="U278" s="4"/>
      <c r="V278" s="4"/>
      <c r="W278" s="4"/>
    </row>
    <row r="279" spans="1:23">
      <c r="A279" s="4">
        <v>50</v>
      </c>
      <c r="B279" s="4">
        <v>0</v>
      </c>
      <c r="C279" s="4">
        <v>0</v>
      </c>
      <c r="D279" s="4">
        <v>1</v>
      </c>
      <c r="E279" s="4">
        <v>203</v>
      </c>
      <c r="F279" s="4">
        <f>ROUND(Source!Q267,O279)</f>
        <v>250.64</v>
      </c>
      <c r="G279" s="4" t="s">
        <v>84</v>
      </c>
      <c r="H279" s="4" t="s">
        <v>85</v>
      </c>
      <c r="I279" s="4"/>
      <c r="J279" s="4"/>
      <c r="K279" s="4">
        <v>203</v>
      </c>
      <c r="L279" s="4">
        <v>11</v>
      </c>
      <c r="M279" s="4">
        <v>3</v>
      </c>
      <c r="N279" s="4" t="s">
        <v>3</v>
      </c>
      <c r="O279" s="4">
        <v>2</v>
      </c>
      <c r="P279" s="4"/>
      <c r="Q279" s="4"/>
      <c r="R279" s="4"/>
      <c r="S279" s="4"/>
      <c r="T279" s="4"/>
      <c r="U279" s="4"/>
      <c r="V279" s="4"/>
      <c r="W279" s="4"/>
    </row>
    <row r="280" spans="1:23">
      <c r="A280" s="4">
        <v>50</v>
      </c>
      <c r="B280" s="4">
        <v>0</v>
      </c>
      <c r="C280" s="4">
        <v>0</v>
      </c>
      <c r="D280" s="4">
        <v>1</v>
      </c>
      <c r="E280" s="4">
        <v>231</v>
      </c>
      <c r="F280" s="4">
        <f>ROUND(Source!BB267,O280)</f>
        <v>0</v>
      </c>
      <c r="G280" s="4" t="s">
        <v>86</v>
      </c>
      <c r="H280" s="4" t="s">
        <v>87</v>
      </c>
      <c r="I280" s="4"/>
      <c r="J280" s="4"/>
      <c r="K280" s="4">
        <v>231</v>
      </c>
      <c r="L280" s="4">
        <v>12</v>
      </c>
      <c r="M280" s="4">
        <v>3</v>
      </c>
      <c r="N280" s="4" t="s">
        <v>3</v>
      </c>
      <c r="O280" s="4">
        <v>2</v>
      </c>
      <c r="P280" s="4"/>
      <c r="Q280" s="4"/>
      <c r="R280" s="4"/>
      <c r="S280" s="4"/>
      <c r="T280" s="4"/>
      <c r="U280" s="4"/>
      <c r="V280" s="4"/>
      <c r="W280" s="4"/>
    </row>
    <row r="281" spans="1:23">
      <c r="A281" s="4">
        <v>50</v>
      </c>
      <c r="B281" s="4">
        <v>0</v>
      </c>
      <c r="C281" s="4">
        <v>0</v>
      </c>
      <c r="D281" s="4">
        <v>1</v>
      </c>
      <c r="E281" s="4">
        <v>204</v>
      </c>
      <c r="F281" s="4">
        <f>ROUND(Source!R267,O281)</f>
        <v>91.7</v>
      </c>
      <c r="G281" s="4" t="s">
        <v>88</v>
      </c>
      <c r="H281" s="4" t="s">
        <v>89</v>
      </c>
      <c r="I281" s="4"/>
      <c r="J281" s="4"/>
      <c r="K281" s="4">
        <v>204</v>
      </c>
      <c r="L281" s="4">
        <v>13</v>
      </c>
      <c r="M281" s="4">
        <v>3</v>
      </c>
      <c r="N281" s="4" t="s">
        <v>3</v>
      </c>
      <c r="O281" s="4">
        <v>2</v>
      </c>
      <c r="P281" s="4"/>
      <c r="Q281" s="4"/>
      <c r="R281" s="4"/>
      <c r="S281" s="4"/>
      <c r="T281" s="4"/>
      <c r="U281" s="4"/>
      <c r="V281" s="4"/>
      <c r="W281" s="4"/>
    </row>
    <row r="282" spans="1:23">
      <c r="A282" s="4">
        <v>50</v>
      </c>
      <c r="B282" s="4">
        <v>0</v>
      </c>
      <c r="C282" s="4">
        <v>0</v>
      </c>
      <c r="D282" s="4">
        <v>1</v>
      </c>
      <c r="E282" s="4">
        <v>205</v>
      </c>
      <c r="F282" s="4">
        <f>ROUND(Source!S267,O282)</f>
        <v>35524.32</v>
      </c>
      <c r="G282" s="4" t="s">
        <v>90</v>
      </c>
      <c r="H282" s="4" t="s">
        <v>91</v>
      </c>
      <c r="I282" s="4"/>
      <c r="J282" s="4"/>
      <c r="K282" s="4">
        <v>205</v>
      </c>
      <c r="L282" s="4">
        <v>14</v>
      </c>
      <c r="M282" s="4">
        <v>3</v>
      </c>
      <c r="N282" s="4" t="s">
        <v>3</v>
      </c>
      <c r="O282" s="4">
        <v>2</v>
      </c>
      <c r="P282" s="4"/>
      <c r="Q282" s="4"/>
      <c r="R282" s="4"/>
      <c r="S282" s="4"/>
      <c r="T282" s="4"/>
      <c r="U282" s="4"/>
      <c r="V282" s="4"/>
      <c r="W282" s="4"/>
    </row>
    <row r="283" spans="1:23">
      <c r="A283" s="4">
        <v>50</v>
      </c>
      <c r="B283" s="4">
        <v>0</v>
      </c>
      <c r="C283" s="4">
        <v>0</v>
      </c>
      <c r="D283" s="4">
        <v>1</v>
      </c>
      <c r="E283" s="4">
        <v>232</v>
      </c>
      <c r="F283" s="4">
        <f>ROUND(Source!BC267,O283)</f>
        <v>0</v>
      </c>
      <c r="G283" s="4" t="s">
        <v>92</v>
      </c>
      <c r="H283" s="4" t="s">
        <v>93</v>
      </c>
      <c r="I283" s="4"/>
      <c r="J283" s="4"/>
      <c r="K283" s="4">
        <v>232</v>
      </c>
      <c r="L283" s="4">
        <v>15</v>
      </c>
      <c r="M283" s="4">
        <v>3</v>
      </c>
      <c r="N283" s="4" t="s">
        <v>3</v>
      </c>
      <c r="O283" s="4">
        <v>2</v>
      </c>
      <c r="P283" s="4"/>
      <c r="Q283" s="4"/>
      <c r="R283" s="4"/>
      <c r="S283" s="4"/>
      <c r="T283" s="4"/>
      <c r="U283" s="4"/>
      <c r="V283" s="4"/>
      <c r="W283" s="4"/>
    </row>
    <row r="284" spans="1:23">
      <c r="A284" s="4">
        <v>50</v>
      </c>
      <c r="B284" s="4">
        <v>0</v>
      </c>
      <c r="C284" s="4">
        <v>0</v>
      </c>
      <c r="D284" s="4">
        <v>1</v>
      </c>
      <c r="E284" s="4">
        <v>214</v>
      </c>
      <c r="F284" s="4">
        <f>ROUND(Source!AS267,O284)</f>
        <v>0</v>
      </c>
      <c r="G284" s="4" t="s">
        <v>94</v>
      </c>
      <c r="H284" s="4" t="s">
        <v>95</v>
      </c>
      <c r="I284" s="4"/>
      <c r="J284" s="4"/>
      <c r="K284" s="4">
        <v>214</v>
      </c>
      <c r="L284" s="4">
        <v>16</v>
      </c>
      <c r="M284" s="4">
        <v>3</v>
      </c>
      <c r="N284" s="4" t="s">
        <v>3</v>
      </c>
      <c r="O284" s="4">
        <v>2</v>
      </c>
      <c r="P284" s="4"/>
      <c r="Q284" s="4"/>
      <c r="R284" s="4"/>
      <c r="S284" s="4"/>
      <c r="T284" s="4"/>
      <c r="U284" s="4"/>
      <c r="V284" s="4"/>
      <c r="W284" s="4"/>
    </row>
    <row r="285" spans="1:23">
      <c r="A285" s="4">
        <v>50</v>
      </c>
      <c r="B285" s="4">
        <v>0</v>
      </c>
      <c r="C285" s="4">
        <v>0</v>
      </c>
      <c r="D285" s="4">
        <v>1</v>
      </c>
      <c r="E285" s="4">
        <v>215</v>
      </c>
      <c r="F285" s="4">
        <f>ROUND(Source!AT267,O285)</f>
        <v>0</v>
      </c>
      <c r="G285" s="4" t="s">
        <v>96</v>
      </c>
      <c r="H285" s="4" t="s">
        <v>97</v>
      </c>
      <c r="I285" s="4"/>
      <c r="J285" s="4"/>
      <c r="K285" s="4">
        <v>215</v>
      </c>
      <c r="L285" s="4">
        <v>17</v>
      </c>
      <c r="M285" s="4">
        <v>3</v>
      </c>
      <c r="N285" s="4" t="s">
        <v>3</v>
      </c>
      <c r="O285" s="4">
        <v>2</v>
      </c>
      <c r="P285" s="4"/>
      <c r="Q285" s="4"/>
      <c r="R285" s="4"/>
      <c r="S285" s="4"/>
      <c r="T285" s="4"/>
      <c r="U285" s="4"/>
      <c r="V285" s="4"/>
      <c r="W285" s="4"/>
    </row>
    <row r="286" spans="1:23">
      <c r="A286" s="4">
        <v>50</v>
      </c>
      <c r="B286" s="4">
        <v>0</v>
      </c>
      <c r="C286" s="4">
        <v>0</v>
      </c>
      <c r="D286" s="4">
        <v>1</v>
      </c>
      <c r="E286" s="4">
        <v>217</v>
      </c>
      <c r="F286" s="4">
        <f>ROUND(Source!AU267,O286)</f>
        <v>114352.03</v>
      </c>
      <c r="G286" s="4" t="s">
        <v>98</v>
      </c>
      <c r="H286" s="4" t="s">
        <v>99</v>
      </c>
      <c r="I286" s="4"/>
      <c r="J286" s="4"/>
      <c r="K286" s="4">
        <v>217</v>
      </c>
      <c r="L286" s="4">
        <v>18</v>
      </c>
      <c r="M286" s="4">
        <v>3</v>
      </c>
      <c r="N286" s="4" t="s">
        <v>3</v>
      </c>
      <c r="O286" s="4">
        <v>2</v>
      </c>
      <c r="P286" s="4"/>
      <c r="Q286" s="4"/>
      <c r="R286" s="4"/>
      <c r="S286" s="4"/>
      <c r="T286" s="4"/>
      <c r="U286" s="4"/>
      <c r="V286" s="4"/>
      <c r="W286" s="4"/>
    </row>
    <row r="287" spans="1:23">
      <c r="A287" s="4">
        <v>50</v>
      </c>
      <c r="B287" s="4">
        <v>0</v>
      </c>
      <c r="C287" s="4">
        <v>0</v>
      </c>
      <c r="D287" s="4">
        <v>1</v>
      </c>
      <c r="E287" s="4">
        <v>230</v>
      </c>
      <c r="F287" s="4">
        <f>ROUND(Source!BA267,O287)</f>
        <v>0</v>
      </c>
      <c r="G287" s="4" t="s">
        <v>100</v>
      </c>
      <c r="H287" s="4" t="s">
        <v>101</v>
      </c>
      <c r="I287" s="4"/>
      <c r="J287" s="4"/>
      <c r="K287" s="4">
        <v>230</v>
      </c>
      <c r="L287" s="4">
        <v>19</v>
      </c>
      <c r="M287" s="4">
        <v>3</v>
      </c>
      <c r="N287" s="4" t="s">
        <v>3</v>
      </c>
      <c r="O287" s="4">
        <v>2</v>
      </c>
      <c r="P287" s="4"/>
      <c r="Q287" s="4"/>
      <c r="R287" s="4"/>
      <c r="S287" s="4"/>
      <c r="T287" s="4"/>
      <c r="U287" s="4"/>
      <c r="V287" s="4"/>
      <c r="W287" s="4"/>
    </row>
    <row r="288" spans="1:23">
      <c r="A288" s="4">
        <v>50</v>
      </c>
      <c r="B288" s="4">
        <v>0</v>
      </c>
      <c r="C288" s="4">
        <v>0</v>
      </c>
      <c r="D288" s="4">
        <v>1</v>
      </c>
      <c r="E288" s="4">
        <v>206</v>
      </c>
      <c r="F288" s="4">
        <f>ROUND(Source!T267,O288)</f>
        <v>0</v>
      </c>
      <c r="G288" s="4" t="s">
        <v>102</v>
      </c>
      <c r="H288" s="4" t="s">
        <v>103</v>
      </c>
      <c r="I288" s="4"/>
      <c r="J288" s="4"/>
      <c r="K288" s="4">
        <v>206</v>
      </c>
      <c r="L288" s="4">
        <v>20</v>
      </c>
      <c r="M288" s="4">
        <v>3</v>
      </c>
      <c r="N288" s="4" t="s">
        <v>3</v>
      </c>
      <c r="O288" s="4">
        <v>2</v>
      </c>
      <c r="P288" s="4"/>
      <c r="Q288" s="4"/>
      <c r="R288" s="4"/>
      <c r="S288" s="4"/>
      <c r="T288" s="4"/>
      <c r="U288" s="4"/>
      <c r="V288" s="4"/>
      <c r="W288" s="4"/>
    </row>
    <row r="289" spans="1:206">
      <c r="A289" s="4">
        <v>50</v>
      </c>
      <c r="B289" s="4">
        <v>0</v>
      </c>
      <c r="C289" s="4">
        <v>0</v>
      </c>
      <c r="D289" s="4">
        <v>1</v>
      </c>
      <c r="E289" s="4">
        <v>207</v>
      </c>
      <c r="F289" s="4">
        <f>Source!U267</f>
        <v>188.92500000000001</v>
      </c>
      <c r="G289" s="4" t="s">
        <v>104</v>
      </c>
      <c r="H289" s="4" t="s">
        <v>105</v>
      </c>
      <c r="I289" s="4"/>
      <c r="J289" s="4"/>
      <c r="K289" s="4">
        <v>207</v>
      </c>
      <c r="L289" s="4">
        <v>21</v>
      </c>
      <c r="M289" s="4">
        <v>3</v>
      </c>
      <c r="N289" s="4" t="s">
        <v>3</v>
      </c>
      <c r="O289" s="4">
        <v>-1</v>
      </c>
      <c r="P289" s="4"/>
      <c r="Q289" s="4"/>
      <c r="R289" s="4"/>
      <c r="S289" s="4"/>
      <c r="T289" s="4"/>
      <c r="U289" s="4"/>
      <c r="V289" s="4"/>
      <c r="W289" s="4"/>
    </row>
    <row r="290" spans="1:206">
      <c r="A290" s="4">
        <v>50</v>
      </c>
      <c r="B290" s="4">
        <v>0</v>
      </c>
      <c r="C290" s="4">
        <v>0</v>
      </c>
      <c r="D290" s="4">
        <v>1</v>
      </c>
      <c r="E290" s="4">
        <v>208</v>
      </c>
      <c r="F290" s="4">
        <f>Source!V267</f>
        <v>0</v>
      </c>
      <c r="G290" s="4" t="s">
        <v>106</v>
      </c>
      <c r="H290" s="4" t="s">
        <v>107</v>
      </c>
      <c r="I290" s="4"/>
      <c r="J290" s="4"/>
      <c r="K290" s="4">
        <v>208</v>
      </c>
      <c r="L290" s="4">
        <v>22</v>
      </c>
      <c r="M290" s="4">
        <v>3</v>
      </c>
      <c r="N290" s="4" t="s">
        <v>3</v>
      </c>
      <c r="O290" s="4">
        <v>-1</v>
      </c>
      <c r="P290" s="4"/>
      <c r="Q290" s="4"/>
      <c r="R290" s="4"/>
      <c r="S290" s="4"/>
      <c r="T290" s="4"/>
      <c r="U290" s="4"/>
      <c r="V290" s="4"/>
      <c r="W290" s="4"/>
    </row>
    <row r="291" spans="1:206">
      <c r="A291" s="4">
        <v>50</v>
      </c>
      <c r="B291" s="4">
        <v>0</v>
      </c>
      <c r="C291" s="4">
        <v>0</v>
      </c>
      <c r="D291" s="4">
        <v>1</v>
      </c>
      <c r="E291" s="4">
        <v>209</v>
      </c>
      <c r="F291" s="4">
        <f>ROUND(Source!W267,O291)</f>
        <v>0</v>
      </c>
      <c r="G291" s="4" t="s">
        <v>108</v>
      </c>
      <c r="H291" s="4" t="s">
        <v>109</v>
      </c>
      <c r="I291" s="4"/>
      <c r="J291" s="4"/>
      <c r="K291" s="4">
        <v>209</v>
      </c>
      <c r="L291" s="4">
        <v>23</v>
      </c>
      <c r="M291" s="4">
        <v>3</v>
      </c>
      <c r="N291" s="4" t="s">
        <v>3</v>
      </c>
      <c r="O291" s="4">
        <v>2</v>
      </c>
      <c r="P291" s="4"/>
      <c r="Q291" s="4"/>
      <c r="R291" s="4"/>
      <c r="S291" s="4"/>
      <c r="T291" s="4"/>
      <c r="U291" s="4"/>
      <c r="V291" s="4"/>
      <c r="W291" s="4"/>
    </row>
    <row r="292" spans="1:206">
      <c r="A292" s="4">
        <v>50</v>
      </c>
      <c r="B292" s="4">
        <v>0</v>
      </c>
      <c r="C292" s="4">
        <v>0</v>
      </c>
      <c r="D292" s="4">
        <v>1</v>
      </c>
      <c r="E292" s="4">
        <v>210</v>
      </c>
      <c r="F292" s="4">
        <f>ROUND(Source!X267,O292)</f>
        <v>24867.03</v>
      </c>
      <c r="G292" s="4" t="s">
        <v>110</v>
      </c>
      <c r="H292" s="4" t="s">
        <v>111</v>
      </c>
      <c r="I292" s="4"/>
      <c r="J292" s="4"/>
      <c r="K292" s="4">
        <v>210</v>
      </c>
      <c r="L292" s="4">
        <v>24</v>
      </c>
      <c r="M292" s="4">
        <v>3</v>
      </c>
      <c r="N292" s="4" t="s">
        <v>3</v>
      </c>
      <c r="O292" s="4">
        <v>2</v>
      </c>
      <c r="P292" s="4"/>
      <c r="Q292" s="4"/>
      <c r="R292" s="4"/>
      <c r="S292" s="4"/>
      <c r="T292" s="4"/>
      <c r="U292" s="4"/>
      <c r="V292" s="4"/>
      <c r="W292" s="4"/>
    </row>
    <row r="293" spans="1:206">
      <c r="A293" s="4">
        <v>50</v>
      </c>
      <c r="B293" s="4">
        <v>0</v>
      </c>
      <c r="C293" s="4">
        <v>0</v>
      </c>
      <c r="D293" s="4">
        <v>1</v>
      </c>
      <c r="E293" s="4">
        <v>211</v>
      </c>
      <c r="F293" s="4">
        <f>ROUND(Source!Y267,O293)</f>
        <v>3552.43</v>
      </c>
      <c r="G293" s="4" t="s">
        <v>112</v>
      </c>
      <c r="H293" s="4" t="s">
        <v>113</v>
      </c>
      <c r="I293" s="4"/>
      <c r="J293" s="4"/>
      <c r="K293" s="4">
        <v>211</v>
      </c>
      <c r="L293" s="4">
        <v>25</v>
      </c>
      <c r="M293" s="4">
        <v>3</v>
      </c>
      <c r="N293" s="4" t="s">
        <v>3</v>
      </c>
      <c r="O293" s="4">
        <v>2</v>
      </c>
      <c r="P293" s="4"/>
      <c r="Q293" s="4"/>
      <c r="R293" s="4"/>
      <c r="S293" s="4"/>
      <c r="T293" s="4"/>
      <c r="U293" s="4"/>
      <c r="V293" s="4"/>
      <c r="W293" s="4"/>
    </row>
    <row r="294" spans="1:206">
      <c r="A294" s="4">
        <v>50</v>
      </c>
      <c r="B294" s="4">
        <v>0</v>
      </c>
      <c r="C294" s="4">
        <v>0</v>
      </c>
      <c r="D294" s="4">
        <v>1</v>
      </c>
      <c r="E294" s="4">
        <v>224</v>
      </c>
      <c r="F294" s="4">
        <f>ROUND(Source!AR267,O294)</f>
        <v>114352.03</v>
      </c>
      <c r="G294" s="4" t="s">
        <v>114</v>
      </c>
      <c r="H294" s="4" t="s">
        <v>115</v>
      </c>
      <c r="I294" s="4"/>
      <c r="J294" s="4"/>
      <c r="K294" s="4">
        <v>224</v>
      </c>
      <c r="L294" s="4">
        <v>26</v>
      </c>
      <c r="M294" s="4">
        <v>3</v>
      </c>
      <c r="N294" s="4" t="s">
        <v>3</v>
      </c>
      <c r="O294" s="4">
        <v>2</v>
      </c>
      <c r="P294" s="4"/>
      <c r="Q294" s="4"/>
      <c r="R294" s="4"/>
      <c r="S294" s="4"/>
      <c r="T294" s="4"/>
      <c r="U294" s="4"/>
      <c r="V294" s="4"/>
      <c r="W294" s="4"/>
    </row>
    <row r="295" spans="1:206">
      <c r="A295" s="4">
        <v>50</v>
      </c>
      <c r="B295" s="4">
        <v>1</v>
      </c>
      <c r="C295" s="4">
        <v>0</v>
      </c>
      <c r="D295" s="4">
        <v>2</v>
      </c>
      <c r="E295" s="4">
        <v>0</v>
      </c>
      <c r="F295" s="4">
        <f>ROUND(F294,O295)</f>
        <v>114352.03</v>
      </c>
      <c r="G295" s="4" t="s">
        <v>4</v>
      </c>
      <c r="H295" s="4" t="s">
        <v>116</v>
      </c>
      <c r="I295" s="4"/>
      <c r="J295" s="4"/>
      <c r="K295" s="4">
        <v>212</v>
      </c>
      <c r="L295" s="4">
        <v>27</v>
      </c>
      <c r="M295" s="4">
        <v>0</v>
      </c>
      <c r="N295" s="4" t="s">
        <v>3</v>
      </c>
      <c r="O295" s="4">
        <v>2</v>
      </c>
      <c r="P295" s="4"/>
      <c r="Q295" s="4"/>
      <c r="R295" s="4"/>
      <c r="S295" s="4"/>
      <c r="T295" s="4"/>
      <c r="U295" s="4"/>
      <c r="V295" s="4"/>
      <c r="W295" s="4"/>
    </row>
    <row r="296" spans="1:206">
      <c r="A296" s="4">
        <v>50</v>
      </c>
      <c r="B296" s="4">
        <v>1</v>
      </c>
      <c r="C296" s="4">
        <v>0</v>
      </c>
      <c r="D296" s="4">
        <v>2</v>
      </c>
      <c r="E296" s="4">
        <v>0</v>
      </c>
      <c r="F296" s="4">
        <f>ROUND(F295*0.2,O296)</f>
        <v>22870.41</v>
      </c>
      <c r="G296" s="4" t="s">
        <v>22</v>
      </c>
      <c r="H296" s="4" t="s">
        <v>117</v>
      </c>
      <c r="I296" s="4"/>
      <c r="J296" s="4"/>
      <c r="K296" s="4">
        <v>212</v>
      </c>
      <c r="L296" s="4">
        <v>28</v>
      </c>
      <c r="M296" s="4">
        <v>0</v>
      </c>
      <c r="N296" s="4" t="s">
        <v>3</v>
      </c>
      <c r="O296" s="4">
        <v>2</v>
      </c>
      <c r="P296" s="4"/>
      <c r="Q296" s="4"/>
      <c r="R296" s="4"/>
      <c r="S296" s="4"/>
      <c r="T296" s="4"/>
      <c r="U296" s="4"/>
      <c r="V296" s="4"/>
      <c r="W296" s="4"/>
    </row>
    <row r="297" spans="1:206">
      <c r="A297" s="4">
        <v>50</v>
      </c>
      <c r="B297" s="4">
        <v>1</v>
      </c>
      <c r="C297" s="4">
        <v>0</v>
      </c>
      <c r="D297" s="4">
        <v>2</v>
      </c>
      <c r="E297" s="4">
        <v>0</v>
      </c>
      <c r="F297" s="4">
        <f>ROUND(F295+F296,O297)</f>
        <v>137222.44</v>
      </c>
      <c r="G297" s="4" t="s">
        <v>26</v>
      </c>
      <c r="H297" s="4" t="s">
        <v>118</v>
      </c>
      <c r="I297" s="4"/>
      <c r="J297" s="4"/>
      <c r="K297" s="4">
        <v>212</v>
      </c>
      <c r="L297" s="4">
        <v>29</v>
      </c>
      <c r="M297" s="4">
        <v>0</v>
      </c>
      <c r="N297" s="4" t="s">
        <v>3</v>
      </c>
      <c r="O297" s="4">
        <v>2</v>
      </c>
      <c r="P297" s="4"/>
      <c r="Q297" s="4"/>
      <c r="R297" s="4"/>
      <c r="S297" s="4"/>
      <c r="T297" s="4"/>
      <c r="U297" s="4"/>
      <c r="V297" s="4"/>
      <c r="W297" s="4"/>
    </row>
    <row r="299" spans="1:206">
      <c r="A299" s="2">
        <v>51</v>
      </c>
      <c r="B299" s="2">
        <f>B20</f>
        <v>1</v>
      </c>
      <c r="C299" s="2">
        <f>A20</f>
        <v>3</v>
      </c>
      <c r="D299" s="2">
        <f>ROW(A20)</f>
        <v>20</v>
      </c>
      <c r="E299" s="2"/>
      <c r="F299" s="2" t="str">
        <f>IF(F20&lt;&gt;"",F20,"")</f>
        <v>Новая локальная смета</v>
      </c>
      <c r="G299" s="2" t="str">
        <f>IF(G20&lt;&gt;"",G20,"")</f>
        <v>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Кировоградская, д.24, корп.1, со строны м. "Пражская"</v>
      </c>
      <c r="H299" s="2">
        <v>0</v>
      </c>
      <c r="I299" s="2"/>
      <c r="J299" s="2"/>
      <c r="K299" s="2"/>
      <c r="L299" s="2"/>
      <c r="M299" s="2"/>
      <c r="N299" s="2"/>
      <c r="O299" s="2">
        <f t="shared" ref="O299:T299" si="229">ROUND(O41+O90+O134+O186+O226+O267+AB299,2)</f>
        <v>524739.4</v>
      </c>
      <c r="P299" s="2">
        <f t="shared" si="229"/>
        <v>390922.38</v>
      </c>
      <c r="Q299" s="2">
        <f t="shared" si="229"/>
        <v>9934.4699999999993</v>
      </c>
      <c r="R299" s="2">
        <f t="shared" si="229"/>
        <v>2867.72</v>
      </c>
      <c r="S299" s="2">
        <f t="shared" si="229"/>
        <v>123882.55</v>
      </c>
      <c r="T299" s="2">
        <f t="shared" si="229"/>
        <v>0</v>
      </c>
      <c r="U299" s="2">
        <f>U41+U90+U134+U186+U226+U267+AH299</f>
        <v>639.1280230019662</v>
      </c>
      <c r="V299" s="2">
        <f>V41+V90+V134+V186+V226+V267+AI299</f>
        <v>0</v>
      </c>
      <c r="W299" s="2">
        <f>ROUND(W41+W90+W134+W186+W226+W267+AJ299,2)</f>
        <v>0</v>
      </c>
      <c r="X299" s="2">
        <f>ROUND(X41+X90+X134+X186+X226+X267+AK299,2)</f>
        <v>86717.81</v>
      </c>
      <c r="Y299" s="2">
        <f>ROUND(Y41+Y90+Y134+Y186+Y226+Y267+AL299,2)</f>
        <v>12388.27</v>
      </c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>
        <f t="shared" ref="AO299:BC299" si="230">ROUND(AO41+AO90+AO134+AO186+AO226+AO267+BX299,2)</f>
        <v>0</v>
      </c>
      <c r="AP299" s="2">
        <f t="shared" si="230"/>
        <v>0</v>
      </c>
      <c r="AQ299" s="2">
        <f t="shared" si="230"/>
        <v>0</v>
      </c>
      <c r="AR299" s="2">
        <f t="shared" si="230"/>
        <v>626942.62</v>
      </c>
      <c r="AS299" s="2">
        <f t="shared" si="230"/>
        <v>0</v>
      </c>
      <c r="AT299" s="2">
        <f t="shared" si="230"/>
        <v>0</v>
      </c>
      <c r="AU299" s="2">
        <f t="shared" si="230"/>
        <v>626942.62</v>
      </c>
      <c r="AV299" s="2">
        <f t="shared" si="230"/>
        <v>390922.38</v>
      </c>
      <c r="AW299" s="2">
        <f t="shared" si="230"/>
        <v>390922.38</v>
      </c>
      <c r="AX299" s="2">
        <f t="shared" si="230"/>
        <v>0</v>
      </c>
      <c r="AY299" s="2">
        <f t="shared" si="230"/>
        <v>390922.38</v>
      </c>
      <c r="AZ299" s="2">
        <f t="shared" si="230"/>
        <v>0</v>
      </c>
      <c r="BA299" s="2">
        <f t="shared" si="230"/>
        <v>0</v>
      </c>
      <c r="BB299" s="2">
        <f t="shared" si="230"/>
        <v>0</v>
      </c>
      <c r="BC299" s="2">
        <f t="shared" si="230"/>
        <v>0</v>
      </c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>
        <v>0</v>
      </c>
    </row>
    <row r="301" spans="1:206">
      <c r="A301" s="4">
        <v>50</v>
      </c>
      <c r="B301" s="4">
        <v>0</v>
      </c>
      <c r="C301" s="4">
        <v>0</v>
      </c>
      <c r="D301" s="4">
        <v>1</v>
      </c>
      <c r="E301" s="4">
        <v>201</v>
      </c>
      <c r="F301" s="4">
        <f>ROUND(Source!O299,O301)</f>
        <v>524739.4</v>
      </c>
      <c r="G301" s="4" t="s">
        <v>64</v>
      </c>
      <c r="H301" s="4" t="s">
        <v>65</v>
      </c>
      <c r="I301" s="4"/>
      <c r="J301" s="4"/>
      <c r="K301" s="4">
        <v>201</v>
      </c>
      <c r="L301" s="4">
        <v>1</v>
      </c>
      <c r="M301" s="4">
        <v>3</v>
      </c>
      <c r="N301" s="4" t="s">
        <v>3</v>
      </c>
      <c r="O301" s="4">
        <v>2</v>
      </c>
      <c r="P301" s="4"/>
      <c r="Q301" s="4"/>
      <c r="R301" s="4"/>
      <c r="S301" s="4"/>
      <c r="T301" s="4"/>
      <c r="U301" s="4"/>
      <c r="V301" s="4"/>
      <c r="W301" s="4"/>
    </row>
    <row r="302" spans="1:206">
      <c r="A302" s="4">
        <v>50</v>
      </c>
      <c r="B302" s="4">
        <v>0</v>
      </c>
      <c r="C302" s="4">
        <v>0</v>
      </c>
      <c r="D302" s="4">
        <v>1</v>
      </c>
      <c r="E302" s="4">
        <v>202</v>
      </c>
      <c r="F302" s="4">
        <f>ROUND(Source!P299,O302)</f>
        <v>390922.38</v>
      </c>
      <c r="G302" s="4" t="s">
        <v>66</v>
      </c>
      <c r="H302" s="4" t="s">
        <v>67</v>
      </c>
      <c r="I302" s="4"/>
      <c r="J302" s="4"/>
      <c r="K302" s="4">
        <v>202</v>
      </c>
      <c r="L302" s="4">
        <v>2</v>
      </c>
      <c r="M302" s="4">
        <v>3</v>
      </c>
      <c r="N302" s="4" t="s">
        <v>3</v>
      </c>
      <c r="O302" s="4">
        <v>2</v>
      </c>
      <c r="P302" s="4"/>
      <c r="Q302" s="4"/>
      <c r="R302" s="4"/>
      <c r="S302" s="4"/>
      <c r="T302" s="4"/>
      <c r="U302" s="4"/>
      <c r="V302" s="4"/>
      <c r="W302" s="4"/>
    </row>
    <row r="303" spans="1:206">
      <c r="A303" s="4">
        <v>50</v>
      </c>
      <c r="B303" s="4">
        <v>0</v>
      </c>
      <c r="C303" s="4">
        <v>0</v>
      </c>
      <c r="D303" s="4">
        <v>1</v>
      </c>
      <c r="E303" s="4">
        <v>222</v>
      </c>
      <c r="F303" s="4">
        <f>ROUND(Source!AO299,O303)</f>
        <v>0</v>
      </c>
      <c r="G303" s="4" t="s">
        <v>68</v>
      </c>
      <c r="H303" s="4" t="s">
        <v>69</v>
      </c>
      <c r="I303" s="4"/>
      <c r="J303" s="4"/>
      <c r="K303" s="4">
        <v>222</v>
      </c>
      <c r="L303" s="4">
        <v>3</v>
      </c>
      <c r="M303" s="4">
        <v>3</v>
      </c>
      <c r="N303" s="4" t="s">
        <v>3</v>
      </c>
      <c r="O303" s="4">
        <v>2</v>
      </c>
      <c r="P303" s="4"/>
      <c r="Q303" s="4"/>
      <c r="R303" s="4"/>
      <c r="S303" s="4"/>
      <c r="T303" s="4"/>
      <c r="U303" s="4"/>
      <c r="V303" s="4"/>
      <c r="W303" s="4"/>
    </row>
    <row r="304" spans="1:206">
      <c r="A304" s="4">
        <v>50</v>
      </c>
      <c r="B304" s="4">
        <v>0</v>
      </c>
      <c r="C304" s="4">
        <v>0</v>
      </c>
      <c r="D304" s="4">
        <v>1</v>
      </c>
      <c r="E304" s="4">
        <v>225</v>
      </c>
      <c r="F304" s="4">
        <f>ROUND(Source!AV299,O304)</f>
        <v>390922.38</v>
      </c>
      <c r="G304" s="4" t="s">
        <v>70</v>
      </c>
      <c r="H304" s="4" t="s">
        <v>71</v>
      </c>
      <c r="I304" s="4"/>
      <c r="J304" s="4"/>
      <c r="K304" s="4">
        <v>225</v>
      </c>
      <c r="L304" s="4">
        <v>4</v>
      </c>
      <c r="M304" s="4">
        <v>3</v>
      </c>
      <c r="N304" s="4" t="s">
        <v>3</v>
      </c>
      <c r="O304" s="4">
        <v>2</v>
      </c>
      <c r="P304" s="4"/>
      <c r="Q304" s="4"/>
      <c r="R304" s="4"/>
      <c r="S304" s="4"/>
      <c r="T304" s="4"/>
      <c r="U304" s="4"/>
      <c r="V304" s="4"/>
      <c r="W304" s="4"/>
    </row>
    <row r="305" spans="1:23">
      <c r="A305" s="4">
        <v>50</v>
      </c>
      <c r="B305" s="4">
        <v>0</v>
      </c>
      <c r="C305" s="4">
        <v>0</v>
      </c>
      <c r="D305" s="4">
        <v>1</v>
      </c>
      <c r="E305" s="4">
        <v>226</v>
      </c>
      <c r="F305" s="4">
        <f>ROUND(Source!AW299,O305)</f>
        <v>390922.38</v>
      </c>
      <c r="G305" s="4" t="s">
        <v>72</v>
      </c>
      <c r="H305" s="4" t="s">
        <v>73</v>
      </c>
      <c r="I305" s="4"/>
      <c r="J305" s="4"/>
      <c r="K305" s="4">
        <v>226</v>
      </c>
      <c r="L305" s="4">
        <v>5</v>
      </c>
      <c r="M305" s="4">
        <v>3</v>
      </c>
      <c r="N305" s="4" t="s">
        <v>3</v>
      </c>
      <c r="O305" s="4">
        <v>2</v>
      </c>
      <c r="P305" s="4"/>
      <c r="Q305" s="4"/>
      <c r="R305" s="4"/>
      <c r="S305" s="4"/>
      <c r="T305" s="4"/>
      <c r="U305" s="4"/>
      <c r="V305" s="4"/>
      <c r="W305" s="4"/>
    </row>
    <row r="306" spans="1:23">
      <c r="A306" s="4">
        <v>50</v>
      </c>
      <c r="B306" s="4">
        <v>0</v>
      </c>
      <c r="C306" s="4">
        <v>0</v>
      </c>
      <c r="D306" s="4">
        <v>1</v>
      </c>
      <c r="E306" s="4">
        <v>227</v>
      </c>
      <c r="F306" s="4">
        <f>ROUND(Source!AX299,O306)</f>
        <v>0</v>
      </c>
      <c r="G306" s="4" t="s">
        <v>74</v>
      </c>
      <c r="H306" s="4" t="s">
        <v>75</v>
      </c>
      <c r="I306" s="4"/>
      <c r="J306" s="4"/>
      <c r="K306" s="4">
        <v>227</v>
      </c>
      <c r="L306" s="4">
        <v>6</v>
      </c>
      <c r="M306" s="4">
        <v>3</v>
      </c>
      <c r="N306" s="4" t="s">
        <v>3</v>
      </c>
      <c r="O306" s="4">
        <v>2</v>
      </c>
      <c r="P306" s="4"/>
      <c r="Q306" s="4"/>
      <c r="R306" s="4"/>
      <c r="S306" s="4"/>
      <c r="T306" s="4"/>
      <c r="U306" s="4"/>
      <c r="V306" s="4"/>
      <c r="W306" s="4"/>
    </row>
    <row r="307" spans="1:23">
      <c r="A307" s="4">
        <v>50</v>
      </c>
      <c r="B307" s="4">
        <v>0</v>
      </c>
      <c r="C307" s="4">
        <v>0</v>
      </c>
      <c r="D307" s="4">
        <v>1</v>
      </c>
      <c r="E307" s="4">
        <v>228</v>
      </c>
      <c r="F307" s="4">
        <f>ROUND(Source!AY299,O307)</f>
        <v>390922.38</v>
      </c>
      <c r="G307" s="4" t="s">
        <v>76</v>
      </c>
      <c r="H307" s="4" t="s">
        <v>77</v>
      </c>
      <c r="I307" s="4"/>
      <c r="J307" s="4"/>
      <c r="K307" s="4">
        <v>228</v>
      </c>
      <c r="L307" s="4">
        <v>7</v>
      </c>
      <c r="M307" s="4">
        <v>3</v>
      </c>
      <c r="N307" s="4" t="s">
        <v>3</v>
      </c>
      <c r="O307" s="4">
        <v>2</v>
      </c>
      <c r="P307" s="4"/>
      <c r="Q307" s="4"/>
      <c r="R307" s="4"/>
      <c r="S307" s="4"/>
      <c r="T307" s="4"/>
      <c r="U307" s="4"/>
      <c r="V307" s="4"/>
      <c r="W307" s="4"/>
    </row>
    <row r="308" spans="1:23">
      <c r="A308" s="4">
        <v>50</v>
      </c>
      <c r="B308" s="4">
        <v>0</v>
      </c>
      <c r="C308" s="4">
        <v>0</v>
      </c>
      <c r="D308" s="4">
        <v>1</v>
      </c>
      <c r="E308" s="4">
        <v>216</v>
      </c>
      <c r="F308" s="4">
        <f>ROUND(Source!AP299,O308)</f>
        <v>0</v>
      </c>
      <c r="G308" s="4" t="s">
        <v>78</v>
      </c>
      <c r="H308" s="4" t="s">
        <v>79</v>
      </c>
      <c r="I308" s="4"/>
      <c r="J308" s="4"/>
      <c r="K308" s="4">
        <v>216</v>
      </c>
      <c r="L308" s="4">
        <v>8</v>
      </c>
      <c r="M308" s="4">
        <v>3</v>
      </c>
      <c r="N308" s="4" t="s">
        <v>3</v>
      </c>
      <c r="O308" s="4">
        <v>2</v>
      </c>
      <c r="P308" s="4"/>
      <c r="Q308" s="4"/>
      <c r="R308" s="4"/>
      <c r="S308" s="4"/>
      <c r="T308" s="4"/>
      <c r="U308" s="4"/>
      <c r="V308" s="4"/>
      <c r="W308" s="4"/>
    </row>
    <row r="309" spans="1:23">
      <c r="A309" s="4">
        <v>50</v>
      </c>
      <c r="B309" s="4">
        <v>0</v>
      </c>
      <c r="C309" s="4">
        <v>0</v>
      </c>
      <c r="D309" s="4">
        <v>1</v>
      </c>
      <c r="E309" s="4">
        <v>223</v>
      </c>
      <c r="F309" s="4">
        <f>ROUND(Source!AQ299,O309)</f>
        <v>0</v>
      </c>
      <c r="G309" s="4" t="s">
        <v>80</v>
      </c>
      <c r="H309" s="4" t="s">
        <v>81</v>
      </c>
      <c r="I309" s="4"/>
      <c r="J309" s="4"/>
      <c r="K309" s="4">
        <v>223</v>
      </c>
      <c r="L309" s="4">
        <v>9</v>
      </c>
      <c r="M309" s="4">
        <v>3</v>
      </c>
      <c r="N309" s="4" t="s">
        <v>3</v>
      </c>
      <c r="O309" s="4">
        <v>2</v>
      </c>
      <c r="P309" s="4"/>
      <c r="Q309" s="4"/>
      <c r="R309" s="4"/>
      <c r="S309" s="4"/>
      <c r="T309" s="4"/>
      <c r="U309" s="4"/>
      <c r="V309" s="4"/>
      <c r="W309" s="4"/>
    </row>
    <row r="310" spans="1:23">
      <c r="A310" s="4">
        <v>50</v>
      </c>
      <c r="B310" s="4">
        <v>0</v>
      </c>
      <c r="C310" s="4">
        <v>0</v>
      </c>
      <c r="D310" s="4">
        <v>1</v>
      </c>
      <c r="E310" s="4">
        <v>229</v>
      </c>
      <c r="F310" s="4">
        <f>ROUND(Source!AZ299,O310)</f>
        <v>0</v>
      </c>
      <c r="G310" s="4" t="s">
        <v>82</v>
      </c>
      <c r="H310" s="4" t="s">
        <v>83</v>
      </c>
      <c r="I310" s="4"/>
      <c r="J310" s="4"/>
      <c r="K310" s="4">
        <v>229</v>
      </c>
      <c r="L310" s="4">
        <v>10</v>
      </c>
      <c r="M310" s="4">
        <v>3</v>
      </c>
      <c r="N310" s="4" t="s">
        <v>3</v>
      </c>
      <c r="O310" s="4">
        <v>2</v>
      </c>
      <c r="P310" s="4"/>
      <c r="Q310" s="4"/>
      <c r="R310" s="4"/>
      <c r="S310" s="4"/>
      <c r="T310" s="4"/>
      <c r="U310" s="4"/>
      <c r="V310" s="4"/>
      <c r="W310" s="4"/>
    </row>
    <row r="311" spans="1:23">
      <c r="A311" s="4">
        <v>50</v>
      </c>
      <c r="B311" s="4">
        <v>0</v>
      </c>
      <c r="C311" s="4">
        <v>0</v>
      </c>
      <c r="D311" s="4">
        <v>1</v>
      </c>
      <c r="E311" s="4">
        <v>203</v>
      </c>
      <c r="F311" s="4">
        <f>ROUND(Source!Q299,O311)</f>
        <v>9934.4699999999993</v>
      </c>
      <c r="G311" s="4" t="s">
        <v>84</v>
      </c>
      <c r="H311" s="4" t="s">
        <v>85</v>
      </c>
      <c r="I311" s="4"/>
      <c r="J311" s="4"/>
      <c r="K311" s="4">
        <v>203</v>
      </c>
      <c r="L311" s="4">
        <v>11</v>
      </c>
      <c r="M311" s="4">
        <v>3</v>
      </c>
      <c r="N311" s="4" t="s">
        <v>3</v>
      </c>
      <c r="O311" s="4">
        <v>2</v>
      </c>
      <c r="P311" s="4"/>
      <c r="Q311" s="4"/>
      <c r="R311" s="4"/>
      <c r="S311" s="4"/>
      <c r="T311" s="4"/>
      <c r="U311" s="4"/>
      <c r="V311" s="4"/>
      <c r="W311" s="4"/>
    </row>
    <row r="312" spans="1:23">
      <c r="A312" s="4">
        <v>50</v>
      </c>
      <c r="B312" s="4">
        <v>0</v>
      </c>
      <c r="C312" s="4">
        <v>0</v>
      </c>
      <c r="D312" s="4">
        <v>1</v>
      </c>
      <c r="E312" s="4">
        <v>231</v>
      </c>
      <c r="F312" s="4">
        <f>ROUND(Source!BB299,O312)</f>
        <v>0</v>
      </c>
      <c r="G312" s="4" t="s">
        <v>86</v>
      </c>
      <c r="H312" s="4" t="s">
        <v>87</v>
      </c>
      <c r="I312" s="4"/>
      <c r="J312" s="4"/>
      <c r="K312" s="4">
        <v>231</v>
      </c>
      <c r="L312" s="4">
        <v>12</v>
      </c>
      <c r="M312" s="4">
        <v>3</v>
      </c>
      <c r="N312" s="4" t="s">
        <v>3</v>
      </c>
      <c r="O312" s="4">
        <v>2</v>
      </c>
      <c r="P312" s="4"/>
      <c r="Q312" s="4"/>
      <c r="R312" s="4"/>
      <c r="S312" s="4"/>
      <c r="T312" s="4"/>
      <c r="U312" s="4"/>
      <c r="V312" s="4"/>
      <c r="W312" s="4"/>
    </row>
    <row r="313" spans="1:23">
      <c r="A313" s="4">
        <v>50</v>
      </c>
      <c r="B313" s="4">
        <v>0</v>
      </c>
      <c r="C313" s="4">
        <v>0</v>
      </c>
      <c r="D313" s="4">
        <v>1</v>
      </c>
      <c r="E313" s="4">
        <v>204</v>
      </c>
      <c r="F313" s="4">
        <f>ROUND(Source!R299,O313)</f>
        <v>2867.72</v>
      </c>
      <c r="G313" s="4" t="s">
        <v>88</v>
      </c>
      <c r="H313" s="4" t="s">
        <v>89</v>
      </c>
      <c r="I313" s="4"/>
      <c r="J313" s="4"/>
      <c r="K313" s="4">
        <v>204</v>
      </c>
      <c r="L313" s="4">
        <v>13</v>
      </c>
      <c r="M313" s="4">
        <v>3</v>
      </c>
      <c r="N313" s="4" t="s">
        <v>3</v>
      </c>
      <c r="O313" s="4">
        <v>2</v>
      </c>
      <c r="P313" s="4"/>
      <c r="Q313" s="4"/>
      <c r="R313" s="4"/>
      <c r="S313" s="4"/>
      <c r="T313" s="4"/>
      <c r="U313" s="4"/>
      <c r="V313" s="4"/>
      <c r="W313" s="4"/>
    </row>
    <row r="314" spans="1:23">
      <c r="A314" s="4">
        <v>50</v>
      </c>
      <c r="B314" s="4">
        <v>0</v>
      </c>
      <c r="C314" s="4">
        <v>0</v>
      </c>
      <c r="D314" s="4">
        <v>1</v>
      </c>
      <c r="E314" s="4">
        <v>205</v>
      </c>
      <c r="F314" s="4">
        <f>ROUND(Source!S299,O314)</f>
        <v>123882.55</v>
      </c>
      <c r="G314" s="4" t="s">
        <v>90</v>
      </c>
      <c r="H314" s="4" t="s">
        <v>91</v>
      </c>
      <c r="I314" s="4"/>
      <c r="J314" s="4"/>
      <c r="K314" s="4">
        <v>205</v>
      </c>
      <c r="L314" s="4">
        <v>14</v>
      </c>
      <c r="M314" s="4">
        <v>3</v>
      </c>
      <c r="N314" s="4" t="s">
        <v>3</v>
      </c>
      <c r="O314" s="4">
        <v>2</v>
      </c>
      <c r="P314" s="4"/>
      <c r="Q314" s="4"/>
      <c r="R314" s="4"/>
      <c r="S314" s="4"/>
      <c r="T314" s="4"/>
      <c r="U314" s="4"/>
      <c r="V314" s="4"/>
      <c r="W314" s="4"/>
    </row>
    <row r="315" spans="1:23">
      <c r="A315" s="4">
        <v>50</v>
      </c>
      <c r="B315" s="4">
        <v>0</v>
      </c>
      <c r="C315" s="4">
        <v>0</v>
      </c>
      <c r="D315" s="4">
        <v>1</v>
      </c>
      <c r="E315" s="4">
        <v>232</v>
      </c>
      <c r="F315" s="4">
        <f>ROUND(Source!BC299,O315)</f>
        <v>0</v>
      </c>
      <c r="G315" s="4" t="s">
        <v>92</v>
      </c>
      <c r="H315" s="4" t="s">
        <v>93</v>
      </c>
      <c r="I315" s="4"/>
      <c r="J315" s="4"/>
      <c r="K315" s="4">
        <v>232</v>
      </c>
      <c r="L315" s="4">
        <v>15</v>
      </c>
      <c r="M315" s="4">
        <v>3</v>
      </c>
      <c r="N315" s="4" t="s">
        <v>3</v>
      </c>
      <c r="O315" s="4">
        <v>2</v>
      </c>
      <c r="P315" s="4"/>
      <c r="Q315" s="4"/>
      <c r="R315" s="4"/>
      <c r="S315" s="4"/>
      <c r="T315" s="4"/>
      <c r="U315" s="4"/>
      <c r="V315" s="4"/>
      <c r="W315" s="4"/>
    </row>
    <row r="316" spans="1:23">
      <c r="A316" s="4">
        <v>50</v>
      </c>
      <c r="B316" s="4">
        <v>0</v>
      </c>
      <c r="C316" s="4">
        <v>0</v>
      </c>
      <c r="D316" s="4">
        <v>1</v>
      </c>
      <c r="E316" s="4">
        <v>214</v>
      </c>
      <c r="F316" s="4">
        <f>ROUND(Source!AS299,O316)</f>
        <v>0</v>
      </c>
      <c r="G316" s="4" t="s">
        <v>94</v>
      </c>
      <c r="H316" s="4" t="s">
        <v>95</v>
      </c>
      <c r="I316" s="4"/>
      <c r="J316" s="4"/>
      <c r="K316" s="4">
        <v>214</v>
      </c>
      <c r="L316" s="4">
        <v>16</v>
      </c>
      <c r="M316" s="4">
        <v>3</v>
      </c>
      <c r="N316" s="4" t="s">
        <v>3</v>
      </c>
      <c r="O316" s="4">
        <v>2</v>
      </c>
      <c r="P316" s="4"/>
      <c r="Q316" s="4"/>
      <c r="R316" s="4"/>
      <c r="S316" s="4"/>
      <c r="T316" s="4"/>
      <c r="U316" s="4"/>
      <c r="V316" s="4"/>
      <c r="W316" s="4"/>
    </row>
    <row r="317" spans="1:23">
      <c r="A317" s="4">
        <v>50</v>
      </c>
      <c r="B317" s="4">
        <v>0</v>
      </c>
      <c r="C317" s="4">
        <v>0</v>
      </c>
      <c r="D317" s="4">
        <v>1</v>
      </c>
      <c r="E317" s="4">
        <v>215</v>
      </c>
      <c r="F317" s="4">
        <f>ROUND(Source!AT299,O317)</f>
        <v>0</v>
      </c>
      <c r="G317" s="4" t="s">
        <v>96</v>
      </c>
      <c r="H317" s="4" t="s">
        <v>97</v>
      </c>
      <c r="I317" s="4"/>
      <c r="J317" s="4"/>
      <c r="K317" s="4">
        <v>215</v>
      </c>
      <c r="L317" s="4">
        <v>17</v>
      </c>
      <c r="M317" s="4">
        <v>3</v>
      </c>
      <c r="N317" s="4" t="s">
        <v>3</v>
      </c>
      <c r="O317" s="4">
        <v>2</v>
      </c>
      <c r="P317" s="4"/>
      <c r="Q317" s="4"/>
      <c r="R317" s="4"/>
      <c r="S317" s="4"/>
      <c r="T317" s="4"/>
      <c r="U317" s="4"/>
      <c r="V317" s="4"/>
      <c r="W317" s="4"/>
    </row>
    <row r="318" spans="1:23">
      <c r="A318" s="4">
        <v>50</v>
      </c>
      <c r="B318" s="4">
        <v>0</v>
      </c>
      <c r="C318" s="4">
        <v>0</v>
      </c>
      <c r="D318" s="4">
        <v>1</v>
      </c>
      <c r="E318" s="4">
        <v>217</v>
      </c>
      <c r="F318" s="4">
        <f>ROUND(Source!AU299,O318)</f>
        <v>626942.62</v>
      </c>
      <c r="G318" s="4" t="s">
        <v>98</v>
      </c>
      <c r="H318" s="4" t="s">
        <v>99</v>
      </c>
      <c r="I318" s="4"/>
      <c r="J318" s="4"/>
      <c r="K318" s="4">
        <v>217</v>
      </c>
      <c r="L318" s="4">
        <v>18</v>
      </c>
      <c r="M318" s="4">
        <v>3</v>
      </c>
      <c r="N318" s="4" t="s">
        <v>3</v>
      </c>
      <c r="O318" s="4">
        <v>2</v>
      </c>
      <c r="P318" s="4"/>
      <c r="Q318" s="4"/>
      <c r="R318" s="4"/>
      <c r="S318" s="4"/>
      <c r="T318" s="4"/>
      <c r="U318" s="4"/>
      <c r="V318" s="4"/>
      <c r="W318" s="4"/>
    </row>
    <row r="319" spans="1:23">
      <c r="A319" s="4">
        <v>50</v>
      </c>
      <c r="B319" s="4">
        <v>0</v>
      </c>
      <c r="C319" s="4">
        <v>0</v>
      </c>
      <c r="D319" s="4">
        <v>1</v>
      </c>
      <c r="E319" s="4">
        <v>230</v>
      </c>
      <c r="F319" s="4">
        <f>ROUND(Source!BA299,O319)</f>
        <v>0</v>
      </c>
      <c r="G319" s="4" t="s">
        <v>100</v>
      </c>
      <c r="H319" s="4" t="s">
        <v>101</v>
      </c>
      <c r="I319" s="4"/>
      <c r="J319" s="4"/>
      <c r="K319" s="4">
        <v>230</v>
      </c>
      <c r="L319" s="4">
        <v>19</v>
      </c>
      <c r="M319" s="4">
        <v>3</v>
      </c>
      <c r="N319" s="4" t="s">
        <v>3</v>
      </c>
      <c r="O319" s="4">
        <v>2</v>
      </c>
      <c r="P319" s="4"/>
      <c r="Q319" s="4"/>
      <c r="R319" s="4"/>
      <c r="S319" s="4"/>
      <c r="T319" s="4"/>
      <c r="U319" s="4"/>
      <c r="V319" s="4"/>
      <c r="W319" s="4"/>
    </row>
    <row r="320" spans="1:23">
      <c r="A320" s="4">
        <v>50</v>
      </c>
      <c r="B320" s="4">
        <v>0</v>
      </c>
      <c r="C320" s="4">
        <v>0</v>
      </c>
      <c r="D320" s="4">
        <v>1</v>
      </c>
      <c r="E320" s="4">
        <v>206</v>
      </c>
      <c r="F320" s="4">
        <f>ROUND(Source!T299,O320)</f>
        <v>0</v>
      </c>
      <c r="G320" s="4" t="s">
        <v>102</v>
      </c>
      <c r="H320" s="4" t="s">
        <v>103</v>
      </c>
      <c r="I320" s="4"/>
      <c r="J320" s="4"/>
      <c r="K320" s="4">
        <v>206</v>
      </c>
      <c r="L320" s="4">
        <v>20</v>
      </c>
      <c r="M320" s="4">
        <v>3</v>
      </c>
      <c r="N320" s="4" t="s">
        <v>3</v>
      </c>
      <c r="O320" s="4">
        <v>2</v>
      </c>
      <c r="P320" s="4"/>
      <c r="Q320" s="4"/>
      <c r="R320" s="4"/>
      <c r="S320" s="4"/>
      <c r="T320" s="4"/>
      <c r="U320" s="4"/>
      <c r="V320" s="4"/>
      <c r="W320" s="4"/>
    </row>
    <row r="321" spans="1:206">
      <c r="A321" s="4">
        <v>50</v>
      </c>
      <c r="B321" s="4">
        <v>0</v>
      </c>
      <c r="C321" s="4">
        <v>0</v>
      </c>
      <c r="D321" s="4">
        <v>1</v>
      </c>
      <c r="E321" s="4">
        <v>207</v>
      </c>
      <c r="F321" s="4">
        <f>Source!U299</f>
        <v>639.1280230019662</v>
      </c>
      <c r="G321" s="4" t="s">
        <v>104</v>
      </c>
      <c r="H321" s="4" t="s">
        <v>105</v>
      </c>
      <c r="I321" s="4"/>
      <c r="J321" s="4"/>
      <c r="K321" s="4">
        <v>207</v>
      </c>
      <c r="L321" s="4">
        <v>21</v>
      </c>
      <c r="M321" s="4">
        <v>3</v>
      </c>
      <c r="N321" s="4" t="s">
        <v>3</v>
      </c>
      <c r="O321" s="4">
        <v>-1</v>
      </c>
      <c r="P321" s="4"/>
      <c r="Q321" s="4"/>
      <c r="R321" s="4"/>
      <c r="S321" s="4"/>
      <c r="T321" s="4"/>
      <c r="U321" s="4"/>
      <c r="V321" s="4"/>
      <c r="W321" s="4"/>
    </row>
    <row r="322" spans="1:206">
      <c r="A322" s="4">
        <v>50</v>
      </c>
      <c r="B322" s="4">
        <v>0</v>
      </c>
      <c r="C322" s="4">
        <v>0</v>
      </c>
      <c r="D322" s="4">
        <v>1</v>
      </c>
      <c r="E322" s="4">
        <v>208</v>
      </c>
      <c r="F322" s="4">
        <f>Source!V299</f>
        <v>0</v>
      </c>
      <c r="G322" s="4" t="s">
        <v>106</v>
      </c>
      <c r="H322" s="4" t="s">
        <v>107</v>
      </c>
      <c r="I322" s="4"/>
      <c r="J322" s="4"/>
      <c r="K322" s="4">
        <v>208</v>
      </c>
      <c r="L322" s="4">
        <v>22</v>
      </c>
      <c r="M322" s="4">
        <v>3</v>
      </c>
      <c r="N322" s="4" t="s">
        <v>3</v>
      </c>
      <c r="O322" s="4">
        <v>-1</v>
      </c>
      <c r="P322" s="4"/>
      <c r="Q322" s="4"/>
      <c r="R322" s="4"/>
      <c r="S322" s="4"/>
      <c r="T322" s="4"/>
      <c r="U322" s="4"/>
      <c r="V322" s="4"/>
      <c r="W322" s="4"/>
    </row>
    <row r="323" spans="1:206">
      <c r="A323" s="4">
        <v>50</v>
      </c>
      <c r="B323" s="4">
        <v>0</v>
      </c>
      <c r="C323" s="4">
        <v>0</v>
      </c>
      <c r="D323" s="4">
        <v>1</v>
      </c>
      <c r="E323" s="4">
        <v>209</v>
      </c>
      <c r="F323" s="4">
        <f>ROUND(Source!W299,O323)</f>
        <v>0</v>
      </c>
      <c r="G323" s="4" t="s">
        <v>108</v>
      </c>
      <c r="H323" s="4" t="s">
        <v>109</v>
      </c>
      <c r="I323" s="4"/>
      <c r="J323" s="4"/>
      <c r="K323" s="4">
        <v>209</v>
      </c>
      <c r="L323" s="4">
        <v>23</v>
      </c>
      <c r="M323" s="4">
        <v>3</v>
      </c>
      <c r="N323" s="4" t="s">
        <v>3</v>
      </c>
      <c r="O323" s="4">
        <v>2</v>
      </c>
      <c r="P323" s="4"/>
      <c r="Q323" s="4"/>
      <c r="R323" s="4"/>
      <c r="S323" s="4"/>
      <c r="T323" s="4"/>
      <c r="U323" s="4"/>
      <c r="V323" s="4"/>
      <c r="W323" s="4"/>
    </row>
    <row r="324" spans="1:206">
      <c r="A324" s="4">
        <v>50</v>
      </c>
      <c r="B324" s="4">
        <v>0</v>
      </c>
      <c r="C324" s="4">
        <v>0</v>
      </c>
      <c r="D324" s="4">
        <v>1</v>
      </c>
      <c r="E324" s="4">
        <v>210</v>
      </c>
      <c r="F324" s="4">
        <f>ROUND(Source!X299,O324)</f>
        <v>86717.81</v>
      </c>
      <c r="G324" s="4" t="s">
        <v>110</v>
      </c>
      <c r="H324" s="4" t="s">
        <v>111</v>
      </c>
      <c r="I324" s="4"/>
      <c r="J324" s="4"/>
      <c r="K324" s="4">
        <v>210</v>
      </c>
      <c r="L324" s="4">
        <v>24</v>
      </c>
      <c r="M324" s="4">
        <v>3</v>
      </c>
      <c r="N324" s="4" t="s">
        <v>3</v>
      </c>
      <c r="O324" s="4">
        <v>2</v>
      </c>
      <c r="P324" s="4"/>
      <c r="Q324" s="4"/>
      <c r="R324" s="4"/>
      <c r="S324" s="4"/>
      <c r="T324" s="4"/>
      <c r="U324" s="4"/>
      <c r="V324" s="4"/>
      <c r="W324" s="4"/>
    </row>
    <row r="325" spans="1:206">
      <c r="A325" s="4">
        <v>50</v>
      </c>
      <c r="B325" s="4">
        <v>0</v>
      </c>
      <c r="C325" s="4">
        <v>0</v>
      </c>
      <c r="D325" s="4">
        <v>1</v>
      </c>
      <c r="E325" s="4">
        <v>211</v>
      </c>
      <c r="F325" s="4">
        <f>ROUND(Source!Y299,O325)</f>
        <v>12388.27</v>
      </c>
      <c r="G325" s="4" t="s">
        <v>112</v>
      </c>
      <c r="H325" s="4" t="s">
        <v>113</v>
      </c>
      <c r="I325" s="4"/>
      <c r="J325" s="4"/>
      <c r="K325" s="4">
        <v>211</v>
      </c>
      <c r="L325" s="4">
        <v>25</v>
      </c>
      <c r="M325" s="4">
        <v>3</v>
      </c>
      <c r="N325" s="4" t="s">
        <v>3</v>
      </c>
      <c r="O325" s="4">
        <v>2</v>
      </c>
      <c r="P325" s="4"/>
      <c r="Q325" s="4"/>
      <c r="R325" s="4"/>
      <c r="S325" s="4"/>
      <c r="T325" s="4"/>
      <c r="U325" s="4"/>
      <c r="V325" s="4"/>
      <c r="W325" s="4"/>
    </row>
    <row r="326" spans="1:206">
      <c r="A326" s="4">
        <v>50</v>
      </c>
      <c r="B326" s="4">
        <v>0</v>
      </c>
      <c r="C326" s="4">
        <v>0</v>
      </c>
      <c r="D326" s="4">
        <v>1</v>
      </c>
      <c r="E326" s="4">
        <v>224</v>
      </c>
      <c r="F326" s="4">
        <f>ROUND(Source!AR299,O326)</f>
        <v>626942.62</v>
      </c>
      <c r="G326" s="4" t="s">
        <v>114</v>
      </c>
      <c r="H326" s="4" t="s">
        <v>115</v>
      </c>
      <c r="I326" s="4"/>
      <c r="J326" s="4"/>
      <c r="K326" s="4">
        <v>224</v>
      </c>
      <c r="L326" s="4">
        <v>26</v>
      </c>
      <c r="M326" s="4">
        <v>3</v>
      </c>
      <c r="N326" s="4" t="s">
        <v>3</v>
      </c>
      <c r="O326" s="4">
        <v>2</v>
      </c>
      <c r="P326" s="4"/>
      <c r="Q326" s="4"/>
      <c r="R326" s="4"/>
      <c r="S326" s="4"/>
      <c r="T326" s="4"/>
      <c r="U326" s="4"/>
      <c r="V326" s="4"/>
      <c r="W326" s="4"/>
    </row>
    <row r="328" spans="1:206">
      <c r="A328" s="2">
        <v>51</v>
      </c>
      <c r="B328" s="2">
        <f>B12</f>
        <v>364</v>
      </c>
      <c r="C328" s="2">
        <f>A12</f>
        <v>1</v>
      </c>
      <c r="D328" s="2">
        <f>ROW(A12)</f>
        <v>12</v>
      </c>
      <c r="E328" s="2"/>
      <c r="F328" s="2" t="str">
        <f>IF(F12&lt;&gt;"",F12,"")</f>
        <v/>
      </c>
      <c r="G328" s="2" t="str">
        <f>IF(G12&lt;&gt;"",G12,"")</f>
        <v>Цветник № 11 Кировоградская 24-1_лот</v>
      </c>
      <c r="H328" s="2">
        <v>0</v>
      </c>
      <c r="I328" s="2"/>
      <c r="J328" s="2"/>
      <c r="K328" s="2"/>
      <c r="L328" s="2"/>
      <c r="M328" s="2"/>
      <c r="N328" s="2"/>
      <c r="O328" s="2">
        <f t="shared" ref="O328:T328" si="231">ROUND(O299,2)</f>
        <v>524739.4</v>
      </c>
      <c r="P328" s="2">
        <f t="shared" si="231"/>
        <v>390922.38</v>
      </c>
      <c r="Q328" s="2">
        <f t="shared" si="231"/>
        <v>9934.4699999999993</v>
      </c>
      <c r="R328" s="2">
        <f t="shared" si="231"/>
        <v>2867.72</v>
      </c>
      <c r="S328" s="2">
        <f t="shared" si="231"/>
        <v>123882.55</v>
      </c>
      <c r="T328" s="2">
        <f t="shared" si="231"/>
        <v>0</v>
      </c>
      <c r="U328" s="2">
        <f>U299</f>
        <v>639.1280230019662</v>
      </c>
      <c r="V328" s="2">
        <f>V299</f>
        <v>0</v>
      </c>
      <c r="W328" s="2">
        <f>ROUND(W299,2)</f>
        <v>0</v>
      </c>
      <c r="X328" s="2">
        <f>ROUND(X299,2)</f>
        <v>86717.81</v>
      </c>
      <c r="Y328" s="2">
        <f>ROUND(Y299,2)</f>
        <v>12388.27</v>
      </c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>
        <f t="shared" ref="AO328:BC328" si="232">ROUND(AO299,2)</f>
        <v>0</v>
      </c>
      <c r="AP328" s="2">
        <f t="shared" si="232"/>
        <v>0</v>
      </c>
      <c r="AQ328" s="2">
        <f t="shared" si="232"/>
        <v>0</v>
      </c>
      <c r="AR328" s="2">
        <f t="shared" si="232"/>
        <v>626942.62</v>
      </c>
      <c r="AS328" s="2">
        <f t="shared" si="232"/>
        <v>0</v>
      </c>
      <c r="AT328" s="2">
        <f t="shared" si="232"/>
        <v>0</v>
      </c>
      <c r="AU328" s="2">
        <f t="shared" si="232"/>
        <v>626942.62</v>
      </c>
      <c r="AV328" s="2">
        <f t="shared" si="232"/>
        <v>390922.38</v>
      </c>
      <c r="AW328" s="2">
        <f t="shared" si="232"/>
        <v>390922.38</v>
      </c>
      <c r="AX328" s="2">
        <f t="shared" si="232"/>
        <v>0</v>
      </c>
      <c r="AY328" s="2">
        <f t="shared" si="232"/>
        <v>390922.38</v>
      </c>
      <c r="AZ328" s="2">
        <f t="shared" si="232"/>
        <v>0</v>
      </c>
      <c r="BA328" s="2">
        <f t="shared" si="232"/>
        <v>0</v>
      </c>
      <c r="BB328" s="2">
        <f t="shared" si="232"/>
        <v>0</v>
      </c>
      <c r="BC328" s="2">
        <f t="shared" si="232"/>
        <v>0</v>
      </c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>
        <v>0</v>
      </c>
    </row>
    <row r="330" spans="1:206">
      <c r="A330" s="4">
        <v>50</v>
      </c>
      <c r="B330" s="4">
        <v>0</v>
      </c>
      <c r="C330" s="4">
        <v>0</v>
      </c>
      <c r="D330" s="4">
        <v>1</v>
      </c>
      <c r="E330" s="4">
        <v>201</v>
      </c>
      <c r="F330" s="4">
        <f>ROUND(Source!O328,O330)</f>
        <v>524739.4</v>
      </c>
      <c r="G330" s="4" t="s">
        <v>64</v>
      </c>
      <c r="H330" s="4" t="s">
        <v>65</v>
      </c>
      <c r="I330" s="4"/>
      <c r="J330" s="4"/>
      <c r="K330" s="4">
        <v>201</v>
      </c>
      <c r="L330" s="4">
        <v>1</v>
      </c>
      <c r="M330" s="4">
        <v>3</v>
      </c>
      <c r="N330" s="4" t="s">
        <v>3</v>
      </c>
      <c r="O330" s="4">
        <v>2</v>
      </c>
      <c r="P330" s="4"/>
      <c r="Q330" s="4"/>
      <c r="R330" s="4"/>
      <c r="S330" s="4"/>
      <c r="T330" s="4"/>
      <c r="U330" s="4"/>
      <c r="V330" s="4"/>
      <c r="W330" s="4"/>
    </row>
    <row r="331" spans="1:206">
      <c r="A331" s="4">
        <v>50</v>
      </c>
      <c r="B331" s="4">
        <v>0</v>
      </c>
      <c r="C331" s="4">
        <v>0</v>
      </c>
      <c r="D331" s="4">
        <v>1</v>
      </c>
      <c r="E331" s="4">
        <v>202</v>
      </c>
      <c r="F331" s="4">
        <f>ROUND(Source!P328,O331)</f>
        <v>390922.38</v>
      </c>
      <c r="G331" s="4" t="s">
        <v>66</v>
      </c>
      <c r="H331" s="4" t="s">
        <v>67</v>
      </c>
      <c r="I331" s="4"/>
      <c r="J331" s="4"/>
      <c r="K331" s="4">
        <v>202</v>
      </c>
      <c r="L331" s="4">
        <v>2</v>
      </c>
      <c r="M331" s="4">
        <v>3</v>
      </c>
      <c r="N331" s="4" t="s">
        <v>3</v>
      </c>
      <c r="O331" s="4">
        <v>2</v>
      </c>
      <c r="P331" s="4"/>
      <c r="Q331" s="4"/>
      <c r="R331" s="4"/>
      <c r="S331" s="4"/>
      <c r="T331" s="4"/>
      <c r="U331" s="4"/>
      <c r="V331" s="4"/>
      <c r="W331" s="4"/>
    </row>
    <row r="332" spans="1:206">
      <c r="A332" s="4">
        <v>50</v>
      </c>
      <c r="B332" s="4">
        <v>0</v>
      </c>
      <c r="C332" s="4">
        <v>0</v>
      </c>
      <c r="D332" s="4">
        <v>1</v>
      </c>
      <c r="E332" s="4">
        <v>222</v>
      </c>
      <c r="F332" s="4">
        <f>ROUND(Source!AO328,O332)</f>
        <v>0</v>
      </c>
      <c r="G332" s="4" t="s">
        <v>68</v>
      </c>
      <c r="H332" s="4" t="s">
        <v>69</v>
      </c>
      <c r="I332" s="4"/>
      <c r="J332" s="4"/>
      <c r="K332" s="4">
        <v>222</v>
      </c>
      <c r="L332" s="4">
        <v>3</v>
      </c>
      <c r="M332" s="4">
        <v>3</v>
      </c>
      <c r="N332" s="4" t="s">
        <v>3</v>
      </c>
      <c r="O332" s="4">
        <v>2</v>
      </c>
      <c r="P332" s="4"/>
      <c r="Q332" s="4"/>
      <c r="R332" s="4"/>
      <c r="S332" s="4"/>
      <c r="T332" s="4"/>
      <c r="U332" s="4"/>
      <c r="V332" s="4"/>
      <c r="W332" s="4"/>
    </row>
    <row r="333" spans="1:206">
      <c r="A333" s="4">
        <v>50</v>
      </c>
      <c r="B333" s="4">
        <v>0</v>
      </c>
      <c r="C333" s="4">
        <v>0</v>
      </c>
      <c r="D333" s="4">
        <v>1</v>
      </c>
      <c r="E333" s="4">
        <v>225</v>
      </c>
      <c r="F333" s="4">
        <f>ROUND(Source!AV328,O333)</f>
        <v>390922.38</v>
      </c>
      <c r="G333" s="4" t="s">
        <v>70</v>
      </c>
      <c r="H333" s="4" t="s">
        <v>71</v>
      </c>
      <c r="I333" s="4"/>
      <c r="J333" s="4"/>
      <c r="K333" s="4">
        <v>225</v>
      </c>
      <c r="L333" s="4">
        <v>4</v>
      </c>
      <c r="M333" s="4">
        <v>3</v>
      </c>
      <c r="N333" s="4" t="s">
        <v>3</v>
      </c>
      <c r="O333" s="4">
        <v>2</v>
      </c>
      <c r="P333" s="4"/>
      <c r="Q333" s="4"/>
      <c r="R333" s="4"/>
      <c r="S333" s="4"/>
      <c r="T333" s="4"/>
      <c r="U333" s="4"/>
      <c r="V333" s="4"/>
      <c r="W333" s="4"/>
    </row>
    <row r="334" spans="1:206">
      <c r="A334" s="4">
        <v>50</v>
      </c>
      <c r="B334" s="4">
        <v>0</v>
      </c>
      <c r="C334" s="4">
        <v>0</v>
      </c>
      <c r="D334" s="4">
        <v>1</v>
      </c>
      <c r="E334" s="4">
        <v>226</v>
      </c>
      <c r="F334" s="4">
        <f>ROUND(Source!AW328,O334)</f>
        <v>390922.38</v>
      </c>
      <c r="G334" s="4" t="s">
        <v>72</v>
      </c>
      <c r="H334" s="4" t="s">
        <v>73</v>
      </c>
      <c r="I334" s="4"/>
      <c r="J334" s="4"/>
      <c r="K334" s="4">
        <v>226</v>
      </c>
      <c r="L334" s="4">
        <v>5</v>
      </c>
      <c r="M334" s="4">
        <v>3</v>
      </c>
      <c r="N334" s="4" t="s">
        <v>3</v>
      </c>
      <c r="O334" s="4">
        <v>2</v>
      </c>
      <c r="P334" s="4"/>
      <c r="Q334" s="4"/>
      <c r="R334" s="4"/>
      <c r="S334" s="4"/>
      <c r="T334" s="4"/>
      <c r="U334" s="4"/>
      <c r="V334" s="4"/>
      <c r="W334" s="4"/>
    </row>
    <row r="335" spans="1:206">
      <c r="A335" s="4">
        <v>50</v>
      </c>
      <c r="B335" s="4">
        <v>0</v>
      </c>
      <c r="C335" s="4">
        <v>0</v>
      </c>
      <c r="D335" s="4">
        <v>1</v>
      </c>
      <c r="E335" s="4">
        <v>227</v>
      </c>
      <c r="F335" s="4">
        <f>ROUND(Source!AX328,O335)</f>
        <v>0</v>
      </c>
      <c r="G335" s="4" t="s">
        <v>74</v>
      </c>
      <c r="H335" s="4" t="s">
        <v>75</v>
      </c>
      <c r="I335" s="4"/>
      <c r="J335" s="4"/>
      <c r="K335" s="4">
        <v>227</v>
      </c>
      <c r="L335" s="4">
        <v>6</v>
      </c>
      <c r="M335" s="4">
        <v>3</v>
      </c>
      <c r="N335" s="4" t="s">
        <v>3</v>
      </c>
      <c r="O335" s="4">
        <v>2</v>
      </c>
      <c r="P335" s="4"/>
      <c r="Q335" s="4"/>
      <c r="R335" s="4"/>
      <c r="S335" s="4"/>
      <c r="T335" s="4"/>
      <c r="U335" s="4"/>
      <c r="V335" s="4"/>
      <c r="W335" s="4"/>
    </row>
    <row r="336" spans="1:206">
      <c r="A336" s="4">
        <v>50</v>
      </c>
      <c r="B336" s="4">
        <v>0</v>
      </c>
      <c r="C336" s="4">
        <v>0</v>
      </c>
      <c r="D336" s="4">
        <v>1</v>
      </c>
      <c r="E336" s="4">
        <v>228</v>
      </c>
      <c r="F336" s="4">
        <f>ROUND(Source!AY328,O336)</f>
        <v>390922.38</v>
      </c>
      <c r="G336" s="4" t="s">
        <v>76</v>
      </c>
      <c r="H336" s="4" t="s">
        <v>77</v>
      </c>
      <c r="I336" s="4"/>
      <c r="J336" s="4"/>
      <c r="K336" s="4">
        <v>228</v>
      </c>
      <c r="L336" s="4">
        <v>7</v>
      </c>
      <c r="M336" s="4">
        <v>3</v>
      </c>
      <c r="N336" s="4" t="s">
        <v>3</v>
      </c>
      <c r="O336" s="4">
        <v>2</v>
      </c>
      <c r="P336" s="4"/>
      <c r="Q336" s="4"/>
      <c r="R336" s="4"/>
      <c r="S336" s="4"/>
      <c r="T336" s="4"/>
      <c r="U336" s="4"/>
      <c r="V336" s="4"/>
      <c r="W336" s="4"/>
    </row>
    <row r="337" spans="1:23">
      <c r="A337" s="4">
        <v>50</v>
      </c>
      <c r="B337" s="4">
        <v>0</v>
      </c>
      <c r="C337" s="4">
        <v>0</v>
      </c>
      <c r="D337" s="4">
        <v>1</v>
      </c>
      <c r="E337" s="4">
        <v>216</v>
      </c>
      <c r="F337" s="4">
        <f>ROUND(Source!AP328,O337)</f>
        <v>0</v>
      </c>
      <c r="G337" s="4" t="s">
        <v>78</v>
      </c>
      <c r="H337" s="4" t="s">
        <v>79</v>
      </c>
      <c r="I337" s="4"/>
      <c r="J337" s="4"/>
      <c r="K337" s="4">
        <v>216</v>
      </c>
      <c r="L337" s="4">
        <v>8</v>
      </c>
      <c r="M337" s="4">
        <v>3</v>
      </c>
      <c r="N337" s="4" t="s">
        <v>3</v>
      </c>
      <c r="O337" s="4">
        <v>2</v>
      </c>
      <c r="P337" s="4"/>
      <c r="Q337" s="4"/>
      <c r="R337" s="4"/>
      <c r="S337" s="4"/>
      <c r="T337" s="4"/>
      <c r="U337" s="4"/>
      <c r="V337" s="4"/>
      <c r="W337" s="4"/>
    </row>
    <row r="338" spans="1:23">
      <c r="A338" s="4">
        <v>50</v>
      </c>
      <c r="B338" s="4">
        <v>0</v>
      </c>
      <c r="C338" s="4">
        <v>0</v>
      </c>
      <c r="D338" s="4">
        <v>1</v>
      </c>
      <c r="E338" s="4">
        <v>223</v>
      </c>
      <c r="F338" s="4">
        <f>ROUND(Source!AQ328,O338)</f>
        <v>0</v>
      </c>
      <c r="G338" s="4" t="s">
        <v>80</v>
      </c>
      <c r="H338" s="4" t="s">
        <v>81</v>
      </c>
      <c r="I338" s="4"/>
      <c r="J338" s="4"/>
      <c r="K338" s="4">
        <v>223</v>
      </c>
      <c r="L338" s="4">
        <v>9</v>
      </c>
      <c r="M338" s="4">
        <v>3</v>
      </c>
      <c r="N338" s="4" t="s">
        <v>3</v>
      </c>
      <c r="O338" s="4">
        <v>2</v>
      </c>
      <c r="P338" s="4"/>
      <c r="Q338" s="4"/>
      <c r="R338" s="4"/>
      <c r="S338" s="4"/>
      <c r="T338" s="4"/>
      <c r="U338" s="4"/>
      <c r="V338" s="4"/>
      <c r="W338" s="4"/>
    </row>
    <row r="339" spans="1:23">
      <c r="A339" s="4">
        <v>50</v>
      </c>
      <c r="B339" s="4">
        <v>0</v>
      </c>
      <c r="C339" s="4">
        <v>0</v>
      </c>
      <c r="D339" s="4">
        <v>1</v>
      </c>
      <c r="E339" s="4">
        <v>229</v>
      </c>
      <c r="F339" s="4">
        <f>ROUND(Source!AZ328,O339)</f>
        <v>0</v>
      </c>
      <c r="G339" s="4" t="s">
        <v>82</v>
      </c>
      <c r="H339" s="4" t="s">
        <v>83</v>
      </c>
      <c r="I339" s="4"/>
      <c r="J339" s="4"/>
      <c r="K339" s="4">
        <v>229</v>
      </c>
      <c r="L339" s="4">
        <v>10</v>
      </c>
      <c r="M339" s="4">
        <v>3</v>
      </c>
      <c r="N339" s="4" t="s">
        <v>3</v>
      </c>
      <c r="O339" s="4">
        <v>2</v>
      </c>
      <c r="P339" s="4"/>
      <c r="Q339" s="4"/>
      <c r="R339" s="4"/>
      <c r="S339" s="4"/>
      <c r="T339" s="4"/>
      <c r="U339" s="4"/>
      <c r="V339" s="4"/>
      <c r="W339" s="4"/>
    </row>
    <row r="340" spans="1:23">
      <c r="A340" s="4">
        <v>50</v>
      </c>
      <c r="B340" s="4">
        <v>0</v>
      </c>
      <c r="C340" s="4">
        <v>0</v>
      </c>
      <c r="D340" s="4">
        <v>1</v>
      </c>
      <c r="E340" s="4">
        <v>203</v>
      </c>
      <c r="F340" s="4">
        <f>ROUND(Source!Q328,O340)</f>
        <v>9934.4699999999993</v>
      </c>
      <c r="G340" s="4" t="s">
        <v>84</v>
      </c>
      <c r="H340" s="4" t="s">
        <v>85</v>
      </c>
      <c r="I340" s="4"/>
      <c r="J340" s="4"/>
      <c r="K340" s="4">
        <v>203</v>
      </c>
      <c r="L340" s="4">
        <v>11</v>
      </c>
      <c r="M340" s="4">
        <v>3</v>
      </c>
      <c r="N340" s="4" t="s">
        <v>3</v>
      </c>
      <c r="O340" s="4">
        <v>2</v>
      </c>
      <c r="P340" s="4"/>
      <c r="Q340" s="4"/>
      <c r="R340" s="4"/>
      <c r="S340" s="4"/>
      <c r="T340" s="4"/>
      <c r="U340" s="4"/>
      <c r="V340" s="4"/>
      <c r="W340" s="4"/>
    </row>
    <row r="341" spans="1:23">
      <c r="A341" s="4">
        <v>50</v>
      </c>
      <c r="B341" s="4">
        <v>0</v>
      </c>
      <c r="C341" s="4">
        <v>0</v>
      </c>
      <c r="D341" s="4">
        <v>1</v>
      </c>
      <c r="E341" s="4">
        <v>231</v>
      </c>
      <c r="F341" s="4">
        <f>ROUND(Source!BB328,O341)</f>
        <v>0</v>
      </c>
      <c r="G341" s="4" t="s">
        <v>86</v>
      </c>
      <c r="H341" s="4" t="s">
        <v>87</v>
      </c>
      <c r="I341" s="4"/>
      <c r="J341" s="4"/>
      <c r="K341" s="4">
        <v>231</v>
      </c>
      <c r="L341" s="4">
        <v>12</v>
      </c>
      <c r="M341" s="4">
        <v>3</v>
      </c>
      <c r="N341" s="4" t="s">
        <v>3</v>
      </c>
      <c r="O341" s="4">
        <v>2</v>
      </c>
      <c r="P341" s="4"/>
      <c r="Q341" s="4"/>
      <c r="R341" s="4"/>
      <c r="S341" s="4"/>
      <c r="T341" s="4"/>
      <c r="U341" s="4"/>
      <c r="V341" s="4"/>
      <c r="W341" s="4"/>
    </row>
    <row r="342" spans="1:23">
      <c r="A342" s="4">
        <v>50</v>
      </c>
      <c r="B342" s="4">
        <v>0</v>
      </c>
      <c r="C342" s="4">
        <v>0</v>
      </c>
      <c r="D342" s="4">
        <v>1</v>
      </c>
      <c r="E342" s="4">
        <v>204</v>
      </c>
      <c r="F342" s="4">
        <f>ROUND(Source!R328,O342)</f>
        <v>2867.72</v>
      </c>
      <c r="G342" s="4" t="s">
        <v>88</v>
      </c>
      <c r="H342" s="4" t="s">
        <v>89</v>
      </c>
      <c r="I342" s="4"/>
      <c r="J342" s="4"/>
      <c r="K342" s="4">
        <v>204</v>
      </c>
      <c r="L342" s="4">
        <v>13</v>
      </c>
      <c r="M342" s="4">
        <v>3</v>
      </c>
      <c r="N342" s="4" t="s">
        <v>3</v>
      </c>
      <c r="O342" s="4">
        <v>2</v>
      </c>
      <c r="P342" s="4"/>
      <c r="Q342" s="4"/>
      <c r="R342" s="4"/>
      <c r="S342" s="4"/>
      <c r="T342" s="4"/>
      <c r="U342" s="4"/>
      <c r="V342" s="4"/>
      <c r="W342" s="4"/>
    </row>
    <row r="343" spans="1:23">
      <c r="A343" s="4">
        <v>50</v>
      </c>
      <c r="B343" s="4">
        <v>0</v>
      </c>
      <c r="C343" s="4">
        <v>0</v>
      </c>
      <c r="D343" s="4">
        <v>1</v>
      </c>
      <c r="E343" s="4">
        <v>205</v>
      </c>
      <c r="F343" s="4">
        <f>ROUND(Source!S328,O343)</f>
        <v>123882.55</v>
      </c>
      <c r="G343" s="4" t="s">
        <v>90</v>
      </c>
      <c r="H343" s="4" t="s">
        <v>91</v>
      </c>
      <c r="I343" s="4"/>
      <c r="J343" s="4"/>
      <c r="K343" s="4">
        <v>205</v>
      </c>
      <c r="L343" s="4">
        <v>14</v>
      </c>
      <c r="M343" s="4">
        <v>3</v>
      </c>
      <c r="N343" s="4" t="s">
        <v>3</v>
      </c>
      <c r="O343" s="4">
        <v>2</v>
      </c>
      <c r="P343" s="4"/>
      <c r="Q343" s="4"/>
      <c r="R343" s="4"/>
      <c r="S343" s="4"/>
      <c r="T343" s="4"/>
      <c r="U343" s="4"/>
      <c r="V343" s="4"/>
      <c r="W343" s="4"/>
    </row>
    <row r="344" spans="1:23">
      <c r="A344" s="4">
        <v>50</v>
      </c>
      <c r="B344" s="4">
        <v>0</v>
      </c>
      <c r="C344" s="4">
        <v>0</v>
      </c>
      <c r="D344" s="4">
        <v>1</v>
      </c>
      <c r="E344" s="4">
        <v>232</v>
      </c>
      <c r="F344" s="4">
        <f>ROUND(Source!BC328,O344)</f>
        <v>0</v>
      </c>
      <c r="G344" s="4" t="s">
        <v>92</v>
      </c>
      <c r="H344" s="4" t="s">
        <v>93</v>
      </c>
      <c r="I344" s="4"/>
      <c r="J344" s="4"/>
      <c r="K344" s="4">
        <v>232</v>
      </c>
      <c r="L344" s="4">
        <v>15</v>
      </c>
      <c r="M344" s="4">
        <v>3</v>
      </c>
      <c r="N344" s="4" t="s">
        <v>3</v>
      </c>
      <c r="O344" s="4">
        <v>2</v>
      </c>
      <c r="P344" s="4"/>
      <c r="Q344" s="4"/>
      <c r="R344" s="4"/>
      <c r="S344" s="4"/>
      <c r="T344" s="4"/>
      <c r="U344" s="4"/>
      <c r="V344" s="4"/>
      <c r="W344" s="4"/>
    </row>
    <row r="345" spans="1:23">
      <c r="A345" s="4">
        <v>50</v>
      </c>
      <c r="B345" s="4">
        <v>0</v>
      </c>
      <c r="C345" s="4">
        <v>0</v>
      </c>
      <c r="D345" s="4">
        <v>1</v>
      </c>
      <c r="E345" s="4">
        <v>214</v>
      </c>
      <c r="F345" s="4">
        <f>ROUND(Source!AS328,O345)</f>
        <v>0</v>
      </c>
      <c r="G345" s="4" t="s">
        <v>94</v>
      </c>
      <c r="H345" s="4" t="s">
        <v>95</v>
      </c>
      <c r="I345" s="4"/>
      <c r="J345" s="4"/>
      <c r="K345" s="4">
        <v>214</v>
      </c>
      <c r="L345" s="4">
        <v>16</v>
      </c>
      <c r="M345" s="4">
        <v>3</v>
      </c>
      <c r="N345" s="4" t="s">
        <v>3</v>
      </c>
      <c r="O345" s="4">
        <v>2</v>
      </c>
      <c r="P345" s="4"/>
      <c r="Q345" s="4"/>
      <c r="R345" s="4"/>
      <c r="S345" s="4"/>
      <c r="T345" s="4"/>
      <c r="U345" s="4"/>
      <c r="V345" s="4"/>
      <c r="W345" s="4"/>
    </row>
    <row r="346" spans="1:23">
      <c r="A346" s="4">
        <v>50</v>
      </c>
      <c r="B346" s="4">
        <v>0</v>
      </c>
      <c r="C346" s="4">
        <v>0</v>
      </c>
      <c r="D346" s="4">
        <v>1</v>
      </c>
      <c r="E346" s="4">
        <v>215</v>
      </c>
      <c r="F346" s="4">
        <f>ROUND(Source!AT328,O346)</f>
        <v>0</v>
      </c>
      <c r="G346" s="4" t="s">
        <v>96</v>
      </c>
      <c r="H346" s="4" t="s">
        <v>97</v>
      </c>
      <c r="I346" s="4"/>
      <c r="J346" s="4"/>
      <c r="K346" s="4">
        <v>215</v>
      </c>
      <c r="L346" s="4">
        <v>17</v>
      </c>
      <c r="M346" s="4">
        <v>3</v>
      </c>
      <c r="N346" s="4" t="s">
        <v>3</v>
      </c>
      <c r="O346" s="4">
        <v>2</v>
      </c>
      <c r="P346" s="4"/>
      <c r="Q346" s="4"/>
      <c r="R346" s="4"/>
      <c r="S346" s="4"/>
      <c r="T346" s="4"/>
      <c r="U346" s="4"/>
      <c r="V346" s="4"/>
      <c r="W346" s="4"/>
    </row>
    <row r="347" spans="1:23">
      <c r="A347" s="4">
        <v>50</v>
      </c>
      <c r="B347" s="4">
        <v>0</v>
      </c>
      <c r="C347" s="4">
        <v>0</v>
      </c>
      <c r="D347" s="4">
        <v>1</v>
      </c>
      <c r="E347" s="4">
        <v>217</v>
      </c>
      <c r="F347" s="4">
        <f>ROUND(Source!AU328,O347)</f>
        <v>626942.62</v>
      </c>
      <c r="G347" s="4" t="s">
        <v>98</v>
      </c>
      <c r="H347" s="4" t="s">
        <v>99</v>
      </c>
      <c r="I347" s="4"/>
      <c r="J347" s="4"/>
      <c r="K347" s="4">
        <v>217</v>
      </c>
      <c r="L347" s="4">
        <v>18</v>
      </c>
      <c r="M347" s="4">
        <v>3</v>
      </c>
      <c r="N347" s="4" t="s">
        <v>3</v>
      </c>
      <c r="O347" s="4">
        <v>2</v>
      </c>
      <c r="P347" s="4"/>
      <c r="Q347" s="4"/>
      <c r="R347" s="4"/>
      <c r="S347" s="4"/>
      <c r="T347" s="4"/>
      <c r="U347" s="4"/>
      <c r="V347" s="4"/>
      <c r="W347" s="4"/>
    </row>
    <row r="348" spans="1:23">
      <c r="A348" s="4">
        <v>50</v>
      </c>
      <c r="B348" s="4">
        <v>0</v>
      </c>
      <c r="C348" s="4">
        <v>0</v>
      </c>
      <c r="D348" s="4">
        <v>1</v>
      </c>
      <c r="E348" s="4">
        <v>230</v>
      </c>
      <c r="F348" s="4">
        <f>ROUND(Source!BA328,O348)</f>
        <v>0</v>
      </c>
      <c r="G348" s="4" t="s">
        <v>100</v>
      </c>
      <c r="H348" s="4" t="s">
        <v>101</v>
      </c>
      <c r="I348" s="4"/>
      <c r="J348" s="4"/>
      <c r="K348" s="4">
        <v>230</v>
      </c>
      <c r="L348" s="4">
        <v>19</v>
      </c>
      <c r="M348" s="4">
        <v>3</v>
      </c>
      <c r="N348" s="4" t="s">
        <v>3</v>
      </c>
      <c r="O348" s="4">
        <v>2</v>
      </c>
      <c r="P348" s="4"/>
      <c r="Q348" s="4"/>
      <c r="R348" s="4"/>
      <c r="S348" s="4"/>
      <c r="T348" s="4"/>
      <c r="U348" s="4"/>
      <c r="V348" s="4"/>
      <c r="W348" s="4"/>
    </row>
    <row r="349" spans="1:23">
      <c r="A349" s="4">
        <v>50</v>
      </c>
      <c r="B349" s="4">
        <v>0</v>
      </c>
      <c r="C349" s="4">
        <v>0</v>
      </c>
      <c r="D349" s="4">
        <v>1</v>
      </c>
      <c r="E349" s="4">
        <v>206</v>
      </c>
      <c r="F349" s="4">
        <f>ROUND(Source!T328,O349)</f>
        <v>0</v>
      </c>
      <c r="G349" s="4" t="s">
        <v>102</v>
      </c>
      <c r="H349" s="4" t="s">
        <v>103</v>
      </c>
      <c r="I349" s="4"/>
      <c r="J349" s="4"/>
      <c r="K349" s="4">
        <v>206</v>
      </c>
      <c r="L349" s="4">
        <v>20</v>
      </c>
      <c r="M349" s="4">
        <v>3</v>
      </c>
      <c r="N349" s="4" t="s">
        <v>3</v>
      </c>
      <c r="O349" s="4">
        <v>2</v>
      </c>
      <c r="P349" s="4"/>
      <c r="Q349" s="4"/>
      <c r="R349" s="4"/>
      <c r="S349" s="4"/>
      <c r="T349" s="4"/>
      <c r="U349" s="4"/>
      <c r="V349" s="4"/>
      <c r="W349" s="4"/>
    </row>
    <row r="350" spans="1:23">
      <c r="A350" s="4">
        <v>50</v>
      </c>
      <c r="B350" s="4">
        <v>0</v>
      </c>
      <c r="C350" s="4">
        <v>0</v>
      </c>
      <c r="D350" s="4">
        <v>1</v>
      </c>
      <c r="E350" s="4">
        <v>207</v>
      </c>
      <c r="F350" s="4">
        <f>Source!U328</f>
        <v>639.1280230019662</v>
      </c>
      <c r="G350" s="4" t="s">
        <v>104</v>
      </c>
      <c r="H350" s="4" t="s">
        <v>105</v>
      </c>
      <c r="I350" s="4"/>
      <c r="J350" s="4"/>
      <c r="K350" s="4">
        <v>207</v>
      </c>
      <c r="L350" s="4">
        <v>21</v>
      </c>
      <c r="M350" s="4">
        <v>3</v>
      </c>
      <c r="N350" s="4" t="s">
        <v>3</v>
      </c>
      <c r="O350" s="4">
        <v>-1</v>
      </c>
      <c r="P350" s="4"/>
      <c r="Q350" s="4"/>
      <c r="R350" s="4"/>
      <c r="S350" s="4"/>
      <c r="T350" s="4"/>
      <c r="U350" s="4"/>
      <c r="V350" s="4"/>
      <c r="W350" s="4"/>
    </row>
    <row r="351" spans="1:23">
      <c r="A351" s="4">
        <v>50</v>
      </c>
      <c r="B351" s="4">
        <v>0</v>
      </c>
      <c r="C351" s="4">
        <v>0</v>
      </c>
      <c r="D351" s="4">
        <v>1</v>
      </c>
      <c r="E351" s="4">
        <v>208</v>
      </c>
      <c r="F351" s="4">
        <f>Source!V328</f>
        <v>0</v>
      </c>
      <c r="G351" s="4" t="s">
        <v>106</v>
      </c>
      <c r="H351" s="4" t="s">
        <v>107</v>
      </c>
      <c r="I351" s="4"/>
      <c r="J351" s="4"/>
      <c r="K351" s="4">
        <v>208</v>
      </c>
      <c r="L351" s="4">
        <v>22</v>
      </c>
      <c r="M351" s="4">
        <v>3</v>
      </c>
      <c r="N351" s="4" t="s">
        <v>3</v>
      </c>
      <c r="O351" s="4">
        <v>-1</v>
      </c>
      <c r="P351" s="4"/>
      <c r="Q351" s="4"/>
      <c r="R351" s="4"/>
      <c r="S351" s="4"/>
      <c r="T351" s="4"/>
      <c r="U351" s="4"/>
      <c r="V351" s="4"/>
      <c r="W351" s="4"/>
    </row>
    <row r="352" spans="1:23">
      <c r="A352" s="4">
        <v>50</v>
      </c>
      <c r="B352" s="4">
        <v>0</v>
      </c>
      <c r="C352" s="4">
        <v>0</v>
      </c>
      <c r="D352" s="4">
        <v>1</v>
      </c>
      <c r="E352" s="4">
        <v>209</v>
      </c>
      <c r="F352" s="4">
        <f>ROUND(Source!W328,O352)</f>
        <v>0</v>
      </c>
      <c r="G352" s="4" t="s">
        <v>108</v>
      </c>
      <c r="H352" s="4" t="s">
        <v>109</v>
      </c>
      <c r="I352" s="4"/>
      <c r="J352" s="4"/>
      <c r="K352" s="4">
        <v>209</v>
      </c>
      <c r="L352" s="4">
        <v>23</v>
      </c>
      <c r="M352" s="4">
        <v>3</v>
      </c>
      <c r="N352" s="4" t="s">
        <v>3</v>
      </c>
      <c r="O352" s="4">
        <v>2</v>
      </c>
      <c r="P352" s="4"/>
      <c r="Q352" s="4"/>
      <c r="R352" s="4"/>
      <c r="S352" s="4"/>
      <c r="T352" s="4"/>
      <c r="U352" s="4"/>
      <c r="V352" s="4"/>
      <c r="W352" s="4"/>
    </row>
    <row r="353" spans="1:23">
      <c r="A353" s="4">
        <v>50</v>
      </c>
      <c r="B353" s="4">
        <v>0</v>
      </c>
      <c r="C353" s="4">
        <v>0</v>
      </c>
      <c r="D353" s="4">
        <v>1</v>
      </c>
      <c r="E353" s="4">
        <v>210</v>
      </c>
      <c r="F353" s="4">
        <f>ROUND(Source!X328,O353)</f>
        <v>86717.81</v>
      </c>
      <c r="G353" s="4" t="s">
        <v>110</v>
      </c>
      <c r="H353" s="4" t="s">
        <v>111</v>
      </c>
      <c r="I353" s="4"/>
      <c r="J353" s="4"/>
      <c r="K353" s="4">
        <v>210</v>
      </c>
      <c r="L353" s="4">
        <v>24</v>
      </c>
      <c r="M353" s="4">
        <v>3</v>
      </c>
      <c r="N353" s="4" t="s">
        <v>3</v>
      </c>
      <c r="O353" s="4">
        <v>2</v>
      </c>
      <c r="P353" s="4"/>
      <c r="Q353" s="4"/>
      <c r="R353" s="4"/>
      <c r="S353" s="4"/>
      <c r="T353" s="4"/>
      <c r="U353" s="4"/>
      <c r="V353" s="4"/>
      <c r="W353" s="4"/>
    </row>
    <row r="354" spans="1:23">
      <c r="A354" s="4">
        <v>50</v>
      </c>
      <c r="B354" s="4">
        <v>0</v>
      </c>
      <c r="C354" s="4">
        <v>0</v>
      </c>
      <c r="D354" s="4">
        <v>1</v>
      </c>
      <c r="E354" s="4">
        <v>211</v>
      </c>
      <c r="F354" s="4">
        <f>ROUND(Source!Y328,O354)</f>
        <v>12388.27</v>
      </c>
      <c r="G354" s="4" t="s">
        <v>112</v>
      </c>
      <c r="H354" s="4" t="s">
        <v>113</v>
      </c>
      <c r="I354" s="4"/>
      <c r="J354" s="4"/>
      <c r="K354" s="4">
        <v>211</v>
      </c>
      <c r="L354" s="4">
        <v>25</v>
      </c>
      <c r="M354" s="4">
        <v>3</v>
      </c>
      <c r="N354" s="4" t="s">
        <v>3</v>
      </c>
      <c r="O354" s="4">
        <v>2</v>
      </c>
      <c r="P354" s="4"/>
      <c r="Q354" s="4"/>
      <c r="R354" s="4"/>
      <c r="S354" s="4"/>
      <c r="T354" s="4"/>
      <c r="U354" s="4"/>
      <c r="V354" s="4"/>
      <c r="W354" s="4"/>
    </row>
    <row r="355" spans="1:23">
      <c r="A355" s="4">
        <v>50</v>
      </c>
      <c r="B355" s="4">
        <v>0</v>
      </c>
      <c r="C355" s="4">
        <v>0</v>
      </c>
      <c r="D355" s="4">
        <v>1</v>
      </c>
      <c r="E355" s="4">
        <v>224</v>
      </c>
      <c r="F355" s="4">
        <f>ROUND(Source!AR328,O355)</f>
        <v>626942.62</v>
      </c>
      <c r="G355" s="4" t="s">
        <v>114</v>
      </c>
      <c r="H355" s="4" t="s">
        <v>115</v>
      </c>
      <c r="I355" s="4"/>
      <c r="J355" s="4"/>
      <c r="K355" s="4">
        <v>224</v>
      </c>
      <c r="L355" s="4">
        <v>26</v>
      </c>
      <c r="M355" s="4">
        <v>3</v>
      </c>
      <c r="N355" s="4" t="s">
        <v>3</v>
      </c>
      <c r="O355" s="4">
        <v>2</v>
      </c>
      <c r="P355" s="4"/>
      <c r="Q355" s="4"/>
      <c r="R355" s="4"/>
      <c r="S355" s="4"/>
      <c r="T355" s="4"/>
      <c r="U355" s="4"/>
      <c r="V355" s="4"/>
      <c r="W355" s="4"/>
    </row>
    <row r="356" spans="1:23">
      <c r="A356" s="4">
        <v>50</v>
      </c>
      <c r="B356" s="4">
        <v>1</v>
      </c>
      <c r="C356" s="4">
        <v>0</v>
      </c>
      <c r="D356" s="4">
        <v>2</v>
      </c>
      <c r="E356" s="4">
        <v>0</v>
      </c>
      <c r="F356" s="4">
        <f>ROUND(F355,O356)</f>
        <v>626942.62</v>
      </c>
      <c r="G356" s="4" t="s">
        <v>4</v>
      </c>
      <c r="H356" s="4" t="s">
        <v>116</v>
      </c>
      <c r="I356" s="4"/>
      <c r="J356" s="4"/>
      <c r="K356" s="4">
        <v>212</v>
      </c>
      <c r="L356" s="4">
        <v>27</v>
      </c>
      <c r="M356" s="4">
        <v>0</v>
      </c>
      <c r="N356" s="4" t="s">
        <v>3</v>
      </c>
      <c r="O356" s="4">
        <v>2</v>
      </c>
      <c r="P356" s="4"/>
      <c r="Q356" s="4"/>
      <c r="R356" s="4"/>
      <c r="S356" s="4"/>
      <c r="T356" s="4"/>
      <c r="U356" s="4"/>
      <c r="V356" s="4"/>
      <c r="W356" s="4"/>
    </row>
    <row r="357" spans="1:23">
      <c r="A357" s="4">
        <v>50</v>
      </c>
      <c r="B357" s="4">
        <v>1</v>
      </c>
      <c r="C357" s="4">
        <v>0</v>
      </c>
      <c r="D357" s="4">
        <v>2</v>
      </c>
      <c r="E357" s="4">
        <v>0</v>
      </c>
      <c r="F357" s="4">
        <f>ROUND(F356*0.2,O357)</f>
        <v>125388.52</v>
      </c>
      <c r="G357" s="4" t="s">
        <v>22</v>
      </c>
      <c r="H357" s="4" t="s">
        <v>117</v>
      </c>
      <c r="I357" s="4"/>
      <c r="J357" s="4"/>
      <c r="K357" s="4">
        <v>212</v>
      </c>
      <c r="L357" s="4">
        <v>28</v>
      </c>
      <c r="M357" s="4">
        <v>0</v>
      </c>
      <c r="N357" s="4" t="s">
        <v>3</v>
      </c>
      <c r="O357" s="4">
        <v>2</v>
      </c>
      <c r="P357" s="4"/>
      <c r="Q357" s="4"/>
      <c r="R357" s="4"/>
      <c r="S357" s="4"/>
      <c r="T357" s="4"/>
      <c r="U357" s="4"/>
      <c r="V357" s="4"/>
      <c r="W357" s="4"/>
    </row>
    <row r="358" spans="1:23">
      <c r="A358" s="4">
        <v>50</v>
      </c>
      <c r="B358" s="4">
        <v>1</v>
      </c>
      <c r="C358" s="4">
        <v>0</v>
      </c>
      <c r="D358" s="4">
        <v>2</v>
      </c>
      <c r="E358" s="4">
        <v>0</v>
      </c>
      <c r="F358" s="4">
        <f>ROUND(F356+F357,O358)</f>
        <v>752331.14</v>
      </c>
      <c r="G358" s="4" t="s">
        <v>26</v>
      </c>
      <c r="H358" s="4" t="s">
        <v>118</v>
      </c>
      <c r="I358" s="4"/>
      <c r="J358" s="4"/>
      <c r="K358" s="4">
        <v>212</v>
      </c>
      <c r="L358" s="4">
        <v>29</v>
      </c>
      <c r="M358" s="4">
        <v>0</v>
      </c>
      <c r="N358" s="4" t="s">
        <v>3</v>
      </c>
      <c r="O358" s="4">
        <v>2</v>
      </c>
      <c r="P358" s="4"/>
      <c r="Q358" s="4"/>
      <c r="R358" s="4"/>
      <c r="S358" s="4"/>
      <c r="T358" s="4"/>
      <c r="U358" s="4"/>
      <c r="V358" s="4"/>
      <c r="W358" s="4"/>
    </row>
    <row r="359" spans="1:23">
      <c r="A359" s="4">
        <v>50</v>
      </c>
      <c r="B359" s="4">
        <v>1</v>
      </c>
      <c r="C359" s="4">
        <v>0</v>
      </c>
      <c r="D359" s="4">
        <v>2</v>
      </c>
      <c r="E359" s="4">
        <v>0</v>
      </c>
      <c r="F359" s="4">
        <v>711082.76</v>
      </c>
      <c r="G359" s="4" t="s">
        <v>30</v>
      </c>
      <c r="H359" s="4" t="s">
        <v>244</v>
      </c>
      <c r="I359" s="4"/>
      <c r="J359" s="4"/>
      <c r="K359" s="4">
        <v>212</v>
      </c>
      <c r="L359" s="4">
        <v>30</v>
      </c>
      <c r="M359" s="4">
        <v>0</v>
      </c>
      <c r="N359" s="4" t="s">
        <v>3</v>
      </c>
      <c r="O359" s="4">
        <v>2</v>
      </c>
      <c r="P359" s="4"/>
      <c r="Q359" s="4"/>
      <c r="R359" s="4"/>
      <c r="S359" s="4"/>
      <c r="T359" s="4"/>
      <c r="U359" s="4"/>
      <c r="V359" s="4"/>
      <c r="W359" s="4"/>
    </row>
    <row r="362" spans="1:23">
      <c r="A362">
        <v>-1</v>
      </c>
    </row>
    <row r="364" spans="1:23">
      <c r="A364" s="3">
        <v>75</v>
      </c>
      <c r="B364" s="3" t="s">
        <v>245</v>
      </c>
      <c r="C364" s="3">
        <v>2020</v>
      </c>
      <c r="D364" s="3">
        <v>0</v>
      </c>
      <c r="E364" s="3">
        <v>10</v>
      </c>
      <c r="F364" s="3">
        <v>0</v>
      </c>
      <c r="G364" s="3">
        <v>0</v>
      </c>
      <c r="H364" s="3">
        <v>1</v>
      </c>
      <c r="I364" s="3">
        <v>0</v>
      </c>
      <c r="J364" s="3">
        <v>1</v>
      </c>
      <c r="K364" s="3">
        <v>78</v>
      </c>
      <c r="L364" s="3">
        <v>30</v>
      </c>
      <c r="M364" s="3">
        <v>0</v>
      </c>
      <c r="N364" s="3">
        <v>41858681</v>
      </c>
      <c r="O364" s="3">
        <v>1</v>
      </c>
    </row>
    <row r="368" spans="1:23">
      <c r="A368">
        <v>65</v>
      </c>
      <c r="C368">
        <v>1</v>
      </c>
      <c r="D368">
        <v>0</v>
      </c>
      <c r="E368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EC54"/>
  <sheetViews>
    <sheetView workbookViewId="0"/>
  </sheetViews>
  <sheetFormatPr defaultColWidth="9.140625" defaultRowHeight="12.75"/>
  <cols>
    <col min="1" max="256" width="9.140625" customWidth="1"/>
  </cols>
  <sheetData>
    <row r="1" spans="1:133">
      <c r="A1">
        <v>0</v>
      </c>
      <c r="B1" t="s">
        <v>0</v>
      </c>
      <c r="D1" t="s">
        <v>246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36063</v>
      </c>
      <c r="M1">
        <v>10</v>
      </c>
      <c r="N1">
        <v>10</v>
      </c>
      <c r="O1">
        <v>1</v>
      </c>
      <c r="P1">
        <v>0</v>
      </c>
      <c r="Q1">
        <v>11</v>
      </c>
    </row>
    <row r="12" spans="1:133">
      <c r="A12" s="1">
        <v>1</v>
      </c>
      <c r="B12" s="1">
        <v>54</v>
      </c>
      <c r="C12" s="1">
        <v>0</v>
      </c>
      <c r="D12" s="1"/>
      <c r="E12" s="1">
        <v>0</v>
      </c>
      <c r="F12" s="1" t="s">
        <v>4</v>
      </c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8</v>
      </c>
      <c r="BZ12" s="1" t="s">
        <v>9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11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1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>
      <c r="A14" s="1">
        <v>22</v>
      </c>
      <c r="B14" s="1">
        <v>0</v>
      </c>
      <c r="C14" s="1">
        <v>0</v>
      </c>
      <c r="D14" s="1">
        <v>41858681</v>
      </c>
      <c r="E14" s="1">
        <v>0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>
      <c r="A16" s="5">
        <v>3</v>
      </c>
      <c r="B16" s="5">
        <v>1</v>
      </c>
      <c r="C16" s="5" t="s">
        <v>12</v>
      </c>
      <c r="D16" s="5" t="s">
        <v>334</v>
      </c>
      <c r="E16" s="6">
        <f>(Source!F316)/1000</f>
        <v>0</v>
      </c>
      <c r="F16" s="6">
        <f>(Source!F317)/1000</f>
        <v>0</v>
      </c>
      <c r="G16" s="6">
        <f>(Source!F308)/1000</f>
        <v>0</v>
      </c>
      <c r="H16" s="6">
        <f>(Source!F318)/1000+(Source!F319)/1000</f>
        <v>626.94262000000003</v>
      </c>
      <c r="I16" s="6">
        <f>E16+F16+G16+H16</f>
        <v>626.94262000000003</v>
      </c>
      <c r="J16" s="6">
        <f>(Source!F314)/1000</f>
        <v>123.88255000000001</v>
      </c>
      <c r="AI16" s="5">
        <v>0</v>
      </c>
      <c r="AJ16" s="5">
        <v>-1</v>
      </c>
      <c r="AK16" s="5" t="s">
        <v>3</v>
      </c>
      <c r="AL16" s="5" t="s">
        <v>3</v>
      </c>
      <c r="AM16" s="5" t="s">
        <v>3</v>
      </c>
      <c r="AN16" s="5">
        <v>0</v>
      </c>
      <c r="AO16" s="5" t="s">
        <v>3</v>
      </c>
      <c r="AP16" s="5" t="s">
        <v>3</v>
      </c>
      <c r="AT16" s="6">
        <v>524739.4</v>
      </c>
      <c r="AU16" s="6">
        <v>390922.38</v>
      </c>
      <c r="AV16" s="6">
        <v>0</v>
      </c>
      <c r="AW16" s="6">
        <v>0</v>
      </c>
      <c r="AX16" s="6">
        <v>0</v>
      </c>
      <c r="AY16" s="6">
        <v>9934.4699999999993</v>
      </c>
      <c r="AZ16" s="6">
        <v>2867.72</v>
      </c>
      <c r="BA16" s="6">
        <v>123882.55</v>
      </c>
      <c r="BB16" s="6">
        <v>0</v>
      </c>
      <c r="BC16" s="6">
        <v>0</v>
      </c>
      <c r="BD16" s="6">
        <v>626942.62</v>
      </c>
      <c r="BE16" s="6">
        <v>0</v>
      </c>
      <c r="BF16" s="6">
        <v>639.1280230019662</v>
      </c>
      <c r="BG16" s="6">
        <v>0</v>
      </c>
      <c r="BH16" s="6">
        <v>0</v>
      </c>
      <c r="BI16" s="6">
        <v>86717.81</v>
      </c>
      <c r="BJ16" s="6">
        <v>12388.27</v>
      </c>
      <c r="BK16" s="6">
        <v>626942.62</v>
      </c>
    </row>
    <row r="18" spans="1:19">
      <c r="A18">
        <v>51</v>
      </c>
      <c r="E18" s="7">
        <f>SUMIF(A16:A17,3,E16:E17)</f>
        <v>0</v>
      </c>
      <c r="F18" s="7">
        <f>SUMIF(A16:A17,3,F16:F17)</f>
        <v>0</v>
      </c>
      <c r="G18" s="7">
        <f>SUMIF(A16:A17,3,G16:G17)</f>
        <v>0</v>
      </c>
      <c r="H18" s="7">
        <f>SUMIF(A16:A17,3,H16:H17)</f>
        <v>626.94262000000003</v>
      </c>
      <c r="I18" s="7">
        <f>SUMIF(A16:A17,3,I16:I17)</f>
        <v>626.94262000000003</v>
      </c>
      <c r="J18" s="7">
        <f>SUMIF(A16:A17,3,J16:J17)</f>
        <v>123.88255000000001</v>
      </c>
      <c r="K18" s="7"/>
      <c r="L18" s="7"/>
      <c r="M18" s="7"/>
      <c r="N18" s="7"/>
      <c r="O18" s="7"/>
      <c r="P18" s="7"/>
      <c r="Q18" s="7"/>
      <c r="R18" s="7"/>
      <c r="S18" s="7"/>
    </row>
    <row r="20" spans="1:19">
      <c r="A20" s="4">
        <v>50</v>
      </c>
      <c r="B20" s="4">
        <v>0</v>
      </c>
      <c r="C20" s="4">
        <v>0</v>
      </c>
      <c r="D20" s="4">
        <v>1</v>
      </c>
      <c r="E20" s="4">
        <v>201</v>
      </c>
      <c r="F20" s="4">
        <v>524739.4</v>
      </c>
      <c r="G20" s="4" t="s">
        <v>64</v>
      </c>
      <c r="H20" s="4" t="s">
        <v>65</v>
      </c>
      <c r="I20" s="4"/>
      <c r="J20" s="4"/>
      <c r="K20" s="4">
        <v>201</v>
      </c>
      <c r="L20" s="4">
        <v>1</v>
      </c>
      <c r="M20" s="4">
        <v>3</v>
      </c>
      <c r="N20" s="4" t="s">
        <v>3</v>
      </c>
      <c r="O20" s="4">
        <v>2</v>
      </c>
      <c r="P20" s="4"/>
    </row>
    <row r="21" spans="1:19">
      <c r="A21" s="4">
        <v>50</v>
      </c>
      <c r="B21" s="4">
        <v>0</v>
      </c>
      <c r="C21" s="4">
        <v>0</v>
      </c>
      <c r="D21" s="4">
        <v>1</v>
      </c>
      <c r="E21" s="4">
        <v>202</v>
      </c>
      <c r="F21" s="4">
        <v>390922.38</v>
      </c>
      <c r="G21" s="4" t="s">
        <v>66</v>
      </c>
      <c r="H21" s="4" t="s">
        <v>67</v>
      </c>
      <c r="I21" s="4"/>
      <c r="J21" s="4"/>
      <c r="K21" s="4">
        <v>202</v>
      </c>
      <c r="L21" s="4">
        <v>2</v>
      </c>
      <c r="M21" s="4">
        <v>3</v>
      </c>
      <c r="N21" s="4" t="s">
        <v>3</v>
      </c>
      <c r="O21" s="4">
        <v>2</v>
      </c>
      <c r="P21" s="4"/>
    </row>
    <row r="22" spans="1:19">
      <c r="A22" s="4">
        <v>50</v>
      </c>
      <c r="B22" s="4">
        <v>0</v>
      </c>
      <c r="C22" s="4">
        <v>0</v>
      </c>
      <c r="D22" s="4">
        <v>1</v>
      </c>
      <c r="E22" s="4">
        <v>222</v>
      </c>
      <c r="F22" s="4">
        <v>0</v>
      </c>
      <c r="G22" s="4" t="s">
        <v>68</v>
      </c>
      <c r="H22" s="4" t="s">
        <v>69</v>
      </c>
      <c r="I22" s="4"/>
      <c r="J22" s="4"/>
      <c r="K22" s="4">
        <v>222</v>
      </c>
      <c r="L22" s="4">
        <v>3</v>
      </c>
      <c r="M22" s="4">
        <v>3</v>
      </c>
      <c r="N22" s="4" t="s">
        <v>3</v>
      </c>
      <c r="O22" s="4">
        <v>2</v>
      </c>
      <c r="P22" s="4"/>
    </row>
    <row r="23" spans="1:19">
      <c r="A23" s="4">
        <v>50</v>
      </c>
      <c r="B23" s="4">
        <v>0</v>
      </c>
      <c r="C23" s="4">
        <v>0</v>
      </c>
      <c r="D23" s="4">
        <v>1</v>
      </c>
      <c r="E23" s="4">
        <v>225</v>
      </c>
      <c r="F23" s="4">
        <v>390922.38</v>
      </c>
      <c r="G23" s="4" t="s">
        <v>70</v>
      </c>
      <c r="H23" s="4" t="s">
        <v>71</v>
      </c>
      <c r="I23" s="4"/>
      <c r="J23" s="4"/>
      <c r="K23" s="4">
        <v>225</v>
      </c>
      <c r="L23" s="4">
        <v>4</v>
      </c>
      <c r="M23" s="4">
        <v>3</v>
      </c>
      <c r="N23" s="4" t="s">
        <v>3</v>
      </c>
      <c r="O23" s="4">
        <v>2</v>
      </c>
      <c r="P23" s="4"/>
    </row>
    <row r="24" spans="1:19">
      <c r="A24" s="4">
        <v>50</v>
      </c>
      <c r="B24" s="4">
        <v>0</v>
      </c>
      <c r="C24" s="4">
        <v>0</v>
      </c>
      <c r="D24" s="4">
        <v>1</v>
      </c>
      <c r="E24" s="4">
        <v>226</v>
      </c>
      <c r="F24" s="4">
        <v>390922.38</v>
      </c>
      <c r="G24" s="4" t="s">
        <v>72</v>
      </c>
      <c r="H24" s="4" t="s">
        <v>73</v>
      </c>
      <c r="I24" s="4"/>
      <c r="J24" s="4"/>
      <c r="K24" s="4">
        <v>226</v>
      </c>
      <c r="L24" s="4">
        <v>5</v>
      </c>
      <c r="M24" s="4">
        <v>3</v>
      </c>
      <c r="N24" s="4" t="s">
        <v>3</v>
      </c>
      <c r="O24" s="4">
        <v>2</v>
      </c>
      <c r="P24" s="4"/>
    </row>
    <row r="25" spans="1:19">
      <c r="A25" s="4">
        <v>50</v>
      </c>
      <c r="B25" s="4">
        <v>0</v>
      </c>
      <c r="C25" s="4">
        <v>0</v>
      </c>
      <c r="D25" s="4">
        <v>1</v>
      </c>
      <c r="E25" s="4">
        <v>227</v>
      </c>
      <c r="F25" s="4">
        <v>0</v>
      </c>
      <c r="G25" s="4" t="s">
        <v>74</v>
      </c>
      <c r="H25" s="4" t="s">
        <v>75</v>
      </c>
      <c r="I25" s="4"/>
      <c r="J25" s="4"/>
      <c r="K25" s="4">
        <v>227</v>
      </c>
      <c r="L25" s="4">
        <v>6</v>
      </c>
      <c r="M25" s="4">
        <v>3</v>
      </c>
      <c r="N25" s="4" t="s">
        <v>3</v>
      </c>
      <c r="O25" s="4">
        <v>2</v>
      </c>
      <c r="P25" s="4"/>
    </row>
    <row r="26" spans="1:19">
      <c r="A26" s="4">
        <v>50</v>
      </c>
      <c r="B26" s="4">
        <v>0</v>
      </c>
      <c r="C26" s="4">
        <v>0</v>
      </c>
      <c r="D26" s="4">
        <v>1</v>
      </c>
      <c r="E26" s="4">
        <v>228</v>
      </c>
      <c r="F26" s="4">
        <v>390922.38</v>
      </c>
      <c r="G26" s="4" t="s">
        <v>76</v>
      </c>
      <c r="H26" s="4" t="s">
        <v>77</v>
      </c>
      <c r="I26" s="4"/>
      <c r="J26" s="4"/>
      <c r="K26" s="4">
        <v>228</v>
      </c>
      <c r="L26" s="4">
        <v>7</v>
      </c>
      <c r="M26" s="4">
        <v>3</v>
      </c>
      <c r="N26" s="4" t="s">
        <v>3</v>
      </c>
      <c r="O26" s="4">
        <v>2</v>
      </c>
      <c r="P26" s="4"/>
    </row>
    <row r="27" spans="1:19">
      <c r="A27" s="4">
        <v>50</v>
      </c>
      <c r="B27" s="4">
        <v>0</v>
      </c>
      <c r="C27" s="4">
        <v>0</v>
      </c>
      <c r="D27" s="4">
        <v>1</v>
      </c>
      <c r="E27" s="4">
        <v>216</v>
      </c>
      <c r="F27" s="4">
        <v>0</v>
      </c>
      <c r="G27" s="4" t="s">
        <v>78</v>
      </c>
      <c r="H27" s="4" t="s">
        <v>79</v>
      </c>
      <c r="I27" s="4"/>
      <c r="J27" s="4"/>
      <c r="K27" s="4">
        <v>216</v>
      </c>
      <c r="L27" s="4">
        <v>8</v>
      </c>
      <c r="M27" s="4">
        <v>3</v>
      </c>
      <c r="N27" s="4" t="s">
        <v>3</v>
      </c>
      <c r="O27" s="4">
        <v>2</v>
      </c>
      <c r="P27" s="4"/>
    </row>
    <row r="28" spans="1:19">
      <c r="A28" s="4">
        <v>50</v>
      </c>
      <c r="B28" s="4">
        <v>0</v>
      </c>
      <c r="C28" s="4">
        <v>0</v>
      </c>
      <c r="D28" s="4">
        <v>1</v>
      </c>
      <c r="E28" s="4">
        <v>223</v>
      </c>
      <c r="F28" s="4">
        <v>0</v>
      </c>
      <c r="G28" s="4" t="s">
        <v>80</v>
      </c>
      <c r="H28" s="4" t="s">
        <v>81</v>
      </c>
      <c r="I28" s="4"/>
      <c r="J28" s="4"/>
      <c r="K28" s="4">
        <v>223</v>
      </c>
      <c r="L28" s="4">
        <v>9</v>
      </c>
      <c r="M28" s="4">
        <v>3</v>
      </c>
      <c r="N28" s="4" t="s">
        <v>3</v>
      </c>
      <c r="O28" s="4">
        <v>2</v>
      </c>
      <c r="P28" s="4"/>
    </row>
    <row r="29" spans="1:19">
      <c r="A29" s="4">
        <v>50</v>
      </c>
      <c r="B29" s="4">
        <v>0</v>
      </c>
      <c r="C29" s="4">
        <v>0</v>
      </c>
      <c r="D29" s="4">
        <v>1</v>
      </c>
      <c r="E29" s="4">
        <v>229</v>
      </c>
      <c r="F29" s="4">
        <v>0</v>
      </c>
      <c r="G29" s="4" t="s">
        <v>82</v>
      </c>
      <c r="H29" s="4" t="s">
        <v>83</v>
      </c>
      <c r="I29" s="4"/>
      <c r="J29" s="4"/>
      <c r="K29" s="4">
        <v>229</v>
      </c>
      <c r="L29" s="4">
        <v>10</v>
      </c>
      <c r="M29" s="4">
        <v>3</v>
      </c>
      <c r="N29" s="4" t="s">
        <v>3</v>
      </c>
      <c r="O29" s="4">
        <v>2</v>
      </c>
      <c r="P29" s="4"/>
    </row>
    <row r="30" spans="1:19">
      <c r="A30" s="4">
        <v>50</v>
      </c>
      <c r="B30" s="4">
        <v>0</v>
      </c>
      <c r="C30" s="4">
        <v>0</v>
      </c>
      <c r="D30" s="4">
        <v>1</v>
      </c>
      <c r="E30" s="4">
        <v>203</v>
      </c>
      <c r="F30" s="4">
        <v>9934.4699999999993</v>
      </c>
      <c r="G30" s="4" t="s">
        <v>84</v>
      </c>
      <c r="H30" s="4" t="s">
        <v>85</v>
      </c>
      <c r="I30" s="4"/>
      <c r="J30" s="4"/>
      <c r="K30" s="4">
        <v>203</v>
      </c>
      <c r="L30" s="4">
        <v>11</v>
      </c>
      <c r="M30" s="4">
        <v>3</v>
      </c>
      <c r="N30" s="4" t="s">
        <v>3</v>
      </c>
      <c r="O30" s="4">
        <v>2</v>
      </c>
      <c r="P30" s="4"/>
    </row>
    <row r="31" spans="1:19">
      <c r="A31" s="4">
        <v>50</v>
      </c>
      <c r="B31" s="4">
        <v>0</v>
      </c>
      <c r="C31" s="4">
        <v>0</v>
      </c>
      <c r="D31" s="4">
        <v>1</v>
      </c>
      <c r="E31" s="4">
        <v>231</v>
      </c>
      <c r="F31" s="4">
        <v>0</v>
      </c>
      <c r="G31" s="4" t="s">
        <v>86</v>
      </c>
      <c r="H31" s="4" t="s">
        <v>87</v>
      </c>
      <c r="I31" s="4"/>
      <c r="J31" s="4"/>
      <c r="K31" s="4">
        <v>231</v>
      </c>
      <c r="L31" s="4">
        <v>12</v>
      </c>
      <c r="M31" s="4">
        <v>3</v>
      </c>
      <c r="N31" s="4" t="s">
        <v>3</v>
      </c>
      <c r="O31" s="4">
        <v>2</v>
      </c>
      <c r="P31" s="4"/>
    </row>
    <row r="32" spans="1:19">
      <c r="A32" s="4">
        <v>50</v>
      </c>
      <c r="B32" s="4">
        <v>0</v>
      </c>
      <c r="C32" s="4">
        <v>0</v>
      </c>
      <c r="D32" s="4">
        <v>1</v>
      </c>
      <c r="E32" s="4">
        <v>204</v>
      </c>
      <c r="F32" s="4">
        <v>2867.72</v>
      </c>
      <c r="G32" s="4" t="s">
        <v>88</v>
      </c>
      <c r="H32" s="4" t="s">
        <v>89</v>
      </c>
      <c r="I32" s="4"/>
      <c r="J32" s="4"/>
      <c r="K32" s="4">
        <v>204</v>
      </c>
      <c r="L32" s="4">
        <v>13</v>
      </c>
      <c r="M32" s="4">
        <v>3</v>
      </c>
      <c r="N32" s="4" t="s">
        <v>3</v>
      </c>
      <c r="O32" s="4">
        <v>2</v>
      </c>
      <c r="P32" s="4"/>
    </row>
    <row r="33" spans="1:16">
      <c r="A33" s="4">
        <v>50</v>
      </c>
      <c r="B33" s="4">
        <v>0</v>
      </c>
      <c r="C33" s="4">
        <v>0</v>
      </c>
      <c r="D33" s="4">
        <v>1</v>
      </c>
      <c r="E33" s="4">
        <v>205</v>
      </c>
      <c r="F33" s="4">
        <v>123882.55</v>
      </c>
      <c r="G33" s="4" t="s">
        <v>90</v>
      </c>
      <c r="H33" s="4" t="s">
        <v>91</v>
      </c>
      <c r="I33" s="4"/>
      <c r="J33" s="4"/>
      <c r="K33" s="4">
        <v>205</v>
      </c>
      <c r="L33" s="4">
        <v>14</v>
      </c>
      <c r="M33" s="4">
        <v>3</v>
      </c>
      <c r="N33" s="4" t="s">
        <v>3</v>
      </c>
      <c r="O33" s="4">
        <v>2</v>
      </c>
      <c r="P33" s="4"/>
    </row>
    <row r="34" spans="1:16">
      <c r="A34" s="4">
        <v>50</v>
      </c>
      <c r="B34" s="4">
        <v>0</v>
      </c>
      <c r="C34" s="4">
        <v>0</v>
      </c>
      <c r="D34" s="4">
        <v>1</v>
      </c>
      <c r="E34" s="4">
        <v>232</v>
      </c>
      <c r="F34" s="4">
        <v>0</v>
      </c>
      <c r="G34" s="4" t="s">
        <v>92</v>
      </c>
      <c r="H34" s="4" t="s">
        <v>93</v>
      </c>
      <c r="I34" s="4"/>
      <c r="J34" s="4"/>
      <c r="K34" s="4">
        <v>232</v>
      </c>
      <c r="L34" s="4">
        <v>15</v>
      </c>
      <c r="M34" s="4">
        <v>3</v>
      </c>
      <c r="N34" s="4" t="s">
        <v>3</v>
      </c>
      <c r="O34" s="4">
        <v>2</v>
      </c>
      <c r="P34" s="4"/>
    </row>
    <row r="35" spans="1:16">
      <c r="A35" s="4">
        <v>50</v>
      </c>
      <c r="B35" s="4">
        <v>0</v>
      </c>
      <c r="C35" s="4">
        <v>0</v>
      </c>
      <c r="D35" s="4">
        <v>1</v>
      </c>
      <c r="E35" s="4">
        <v>214</v>
      </c>
      <c r="F35" s="4">
        <v>0</v>
      </c>
      <c r="G35" s="4" t="s">
        <v>94</v>
      </c>
      <c r="H35" s="4" t="s">
        <v>95</v>
      </c>
      <c r="I35" s="4"/>
      <c r="J35" s="4"/>
      <c r="K35" s="4">
        <v>214</v>
      </c>
      <c r="L35" s="4">
        <v>16</v>
      </c>
      <c r="M35" s="4">
        <v>3</v>
      </c>
      <c r="N35" s="4" t="s">
        <v>3</v>
      </c>
      <c r="O35" s="4">
        <v>2</v>
      </c>
      <c r="P35" s="4"/>
    </row>
    <row r="36" spans="1:16">
      <c r="A36" s="4">
        <v>50</v>
      </c>
      <c r="B36" s="4">
        <v>0</v>
      </c>
      <c r="C36" s="4">
        <v>0</v>
      </c>
      <c r="D36" s="4">
        <v>1</v>
      </c>
      <c r="E36" s="4">
        <v>215</v>
      </c>
      <c r="F36" s="4">
        <v>0</v>
      </c>
      <c r="G36" s="4" t="s">
        <v>96</v>
      </c>
      <c r="H36" s="4" t="s">
        <v>97</v>
      </c>
      <c r="I36" s="4"/>
      <c r="J36" s="4"/>
      <c r="K36" s="4">
        <v>215</v>
      </c>
      <c r="L36" s="4">
        <v>17</v>
      </c>
      <c r="M36" s="4">
        <v>3</v>
      </c>
      <c r="N36" s="4" t="s">
        <v>3</v>
      </c>
      <c r="O36" s="4">
        <v>2</v>
      </c>
      <c r="P36" s="4"/>
    </row>
    <row r="37" spans="1:16">
      <c r="A37" s="4">
        <v>50</v>
      </c>
      <c r="B37" s="4">
        <v>0</v>
      </c>
      <c r="C37" s="4">
        <v>0</v>
      </c>
      <c r="D37" s="4">
        <v>1</v>
      </c>
      <c r="E37" s="4">
        <v>217</v>
      </c>
      <c r="F37" s="4">
        <v>626942.62</v>
      </c>
      <c r="G37" s="4" t="s">
        <v>98</v>
      </c>
      <c r="H37" s="4" t="s">
        <v>99</v>
      </c>
      <c r="I37" s="4"/>
      <c r="J37" s="4"/>
      <c r="K37" s="4">
        <v>217</v>
      </c>
      <c r="L37" s="4">
        <v>18</v>
      </c>
      <c r="M37" s="4">
        <v>3</v>
      </c>
      <c r="N37" s="4" t="s">
        <v>3</v>
      </c>
      <c r="O37" s="4">
        <v>2</v>
      </c>
      <c r="P37" s="4"/>
    </row>
    <row r="38" spans="1:16">
      <c r="A38" s="4">
        <v>50</v>
      </c>
      <c r="B38" s="4">
        <v>0</v>
      </c>
      <c r="C38" s="4">
        <v>0</v>
      </c>
      <c r="D38" s="4">
        <v>1</v>
      </c>
      <c r="E38" s="4">
        <v>230</v>
      </c>
      <c r="F38" s="4">
        <v>0</v>
      </c>
      <c r="G38" s="4" t="s">
        <v>100</v>
      </c>
      <c r="H38" s="4" t="s">
        <v>101</v>
      </c>
      <c r="I38" s="4"/>
      <c r="J38" s="4"/>
      <c r="K38" s="4">
        <v>230</v>
      </c>
      <c r="L38" s="4">
        <v>19</v>
      </c>
      <c r="M38" s="4">
        <v>3</v>
      </c>
      <c r="N38" s="4" t="s">
        <v>3</v>
      </c>
      <c r="O38" s="4">
        <v>2</v>
      </c>
      <c r="P38" s="4"/>
    </row>
    <row r="39" spans="1:16">
      <c r="A39" s="4">
        <v>50</v>
      </c>
      <c r="B39" s="4">
        <v>0</v>
      </c>
      <c r="C39" s="4">
        <v>0</v>
      </c>
      <c r="D39" s="4">
        <v>1</v>
      </c>
      <c r="E39" s="4">
        <v>206</v>
      </c>
      <c r="F39" s="4">
        <v>0</v>
      </c>
      <c r="G39" s="4" t="s">
        <v>102</v>
      </c>
      <c r="H39" s="4" t="s">
        <v>103</v>
      </c>
      <c r="I39" s="4"/>
      <c r="J39" s="4"/>
      <c r="K39" s="4">
        <v>206</v>
      </c>
      <c r="L39" s="4">
        <v>20</v>
      </c>
      <c r="M39" s="4">
        <v>3</v>
      </c>
      <c r="N39" s="4" t="s">
        <v>3</v>
      </c>
      <c r="O39" s="4">
        <v>2</v>
      </c>
      <c r="P39" s="4"/>
    </row>
    <row r="40" spans="1:16">
      <c r="A40" s="4">
        <v>50</v>
      </c>
      <c r="B40" s="4">
        <v>0</v>
      </c>
      <c r="C40" s="4">
        <v>0</v>
      </c>
      <c r="D40" s="4">
        <v>1</v>
      </c>
      <c r="E40" s="4">
        <v>207</v>
      </c>
      <c r="F40" s="4">
        <v>639.1280230019662</v>
      </c>
      <c r="G40" s="4" t="s">
        <v>104</v>
      </c>
      <c r="H40" s="4" t="s">
        <v>105</v>
      </c>
      <c r="I40" s="4"/>
      <c r="J40" s="4"/>
      <c r="K40" s="4">
        <v>207</v>
      </c>
      <c r="L40" s="4">
        <v>21</v>
      </c>
      <c r="M40" s="4">
        <v>3</v>
      </c>
      <c r="N40" s="4" t="s">
        <v>3</v>
      </c>
      <c r="O40" s="4">
        <v>-1</v>
      </c>
      <c r="P40" s="4"/>
    </row>
    <row r="41" spans="1:16">
      <c r="A41" s="4">
        <v>50</v>
      </c>
      <c r="B41" s="4">
        <v>0</v>
      </c>
      <c r="C41" s="4">
        <v>0</v>
      </c>
      <c r="D41" s="4">
        <v>1</v>
      </c>
      <c r="E41" s="4">
        <v>208</v>
      </c>
      <c r="F41" s="4">
        <v>0</v>
      </c>
      <c r="G41" s="4" t="s">
        <v>106</v>
      </c>
      <c r="H41" s="4" t="s">
        <v>107</v>
      </c>
      <c r="I41" s="4"/>
      <c r="J41" s="4"/>
      <c r="K41" s="4">
        <v>208</v>
      </c>
      <c r="L41" s="4">
        <v>22</v>
      </c>
      <c r="M41" s="4">
        <v>3</v>
      </c>
      <c r="N41" s="4" t="s">
        <v>3</v>
      </c>
      <c r="O41" s="4">
        <v>-1</v>
      </c>
      <c r="P41" s="4"/>
    </row>
    <row r="42" spans="1:16">
      <c r="A42" s="4">
        <v>50</v>
      </c>
      <c r="B42" s="4">
        <v>0</v>
      </c>
      <c r="C42" s="4">
        <v>0</v>
      </c>
      <c r="D42" s="4">
        <v>1</v>
      </c>
      <c r="E42" s="4">
        <v>209</v>
      </c>
      <c r="F42" s="4">
        <v>0</v>
      </c>
      <c r="G42" s="4" t="s">
        <v>108</v>
      </c>
      <c r="H42" s="4" t="s">
        <v>109</v>
      </c>
      <c r="I42" s="4"/>
      <c r="J42" s="4"/>
      <c r="K42" s="4">
        <v>209</v>
      </c>
      <c r="L42" s="4">
        <v>23</v>
      </c>
      <c r="M42" s="4">
        <v>3</v>
      </c>
      <c r="N42" s="4" t="s">
        <v>3</v>
      </c>
      <c r="O42" s="4">
        <v>2</v>
      </c>
      <c r="P42" s="4"/>
    </row>
    <row r="43" spans="1:16">
      <c r="A43" s="4">
        <v>50</v>
      </c>
      <c r="B43" s="4">
        <v>0</v>
      </c>
      <c r="C43" s="4">
        <v>0</v>
      </c>
      <c r="D43" s="4">
        <v>1</v>
      </c>
      <c r="E43" s="4">
        <v>210</v>
      </c>
      <c r="F43" s="4">
        <v>86717.81</v>
      </c>
      <c r="G43" s="4" t="s">
        <v>110</v>
      </c>
      <c r="H43" s="4" t="s">
        <v>111</v>
      </c>
      <c r="I43" s="4"/>
      <c r="J43" s="4"/>
      <c r="K43" s="4">
        <v>210</v>
      </c>
      <c r="L43" s="4">
        <v>24</v>
      </c>
      <c r="M43" s="4">
        <v>3</v>
      </c>
      <c r="N43" s="4" t="s">
        <v>3</v>
      </c>
      <c r="O43" s="4">
        <v>2</v>
      </c>
      <c r="P43" s="4"/>
    </row>
    <row r="44" spans="1:16">
      <c r="A44" s="4">
        <v>50</v>
      </c>
      <c r="B44" s="4">
        <v>0</v>
      </c>
      <c r="C44" s="4">
        <v>0</v>
      </c>
      <c r="D44" s="4">
        <v>1</v>
      </c>
      <c r="E44" s="4">
        <v>211</v>
      </c>
      <c r="F44" s="4">
        <v>12388.27</v>
      </c>
      <c r="G44" s="4" t="s">
        <v>112</v>
      </c>
      <c r="H44" s="4" t="s">
        <v>113</v>
      </c>
      <c r="I44" s="4"/>
      <c r="J44" s="4"/>
      <c r="K44" s="4">
        <v>211</v>
      </c>
      <c r="L44" s="4">
        <v>25</v>
      </c>
      <c r="M44" s="4">
        <v>3</v>
      </c>
      <c r="N44" s="4" t="s">
        <v>3</v>
      </c>
      <c r="O44" s="4">
        <v>2</v>
      </c>
      <c r="P44" s="4"/>
    </row>
    <row r="45" spans="1:16">
      <c r="A45" s="4">
        <v>50</v>
      </c>
      <c r="B45" s="4">
        <v>0</v>
      </c>
      <c r="C45" s="4">
        <v>0</v>
      </c>
      <c r="D45" s="4">
        <v>1</v>
      </c>
      <c r="E45" s="4">
        <v>224</v>
      </c>
      <c r="F45" s="4">
        <v>626942.62</v>
      </c>
      <c r="G45" s="4" t="s">
        <v>114</v>
      </c>
      <c r="H45" s="4" t="s">
        <v>115</v>
      </c>
      <c r="I45" s="4"/>
      <c r="J45" s="4"/>
      <c r="K45" s="4">
        <v>224</v>
      </c>
      <c r="L45" s="4">
        <v>26</v>
      </c>
      <c r="M45" s="4">
        <v>3</v>
      </c>
      <c r="N45" s="4" t="s">
        <v>3</v>
      </c>
      <c r="O45" s="4">
        <v>2</v>
      </c>
      <c r="P45" s="4"/>
    </row>
    <row r="46" spans="1:16">
      <c r="A46" s="4">
        <v>50</v>
      </c>
      <c r="B46" s="4">
        <v>1</v>
      </c>
      <c r="C46" s="4">
        <v>0</v>
      </c>
      <c r="D46" s="4">
        <v>2</v>
      </c>
      <c r="E46" s="4">
        <v>0</v>
      </c>
      <c r="F46" s="4">
        <v>626942.62</v>
      </c>
      <c r="G46" s="4" t="s">
        <v>4</v>
      </c>
      <c r="H46" s="4" t="s">
        <v>116</v>
      </c>
      <c r="I46" s="4"/>
      <c r="J46" s="4"/>
      <c r="K46" s="4">
        <v>212</v>
      </c>
      <c r="L46" s="4">
        <v>27</v>
      </c>
      <c r="M46" s="4">
        <v>0</v>
      </c>
      <c r="N46" s="4" t="s">
        <v>3</v>
      </c>
      <c r="O46" s="4">
        <v>2</v>
      </c>
      <c r="P46" s="4"/>
    </row>
    <row r="47" spans="1:16">
      <c r="A47" s="4">
        <v>50</v>
      </c>
      <c r="B47" s="4">
        <v>1</v>
      </c>
      <c r="C47" s="4">
        <v>0</v>
      </c>
      <c r="D47" s="4">
        <v>2</v>
      </c>
      <c r="E47" s="4">
        <v>0</v>
      </c>
      <c r="F47" s="4">
        <v>125388.52</v>
      </c>
      <c r="G47" s="4" t="s">
        <v>22</v>
      </c>
      <c r="H47" s="4" t="s">
        <v>117</v>
      </c>
      <c r="I47" s="4"/>
      <c r="J47" s="4"/>
      <c r="K47" s="4">
        <v>212</v>
      </c>
      <c r="L47" s="4">
        <v>28</v>
      </c>
      <c r="M47" s="4">
        <v>0</v>
      </c>
      <c r="N47" s="4" t="s">
        <v>3</v>
      </c>
      <c r="O47" s="4">
        <v>2</v>
      </c>
      <c r="P47" s="4"/>
    </row>
    <row r="48" spans="1:16">
      <c r="A48" s="4">
        <v>50</v>
      </c>
      <c r="B48" s="4">
        <v>1</v>
      </c>
      <c r="C48" s="4">
        <v>0</v>
      </c>
      <c r="D48" s="4">
        <v>2</v>
      </c>
      <c r="E48" s="4">
        <v>0</v>
      </c>
      <c r="F48" s="4">
        <v>752331.14</v>
      </c>
      <c r="G48" s="4" t="s">
        <v>26</v>
      </c>
      <c r="H48" s="4" t="s">
        <v>118</v>
      </c>
      <c r="I48" s="4"/>
      <c r="J48" s="4"/>
      <c r="K48" s="4">
        <v>212</v>
      </c>
      <c r="L48" s="4">
        <v>29</v>
      </c>
      <c r="M48" s="4">
        <v>0</v>
      </c>
      <c r="N48" s="4" t="s">
        <v>3</v>
      </c>
      <c r="O48" s="4">
        <v>2</v>
      </c>
      <c r="P48" s="4"/>
    </row>
    <row r="49" spans="1:16">
      <c r="A49" s="4">
        <v>50</v>
      </c>
      <c r="B49" s="4">
        <v>1</v>
      </c>
      <c r="C49" s="4">
        <v>0</v>
      </c>
      <c r="D49" s="4">
        <v>2</v>
      </c>
      <c r="E49" s="4">
        <v>0</v>
      </c>
      <c r="F49" s="4">
        <v>711082.76</v>
      </c>
      <c r="G49" s="4" t="s">
        <v>30</v>
      </c>
      <c r="H49" s="4" t="s">
        <v>244</v>
      </c>
      <c r="I49" s="4"/>
      <c r="J49" s="4"/>
      <c r="K49" s="4">
        <v>212</v>
      </c>
      <c r="L49" s="4">
        <v>30</v>
      </c>
      <c r="M49" s="4">
        <v>0</v>
      </c>
      <c r="N49" s="4" t="s">
        <v>3</v>
      </c>
      <c r="O49" s="4">
        <v>2</v>
      </c>
      <c r="P49" s="4"/>
    </row>
    <row r="51" spans="1:16">
      <c r="A51">
        <v>-1</v>
      </c>
    </row>
    <row r="54" spans="1:16">
      <c r="A54" s="3">
        <v>75</v>
      </c>
      <c r="B54" s="3" t="s">
        <v>245</v>
      </c>
      <c r="C54" s="3">
        <v>2020</v>
      </c>
      <c r="D54" s="3">
        <v>0</v>
      </c>
      <c r="E54" s="3">
        <v>10</v>
      </c>
      <c r="F54" s="3">
        <v>0</v>
      </c>
      <c r="G54" s="3">
        <v>0</v>
      </c>
      <c r="H54" s="3">
        <v>1</v>
      </c>
      <c r="I54" s="3">
        <v>0</v>
      </c>
      <c r="J54" s="3">
        <v>1</v>
      </c>
      <c r="K54" s="3">
        <v>78</v>
      </c>
      <c r="L54" s="3">
        <v>30</v>
      </c>
      <c r="M54" s="3">
        <v>0</v>
      </c>
      <c r="N54" s="3">
        <v>41858681</v>
      </c>
      <c r="O54" s="3">
        <v>1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DC121"/>
  <sheetViews>
    <sheetView workbookViewId="0"/>
  </sheetViews>
  <sheetFormatPr defaultColWidth="9.140625" defaultRowHeight="12.75"/>
  <cols>
    <col min="1" max="256" width="9.140625" customWidth="1"/>
  </cols>
  <sheetData>
    <row r="1" spans="1:107">
      <c r="A1">
        <f>ROW(Source!A28)</f>
        <v>28</v>
      </c>
      <c r="B1">
        <v>41858681</v>
      </c>
      <c r="C1">
        <v>41857946</v>
      </c>
      <c r="D1">
        <v>38786840</v>
      </c>
      <c r="E1">
        <v>27</v>
      </c>
      <c r="F1">
        <v>1</v>
      </c>
      <c r="G1">
        <v>27</v>
      </c>
      <c r="H1">
        <v>1</v>
      </c>
      <c r="I1" t="s">
        <v>247</v>
      </c>
      <c r="J1" t="s">
        <v>3</v>
      </c>
      <c r="K1" t="s">
        <v>248</v>
      </c>
      <c r="L1">
        <v>1191</v>
      </c>
      <c r="N1">
        <v>1013</v>
      </c>
      <c r="O1" t="s">
        <v>249</v>
      </c>
      <c r="P1" t="s">
        <v>249</v>
      </c>
      <c r="Q1">
        <v>1</v>
      </c>
      <c r="W1">
        <v>0</v>
      </c>
      <c r="X1">
        <v>476480486</v>
      </c>
      <c r="Y1">
        <v>41.38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S1" t="s">
        <v>3</v>
      </c>
      <c r="AT1">
        <v>41.38</v>
      </c>
      <c r="AU1" t="s">
        <v>3</v>
      </c>
      <c r="AV1">
        <v>1</v>
      </c>
      <c r="AW1">
        <v>2</v>
      </c>
      <c r="AX1">
        <v>41857949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Y1*Source!I28</f>
        <v>18.000299999999999</v>
      </c>
      <c r="CY1">
        <f>AD1</f>
        <v>0</v>
      </c>
      <c r="CZ1">
        <f>AH1</f>
        <v>0</v>
      </c>
      <c r="DA1">
        <f>AL1</f>
        <v>1</v>
      </c>
      <c r="DB1">
        <f t="shared" ref="DB1:DB8" si="0">ROUND(ROUND(AT1*CZ1,2),6)</f>
        <v>0</v>
      </c>
      <c r="DC1">
        <f t="shared" ref="DC1:DC8" si="1">ROUND(ROUND(AT1*AG1,2),6)</f>
        <v>0</v>
      </c>
    </row>
    <row r="2" spans="1:107">
      <c r="A2">
        <f>ROW(Source!A28)</f>
        <v>28</v>
      </c>
      <c r="B2">
        <v>41858681</v>
      </c>
      <c r="C2">
        <v>41857946</v>
      </c>
      <c r="D2">
        <v>38799022</v>
      </c>
      <c r="E2">
        <v>1</v>
      </c>
      <c r="F2">
        <v>1</v>
      </c>
      <c r="G2">
        <v>27</v>
      </c>
      <c r="H2">
        <v>2</v>
      </c>
      <c r="I2" t="s">
        <v>250</v>
      </c>
      <c r="J2" t="s">
        <v>251</v>
      </c>
      <c r="K2" t="s">
        <v>252</v>
      </c>
      <c r="L2">
        <v>1368</v>
      </c>
      <c r="N2">
        <v>1011</v>
      </c>
      <c r="O2" t="s">
        <v>253</v>
      </c>
      <c r="P2" t="s">
        <v>253</v>
      </c>
      <c r="Q2">
        <v>1</v>
      </c>
      <c r="W2">
        <v>0</v>
      </c>
      <c r="X2">
        <v>1879655707</v>
      </c>
      <c r="Y2">
        <v>1.84</v>
      </c>
      <c r="AA2">
        <v>0</v>
      </c>
      <c r="AB2">
        <v>812.16</v>
      </c>
      <c r="AC2">
        <v>448.48</v>
      </c>
      <c r="AD2">
        <v>0</v>
      </c>
      <c r="AE2">
        <v>0</v>
      </c>
      <c r="AF2">
        <v>812.16</v>
      </c>
      <c r="AG2">
        <v>448.48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S2" t="s">
        <v>3</v>
      </c>
      <c r="AT2">
        <v>1.84</v>
      </c>
      <c r="AU2" t="s">
        <v>3</v>
      </c>
      <c r="AV2">
        <v>0</v>
      </c>
      <c r="AW2">
        <v>2</v>
      </c>
      <c r="AX2">
        <v>41857950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Y2*Source!I28</f>
        <v>0.8004</v>
      </c>
      <c r="CY2">
        <f>AB2</f>
        <v>812.16</v>
      </c>
      <c r="CZ2">
        <f>AF2</f>
        <v>812.16</v>
      </c>
      <c r="DA2">
        <f>AJ2</f>
        <v>1</v>
      </c>
      <c r="DB2">
        <f t="shared" si="0"/>
        <v>1494.37</v>
      </c>
      <c r="DC2">
        <f t="shared" si="1"/>
        <v>825.2</v>
      </c>
    </row>
    <row r="3" spans="1:107">
      <c r="A3">
        <f>ROW(Source!A29)</f>
        <v>29</v>
      </c>
      <c r="B3">
        <v>41858681</v>
      </c>
      <c r="C3">
        <v>41857951</v>
      </c>
      <c r="D3">
        <v>38786840</v>
      </c>
      <c r="E3">
        <v>27</v>
      </c>
      <c r="F3">
        <v>1</v>
      </c>
      <c r="G3">
        <v>27</v>
      </c>
      <c r="H3">
        <v>1</v>
      </c>
      <c r="I3" t="s">
        <v>247</v>
      </c>
      <c r="J3" t="s">
        <v>3</v>
      </c>
      <c r="K3" t="s">
        <v>248</v>
      </c>
      <c r="L3">
        <v>1191</v>
      </c>
      <c r="N3">
        <v>1013</v>
      </c>
      <c r="O3" t="s">
        <v>249</v>
      </c>
      <c r="P3" t="s">
        <v>249</v>
      </c>
      <c r="Q3">
        <v>1</v>
      </c>
      <c r="W3">
        <v>0</v>
      </c>
      <c r="X3">
        <v>476480486</v>
      </c>
      <c r="Y3">
        <v>8.27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0</v>
      </c>
      <c r="AQ3">
        <v>0</v>
      </c>
      <c r="AR3">
        <v>0</v>
      </c>
      <c r="AS3" t="s">
        <v>3</v>
      </c>
      <c r="AT3">
        <v>8.27</v>
      </c>
      <c r="AU3" t="s">
        <v>3</v>
      </c>
      <c r="AV3">
        <v>1</v>
      </c>
      <c r="AW3">
        <v>2</v>
      </c>
      <c r="AX3">
        <v>41857954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Y3*Source!I29</f>
        <v>-3.5974499999999998</v>
      </c>
      <c r="CY3">
        <f>AD3</f>
        <v>0</v>
      </c>
      <c r="CZ3">
        <f>AH3</f>
        <v>0</v>
      </c>
      <c r="DA3">
        <f>AL3</f>
        <v>1</v>
      </c>
      <c r="DB3">
        <f t="shared" si="0"/>
        <v>0</v>
      </c>
      <c r="DC3">
        <f t="shared" si="1"/>
        <v>0</v>
      </c>
    </row>
    <row r="4" spans="1:107">
      <c r="A4">
        <f>ROW(Source!A29)</f>
        <v>29</v>
      </c>
      <c r="B4">
        <v>41858681</v>
      </c>
      <c r="C4">
        <v>41857951</v>
      </c>
      <c r="D4">
        <v>38799022</v>
      </c>
      <c r="E4">
        <v>1</v>
      </c>
      <c r="F4">
        <v>1</v>
      </c>
      <c r="G4">
        <v>27</v>
      </c>
      <c r="H4">
        <v>2</v>
      </c>
      <c r="I4" t="s">
        <v>250</v>
      </c>
      <c r="J4" t="s">
        <v>251</v>
      </c>
      <c r="K4" t="s">
        <v>252</v>
      </c>
      <c r="L4">
        <v>1368</v>
      </c>
      <c r="N4">
        <v>1011</v>
      </c>
      <c r="O4" t="s">
        <v>253</v>
      </c>
      <c r="P4" t="s">
        <v>253</v>
      </c>
      <c r="Q4">
        <v>1</v>
      </c>
      <c r="W4">
        <v>0</v>
      </c>
      <c r="X4">
        <v>1879655707</v>
      </c>
      <c r="Y4">
        <v>0.46</v>
      </c>
      <c r="AA4">
        <v>0</v>
      </c>
      <c r="AB4">
        <v>812.16</v>
      </c>
      <c r="AC4">
        <v>448.48</v>
      </c>
      <c r="AD4">
        <v>0</v>
      </c>
      <c r="AE4">
        <v>0</v>
      </c>
      <c r="AF4">
        <v>812.16</v>
      </c>
      <c r="AG4">
        <v>448.48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0</v>
      </c>
      <c r="AQ4">
        <v>0</v>
      </c>
      <c r="AR4">
        <v>0</v>
      </c>
      <c r="AS4" t="s">
        <v>3</v>
      </c>
      <c r="AT4">
        <v>0.46</v>
      </c>
      <c r="AU4" t="s">
        <v>3</v>
      </c>
      <c r="AV4">
        <v>0</v>
      </c>
      <c r="AW4">
        <v>2</v>
      </c>
      <c r="AX4">
        <v>41857955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Y4*Source!I29</f>
        <v>-0.2001</v>
      </c>
      <c r="CY4">
        <f>AB4</f>
        <v>812.16</v>
      </c>
      <c r="CZ4">
        <f>AF4</f>
        <v>812.16</v>
      </c>
      <c r="DA4">
        <f>AJ4</f>
        <v>1</v>
      </c>
      <c r="DB4">
        <f t="shared" si="0"/>
        <v>373.59</v>
      </c>
      <c r="DC4">
        <f t="shared" si="1"/>
        <v>206.3</v>
      </c>
    </row>
    <row r="5" spans="1:107">
      <c r="A5">
        <f>ROW(Source!A30)</f>
        <v>30</v>
      </c>
      <c r="B5">
        <v>41858681</v>
      </c>
      <c r="C5">
        <v>41857956</v>
      </c>
      <c r="D5">
        <v>38786840</v>
      </c>
      <c r="E5">
        <v>27</v>
      </c>
      <c r="F5">
        <v>1</v>
      </c>
      <c r="G5">
        <v>27</v>
      </c>
      <c r="H5">
        <v>1</v>
      </c>
      <c r="I5" t="s">
        <v>247</v>
      </c>
      <c r="J5" t="s">
        <v>3</v>
      </c>
      <c r="K5" t="s">
        <v>248</v>
      </c>
      <c r="L5">
        <v>1191</v>
      </c>
      <c r="N5">
        <v>1013</v>
      </c>
      <c r="O5" t="s">
        <v>249</v>
      </c>
      <c r="P5" t="s">
        <v>249</v>
      </c>
      <c r="Q5">
        <v>1</v>
      </c>
      <c r="W5">
        <v>0</v>
      </c>
      <c r="X5">
        <v>476480486</v>
      </c>
      <c r="Y5">
        <v>85.94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S5" t="s">
        <v>3</v>
      </c>
      <c r="AT5">
        <v>85.94</v>
      </c>
      <c r="AU5" t="s">
        <v>3</v>
      </c>
      <c r="AV5">
        <v>1</v>
      </c>
      <c r="AW5">
        <v>2</v>
      </c>
      <c r="AX5">
        <v>41857958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Y5*Source!I30</f>
        <v>12.4613</v>
      </c>
      <c r="CY5">
        <f>AD5</f>
        <v>0</v>
      </c>
      <c r="CZ5">
        <f>AH5</f>
        <v>0</v>
      </c>
      <c r="DA5">
        <f>AL5</f>
        <v>1</v>
      </c>
      <c r="DB5">
        <f t="shared" si="0"/>
        <v>0</v>
      </c>
      <c r="DC5">
        <f t="shared" si="1"/>
        <v>0</v>
      </c>
    </row>
    <row r="6" spans="1:107">
      <c r="A6">
        <f>ROW(Source!A31)</f>
        <v>31</v>
      </c>
      <c r="B6">
        <v>41858681</v>
      </c>
      <c r="C6">
        <v>41857959</v>
      </c>
      <c r="D6">
        <v>38786840</v>
      </c>
      <c r="E6">
        <v>27</v>
      </c>
      <c r="F6">
        <v>1</v>
      </c>
      <c r="G6">
        <v>27</v>
      </c>
      <c r="H6">
        <v>1</v>
      </c>
      <c r="I6" t="s">
        <v>247</v>
      </c>
      <c r="J6" t="s">
        <v>3</v>
      </c>
      <c r="K6" t="s">
        <v>248</v>
      </c>
      <c r="L6">
        <v>1191</v>
      </c>
      <c r="N6">
        <v>1013</v>
      </c>
      <c r="O6" t="s">
        <v>249</v>
      </c>
      <c r="P6" t="s">
        <v>249</v>
      </c>
      <c r="Q6">
        <v>1</v>
      </c>
      <c r="W6">
        <v>0</v>
      </c>
      <c r="X6">
        <v>476480486</v>
      </c>
      <c r="Y6">
        <v>21.48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1</v>
      </c>
      <c r="AP6">
        <v>0</v>
      </c>
      <c r="AQ6">
        <v>0</v>
      </c>
      <c r="AR6">
        <v>0</v>
      </c>
      <c r="AS6" t="s">
        <v>3</v>
      </c>
      <c r="AT6">
        <v>21.48</v>
      </c>
      <c r="AU6" t="s">
        <v>3</v>
      </c>
      <c r="AV6">
        <v>1</v>
      </c>
      <c r="AW6">
        <v>2</v>
      </c>
      <c r="AX6">
        <v>41857961</v>
      </c>
      <c r="AY6">
        <v>1</v>
      </c>
      <c r="AZ6">
        <v>0</v>
      </c>
      <c r="BA6">
        <v>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Y6*Source!I31</f>
        <v>-3.1145999999999998</v>
      </c>
      <c r="CY6">
        <f>AD6</f>
        <v>0</v>
      </c>
      <c r="CZ6">
        <f>AH6</f>
        <v>0</v>
      </c>
      <c r="DA6">
        <f>AL6</f>
        <v>1</v>
      </c>
      <c r="DB6">
        <f t="shared" si="0"/>
        <v>0</v>
      </c>
      <c r="DC6">
        <f t="shared" si="1"/>
        <v>0</v>
      </c>
    </row>
    <row r="7" spans="1:107">
      <c r="A7">
        <f>ROW(Source!A32)</f>
        <v>32</v>
      </c>
      <c r="B7">
        <v>41858681</v>
      </c>
      <c r="C7">
        <v>41857962</v>
      </c>
      <c r="D7">
        <v>38786840</v>
      </c>
      <c r="E7">
        <v>27</v>
      </c>
      <c r="F7">
        <v>1</v>
      </c>
      <c r="G7">
        <v>27</v>
      </c>
      <c r="H7">
        <v>1</v>
      </c>
      <c r="I7" t="s">
        <v>247</v>
      </c>
      <c r="J7" t="s">
        <v>3</v>
      </c>
      <c r="K7" t="s">
        <v>248</v>
      </c>
      <c r="L7">
        <v>1191</v>
      </c>
      <c r="N7">
        <v>1013</v>
      </c>
      <c r="O7" t="s">
        <v>249</v>
      </c>
      <c r="P7" t="s">
        <v>249</v>
      </c>
      <c r="Q7">
        <v>1</v>
      </c>
      <c r="W7">
        <v>0</v>
      </c>
      <c r="X7">
        <v>476480486</v>
      </c>
      <c r="Y7">
        <v>53.7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S7" t="s">
        <v>3</v>
      </c>
      <c r="AT7">
        <v>53.7</v>
      </c>
      <c r="AU7" t="s">
        <v>3</v>
      </c>
      <c r="AV7">
        <v>1</v>
      </c>
      <c r="AW7">
        <v>2</v>
      </c>
      <c r="AX7">
        <v>41857965</v>
      </c>
      <c r="AY7">
        <v>1</v>
      </c>
      <c r="AZ7">
        <v>0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Y7*Source!I32</f>
        <v>31.146000000000001</v>
      </c>
      <c r="CY7">
        <f>AD7</f>
        <v>0</v>
      </c>
      <c r="CZ7">
        <f>AH7</f>
        <v>0</v>
      </c>
      <c r="DA7">
        <f>AL7</f>
        <v>1</v>
      </c>
      <c r="DB7">
        <f t="shared" si="0"/>
        <v>0</v>
      </c>
      <c r="DC7">
        <f t="shared" si="1"/>
        <v>0</v>
      </c>
    </row>
    <row r="8" spans="1:107">
      <c r="A8">
        <f>ROW(Source!A32)</f>
        <v>32</v>
      </c>
      <c r="B8">
        <v>41858681</v>
      </c>
      <c r="C8">
        <v>41857962</v>
      </c>
      <c r="D8">
        <v>38803640</v>
      </c>
      <c r="E8">
        <v>1</v>
      </c>
      <c r="F8">
        <v>1</v>
      </c>
      <c r="G8">
        <v>27</v>
      </c>
      <c r="H8">
        <v>3</v>
      </c>
      <c r="I8" t="s">
        <v>254</v>
      </c>
      <c r="J8" t="s">
        <v>255</v>
      </c>
      <c r="K8" t="s">
        <v>256</v>
      </c>
      <c r="L8">
        <v>1339</v>
      </c>
      <c r="N8">
        <v>1007</v>
      </c>
      <c r="O8" t="s">
        <v>257</v>
      </c>
      <c r="P8" t="s">
        <v>257</v>
      </c>
      <c r="Q8">
        <v>1</v>
      </c>
      <c r="W8">
        <v>0</v>
      </c>
      <c r="X8">
        <v>-1277312656</v>
      </c>
      <c r="Y8">
        <v>20</v>
      </c>
      <c r="AA8">
        <v>753.67</v>
      </c>
      <c r="AB8">
        <v>0</v>
      </c>
      <c r="AC8">
        <v>0</v>
      </c>
      <c r="AD8">
        <v>0</v>
      </c>
      <c r="AE8">
        <v>753.67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1</v>
      </c>
      <c r="AP8">
        <v>0</v>
      </c>
      <c r="AQ8">
        <v>0</v>
      </c>
      <c r="AR8">
        <v>0</v>
      </c>
      <c r="AS8" t="s">
        <v>3</v>
      </c>
      <c r="AT8">
        <v>20</v>
      </c>
      <c r="AU8" t="s">
        <v>3</v>
      </c>
      <c r="AV8">
        <v>0</v>
      </c>
      <c r="AW8">
        <v>2</v>
      </c>
      <c r="AX8">
        <v>41857966</v>
      </c>
      <c r="AY8">
        <v>1</v>
      </c>
      <c r="AZ8">
        <v>0</v>
      </c>
      <c r="BA8">
        <v>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Y8*Source!I32</f>
        <v>11.6</v>
      </c>
      <c r="CY8">
        <f>AA8</f>
        <v>753.67</v>
      </c>
      <c r="CZ8">
        <f>AE8</f>
        <v>753.67</v>
      </c>
      <c r="DA8">
        <f>AI8</f>
        <v>1</v>
      </c>
      <c r="DB8">
        <f t="shared" si="0"/>
        <v>15073.4</v>
      </c>
      <c r="DC8">
        <f t="shared" si="1"/>
        <v>0</v>
      </c>
    </row>
    <row r="9" spans="1:107">
      <c r="A9">
        <f>ROW(Source!A33)</f>
        <v>33</v>
      </c>
      <c r="B9">
        <v>41858681</v>
      </c>
      <c r="C9">
        <v>41857967</v>
      </c>
      <c r="D9">
        <v>38786840</v>
      </c>
      <c r="E9">
        <v>27</v>
      </c>
      <c r="F9">
        <v>1</v>
      </c>
      <c r="G9">
        <v>27</v>
      </c>
      <c r="H9">
        <v>1</v>
      </c>
      <c r="I9" t="s">
        <v>247</v>
      </c>
      <c r="J9" t="s">
        <v>3</v>
      </c>
      <c r="K9" t="s">
        <v>248</v>
      </c>
      <c r="L9">
        <v>1191</v>
      </c>
      <c r="N9">
        <v>1013</v>
      </c>
      <c r="O9" t="s">
        <v>249</v>
      </c>
      <c r="P9" t="s">
        <v>249</v>
      </c>
      <c r="Q9">
        <v>1</v>
      </c>
      <c r="W9">
        <v>0</v>
      </c>
      <c r="X9">
        <v>476480486</v>
      </c>
      <c r="Y9">
        <v>12.46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N9">
        <v>0</v>
      </c>
      <c r="AO9">
        <v>1</v>
      </c>
      <c r="AP9">
        <v>1</v>
      </c>
      <c r="AQ9">
        <v>0</v>
      </c>
      <c r="AR9">
        <v>0</v>
      </c>
      <c r="AS9" t="s">
        <v>3</v>
      </c>
      <c r="AT9">
        <v>6.23</v>
      </c>
      <c r="AU9" t="s">
        <v>42</v>
      </c>
      <c r="AV9">
        <v>1</v>
      </c>
      <c r="AW9">
        <v>2</v>
      </c>
      <c r="AX9">
        <v>41857970</v>
      </c>
      <c r="AY9">
        <v>1</v>
      </c>
      <c r="AZ9">
        <v>0</v>
      </c>
      <c r="BA9">
        <v>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Y9*Source!I33</f>
        <v>7.2267999999999999</v>
      </c>
      <c r="CY9">
        <f>AD9</f>
        <v>0</v>
      </c>
      <c r="CZ9">
        <f>AH9</f>
        <v>0</v>
      </c>
      <c r="DA9">
        <f>AL9</f>
        <v>1</v>
      </c>
      <c r="DB9">
        <f>ROUND((ROUND(AT9*CZ9,2)*2),6)</f>
        <v>0</v>
      </c>
      <c r="DC9">
        <f>ROUND((ROUND(AT9*AG9,2)*2),6)</f>
        <v>0</v>
      </c>
    </row>
    <row r="10" spans="1:107">
      <c r="A10">
        <f>ROW(Source!A33)</f>
        <v>33</v>
      </c>
      <c r="B10">
        <v>41858681</v>
      </c>
      <c r="C10">
        <v>41857967</v>
      </c>
      <c r="D10">
        <v>38803640</v>
      </c>
      <c r="E10">
        <v>1</v>
      </c>
      <c r="F10">
        <v>1</v>
      </c>
      <c r="G10">
        <v>27</v>
      </c>
      <c r="H10">
        <v>3</v>
      </c>
      <c r="I10" t="s">
        <v>254</v>
      </c>
      <c r="J10" t="s">
        <v>255</v>
      </c>
      <c r="K10" t="s">
        <v>256</v>
      </c>
      <c r="L10">
        <v>1339</v>
      </c>
      <c r="N10">
        <v>1007</v>
      </c>
      <c r="O10" t="s">
        <v>257</v>
      </c>
      <c r="P10" t="s">
        <v>257</v>
      </c>
      <c r="Q10">
        <v>1</v>
      </c>
      <c r="W10">
        <v>0</v>
      </c>
      <c r="X10">
        <v>-1277312656</v>
      </c>
      <c r="Y10">
        <v>10</v>
      </c>
      <c r="AA10">
        <v>753.67</v>
      </c>
      <c r="AB10">
        <v>0</v>
      </c>
      <c r="AC10">
        <v>0</v>
      </c>
      <c r="AD10">
        <v>0</v>
      </c>
      <c r="AE10">
        <v>753.67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N10">
        <v>0</v>
      </c>
      <c r="AO10">
        <v>1</v>
      </c>
      <c r="AP10">
        <v>1</v>
      </c>
      <c r="AQ10">
        <v>0</v>
      </c>
      <c r="AR10">
        <v>0</v>
      </c>
      <c r="AS10" t="s">
        <v>3</v>
      </c>
      <c r="AT10">
        <v>5</v>
      </c>
      <c r="AU10" t="s">
        <v>42</v>
      </c>
      <c r="AV10">
        <v>0</v>
      </c>
      <c r="AW10">
        <v>2</v>
      </c>
      <c r="AX10">
        <v>41857971</v>
      </c>
      <c r="AY10">
        <v>1</v>
      </c>
      <c r="AZ10">
        <v>0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Y10*Source!I33</f>
        <v>5.8</v>
      </c>
      <c r="CY10">
        <f>AA10</f>
        <v>753.67</v>
      </c>
      <c r="CZ10">
        <f>AE10</f>
        <v>753.67</v>
      </c>
      <c r="DA10">
        <f>AI10</f>
        <v>1</v>
      </c>
      <c r="DB10">
        <f>ROUND((ROUND(AT10*CZ10,2)*2),6)</f>
        <v>7536.7</v>
      </c>
      <c r="DC10">
        <f>ROUND((ROUND(AT10*AG10,2)*2),6)</f>
        <v>0</v>
      </c>
    </row>
    <row r="11" spans="1:107">
      <c r="A11">
        <f>ROW(Source!A34)</f>
        <v>34</v>
      </c>
      <c r="B11">
        <v>41858681</v>
      </c>
      <c r="C11">
        <v>41857972</v>
      </c>
      <c r="D11">
        <v>38786840</v>
      </c>
      <c r="E11">
        <v>27</v>
      </c>
      <c r="F11">
        <v>1</v>
      </c>
      <c r="G11">
        <v>27</v>
      </c>
      <c r="H11">
        <v>1</v>
      </c>
      <c r="I11" t="s">
        <v>247</v>
      </c>
      <c r="J11" t="s">
        <v>3</v>
      </c>
      <c r="K11" t="s">
        <v>248</v>
      </c>
      <c r="L11">
        <v>1191</v>
      </c>
      <c r="N11">
        <v>1013</v>
      </c>
      <c r="O11" t="s">
        <v>249</v>
      </c>
      <c r="P11" t="s">
        <v>249</v>
      </c>
      <c r="Q11">
        <v>1</v>
      </c>
      <c r="W11">
        <v>0</v>
      </c>
      <c r="X11">
        <v>476480486</v>
      </c>
      <c r="Y11">
        <v>155.26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 t="s">
        <v>3</v>
      </c>
      <c r="AT11">
        <v>155.26</v>
      </c>
      <c r="AU11" t="s">
        <v>3</v>
      </c>
      <c r="AV11">
        <v>1</v>
      </c>
      <c r="AW11">
        <v>2</v>
      </c>
      <c r="AX11">
        <v>41857981</v>
      </c>
      <c r="AY11">
        <v>1</v>
      </c>
      <c r="AZ11">
        <v>0</v>
      </c>
      <c r="BA11">
        <v>11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Y11*Source!I34</f>
        <v>90.050799999999995</v>
      </c>
      <c r="CY11">
        <f>AD11</f>
        <v>0</v>
      </c>
      <c r="CZ11">
        <f>AH11</f>
        <v>0</v>
      </c>
      <c r="DA11">
        <f>AL11</f>
        <v>1</v>
      </c>
      <c r="DB11">
        <f t="shared" ref="DB11:DB18" si="2">ROUND(ROUND(AT11*CZ11,2),6)</f>
        <v>0</v>
      </c>
      <c r="DC11">
        <f t="shared" ref="DC11:DC18" si="3">ROUND(ROUND(AT11*AG11,2),6)</f>
        <v>0</v>
      </c>
    </row>
    <row r="12" spans="1:107">
      <c r="A12">
        <f>ROW(Source!A34)</f>
        <v>34</v>
      </c>
      <c r="B12">
        <v>41858681</v>
      </c>
      <c r="C12">
        <v>41857972</v>
      </c>
      <c r="D12">
        <v>38801771</v>
      </c>
      <c r="E12">
        <v>1</v>
      </c>
      <c r="F12">
        <v>1</v>
      </c>
      <c r="G12">
        <v>27</v>
      </c>
      <c r="H12">
        <v>3</v>
      </c>
      <c r="I12" t="s">
        <v>258</v>
      </c>
      <c r="J12" t="s">
        <v>259</v>
      </c>
      <c r="K12" t="s">
        <v>260</v>
      </c>
      <c r="L12">
        <v>1346</v>
      </c>
      <c r="N12">
        <v>1009</v>
      </c>
      <c r="O12" t="s">
        <v>261</v>
      </c>
      <c r="P12" t="s">
        <v>261</v>
      </c>
      <c r="Q12">
        <v>1</v>
      </c>
      <c r="W12">
        <v>0</v>
      </c>
      <c r="X12">
        <v>-2033961190</v>
      </c>
      <c r="Y12">
        <v>0.8</v>
      </c>
      <c r="AA12">
        <v>171.21</v>
      </c>
      <c r="AB12">
        <v>0</v>
      </c>
      <c r="AC12">
        <v>0</v>
      </c>
      <c r="AD12">
        <v>0</v>
      </c>
      <c r="AE12">
        <v>171.21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 t="s">
        <v>3</v>
      </c>
      <c r="AT12">
        <v>0.8</v>
      </c>
      <c r="AU12" t="s">
        <v>3</v>
      </c>
      <c r="AV12">
        <v>0</v>
      </c>
      <c r="AW12">
        <v>2</v>
      </c>
      <c r="AX12">
        <v>41857982</v>
      </c>
      <c r="AY12">
        <v>1</v>
      </c>
      <c r="AZ12">
        <v>0</v>
      </c>
      <c r="BA12">
        <v>12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Y12*Source!I34</f>
        <v>0.46399999999999997</v>
      </c>
      <c r="CY12">
        <f t="shared" ref="CY12:CY18" si="4">AA12</f>
        <v>171.21</v>
      </c>
      <c r="CZ12">
        <f t="shared" ref="CZ12:CZ18" si="5">AE12</f>
        <v>171.21</v>
      </c>
      <c r="DA12">
        <f t="shared" ref="DA12:DA18" si="6">AI12</f>
        <v>1</v>
      </c>
      <c r="DB12">
        <f t="shared" si="2"/>
        <v>136.97</v>
      </c>
      <c r="DC12">
        <f t="shared" si="3"/>
        <v>0</v>
      </c>
    </row>
    <row r="13" spans="1:107">
      <c r="A13">
        <f>ROW(Source!A34)</f>
        <v>34</v>
      </c>
      <c r="B13">
        <v>41858681</v>
      </c>
      <c r="C13">
        <v>41857972</v>
      </c>
      <c r="D13">
        <v>38801911</v>
      </c>
      <c r="E13">
        <v>1</v>
      </c>
      <c r="F13">
        <v>1</v>
      </c>
      <c r="G13">
        <v>27</v>
      </c>
      <c r="H13">
        <v>3</v>
      </c>
      <c r="I13" t="s">
        <v>262</v>
      </c>
      <c r="J13" t="s">
        <v>263</v>
      </c>
      <c r="K13" t="s">
        <v>264</v>
      </c>
      <c r="L13">
        <v>1339</v>
      </c>
      <c r="N13">
        <v>1007</v>
      </c>
      <c r="O13" t="s">
        <v>257</v>
      </c>
      <c r="P13" t="s">
        <v>257</v>
      </c>
      <c r="Q13">
        <v>1</v>
      </c>
      <c r="W13">
        <v>0</v>
      </c>
      <c r="X13">
        <v>1927597627</v>
      </c>
      <c r="Y13">
        <v>30</v>
      </c>
      <c r="AA13">
        <v>35.25</v>
      </c>
      <c r="AB13">
        <v>0</v>
      </c>
      <c r="AC13">
        <v>0</v>
      </c>
      <c r="AD13">
        <v>0</v>
      </c>
      <c r="AE13">
        <v>35.25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 t="s">
        <v>3</v>
      </c>
      <c r="AT13">
        <v>30</v>
      </c>
      <c r="AU13" t="s">
        <v>3</v>
      </c>
      <c r="AV13">
        <v>0</v>
      </c>
      <c r="AW13">
        <v>2</v>
      </c>
      <c r="AX13">
        <v>41857983</v>
      </c>
      <c r="AY13">
        <v>1</v>
      </c>
      <c r="AZ13">
        <v>0</v>
      </c>
      <c r="BA13">
        <v>13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Y13*Source!I34</f>
        <v>17.399999999999999</v>
      </c>
      <c r="CY13">
        <f t="shared" si="4"/>
        <v>35.25</v>
      </c>
      <c r="CZ13">
        <f t="shared" si="5"/>
        <v>35.25</v>
      </c>
      <c r="DA13">
        <f t="shared" si="6"/>
        <v>1</v>
      </c>
      <c r="DB13">
        <f t="shared" si="2"/>
        <v>1057.5</v>
      </c>
      <c r="DC13">
        <f t="shared" si="3"/>
        <v>0</v>
      </c>
    </row>
    <row r="14" spans="1:107">
      <c r="A14">
        <f>ROW(Source!A34)</f>
        <v>34</v>
      </c>
      <c r="B14">
        <v>41858681</v>
      </c>
      <c r="C14">
        <v>41857972</v>
      </c>
      <c r="D14">
        <v>38800613</v>
      </c>
      <c r="E14">
        <v>1</v>
      </c>
      <c r="F14">
        <v>1</v>
      </c>
      <c r="G14">
        <v>27</v>
      </c>
      <c r="H14">
        <v>3</v>
      </c>
      <c r="I14" t="s">
        <v>265</v>
      </c>
      <c r="J14" t="s">
        <v>266</v>
      </c>
      <c r="K14" t="s">
        <v>267</v>
      </c>
      <c r="L14">
        <v>1339</v>
      </c>
      <c r="N14">
        <v>1007</v>
      </c>
      <c r="O14" t="s">
        <v>257</v>
      </c>
      <c r="P14" t="s">
        <v>257</v>
      </c>
      <c r="Q14">
        <v>1</v>
      </c>
      <c r="W14">
        <v>0</v>
      </c>
      <c r="X14">
        <v>538447250</v>
      </c>
      <c r="Y14">
        <v>8.0000000000000002E-3</v>
      </c>
      <c r="AA14">
        <v>7098.7</v>
      </c>
      <c r="AB14">
        <v>0</v>
      </c>
      <c r="AC14">
        <v>0</v>
      </c>
      <c r="AD14">
        <v>0</v>
      </c>
      <c r="AE14">
        <v>7098.7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 t="s">
        <v>3</v>
      </c>
      <c r="AT14">
        <v>8.0000000000000002E-3</v>
      </c>
      <c r="AU14" t="s">
        <v>3</v>
      </c>
      <c r="AV14">
        <v>0</v>
      </c>
      <c r="AW14">
        <v>2</v>
      </c>
      <c r="AX14">
        <v>41857984</v>
      </c>
      <c r="AY14">
        <v>1</v>
      </c>
      <c r="AZ14">
        <v>0</v>
      </c>
      <c r="BA14">
        <v>14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Y14*Source!I34</f>
        <v>4.64E-3</v>
      </c>
      <c r="CY14">
        <f t="shared" si="4"/>
        <v>7098.7</v>
      </c>
      <c r="CZ14">
        <f t="shared" si="5"/>
        <v>7098.7</v>
      </c>
      <c r="DA14">
        <f t="shared" si="6"/>
        <v>1</v>
      </c>
      <c r="DB14">
        <f t="shared" si="2"/>
        <v>56.79</v>
      </c>
      <c r="DC14">
        <f t="shared" si="3"/>
        <v>0</v>
      </c>
    </row>
    <row r="15" spans="1:107">
      <c r="A15">
        <f>ROW(Source!A34)</f>
        <v>34</v>
      </c>
      <c r="B15">
        <v>41858681</v>
      </c>
      <c r="C15">
        <v>41857972</v>
      </c>
      <c r="D15">
        <v>38803465</v>
      </c>
      <c r="E15">
        <v>1</v>
      </c>
      <c r="F15">
        <v>1</v>
      </c>
      <c r="G15">
        <v>27</v>
      </c>
      <c r="H15">
        <v>3</v>
      </c>
      <c r="I15" t="s">
        <v>52</v>
      </c>
      <c r="J15" t="s">
        <v>54</v>
      </c>
      <c r="K15" t="s">
        <v>53</v>
      </c>
      <c r="L15">
        <v>1354</v>
      </c>
      <c r="N15">
        <v>1010</v>
      </c>
      <c r="O15" t="s">
        <v>50</v>
      </c>
      <c r="P15" t="s">
        <v>50</v>
      </c>
      <c r="Q15">
        <v>1</v>
      </c>
      <c r="W15">
        <v>0</v>
      </c>
      <c r="X15">
        <v>-849394457</v>
      </c>
      <c r="Y15">
        <v>356.89655199999999</v>
      </c>
      <c r="AA15">
        <v>189</v>
      </c>
      <c r="AB15">
        <v>0</v>
      </c>
      <c r="AC15">
        <v>0</v>
      </c>
      <c r="AD15">
        <v>0</v>
      </c>
      <c r="AE15">
        <v>189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 t="s">
        <v>3</v>
      </c>
      <c r="AT15">
        <v>356.89655199999999</v>
      </c>
      <c r="AU15" t="s">
        <v>3</v>
      </c>
      <c r="AV15">
        <v>0</v>
      </c>
      <c r="AW15">
        <v>1</v>
      </c>
      <c r="AX15">
        <v>-1</v>
      </c>
      <c r="AY15">
        <v>0</v>
      </c>
      <c r="AZ15">
        <v>0</v>
      </c>
      <c r="BA15" t="s">
        <v>3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Y15*Source!I34</f>
        <v>207.00000015999998</v>
      </c>
      <c r="CY15">
        <f t="shared" si="4"/>
        <v>189</v>
      </c>
      <c r="CZ15">
        <f t="shared" si="5"/>
        <v>189</v>
      </c>
      <c r="DA15">
        <f t="shared" si="6"/>
        <v>1</v>
      </c>
      <c r="DB15">
        <f t="shared" si="2"/>
        <v>67453.45</v>
      </c>
      <c r="DC15">
        <f t="shared" si="3"/>
        <v>0</v>
      </c>
    </row>
    <row r="16" spans="1:107">
      <c r="A16">
        <f>ROW(Source!A34)</f>
        <v>34</v>
      </c>
      <c r="B16">
        <v>41858681</v>
      </c>
      <c r="C16">
        <v>41857972</v>
      </c>
      <c r="D16">
        <v>38803642</v>
      </c>
      <c r="E16">
        <v>1</v>
      </c>
      <c r="F16">
        <v>1</v>
      </c>
      <c r="G16">
        <v>27</v>
      </c>
      <c r="H16">
        <v>3</v>
      </c>
      <c r="I16" t="s">
        <v>268</v>
      </c>
      <c r="J16" t="s">
        <v>269</v>
      </c>
      <c r="K16" t="s">
        <v>270</v>
      </c>
      <c r="L16">
        <v>1339</v>
      </c>
      <c r="N16">
        <v>1007</v>
      </c>
      <c r="O16" t="s">
        <v>257</v>
      </c>
      <c r="P16" t="s">
        <v>257</v>
      </c>
      <c r="Q16">
        <v>1</v>
      </c>
      <c r="W16">
        <v>0</v>
      </c>
      <c r="X16">
        <v>1865477211</v>
      </c>
      <c r="Y16">
        <v>2</v>
      </c>
      <c r="AA16">
        <v>1105</v>
      </c>
      <c r="AB16">
        <v>0</v>
      </c>
      <c r="AC16">
        <v>0</v>
      </c>
      <c r="AD16">
        <v>0</v>
      </c>
      <c r="AE16">
        <v>1105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 t="s">
        <v>3</v>
      </c>
      <c r="AT16">
        <v>2</v>
      </c>
      <c r="AU16" t="s">
        <v>3</v>
      </c>
      <c r="AV16">
        <v>0</v>
      </c>
      <c r="AW16">
        <v>2</v>
      </c>
      <c r="AX16">
        <v>41857985</v>
      </c>
      <c r="AY16">
        <v>1</v>
      </c>
      <c r="AZ16">
        <v>0</v>
      </c>
      <c r="BA16">
        <v>15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Y16*Source!I34</f>
        <v>1.1599999999999999</v>
      </c>
      <c r="CY16">
        <f t="shared" si="4"/>
        <v>1105</v>
      </c>
      <c r="CZ16">
        <f t="shared" si="5"/>
        <v>1105</v>
      </c>
      <c r="DA16">
        <f t="shared" si="6"/>
        <v>1</v>
      </c>
      <c r="DB16">
        <f t="shared" si="2"/>
        <v>2210</v>
      </c>
      <c r="DC16">
        <f t="shared" si="3"/>
        <v>0</v>
      </c>
    </row>
    <row r="17" spans="1:107">
      <c r="A17">
        <f>ROW(Source!A34)</f>
        <v>34</v>
      </c>
      <c r="B17">
        <v>41858681</v>
      </c>
      <c r="C17">
        <v>41857972</v>
      </c>
      <c r="D17">
        <v>38786925</v>
      </c>
      <c r="E17">
        <v>27</v>
      </c>
      <c r="F17">
        <v>1</v>
      </c>
      <c r="G17">
        <v>27</v>
      </c>
      <c r="H17">
        <v>3</v>
      </c>
      <c r="I17" t="s">
        <v>48</v>
      </c>
      <c r="J17" t="s">
        <v>3</v>
      </c>
      <c r="K17" t="s">
        <v>49</v>
      </c>
      <c r="L17">
        <v>1354</v>
      </c>
      <c r="N17">
        <v>1010</v>
      </c>
      <c r="O17" t="s">
        <v>50</v>
      </c>
      <c r="P17" t="s">
        <v>50</v>
      </c>
      <c r="Q17">
        <v>1</v>
      </c>
      <c r="W17">
        <v>0</v>
      </c>
      <c r="X17">
        <v>-2077348890</v>
      </c>
      <c r="Y17">
        <v>1680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 t="s">
        <v>3</v>
      </c>
      <c r="AT17">
        <v>1680</v>
      </c>
      <c r="AU17" t="s">
        <v>3</v>
      </c>
      <c r="AV17">
        <v>0</v>
      </c>
      <c r="AW17">
        <v>2</v>
      </c>
      <c r="AX17">
        <v>41857986</v>
      </c>
      <c r="AY17">
        <v>1</v>
      </c>
      <c r="AZ17">
        <v>0</v>
      </c>
      <c r="BA17">
        <v>16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Y17*Source!I34</f>
        <v>974.4</v>
      </c>
      <c r="CY17">
        <f t="shared" si="4"/>
        <v>0</v>
      </c>
      <c r="CZ17">
        <f t="shared" si="5"/>
        <v>0</v>
      </c>
      <c r="DA17">
        <f t="shared" si="6"/>
        <v>1</v>
      </c>
      <c r="DB17">
        <f t="shared" si="2"/>
        <v>0</v>
      </c>
      <c r="DC17">
        <f t="shared" si="3"/>
        <v>0</v>
      </c>
    </row>
    <row r="18" spans="1:107">
      <c r="A18">
        <f>ROW(Source!A34)</f>
        <v>34</v>
      </c>
      <c r="B18">
        <v>41858681</v>
      </c>
      <c r="C18">
        <v>41857972</v>
      </c>
      <c r="D18">
        <v>0</v>
      </c>
      <c r="E18">
        <v>0</v>
      </c>
      <c r="F18">
        <v>1</v>
      </c>
      <c r="G18">
        <v>27</v>
      </c>
      <c r="H18">
        <v>3</v>
      </c>
      <c r="I18" t="s">
        <v>56</v>
      </c>
      <c r="J18" t="s">
        <v>3</v>
      </c>
      <c r="K18" t="s">
        <v>57</v>
      </c>
      <c r="L18">
        <v>1354</v>
      </c>
      <c r="N18">
        <v>1010</v>
      </c>
      <c r="O18" t="s">
        <v>50</v>
      </c>
      <c r="P18" t="s">
        <v>50</v>
      </c>
      <c r="Q18">
        <v>1</v>
      </c>
      <c r="W18">
        <v>0</v>
      </c>
      <c r="X18">
        <v>1132781643</v>
      </c>
      <c r="Y18">
        <v>724.13793099999998</v>
      </c>
      <c r="AA18">
        <v>124.17</v>
      </c>
      <c r="AB18">
        <v>0</v>
      </c>
      <c r="AC18">
        <v>0</v>
      </c>
      <c r="AD18">
        <v>0</v>
      </c>
      <c r="AE18">
        <v>124.17</v>
      </c>
      <c r="AF18">
        <v>0</v>
      </c>
      <c r="AG18">
        <v>0</v>
      </c>
      <c r="AH18">
        <v>0</v>
      </c>
      <c r="AI18">
        <v>1</v>
      </c>
      <c r="AJ18">
        <v>1</v>
      </c>
      <c r="AK18">
        <v>1</v>
      </c>
      <c r="AL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 t="s">
        <v>3</v>
      </c>
      <c r="AT18">
        <v>724.13793099999998</v>
      </c>
      <c r="AU18" t="s">
        <v>3</v>
      </c>
      <c r="AV18">
        <v>0</v>
      </c>
      <c r="AW18">
        <v>1</v>
      </c>
      <c r="AX18">
        <v>-1</v>
      </c>
      <c r="AY18">
        <v>0</v>
      </c>
      <c r="AZ18">
        <v>0</v>
      </c>
      <c r="BA18" t="s">
        <v>3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Y18*Source!I34</f>
        <v>419.99999997999998</v>
      </c>
      <c r="CY18">
        <f t="shared" si="4"/>
        <v>124.17</v>
      </c>
      <c r="CZ18">
        <f t="shared" si="5"/>
        <v>124.17</v>
      </c>
      <c r="DA18">
        <f t="shared" si="6"/>
        <v>1</v>
      </c>
      <c r="DB18">
        <f t="shared" si="2"/>
        <v>89916.21</v>
      </c>
      <c r="DC18">
        <f t="shared" si="3"/>
        <v>0</v>
      </c>
    </row>
    <row r="19" spans="1:107">
      <c r="A19">
        <f>ROW(Source!A38)</f>
        <v>38</v>
      </c>
      <c r="B19">
        <v>41858681</v>
      </c>
      <c r="C19">
        <v>41857990</v>
      </c>
      <c r="D19">
        <v>38786840</v>
      </c>
      <c r="E19">
        <v>27</v>
      </c>
      <c r="F19">
        <v>1</v>
      </c>
      <c r="G19">
        <v>27</v>
      </c>
      <c r="H19">
        <v>1</v>
      </c>
      <c r="I19" t="s">
        <v>247</v>
      </c>
      <c r="J19" t="s">
        <v>3</v>
      </c>
      <c r="K19" t="s">
        <v>248</v>
      </c>
      <c r="L19">
        <v>1191</v>
      </c>
      <c r="N19">
        <v>1013</v>
      </c>
      <c r="O19" t="s">
        <v>249</v>
      </c>
      <c r="P19" t="s">
        <v>249</v>
      </c>
      <c r="Q19">
        <v>1</v>
      </c>
      <c r="W19">
        <v>0</v>
      </c>
      <c r="X19">
        <v>476480486</v>
      </c>
      <c r="Y19">
        <v>4.5199999966100002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1</v>
      </c>
      <c r="AP19">
        <v>1</v>
      </c>
      <c r="AQ19">
        <v>0</v>
      </c>
      <c r="AR19">
        <v>0</v>
      </c>
      <c r="AS19" t="s">
        <v>3</v>
      </c>
      <c r="AT19">
        <v>7.91</v>
      </c>
      <c r="AU19" t="s">
        <v>62</v>
      </c>
      <c r="AV19">
        <v>1</v>
      </c>
      <c r="AW19">
        <v>2</v>
      </c>
      <c r="AX19">
        <v>41857995</v>
      </c>
      <c r="AY19">
        <v>1</v>
      </c>
      <c r="AZ19">
        <v>0</v>
      </c>
      <c r="BA19">
        <v>17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Y19*Source!I38</f>
        <v>-2.6215999980337998</v>
      </c>
      <c r="CY19">
        <f>AD19</f>
        <v>0</v>
      </c>
      <c r="CZ19">
        <f>AH19</f>
        <v>0</v>
      </c>
      <c r="DA19">
        <f>AL19</f>
        <v>1</v>
      </c>
      <c r="DB19">
        <f>ROUND((ROUND(AT19*CZ19,2)*0.571428571),6)</f>
        <v>0</v>
      </c>
      <c r="DC19">
        <f>ROUND((ROUND(AT19*AG19,2)*0.571428571),6)</f>
        <v>0</v>
      </c>
    </row>
    <row r="20" spans="1:107">
      <c r="A20">
        <f>ROW(Source!A38)</f>
        <v>38</v>
      </c>
      <c r="B20">
        <v>41858681</v>
      </c>
      <c r="C20">
        <v>41857990</v>
      </c>
      <c r="D20">
        <v>38801771</v>
      </c>
      <c r="E20">
        <v>1</v>
      </c>
      <c r="F20">
        <v>1</v>
      </c>
      <c r="G20">
        <v>27</v>
      </c>
      <c r="H20">
        <v>3</v>
      </c>
      <c r="I20" t="s">
        <v>258</v>
      </c>
      <c r="J20" t="s">
        <v>259</v>
      </c>
      <c r="K20" t="s">
        <v>260</v>
      </c>
      <c r="L20">
        <v>1346</v>
      </c>
      <c r="N20">
        <v>1009</v>
      </c>
      <c r="O20" t="s">
        <v>261</v>
      </c>
      <c r="P20" t="s">
        <v>261</v>
      </c>
      <c r="Q20">
        <v>1</v>
      </c>
      <c r="W20">
        <v>0</v>
      </c>
      <c r="X20">
        <v>-2033961190</v>
      </c>
      <c r="Y20">
        <v>0.2857142855</v>
      </c>
      <c r="AA20">
        <v>171.21</v>
      </c>
      <c r="AB20">
        <v>0</v>
      </c>
      <c r="AC20">
        <v>0</v>
      </c>
      <c r="AD20">
        <v>0</v>
      </c>
      <c r="AE20">
        <v>171.21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N20">
        <v>0</v>
      </c>
      <c r="AO20">
        <v>1</v>
      </c>
      <c r="AP20">
        <v>1</v>
      </c>
      <c r="AQ20">
        <v>0</v>
      </c>
      <c r="AR20">
        <v>0</v>
      </c>
      <c r="AS20" t="s">
        <v>3</v>
      </c>
      <c r="AT20">
        <v>0.5</v>
      </c>
      <c r="AU20" t="s">
        <v>62</v>
      </c>
      <c r="AV20">
        <v>0</v>
      </c>
      <c r="AW20">
        <v>2</v>
      </c>
      <c r="AX20">
        <v>41857996</v>
      </c>
      <c r="AY20">
        <v>1</v>
      </c>
      <c r="AZ20">
        <v>0</v>
      </c>
      <c r="BA20">
        <v>18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Y20*Source!I38</f>
        <v>-0.16571428558999998</v>
      </c>
      <c r="CY20">
        <f>AA20</f>
        <v>171.21</v>
      </c>
      <c r="CZ20">
        <f>AE20</f>
        <v>171.21</v>
      </c>
      <c r="DA20">
        <f>AI20</f>
        <v>1</v>
      </c>
      <c r="DB20">
        <f>ROUND((ROUND(AT20*CZ20,2)*0.571428571),6)</f>
        <v>48.92</v>
      </c>
      <c r="DC20">
        <f>ROUND((ROUND(AT20*AG20,2)*0.571428571),6)</f>
        <v>0</v>
      </c>
    </row>
    <row r="21" spans="1:107">
      <c r="A21">
        <f>ROW(Source!A38)</f>
        <v>38</v>
      </c>
      <c r="B21">
        <v>41858681</v>
      </c>
      <c r="C21">
        <v>41857990</v>
      </c>
      <c r="D21">
        <v>38800613</v>
      </c>
      <c r="E21">
        <v>1</v>
      </c>
      <c r="F21">
        <v>1</v>
      </c>
      <c r="G21">
        <v>27</v>
      </c>
      <c r="H21">
        <v>3</v>
      </c>
      <c r="I21" t="s">
        <v>265</v>
      </c>
      <c r="J21" t="s">
        <v>266</v>
      </c>
      <c r="K21" t="s">
        <v>267</v>
      </c>
      <c r="L21">
        <v>1339</v>
      </c>
      <c r="N21">
        <v>1007</v>
      </c>
      <c r="O21" t="s">
        <v>257</v>
      </c>
      <c r="P21" t="s">
        <v>257</v>
      </c>
      <c r="Q21">
        <v>1</v>
      </c>
      <c r="W21">
        <v>0</v>
      </c>
      <c r="X21">
        <v>538447250</v>
      </c>
      <c r="Y21">
        <v>2.8571428550000001E-3</v>
      </c>
      <c r="AA21">
        <v>7098.7</v>
      </c>
      <c r="AB21">
        <v>0</v>
      </c>
      <c r="AC21">
        <v>0</v>
      </c>
      <c r="AD21">
        <v>0</v>
      </c>
      <c r="AE21">
        <v>7098.7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N21">
        <v>0</v>
      </c>
      <c r="AO21">
        <v>1</v>
      </c>
      <c r="AP21">
        <v>1</v>
      </c>
      <c r="AQ21">
        <v>0</v>
      </c>
      <c r="AR21">
        <v>0</v>
      </c>
      <c r="AS21" t="s">
        <v>3</v>
      </c>
      <c r="AT21">
        <v>5.0000000000000001E-3</v>
      </c>
      <c r="AU21" t="s">
        <v>62</v>
      </c>
      <c r="AV21">
        <v>0</v>
      </c>
      <c r="AW21">
        <v>2</v>
      </c>
      <c r="AX21">
        <v>41857997</v>
      </c>
      <c r="AY21">
        <v>1</v>
      </c>
      <c r="AZ21">
        <v>0</v>
      </c>
      <c r="BA21">
        <v>19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Y21*Source!I38</f>
        <v>-1.6571428558999999E-3</v>
      </c>
      <c r="CY21">
        <f>AA21</f>
        <v>7098.7</v>
      </c>
      <c r="CZ21">
        <f>AE21</f>
        <v>7098.7</v>
      </c>
      <c r="DA21">
        <f>AI21</f>
        <v>1</v>
      </c>
      <c r="DB21">
        <f>ROUND((ROUND(AT21*CZ21,2)*0.571428571),6)</f>
        <v>20.28</v>
      </c>
      <c r="DC21">
        <f>ROUND((ROUND(AT21*AG21,2)*0.571428571),6)</f>
        <v>0</v>
      </c>
    </row>
    <row r="22" spans="1:107">
      <c r="A22">
        <f>ROW(Source!A38)</f>
        <v>38</v>
      </c>
      <c r="B22">
        <v>41858681</v>
      </c>
      <c r="C22">
        <v>41857990</v>
      </c>
      <c r="D22">
        <v>38786925</v>
      </c>
      <c r="E22">
        <v>27</v>
      </c>
      <c r="F22">
        <v>1</v>
      </c>
      <c r="G22">
        <v>27</v>
      </c>
      <c r="H22">
        <v>3</v>
      </c>
      <c r="I22" t="s">
        <v>48</v>
      </c>
      <c r="J22" t="s">
        <v>3</v>
      </c>
      <c r="K22" t="s">
        <v>49</v>
      </c>
      <c r="L22">
        <v>1354</v>
      </c>
      <c r="N22">
        <v>1010</v>
      </c>
      <c r="O22" t="s">
        <v>50</v>
      </c>
      <c r="P22" t="s">
        <v>50</v>
      </c>
      <c r="Q22">
        <v>1</v>
      </c>
      <c r="W22">
        <v>0</v>
      </c>
      <c r="X22">
        <v>-2077348890</v>
      </c>
      <c r="Y22">
        <v>599.99999954999998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N22">
        <v>0</v>
      </c>
      <c r="AO22">
        <v>0</v>
      </c>
      <c r="AP22">
        <v>1</v>
      </c>
      <c r="AQ22">
        <v>0</v>
      </c>
      <c r="AR22">
        <v>0</v>
      </c>
      <c r="AS22" t="s">
        <v>3</v>
      </c>
      <c r="AT22">
        <v>1050</v>
      </c>
      <c r="AU22" t="s">
        <v>62</v>
      </c>
      <c r="AV22">
        <v>0</v>
      </c>
      <c r="AW22">
        <v>2</v>
      </c>
      <c r="AX22">
        <v>41857998</v>
      </c>
      <c r="AY22">
        <v>1</v>
      </c>
      <c r="AZ22">
        <v>0</v>
      </c>
      <c r="BA22">
        <v>20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Y22*Source!I38</f>
        <v>-347.99999973899997</v>
      </c>
      <c r="CY22">
        <f>AA22</f>
        <v>0</v>
      </c>
      <c r="CZ22">
        <f>AE22</f>
        <v>0</v>
      </c>
      <c r="DA22">
        <f>AI22</f>
        <v>1</v>
      </c>
      <c r="DB22">
        <f>ROUND((ROUND(AT22*CZ22,2)*0.571428571),6)</f>
        <v>0</v>
      </c>
      <c r="DC22">
        <f>ROUND((ROUND(AT22*AG22,2)*0.571428571),6)</f>
        <v>0</v>
      </c>
    </row>
    <row r="23" spans="1:107">
      <c r="A23">
        <f>ROW(Source!A77)</f>
        <v>77</v>
      </c>
      <c r="B23">
        <v>41858681</v>
      </c>
      <c r="C23">
        <v>41858000</v>
      </c>
      <c r="D23">
        <v>38786840</v>
      </c>
      <c r="E23">
        <v>27</v>
      </c>
      <c r="F23">
        <v>1</v>
      </c>
      <c r="G23">
        <v>27</v>
      </c>
      <c r="H23">
        <v>1</v>
      </c>
      <c r="I23" t="s">
        <v>247</v>
      </c>
      <c r="J23" t="s">
        <v>3</v>
      </c>
      <c r="K23" t="s">
        <v>248</v>
      </c>
      <c r="L23">
        <v>1191</v>
      </c>
      <c r="N23">
        <v>1013</v>
      </c>
      <c r="O23" t="s">
        <v>249</v>
      </c>
      <c r="P23" t="s">
        <v>249</v>
      </c>
      <c r="Q23">
        <v>1</v>
      </c>
      <c r="W23">
        <v>0</v>
      </c>
      <c r="X23">
        <v>476480486</v>
      </c>
      <c r="Y23">
        <v>11.11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 t="s">
        <v>3</v>
      </c>
      <c r="AT23">
        <v>11.11</v>
      </c>
      <c r="AU23" t="s">
        <v>3</v>
      </c>
      <c r="AV23">
        <v>1</v>
      </c>
      <c r="AW23">
        <v>2</v>
      </c>
      <c r="AX23">
        <v>41858006</v>
      </c>
      <c r="AY23">
        <v>1</v>
      </c>
      <c r="AZ23">
        <v>0</v>
      </c>
      <c r="BA23">
        <v>21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Y23*Source!I77</f>
        <v>22.22</v>
      </c>
      <c r="CY23">
        <f>AD23</f>
        <v>0</v>
      </c>
      <c r="CZ23">
        <f>AH23</f>
        <v>0</v>
      </c>
      <c r="DA23">
        <f>AL23</f>
        <v>1</v>
      </c>
      <c r="DB23">
        <f t="shared" ref="DB23:DB54" si="7">ROUND(ROUND(AT23*CZ23,2),6)</f>
        <v>0</v>
      </c>
      <c r="DC23">
        <f t="shared" ref="DC23:DC54" si="8">ROUND(ROUND(AT23*AG23,2),6)</f>
        <v>0</v>
      </c>
    </row>
    <row r="24" spans="1:107">
      <c r="A24">
        <f>ROW(Source!A77)</f>
        <v>77</v>
      </c>
      <c r="B24">
        <v>41858681</v>
      </c>
      <c r="C24">
        <v>41858000</v>
      </c>
      <c r="D24">
        <v>38799622</v>
      </c>
      <c r="E24">
        <v>1</v>
      </c>
      <c r="F24">
        <v>1</v>
      </c>
      <c r="G24">
        <v>27</v>
      </c>
      <c r="H24">
        <v>2</v>
      </c>
      <c r="I24" t="s">
        <v>271</v>
      </c>
      <c r="J24" t="s">
        <v>272</v>
      </c>
      <c r="K24" t="s">
        <v>273</v>
      </c>
      <c r="L24">
        <v>1368</v>
      </c>
      <c r="N24">
        <v>1011</v>
      </c>
      <c r="O24" t="s">
        <v>253</v>
      </c>
      <c r="P24" t="s">
        <v>253</v>
      </c>
      <c r="Q24">
        <v>1</v>
      </c>
      <c r="W24">
        <v>0</v>
      </c>
      <c r="X24">
        <v>-582299019</v>
      </c>
      <c r="Y24">
        <v>0.25</v>
      </c>
      <c r="AA24">
        <v>0</v>
      </c>
      <c r="AB24">
        <v>27.58</v>
      </c>
      <c r="AC24">
        <v>12.08</v>
      </c>
      <c r="AD24">
        <v>0</v>
      </c>
      <c r="AE24">
        <v>0</v>
      </c>
      <c r="AF24">
        <v>27.58</v>
      </c>
      <c r="AG24">
        <v>12.08</v>
      </c>
      <c r="AH24">
        <v>0</v>
      </c>
      <c r="AI24">
        <v>1</v>
      </c>
      <c r="AJ24">
        <v>1</v>
      </c>
      <c r="AK24">
        <v>1</v>
      </c>
      <c r="AL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S24" t="s">
        <v>3</v>
      </c>
      <c r="AT24">
        <v>0.25</v>
      </c>
      <c r="AU24" t="s">
        <v>3</v>
      </c>
      <c r="AV24">
        <v>0</v>
      </c>
      <c r="AW24">
        <v>2</v>
      </c>
      <c r="AX24">
        <v>41858007</v>
      </c>
      <c r="AY24">
        <v>1</v>
      </c>
      <c r="AZ24">
        <v>0</v>
      </c>
      <c r="BA24">
        <v>22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Y24*Source!I77</f>
        <v>0.5</v>
      </c>
      <c r="CY24">
        <f>AB24</f>
        <v>27.58</v>
      </c>
      <c r="CZ24">
        <f>AF24</f>
        <v>27.58</v>
      </c>
      <c r="DA24">
        <f>AJ24</f>
        <v>1</v>
      </c>
      <c r="DB24">
        <f t="shared" si="7"/>
        <v>6.9</v>
      </c>
      <c r="DC24">
        <f t="shared" si="8"/>
        <v>3.02</v>
      </c>
    </row>
    <row r="25" spans="1:107">
      <c r="A25">
        <f>ROW(Source!A77)</f>
        <v>77</v>
      </c>
      <c r="B25">
        <v>41858681</v>
      </c>
      <c r="C25">
        <v>41858000</v>
      </c>
      <c r="D25">
        <v>38799061</v>
      </c>
      <c r="E25">
        <v>1</v>
      </c>
      <c r="F25">
        <v>1</v>
      </c>
      <c r="G25">
        <v>27</v>
      </c>
      <c r="H25">
        <v>2</v>
      </c>
      <c r="I25" t="s">
        <v>274</v>
      </c>
      <c r="J25" t="s">
        <v>275</v>
      </c>
      <c r="K25" t="s">
        <v>276</v>
      </c>
      <c r="L25">
        <v>1368</v>
      </c>
      <c r="N25">
        <v>1011</v>
      </c>
      <c r="O25" t="s">
        <v>253</v>
      </c>
      <c r="P25" t="s">
        <v>253</v>
      </c>
      <c r="Q25">
        <v>1</v>
      </c>
      <c r="W25">
        <v>0</v>
      </c>
      <c r="X25">
        <v>978366829</v>
      </c>
      <c r="Y25">
        <v>0.25</v>
      </c>
      <c r="AA25">
        <v>0</v>
      </c>
      <c r="AB25">
        <v>991.89</v>
      </c>
      <c r="AC25">
        <v>360.79</v>
      </c>
      <c r="AD25">
        <v>0</v>
      </c>
      <c r="AE25">
        <v>0</v>
      </c>
      <c r="AF25">
        <v>991.89</v>
      </c>
      <c r="AG25">
        <v>360.79</v>
      </c>
      <c r="AH25">
        <v>0</v>
      </c>
      <c r="AI25">
        <v>1</v>
      </c>
      <c r="AJ25">
        <v>1</v>
      </c>
      <c r="AK25">
        <v>1</v>
      </c>
      <c r="AL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 t="s">
        <v>3</v>
      </c>
      <c r="AT25">
        <v>0.25</v>
      </c>
      <c r="AU25" t="s">
        <v>3</v>
      </c>
      <c r="AV25">
        <v>0</v>
      </c>
      <c r="AW25">
        <v>2</v>
      </c>
      <c r="AX25">
        <v>41858008</v>
      </c>
      <c r="AY25">
        <v>1</v>
      </c>
      <c r="AZ25">
        <v>0</v>
      </c>
      <c r="BA25">
        <v>23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Y25*Source!I77</f>
        <v>0.5</v>
      </c>
      <c r="CY25">
        <f>AB25</f>
        <v>991.89</v>
      </c>
      <c r="CZ25">
        <f>AF25</f>
        <v>991.89</v>
      </c>
      <c r="DA25">
        <f>AJ25</f>
        <v>1</v>
      </c>
      <c r="DB25">
        <f t="shared" si="7"/>
        <v>247.97</v>
      </c>
      <c r="DC25">
        <f t="shared" si="8"/>
        <v>90.2</v>
      </c>
    </row>
    <row r="26" spans="1:107">
      <c r="A26">
        <f>ROW(Source!A77)</f>
        <v>77</v>
      </c>
      <c r="B26">
        <v>41858681</v>
      </c>
      <c r="C26">
        <v>41858000</v>
      </c>
      <c r="D26">
        <v>38803649</v>
      </c>
      <c r="E26">
        <v>1</v>
      </c>
      <c r="F26">
        <v>1</v>
      </c>
      <c r="G26">
        <v>27</v>
      </c>
      <c r="H26">
        <v>3</v>
      </c>
      <c r="I26" t="s">
        <v>277</v>
      </c>
      <c r="J26" t="s">
        <v>278</v>
      </c>
      <c r="K26" t="s">
        <v>279</v>
      </c>
      <c r="L26">
        <v>1339</v>
      </c>
      <c r="N26">
        <v>1007</v>
      </c>
      <c r="O26" t="s">
        <v>257</v>
      </c>
      <c r="P26" t="s">
        <v>257</v>
      </c>
      <c r="Q26">
        <v>1</v>
      </c>
      <c r="W26">
        <v>0</v>
      </c>
      <c r="X26">
        <v>620872455</v>
      </c>
      <c r="Y26">
        <v>0.7</v>
      </c>
      <c r="AA26">
        <v>810.33</v>
      </c>
      <c r="AB26">
        <v>0</v>
      </c>
      <c r="AC26">
        <v>0</v>
      </c>
      <c r="AD26">
        <v>0</v>
      </c>
      <c r="AE26">
        <v>810.33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N26">
        <v>0</v>
      </c>
      <c r="AO26">
        <v>1</v>
      </c>
      <c r="AP26">
        <v>0</v>
      </c>
      <c r="AQ26">
        <v>0</v>
      </c>
      <c r="AR26">
        <v>0</v>
      </c>
      <c r="AS26" t="s">
        <v>3</v>
      </c>
      <c r="AT26">
        <v>0.7</v>
      </c>
      <c r="AU26" t="s">
        <v>3</v>
      </c>
      <c r="AV26">
        <v>0</v>
      </c>
      <c r="AW26">
        <v>2</v>
      </c>
      <c r="AX26">
        <v>41858009</v>
      </c>
      <c r="AY26">
        <v>1</v>
      </c>
      <c r="AZ26">
        <v>0</v>
      </c>
      <c r="BA26">
        <v>24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Y26*Source!I77</f>
        <v>1.4</v>
      </c>
      <c r="CY26">
        <f>AA26</f>
        <v>810.33</v>
      </c>
      <c r="CZ26">
        <f>AE26</f>
        <v>810.33</v>
      </c>
      <c r="DA26">
        <f>AI26</f>
        <v>1</v>
      </c>
      <c r="DB26">
        <f t="shared" si="7"/>
        <v>567.23</v>
      </c>
      <c r="DC26">
        <f t="shared" si="8"/>
        <v>0</v>
      </c>
    </row>
    <row r="27" spans="1:107">
      <c r="A27">
        <f>ROW(Source!A77)</f>
        <v>77</v>
      </c>
      <c r="B27">
        <v>41858681</v>
      </c>
      <c r="C27">
        <v>41858000</v>
      </c>
      <c r="D27">
        <v>38803640</v>
      </c>
      <c r="E27">
        <v>1</v>
      </c>
      <c r="F27">
        <v>1</v>
      </c>
      <c r="G27">
        <v>27</v>
      </c>
      <c r="H27">
        <v>3</v>
      </c>
      <c r="I27" t="s">
        <v>254</v>
      </c>
      <c r="J27" t="s">
        <v>280</v>
      </c>
      <c r="K27" t="s">
        <v>256</v>
      </c>
      <c r="L27">
        <v>1339</v>
      </c>
      <c r="N27">
        <v>1007</v>
      </c>
      <c r="O27" t="s">
        <v>257</v>
      </c>
      <c r="P27" t="s">
        <v>257</v>
      </c>
      <c r="Q27">
        <v>1</v>
      </c>
      <c r="W27">
        <v>0</v>
      </c>
      <c r="X27">
        <v>-1172857595</v>
      </c>
      <c r="Y27">
        <v>2</v>
      </c>
      <c r="AA27">
        <v>753.67</v>
      </c>
      <c r="AB27">
        <v>0</v>
      </c>
      <c r="AC27">
        <v>0</v>
      </c>
      <c r="AD27">
        <v>0</v>
      </c>
      <c r="AE27">
        <v>753.67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 t="s">
        <v>3</v>
      </c>
      <c r="AT27">
        <v>2</v>
      </c>
      <c r="AU27" t="s">
        <v>3</v>
      </c>
      <c r="AV27">
        <v>0</v>
      </c>
      <c r="AW27">
        <v>2</v>
      </c>
      <c r="AX27">
        <v>41858010</v>
      </c>
      <c r="AY27">
        <v>1</v>
      </c>
      <c r="AZ27">
        <v>0</v>
      </c>
      <c r="BA27">
        <v>25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Y27*Source!I77</f>
        <v>4</v>
      </c>
      <c r="CY27">
        <f>AA27</f>
        <v>753.67</v>
      </c>
      <c r="CZ27">
        <f>AE27</f>
        <v>753.67</v>
      </c>
      <c r="DA27">
        <f>AI27</f>
        <v>1</v>
      </c>
      <c r="DB27">
        <f t="shared" si="7"/>
        <v>1507.34</v>
      </c>
      <c r="DC27">
        <f t="shared" si="8"/>
        <v>0</v>
      </c>
    </row>
    <row r="28" spans="1:107">
      <c r="A28">
        <f>ROW(Source!A78)</f>
        <v>78</v>
      </c>
      <c r="B28">
        <v>41858681</v>
      </c>
      <c r="C28">
        <v>41858011</v>
      </c>
      <c r="D28">
        <v>38786840</v>
      </c>
      <c r="E28">
        <v>27</v>
      </c>
      <c r="F28">
        <v>1</v>
      </c>
      <c r="G28">
        <v>27</v>
      </c>
      <c r="H28">
        <v>1</v>
      </c>
      <c r="I28" t="s">
        <v>247</v>
      </c>
      <c r="J28" t="s">
        <v>3</v>
      </c>
      <c r="K28" t="s">
        <v>248</v>
      </c>
      <c r="L28">
        <v>1191</v>
      </c>
      <c r="N28">
        <v>1013</v>
      </c>
      <c r="O28" t="s">
        <v>249</v>
      </c>
      <c r="P28" t="s">
        <v>249</v>
      </c>
      <c r="Q28">
        <v>1</v>
      </c>
      <c r="W28">
        <v>0</v>
      </c>
      <c r="X28">
        <v>476480486</v>
      </c>
      <c r="Y28">
        <v>16.79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S28" t="s">
        <v>3</v>
      </c>
      <c r="AT28">
        <v>16.79</v>
      </c>
      <c r="AU28" t="s">
        <v>3</v>
      </c>
      <c r="AV28">
        <v>1</v>
      </c>
      <c r="AW28">
        <v>2</v>
      </c>
      <c r="AX28">
        <v>41858015</v>
      </c>
      <c r="AY28">
        <v>1</v>
      </c>
      <c r="AZ28">
        <v>0</v>
      </c>
      <c r="BA28">
        <v>26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Y28*Source!I78</f>
        <v>50.37</v>
      </c>
      <c r="CY28">
        <f>AD28</f>
        <v>0</v>
      </c>
      <c r="CZ28">
        <f>AH28</f>
        <v>0</v>
      </c>
      <c r="DA28">
        <f>AL28</f>
        <v>1</v>
      </c>
      <c r="DB28">
        <f t="shared" si="7"/>
        <v>0</v>
      </c>
      <c r="DC28">
        <f t="shared" si="8"/>
        <v>0</v>
      </c>
    </row>
    <row r="29" spans="1:107">
      <c r="A29">
        <f>ROW(Source!A78)</f>
        <v>78</v>
      </c>
      <c r="B29">
        <v>41858681</v>
      </c>
      <c r="C29">
        <v>41858011</v>
      </c>
      <c r="D29">
        <v>38803649</v>
      </c>
      <c r="E29">
        <v>1</v>
      </c>
      <c r="F29">
        <v>1</v>
      </c>
      <c r="G29">
        <v>27</v>
      </c>
      <c r="H29">
        <v>3</v>
      </c>
      <c r="I29" t="s">
        <v>277</v>
      </c>
      <c r="J29" t="s">
        <v>278</v>
      </c>
      <c r="K29" t="s">
        <v>279</v>
      </c>
      <c r="L29">
        <v>1339</v>
      </c>
      <c r="N29">
        <v>1007</v>
      </c>
      <c r="O29" t="s">
        <v>257</v>
      </c>
      <c r="P29" t="s">
        <v>257</v>
      </c>
      <c r="Q29">
        <v>1</v>
      </c>
      <c r="W29">
        <v>0</v>
      </c>
      <c r="X29">
        <v>620872455</v>
      </c>
      <c r="Y29">
        <v>0.7</v>
      </c>
      <c r="AA29">
        <v>810.33</v>
      </c>
      <c r="AB29">
        <v>0</v>
      </c>
      <c r="AC29">
        <v>0</v>
      </c>
      <c r="AD29">
        <v>0</v>
      </c>
      <c r="AE29">
        <v>810.33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 t="s">
        <v>3</v>
      </c>
      <c r="AT29">
        <v>0.7</v>
      </c>
      <c r="AU29" t="s">
        <v>3</v>
      </c>
      <c r="AV29">
        <v>0</v>
      </c>
      <c r="AW29">
        <v>2</v>
      </c>
      <c r="AX29">
        <v>41858016</v>
      </c>
      <c r="AY29">
        <v>1</v>
      </c>
      <c r="AZ29">
        <v>0</v>
      </c>
      <c r="BA29">
        <v>27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Y29*Source!I78</f>
        <v>2.0999999999999996</v>
      </c>
      <c r="CY29">
        <f>AA29</f>
        <v>810.33</v>
      </c>
      <c r="CZ29">
        <f>AE29</f>
        <v>810.33</v>
      </c>
      <c r="DA29">
        <f>AI29</f>
        <v>1</v>
      </c>
      <c r="DB29">
        <f t="shared" si="7"/>
        <v>567.23</v>
      </c>
      <c r="DC29">
        <f t="shared" si="8"/>
        <v>0</v>
      </c>
    </row>
    <row r="30" spans="1:107">
      <c r="A30">
        <f>ROW(Source!A78)</f>
        <v>78</v>
      </c>
      <c r="B30">
        <v>41858681</v>
      </c>
      <c r="C30">
        <v>41858011</v>
      </c>
      <c r="D30">
        <v>38803640</v>
      </c>
      <c r="E30">
        <v>1</v>
      </c>
      <c r="F30">
        <v>1</v>
      </c>
      <c r="G30">
        <v>27</v>
      </c>
      <c r="H30">
        <v>3</v>
      </c>
      <c r="I30" t="s">
        <v>254</v>
      </c>
      <c r="J30" t="s">
        <v>280</v>
      </c>
      <c r="K30" t="s">
        <v>256</v>
      </c>
      <c r="L30">
        <v>1339</v>
      </c>
      <c r="N30">
        <v>1007</v>
      </c>
      <c r="O30" t="s">
        <v>257</v>
      </c>
      <c r="P30" t="s">
        <v>257</v>
      </c>
      <c r="Q30">
        <v>1</v>
      </c>
      <c r="W30">
        <v>0</v>
      </c>
      <c r="X30">
        <v>-1172857595</v>
      </c>
      <c r="Y30">
        <v>2</v>
      </c>
      <c r="AA30">
        <v>753.67</v>
      </c>
      <c r="AB30">
        <v>0</v>
      </c>
      <c r="AC30">
        <v>0</v>
      </c>
      <c r="AD30">
        <v>0</v>
      </c>
      <c r="AE30">
        <v>753.67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N30">
        <v>0</v>
      </c>
      <c r="AO30">
        <v>1</v>
      </c>
      <c r="AP30">
        <v>0</v>
      </c>
      <c r="AQ30">
        <v>0</v>
      </c>
      <c r="AR30">
        <v>0</v>
      </c>
      <c r="AS30" t="s">
        <v>3</v>
      </c>
      <c r="AT30">
        <v>2</v>
      </c>
      <c r="AU30" t="s">
        <v>3</v>
      </c>
      <c r="AV30">
        <v>0</v>
      </c>
      <c r="AW30">
        <v>2</v>
      </c>
      <c r="AX30">
        <v>41858017</v>
      </c>
      <c r="AY30">
        <v>1</v>
      </c>
      <c r="AZ30">
        <v>0</v>
      </c>
      <c r="BA30">
        <v>28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Y30*Source!I78</f>
        <v>6</v>
      </c>
      <c r="CY30">
        <f>AA30</f>
        <v>753.67</v>
      </c>
      <c r="CZ30">
        <f>AE30</f>
        <v>753.67</v>
      </c>
      <c r="DA30">
        <f>AI30</f>
        <v>1</v>
      </c>
      <c r="DB30">
        <f t="shared" si="7"/>
        <v>1507.34</v>
      </c>
      <c r="DC30">
        <f t="shared" si="8"/>
        <v>0</v>
      </c>
    </row>
    <row r="31" spans="1:107">
      <c r="A31">
        <f>ROW(Source!A79)</f>
        <v>79</v>
      </c>
      <c r="B31">
        <v>41858681</v>
      </c>
      <c r="C31">
        <v>41858018</v>
      </c>
      <c r="D31">
        <v>38799032</v>
      </c>
      <c r="E31">
        <v>1</v>
      </c>
      <c r="F31">
        <v>1</v>
      </c>
      <c r="G31">
        <v>27</v>
      </c>
      <c r="H31">
        <v>2</v>
      </c>
      <c r="I31" t="s">
        <v>281</v>
      </c>
      <c r="J31" t="s">
        <v>282</v>
      </c>
      <c r="K31" t="s">
        <v>283</v>
      </c>
      <c r="L31">
        <v>1368</v>
      </c>
      <c r="N31">
        <v>1011</v>
      </c>
      <c r="O31" t="s">
        <v>253</v>
      </c>
      <c r="P31" t="s">
        <v>253</v>
      </c>
      <c r="Q31">
        <v>1</v>
      </c>
      <c r="W31">
        <v>0</v>
      </c>
      <c r="X31">
        <v>974897901</v>
      </c>
      <c r="Y31">
        <v>0.31</v>
      </c>
      <c r="AA31">
        <v>0</v>
      </c>
      <c r="AB31">
        <v>956.79</v>
      </c>
      <c r="AC31">
        <v>359.44</v>
      </c>
      <c r="AD31">
        <v>0</v>
      </c>
      <c r="AE31">
        <v>0</v>
      </c>
      <c r="AF31">
        <v>956.79</v>
      </c>
      <c r="AG31">
        <v>359.44</v>
      </c>
      <c r="AH31">
        <v>0</v>
      </c>
      <c r="AI31">
        <v>1</v>
      </c>
      <c r="AJ31">
        <v>1</v>
      </c>
      <c r="AK31">
        <v>1</v>
      </c>
      <c r="AL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S31" t="s">
        <v>3</v>
      </c>
      <c r="AT31">
        <v>0.31</v>
      </c>
      <c r="AU31" t="s">
        <v>3</v>
      </c>
      <c r="AV31">
        <v>0</v>
      </c>
      <c r="AW31">
        <v>2</v>
      </c>
      <c r="AX31">
        <v>41858020</v>
      </c>
      <c r="AY31">
        <v>1</v>
      </c>
      <c r="AZ31">
        <v>0</v>
      </c>
      <c r="BA31">
        <v>29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Y31*Source!I79</f>
        <v>0.16275000000000001</v>
      </c>
      <c r="CY31">
        <f>AB31</f>
        <v>956.79</v>
      </c>
      <c r="CZ31">
        <f>AF31</f>
        <v>956.79</v>
      </c>
      <c r="DA31">
        <f>AJ31</f>
        <v>1</v>
      </c>
      <c r="DB31">
        <f t="shared" si="7"/>
        <v>296.60000000000002</v>
      </c>
      <c r="DC31">
        <f t="shared" si="8"/>
        <v>111.43</v>
      </c>
    </row>
    <row r="32" spans="1:107">
      <c r="A32">
        <f>ROW(Source!A80)</f>
        <v>80</v>
      </c>
      <c r="B32">
        <v>41858681</v>
      </c>
      <c r="C32">
        <v>41858021</v>
      </c>
      <c r="D32">
        <v>38786840</v>
      </c>
      <c r="E32">
        <v>27</v>
      </c>
      <c r="F32">
        <v>1</v>
      </c>
      <c r="G32">
        <v>27</v>
      </c>
      <c r="H32">
        <v>1</v>
      </c>
      <c r="I32" t="s">
        <v>247</v>
      </c>
      <c r="J32" t="s">
        <v>3</v>
      </c>
      <c r="K32" t="s">
        <v>248</v>
      </c>
      <c r="L32">
        <v>1191</v>
      </c>
      <c r="N32">
        <v>1013</v>
      </c>
      <c r="O32" t="s">
        <v>249</v>
      </c>
      <c r="P32" t="s">
        <v>249</v>
      </c>
      <c r="Q32">
        <v>1</v>
      </c>
      <c r="W32">
        <v>0</v>
      </c>
      <c r="X32">
        <v>476480486</v>
      </c>
      <c r="Y32">
        <v>11.73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 t="s">
        <v>3</v>
      </c>
      <c r="AT32">
        <v>11.73</v>
      </c>
      <c r="AU32" t="s">
        <v>3</v>
      </c>
      <c r="AV32">
        <v>1</v>
      </c>
      <c r="AW32">
        <v>2</v>
      </c>
      <c r="AX32">
        <v>41858023</v>
      </c>
      <c r="AY32">
        <v>1</v>
      </c>
      <c r="AZ32">
        <v>0</v>
      </c>
      <c r="BA32">
        <v>30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Y32*Source!I80</f>
        <v>2.0527500000000001</v>
      </c>
      <c r="CY32">
        <f>AD32</f>
        <v>0</v>
      </c>
      <c r="CZ32">
        <f>AH32</f>
        <v>0</v>
      </c>
      <c r="DA32">
        <f>AL32</f>
        <v>1</v>
      </c>
      <c r="DB32">
        <f t="shared" si="7"/>
        <v>0</v>
      </c>
      <c r="DC32">
        <f t="shared" si="8"/>
        <v>0</v>
      </c>
    </row>
    <row r="33" spans="1:107">
      <c r="A33">
        <f>ROW(Source!A81)</f>
        <v>81</v>
      </c>
      <c r="B33">
        <v>41858681</v>
      </c>
      <c r="C33">
        <v>41858024</v>
      </c>
      <c r="D33">
        <v>38786840</v>
      </c>
      <c r="E33">
        <v>27</v>
      </c>
      <c r="F33">
        <v>1</v>
      </c>
      <c r="G33">
        <v>27</v>
      </c>
      <c r="H33">
        <v>1</v>
      </c>
      <c r="I33" t="s">
        <v>247</v>
      </c>
      <c r="J33" t="s">
        <v>3</v>
      </c>
      <c r="K33" t="s">
        <v>248</v>
      </c>
      <c r="L33">
        <v>1191</v>
      </c>
      <c r="N33">
        <v>1013</v>
      </c>
      <c r="O33" t="s">
        <v>249</v>
      </c>
      <c r="P33" t="s">
        <v>249</v>
      </c>
      <c r="Q33">
        <v>1</v>
      </c>
      <c r="W33">
        <v>0</v>
      </c>
      <c r="X33">
        <v>476480486</v>
      </c>
      <c r="Y33">
        <v>7.08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 t="s">
        <v>3</v>
      </c>
      <c r="AT33">
        <v>7.08</v>
      </c>
      <c r="AU33" t="s">
        <v>3</v>
      </c>
      <c r="AV33">
        <v>1</v>
      </c>
      <c r="AW33">
        <v>2</v>
      </c>
      <c r="AX33">
        <v>41858035</v>
      </c>
      <c r="AY33">
        <v>1</v>
      </c>
      <c r="AZ33">
        <v>0</v>
      </c>
      <c r="BA33">
        <v>31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Y33*Source!I81</f>
        <v>35.4</v>
      </c>
      <c r="CY33">
        <f>AD33</f>
        <v>0</v>
      </c>
      <c r="CZ33">
        <f>AH33</f>
        <v>0</v>
      </c>
      <c r="DA33">
        <f>AL33</f>
        <v>1</v>
      </c>
      <c r="DB33">
        <f t="shared" si="7"/>
        <v>0</v>
      </c>
      <c r="DC33">
        <f t="shared" si="8"/>
        <v>0</v>
      </c>
    </row>
    <row r="34" spans="1:107">
      <c r="A34">
        <f>ROW(Source!A81)</f>
        <v>81</v>
      </c>
      <c r="B34">
        <v>41858681</v>
      </c>
      <c r="C34">
        <v>41858024</v>
      </c>
      <c r="D34">
        <v>38799213</v>
      </c>
      <c r="E34">
        <v>1</v>
      </c>
      <c r="F34">
        <v>1</v>
      </c>
      <c r="G34">
        <v>27</v>
      </c>
      <c r="H34">
        <v>2</v>
      </c>
      <c r="I34" t="s">
        <v>284</v>
      </c>
      <c r="J34" t="s">
        <v>285</v>
      </c>
      <c r="K34" t="s">
        <v>286</v>
      </c>
      <c r="L34">
        <v>1368</v>
      </c>
      <c r="N34">
        <v>1011</v>
      </c>
      <c r="O34" t="s">
        <v>253</v>
      </c>
      <c r="P34" t="s">
        <v>253</v>
      </c>
      <c r="Q34">
        <v>1</v>
      </c>
      <c r="W34">
        <v>0</v>
      </c>
      <c r="X34">
        <v>2042885981</v>
      </c>
      <c r="Y34">
        <v>0.32</v>
      </c>
      <c r="AA34">
        <v>0</v>
      </c>
      <c r="AB34">
        <v>2020.59</v>
      </c>
      <c r="AC34">
        <v>458.56</v>
      </c>
      <c r="AD34">
        <v>0</v>
      </c>
      <c r="AE34">
        <v>0</v>
      </c>
      <c r="AF34">
        <v>2020.59</v>
      </c>
      <c r="AG34">
        <v>458.56</v>
      </c>
      <c r="AH34">
        <v>0</v>
      </c>
      <c r="AI34">
        <v>1</v>
      </c>
      <c r="AJ34">
        <v>1</v>
      </c>
      <c r="AK34">
        <v>1</v>
      </c>
      <c r="AL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 t="s">
        <v>3</v>
      </c>
      <c r="AT34">
        <v>0.32</v>
      </c>
      <c r="AU34" t="s">
        <v>3</v>
      </c>
      <c r="AV34">
        <v>0</v>
      </c>
      <c r="AW34">
        <v>2</v>
      </c>
      <c r="AX34">
        <v>41858036</v>
      </c>
      <c r="AY34">
        <v>1</v>
      </c>
      <c r="AZ34">
        <v>0</v>
      </c>
      <c r="BA34">
        <v>32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Y34*Source!I81</f>
        <v>1.6</v>
      </c>
      <c r="CY34">
        <f>AB34</f>
        <v>2020.59</v>
      </c>
      <c r="CZ34">
        <f>AF34</f>
        <v>2020.59</v>
      </c>
      <c r="DA34">
        <f>AJ34</f>
        <v>1</v>
      </c>
      <c r="DB34">
        <f t="shared" si="7"/>
        <v>646.59</v>
      </c>
      <c r="DC34">
        <f t="shared" si="8"/>
        <v>146.74</v>
      </c>
    </row>
    <row r="35" spans="1:107">
      <c r="A35">
        <f>ROW(Source!A81)</f>
        <v>81</v>
      </c>
      <c r="B35">
        <v>41858681</v>
      </c>
      <c r="C35">
        <v>41858024</v>
      </c>
      <c r="D35">
        <v>38801911</v>
      </c>
      <c r="E35">
        <v>1</v>
      </c>
      <c r="F35">
        <v>1</v>
      </c>
      <c r="G35">
        <v>27</v>
      </c>
      <c r="H35">
        <v>3</v>
      </c>
      <c r="I35" t="s">
        <v>262</v>
      </c>
      <c r="J35" t="s">
        <v>263</v>
      </c>
      <c r="K35" t="s">
        <v>264</v>
      </c>
      <c r="L35">
        <v>1339</v>
      </c>
      <c r="N35">
        <v>1007</v>
      </c>
      <c r="O35" t="s">
        <v>257</v>
      </c>
      <c r="P35" t="s">
        <v>257</v>
      </c>
      <c r="Q35">
        <v>1</v>
      </c>
      <c r="W35">
        <v>0</v>
      </c>
      <c r="X35">
        <v>1927597627</v>
      </c>
      <c r="Y35">
        <v>1.07</v>
      </c>
      <c r="AA35">
        <v>35.25</v>
      </c>
      <c r="AB35">
        <v>0</v>
      </c>
      <c r="AC35">
        <v>0</v>
      </c>
      <c r="AD35">
        <v>0</v>
      </c>
      <c r="AE35">
        <v>35.25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S35" t="s">
        <v>3</v>
      </c>
      <c r="AT35">
        <v>1.07</v>
      </c>
      <c r="AU35" t="s">
        <v>3</v>
      </c>
      <c r="AV35">
        <v>0</v>
      </c>
      <c r="AW35">
        <v>2</v>
      </c>
      <c r="AX35">
        <v>41858037</v>
      </c>
      <c r="AY35">
        <v>1</v>
      </c>
      <c r="AZ35">
        <v>0</v>
      </c>
      <c r="BA35">
        <v>33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Y35*Source!I81</f>
        <v>5.3500000000000005</v>
      </c>
      <c r="CY35">
        <f t="shared" ref="CY35:CY42" si="9">AA35</f>
        <v>35.25</v>
      </c>
      <c r="CZ35">
        <f t="shared" ref="CZ35:CZ42" si="10">AE35</f>
        <v>35.25</v>
      </c>
      <c r="DA35">
        <f t="shared" ref="DA35:DA42" si="11">AI35</f>
        <v>1</v>
      </c>
      <c r="DB35">
        <f t="shared" si="7"/>
        <v>37.72</v>
      </c>
      <c r="DC35">
        <f t="shared" si="8"/>
        <v>0</v>
      </c>
    </row>
    <row r="36" spans="1:107">
      <c r="A36">
        <f>ROW(Source!A81)</f>
        <v>81</v>
      </c>
      <c r="B36">
        <v>41858681</v>
      </c>
      <c r="C36">
        <v>41858024</v>
      </c>
      <c r="D36">
        <v>38803250</v>
      </c>
      <c r="E36">
        <v>1</v>
      </c>
      <c r="F36">
        <v>1</v>
      </c>
      <c r="G36">
        <v>27</v>
      </c>
      <c r="H36">
        <v>3</v>
      </c>
      <c r="I36" t="s">
        <v>142</v>
      </c>
      <c r="J36" t="s">
        <v>144</v>
      </c>
      <c r="K36" t="s">
        <v>143</v>
      </c>
      <c r="L36">
        <v>1354</v>
      </c>
      <c r="N36">
        <v>1010</v>
      </c>
      <c r="O36" t="s">
        <v>50</v>
      </c>
      <c r="P36" t="s">
        <v>50</v>
      </c>
      <c r="Q36">
        <v>1</v>
      </c>
      <c r="W36">
        <v>0</v>
      </c>
      <c r="X36">
        <v>1459060616</v>
      </c>
      <c r="Y36">
        <v>5.2</v>
      </c>
      <c r="AA36">
        <v>1409.36</v>
      </c>
      <c r="AB36">
        <v>0</v>
      </c>
      <c r="AC36">
        <v>0</v>
      </c>
      <c r="AD36">
        <v>0</v>
      </c>
      <c r="AE36">
        <v>1409.36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 t="s">
        <v>3</v>
      </c>
      <c r="AT36">
        <v>5.2</v>
      </c>
      <c r="AU36" t="s">
        <v>3</v>
      </c>
      <c r="AV36">
        <v>0</v>
      </c>
      <c r="AW36">
        <v>1</v>
      </c>
      <c r="AX36">
        <v>-1</v>
      </c>
      <c r="AY36">
        <v>0</v>
      </c>
      <c r="AZ36">
        <v>0</v>
      </c>
      <c r="BA36" t="s">
        <v>3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Y36*Source!I81</f>
        <v>26</v>
      </c>
      <c r="CY36">
        <f t="shared" si="9"/>
        <v>1409.36</v>
      </c>
      <c r="CZ36">
        <f t="shared" si="10"/>
        <v>1409.36</v>
      </c>
      <c r="DA36">
        <f t="shared" si="11"/>
        <v>1</v>
      </c>
      <c r="DB36">
        <f t="shared" si="7"/>
        <v>7328.67</v>
      </c>
      <c r="DC36">
        <f t="shared" si="8"/>
        <v>0</v>
      </c>
    </row>
    <row r="37" spans="1:107">
      <c r="A37">
        <f>ROW(Source!A81)</f>
        <v>81</v>
      </c>
      <c r="B37">
        <v>41858681</v>
      </c>
      <c r="C37">
        <v>41858024</v>
      </c>
      <c r="D37">
        <v>0</v>
      </c>
      <c r="E37">
        <v>0</v>
      </c>
      <c r="F37">
        <v>1</v>
      </c>
      <c r="G37">
        <v>27</v>
      </c>
      <c r="H37">
        <v>3</v>
      </c>
      <c r="I37" t="s">
        <v>56</v>
      </c>
      <c r="J37" t="s">
        <v>3</v>
      </c>
      <c r="K37" t="s">
        <v>146</v>
      </c>
      <c r="L37">
        <v>1354</v>
      </c>
      <c r="N37">
        <v>1010</v>
      </c>
      <c r="O37" t="s">
        <v>50</v>
      </c>
      <c r="P37" t="s">
        <v>50</v>
      </c>
      <c r="Q37">
        <v>1</v>
      </c>
      <c r="W37">
        <v>0</v>
      </c>
      <c r="X37">
        <v>1173816668</v>
      </c>
      <c r="Y37">
        <v>1.2</v>
      </c>
      <c r="AA37">
        <v>875</v>
      </c>
      <c r="AB37">
        <v>0</v>
      </c>
      <c r="AC37">
        <v>0</v>
      </c>
      <c r="AD37">
        <v>0</v>
      </c>
      <c r="AE37">
        <v>875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 t="s">
        <v>3</v>
      </c>
      <c r="AT37">
        <v>1.2</v>
      </c>
      <c r="AU37" t="s">
        <v>3</v>
      </c>
      <c r="AV37">
        <v>0</v>
      </c>
      <c r="AW37">
        <v>1</v>
      </c>
      <c r="AX37">
        <v>-1</v>
      </c>
      <c r="AY37">
        <v>0</v>
      </c>
      <c r="AZ37">
        <v>0</v>
      </c>
      <c r="BA37" t="s">
        <v>3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Y37*Source!I81</f>
        <v>6</v>
      </c>
      <c r="CY37">
        <f t="shared" si="9"/>
        <v>875</v>
      </c>
      <c r="CZ37">
        <f t="shared" si="10"/>
        <v>875</v>
      </c>
      <c r="DA37">
        <f t="shared" si="11"/>
        <v>1</v>
      </c>
      <c r="DB37">
        <f t="shared" si="7"/>
        <v>1050</v>
      </c>
      <c r="DC37">
        <f t="shared" si="8"/>
        <v>0</v>
      </c>
    </row>
    <row r="38" spans="1:107">
      <c r="A38">
        <f>ROW(Source!A81)</f>
        <v>81</v>
      </c>
      <c r="B38">
        <v>41858681</v>
      </c>
      <c r="C38">
        <v>41858024</v>
      </c>
      <c r="D38">
        <v>0</v>
      </c>
      <c r="E38">
        <v>27</v>
      </c>
      <c r="F38">
        <v>1</v>
      </c>
      <c r="G38">
        <v>27</v>
      </c>
      <c r="H38">
        <v>3</v>
      </c>
      <c r="I38" t="s">
        <v>56</v>
      </c>
      <c r="J38" t="s">
        <v>3</v>
      </c>
      <c r="K38" t="s">
        <v>148</v>
      </c>
      <c r="L38">
        <v>1354</v>
      </c>
      <c r="N38">
        <v>1010</v>
      </c>
      <c r="O38" t="s">
        <v>50</v>
      </c>
      <c r="P38" t="s">
        <v>50</v>
      </c>
      <c r="Q38">
        <v>1</v>
      </c>
      <c r="W38">
        <v>0</v>
      </c>
      <c r="X38">
        <v>191597022</v>
      </c>
      <c r="Y38">
        <v>0.6</v>
      </c>
      <c r="AA38">
        <v>1150</v>
      </c>
      <c r="AB38">
        <v>0</v>
      </c>
      <c r="AC38">
        <v>0</v>
      </c>
      <c r="AD38">
        <v>0</v>
      </c>
      <c r="AE38">
        <v>1150</v>
      </c>
      <c r="AF38">
        <v>0</v>
      </c>
      <c r="AG38">
        <v>0</v>
      </c>
      <c r="AH38">
        <v>0</v>
      </c>
      <c r="AI38">
        <v>1</v>
      </c>
      <c r="AJ38">
        <v>1</v>
      </c>
      <c r="AK38">
        <v>1</v>
      </c>
      <c r="AL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3</v>
      </c>
      <c r="AT38">
        <v>0.6</v>
      </c>
      <c r="AU38" t="s">
        <v>3</v>
      </c>
      <c r="AV38">
        <v>0</v>
      </c>
      <c r="AW38">
        <v>1</v>
      </c>
      <c r="AX38">
        <v>-1</v>
      </c>
      <c r="AY38">
        <v>0</v>
      </c>
      <c r="AZ38">
        <v>0</v>
      </c>
      <c r="BA38" t="s">
        <v>3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Y38*Source!I81</f>
        <v>3</v>
      </c>
      <c r="CY38">
        <f t="shared" si="9"/>
        <v>1150</v>
      </c>
      <c r="CZ38">
        <f t="shared" si="10"/>
        <v>1150</v>
      </c>
      <c r="DA38">
        <f t="shared" si="11"/>
        <v>1</v>
      </c>
      <c r="DB38">
        <f t="shared" si="7"/>
        <v>690</v>
      </c>
      <c r="DC38">
        <f t="shared" si="8"/>
        <v>0</v>
      </c>
    </row>
    <row r="39" spans="1:107">
      <c r="A39">
        <f>ROW(Source!A81)</f>
        <v>81</v>
      </c>
      <c r="B39">
        <v>41858681</v>
      </c>
      <c r="C39">
        <v>41858024</v>
      </c>
      <c r="D39">
        <v>0</v>
      </c>
      <c r="E39">
        <v>27</v>
      </c>
      <c r="F39">
        <v>1</v>
      </c>
      <c r="G39">
        <v>27</v>
      </c>
      <c r="H39">
        <v>3</v>
      </c>
      <c r="I39" t="s">
        <v>56</v>
      </c>
      <c r="J39" t="s">
        <v>3</v>
      </c>
      <c r="K39" t="s">
        <v>150</v>
      </c>
      <c r="L39">
        <v>1354</v>
      </c>
      <c r="N39">
        <v>1010</v>
      </c>
      <c r="O39" t="s">
        <v>50</v>
      </c>
      <c r="P39" t="s">
        <v>50</v>
      </c>
      <c r="Q39">
        <v>1</v>
      </c>
      <c r="W39">
        <v>0</v>
      </c>
      <c r="X39">
        <v>1522260520</v>
      </c>
      <c r="Y39">
        <v>1.2</v>
      </c>
      <c r="AA39">
        <v>741.67</v>
      </c>
      <c r="AB39">
        <v>0</v>
      </c>
      <c r="AC39">
        <v>0</v>
      </c>
      <c r="AD39">
        <v>0</v>
      </c>
      <c r="AE39">
        <v>741.67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 t="s">
        <v>3</v>
      </c>
      <c r="AT39">
        <v>1.2</v>
      </c>
      <c r="AU39" t="s">
        <v>3</v>
      </c>
      <c r="AV39">
        <v>0</v>
      </c>
      <c r="AW39">
        <v>1</v>
      </c>
      <c r="AX39">
        <v>-1</v>
      </c>
      <c r="AY39">
        <v>0</v>
      </c>
      <c r="AZ39">
        <v>0</v>
      </c>
      <c r="BA39" t="s">
        <v>3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Y39*Source!I81</f>
        <v>6</v>
      </c>
      <c r="CY39">
        <f t="shared" si="9"/>
        <v>741.67</v>
      </c>
      <c r="CZ39">
        <f t="shared" si="10"/>
        <v>741.67</v>
      </c>
      <c r="DA39">
        <f t="shared" si="11"/>
        <v>1</v>
      </c>
      <c r="DB39">
        <f t="shared" si="7"/>
        <v>890</v>
      </c>
      <c r="DC39">
        <f t="shared" si="8"/>
        <v>0</v>
      </c>
    </row>
    <row r="40" spans="1:107">
      <c r="A40">
        <f>ROW(Source!A81)</f>
        <v>81</v>
      </c>
      <c r="B40">
        <v>41858681</v>
      </c>
      <c r="C40">
        <v>41858024</v>
      </c>
      <c r="D40">
        <v>0</v>
      </c>
      <c r="E40">
        <v>27</v>
      </c>
      <c r="F40">
        <v>1</v>
      </c>
      <c r="G40">
        <v>27</v>
      </c>
      <c r="H40">
        <v>3</v>
      </c>
      <c r="I40" t="s">
        <v>56</v>
      </c>
      <c r="J40" t="s">
        <v>3</v>
      </c>
      <c r="K40" t="s">
        <v>152</v>
      </c>
      <c r="L40">
        <v>1354</v>
      </c>
      <c r="N40">
        <v>1010</v>
      </c>
      <c r="O40" t="s">
        <v>50</v>
      </c>
      <c r="P40" t="s">
        <v>50</v>
      </c>
      <c r="Q40">
        <v>1</v>
      </c>
      <c r="W40">
        <v>0</v>
      </c>
      <c r="X40">
        <v>-166335817</v>
      </c>
      <c r="Y40">
        <v>0.6</v>
      </c>
      <c r="AA40">
        <v>1358.33</v>
      </c>
      <c r="AB40">
        <v>0</v>
      </c>
      <c r="AC40">
        <v>0</v>
      </c>
      <c r="AD40">
        <v>0</v>
      </c>
      <c r="AE40">
        <v>1358.33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 t="s">
        <v>3</v>
      </c>
      <c r="AT40">
        <v>0.6</v>
      </c>
      <c r="AU40" t="s">
        <v>3</v>
      </c>
      <c r="AV40">
        <v>0</v>
      </c>
      <c r="AW40">
        <v>1</v>
      </c>
      <c r="AX40">
        <v>-1</v>
      </c>
      <c r="AY40">
        <v>0</v>
      </c>
      <c r="AZ40">
        <v>0</v>
      </c>
      <c r="BA40" t="s">
        <v>3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Y40*Source!I81</f>
        <v>3</v>
      </c>
      <c r="CY40">
        <f t="shared" si="9"/>
        <v>1358.33</v>
      </c>
      <c r="CZ40">
        <f t="shared" si="10"/>
        <v>1358.33</v>
      </c>
      <c r="DA40">
        <f t="shared" si="11"/>
        <v>1</v>
      </c>
      <c r="DB40">
        <f t="shared" si="7"/>
        <v>815</v>
      </c>
      <c r="DC40">
        <f t="shared" si="8"/>
        <v>0</v>
      </c>
    </row>
    <row r="41" spans="1:107">
      <c r="A41">
        <f>ROW(Source!A81)</f>
        <v>81</v>
      </c>
      <c r="B41">
        <v>41858681</v>
      </c>
      <c r="C41">
        <v>41858024</v>
      </c>
      <c r="D41">
        <v>0</v>
      </c>
      <c r="E41">
        <v>27</v>
      </c>
      <c r="F41">
        <v>1</v>
      </c>
      <c r="G41">
        <v>27</v>
      </c>
      <c r="H41">
        <v>3</v>
      </c>
      <c r="I41" t="s">
        <v>56</v>
      </c>
      <c r="J41" t="s">
        <v>3</v>
      </c>
      <c r="K41" t="s">
        <v>154</v>
      </c>
      <c r="L41">
        <v>1354</v>
      </c>
      <c r="N41">
        <v>1010</v>
      </c>
      <c r="O41" t="s">
        <v>50</v>
      </c>
      <c r="P41" t="s">
        <v>50</v>
      </c>
      <c r="Q41">
        <v>1</v>
      </c>
      <c r="W41">
        <v>0</v>
      </c>
      <c r="X41">
        <v>1797921629</v>
      </c>
      <c r="Y41">
        <v>0.6</v>
      </c>
      <c r="AA41">
        <v>1433.33</v>
      </c>
      <c r="AB41">
        <v>0</v>
      </c>
      <c r="AC41">
        <v>0</v>
      </c>
      <c r="AD41">
        <v>0</v>
      </c>
      <c r="AE41">
        <v>1433.33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 t="s">
        <v>3</v>
      </c>
      <c r="AT41">
        <v>0.6</v>
      </c>
      <c r="AU41" t="s">
        <v>3</v>
      </c>
      <c r="AV41">
        <v>0</v>
      </c>
      <c r="AW41">
        <v>1</v>
      </c>
      <c r="AX41">
        <v>-1</v>
      </c>
      <c r="AY41">
        <v>0</v>
      </c>
      <c r="AZ41">
        <v>0</v>
      </c>
      <c r="BA41" t="s">
        <v>3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Y41*Source!I81</f>
        <v>3</v>
      </c>
      <c r="CY41">
        <f t="shared" si="9"/>
        <v>1433.33</v>
      </c>
      <c r="CZ41">
        <f t="shared" si="10"/>
        <v>1433.33</v>
      </c>
      <c r="DA41">
        <f t="shared" si="11"/>
        <v>1</v>
      </c>
      <c r="DB41">
        <f t="shared" si="7"/>
        <v>860</v>
      </c>
      <c r="DC41">
        <f t="shared" si="8"/>
        <v>0</v>
      </c>
    </row>
    <row r="42" spans="1:107">
      <c r="A42">
        <f>ROW(Source!A81)</f>
        <v>81</v>
      </c>
      <c r="B42">
        <v>41858681</v>
      </c>
      <c r="C42">
        <v>41858024</v>
      </c>
      <c r="D42">
        <v>0</v>
      </c>
      <c r="E42">
        <v>27</v>
      </c>
      <c r="F42">
        <v>1</v>
      </c>
      <c r="G42">
        <v>27</v>
      </c>
      <c r="H42">
        <v>3</v>
      </c>
      <c r="I42" t="s">
        <v>56</v>
      </c>
      <c r="J42" t="s">
        <v>3</v>
      </c>
      <c r="K42" t="s">
        <v>156</v>
      </c>
      <c r="L42">
        <v>1354</v>
      </c>
      <c r="N42">
        <v>1010</v>
      </c>
      <c r="O42" t="s">
        <v>50</v>
      </c>
      <c r="P42" t="s">
        <v>50</v>
      </c>
      <c r="Q42">
        <v>1</v>
      </c>
      <c r="W42">
        <v>0</v>
      </c>
      <c r="X42">
        <v>97570920</v>
      </c>
      <c r="Y42">
        <v>0.6</v>
      </c>
      <c r="AA42">
        <v>1316.67</v>
      </c>
      <c r="AB42">
        <v>0</v>
      </c>
      <c r="AC42">
        <v>0</v>
      </c>
      <c r="AD42">
        <v>0</v>
      </c>
      <c r="AE42">
        <v>1316.67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1</v>
      </c>
      <c r="AL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 t="s">
        <v>3</v>
      </c>
      <c r="AT42">
        <v>0.6</v>
      </c>
      <c r="AU42" t="s">
        <v>3</v>
      </c>
      <c r="AV42">
        <v>0</v>
      </c>
      <c r="AW42">
        <v>1</v>
      </c>
      <c r="AX42">
        <v>-1</v>
      </c>
      <c r="AY42">
        <v>0</v>
      </c>
      <c r="AZ42">
        <v>0</v>
      </c>
      <c r="BA42" t="s">
        <v>3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Y42*Source!I81</f>
        <v>3</v>
      </c>
      <c r="CY42">
        <f t="shared" si="9"/>
        <v>1316.67</v>
      </c>
      <c r="CZ42">
        <f t="shared" si="10"/>
        <v>1316.67</v>
      </c>
      <c r="DA42">
        <f t="shared" si="11"/>
        <v>1</v>
      </c>
      <c r="DB42">
        <f t="shared" si="7"/>
        <v>790</v>
      </c>
      <c r="DC42">
        <f t="shared" si="8"/>
        <v>0</v>
      </c>
    </row>
    <row r="43" spans="1:107">
      <c r="A43">
        <f>ROW(Source!A126)</f>
        <v>126</v>
      </c>
      <c r="B43">
        <v>41858681</v>
      </c>
      <c r="C43">
        <v>41858046</v>
      </c>
      <c r="D43">
        <v>38786840</v>
      </c>
      <c r="E43">
        <v>27</v>
      </c>
      <c r="F43">
        <v>1</v>
      </c>
      <c r="G43">
        <v>27</v>
      </c>
      <c r="H43">
        <v>1</v>
      </c>
      <c r="I43" t="s">
        <v>247</v>
      </c>
      <c r="J43" t="s">
        <v>3</v>
      </c>
      <c r="K43" t="s">
        <v>248</v>
      </c>
      <c r="L43">
        <v>1191</v>
      </c>
      <c r="N43">
        <v>1013</v>
      </c>
      <c r="O43" t="s">
        <v>249</v>
      </c>
      <c r="P43" t="s">
        <v>249</v>
      </c>
      <c r="Q43">
        <v>1</v>
      </c>
      <c r="W43">
        <v>0</v>
      </c>
      <c r="X43">
        <v>476480486</v>
      </c>
      <c r="Y43">
        <v>34.44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1</v>
      </c>
      <c r="AL43">
        <v>1</v>
      </c>
      <c r="AN43">
        <v>0</v>
      </c>
      <c r="AO43">
        <v>1</v>
      </c>
      <c r="AP43">
        <v>0</v>
      </c>
      <c r="AQ43">
        <v>0</v>
      </c>
      <c r="AR43">
        <v>0</v>
      </c>
      <c r="AS43" t="s">
        <v>3</v>
      </c>
      <c r="AT43">
        <v>34.44</v>
      </c>
      <c r="AU43" t="s">
        <v>3</v>
      </c>
      <c r="AV43">
        <v>1</v>
      </c>
      <c r="AW43">
        <v>2</v>
      </c>
      <c r="AX43">
        <v>41858051</v>
      </c>
      <c r="AY43">
        <v>1</v>
      </c>
      <c r="AZ43">
        <v>0</v>
      </c>
      <c r="BA43">
        <v>35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Y43*Source!I126</f>
        <v>16.531199999999998</v>
      </c>
      <c r="CY43">
        <f>AD43</f>
        <v>0</v>
      </c>
      <c r="CZ43">
        <f>AH43</f>
        <v>0</v>
      </c>
      <c r="DA43">
        <f>AL43</f>
        <v>1</v>
      </c>
      <c r="DB43">
        <f t="shared" si="7"/>
        <v>0</v>
      </c>
      <c r="DC43">
        <f t="shared" si="8"/>
        <v>0</v>
      </c>
    </row>
    <row r="44" spans="1:107">
      <c r="A44">
        <f>ROW(Source!A126)</f>
        <v>126</v>
      </c>
      <c r="B44">
        <v>41858681</v>
      </c>
      <c r="C44">
        <v>41858046</v>
      </c>
      <c r="D44">
        <v>38799022</v>
      </c>
      <c r="E44">
        <v>1</v>
      </c>
      <c r="F44">
        <v>1</v>
      </c>
      <c r="G44">
        <v>27</v>
      </c>
      <c r="H44">
        <v>2</v>
      </c>
      <c r="I44" t="s">
        <v>250</v>
      </c>
      <c r="J44" t="s">
        <v>287</v>
      </c>
      <c r="K44" t="s">
        <v>252</v>
      </c>
      <c r="L44">
        <v>1368</v>
      </c>
      <c r="N44">
        <v>1011</v>
      </c>
      <c r="O44" t="s">
        <v>253</v>
      </c>
      <c r="P44" t="s">
        <v>253</v>
      </c>
      <c r="Q44">
        <v>1</v>
      </c>
      <c r="W44">
        <v>0</v>
      </c>
      <c r="X44">
        <v>-229298672</v>
      </c>
      <c r="Y44">
        <v>0.68</v>
      </c>
      <c r="AA44">
        <v>0</v>
      </c>
      <c r="AB44">
        <v>812.16</v>
      </c>
      <c r="AC44">
        <v>448.48</v>
      </c>
      <c r="AD44">
        <v>0</v>
      </c>
      <c r="AE44">
        <v>0</v>
      </c>
      <c r="AF44">
        <v>812.16</v>
      </c>
      <c r="AG44">
        <v>448.48</v>
      </c>
      <c r="AH44">
        <v>0</v>
      </c>
      <c r="AI44">
        <v>1</v>
      </c>
      <c r="AJ44">
        <v>1</v>
      </c>
      <c r="AK44">
        <v>1</v>
      </c>
      <c r="AL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 t="s">
        <v>3</v>
      </c>
      <c r="AT44">
        <v>0.68</v>
      </c>
      <c r="AU44" t="s">
        <v>3</v>
      </c>
      <c r="AV44">
        <v>0</v>
      </c>
      <c r="AW44">
        <v>2</v>
      </c>
      <c r="AX44">
        <v>41858052</v>
      </c>
      <c r="AY44">
        <v>1</v>
      </c>
      <c r="AZ44">
        <v>0</v>
      </c>
      <c r="BA44">
        <v>36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Y44*Source!I126</f>
        <v>0.32640000000000002</v>
      </c>
      <c r="CY44">
        <f>AB44</f>
        <v>812.16</v>
      </c>
      <c r="CZ44">
        <f>AF44</f>
        <v>812.16</v>
      </c>
      <c r="DA44">
        <f>AJ44</f>
        <v>1</v>
      </c>
      <c r="DB44">
        <f t="shared" si="7"/>
        <v>552.27</v>
      </c>
      <c r="DC44">
        <f t="shared" si="8"/>
        <v>304.97000000000003</v>
      </c>
    </row>
    <row r="45" spans="1:107">
      <c r="A45">
        <f>ROW(Source!A126)</f>
        <v>126</v>
      </c>
      <c r="B45">
        <v>41858681</v>
      </c>
      <c r="C45">
        <v>41858046</v>
      </c>
      <c r="D45">
        <v>38803649</v>
      </c>
      <c r="E45">
        <v>1</v>
      </c>
      <c r="F45">
        <v>1</v>
      </c>
      <c r="G45">
        <v>27</v>
      </c>
      <c r="H45">
        <v>3</v>
      </c>
      <c r="I45" t="s">
        <v>277</v>
      </c>
      <c r="J45" t="s">
        <v>278</v>
      </c>
      <c r="K45" t="s">
        <v>279</v>
      </c>
      <c r="L45">
        <v>1339</v>
      </c>
      <c r="N45">
        <v>1007</v>
      </c>
      <c r="O45" t="s">
        <v>257</v>
      </c>
      <c r="P45" t="s">
        <v>257</v>
      </c>
      <c r="Q45">
        <v>1</v>
      </c>
      <c r="W45">
        <v>0</v>
      </c>
      <c r="X45">
        <v>620872455</v>
      </c>
      <c r="Y45">
        <v>2.1</v>
      </c>
      <c r="AA45">
        <v>810.33</v>
      </c>
      <c r="AB45">
        <v>0</v>
      </c>
      <c r="AC45">
        <v>0</v>
      </c>
      <c r="AD45">
        <v>0</v>
      </c>
      <c r="AE45">
        <v>810.33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 t="s">
        <v>3</v>
      </c>
      <c r="AT45">
        <v>2.1</v>
      </c>
      <c r="AU45" t="s">
        <v>3</v>
      </c>
      <c r="AV45">
        <v>0</v>
      </c>
      <c r="AW45">
        <v>2</v>
      </c>
      <c r="AX45">
        <v>41858053</v>
      </c>
      <c r="AY45">
        <v>1</v>
      </c>
      <c r="AZ45">
        <v>0</v>
      </c>
      <c r="BA45">
        <v>37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Y45*Source!I126</f>
        <v>1.008</v>
      </c>
      <c r="CY45">
        <f>AA45</f>
        <v>810.33</v>
      </c>
      <c r="CZ45">
        <f>AE45</f>
        <v>810.33</v>
      </c>
      <c r="DA45">
        <f>AI45</f>
        <v>1</v>
      </c>
      <c r="DB45">
        <f t="shared" si="7"/>
        <v>1701.69</v>
      </c>
      <c r="DC45">
        <f t="shared" si="8"/>
        <v>0</v>
      </c>
    </row>
    <row r="46" spans="1:107">
      <c r="A46">
        <f>ROW(Source!A126)</f>
        <v>126</v>
      </c>
      <c r="B46">
        <v>41858681</v>
      </c>
      <c r="C46">
        <v>41858046</v>
      </c>
      <c r="D46">
        <v>38803640</v>
      </c>
      <c r="E46">
        <v>1</v>
      </c>
      <c r="F46">
        <v>1</v>
      </c>
      <c r="G46">
        <v>27</v>
      </c>
      <c r="H46">
        <v>3</v>
      </c>
      <c r="I46" t="s">
        <v>254</v>
      </c>
      <c r="J46" t="s">
        <v>280</v>
      </c>
      <c r="K46" t="s">
        <v>256</v>
      </c>
      <c r="L46">
        <v>1339</v>
      </c>
      <c r="N46">
        <v>1007</v>
      </c>
      <c r="O46" t="s">
        <v>257</v>
      </c>
      <c r="P46" t="s">
        <v>257</v>
      </c>
      <c r="Q46">
        <v>1</v>
      </c>
      <c r="W46">
        <v>0</v>
      </c>
      <c r="X46">
        <v>-1172857595</v>
      </c>
      <c r="Y46">
        <v>6.2</v>
      </c>
      <c r="AA46">
        <v>753.67</v>
      </c>
      <c r="AB46">
        <v>0</v>
      </c>
      <c r="AC46">
        <v>0</v>
      </c>
      <c r="AD46">
        <v>0</v>
      </c>
      <c r="AE46">
        <v>753.67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 t="s">
        <v>3</v>
      </c>
      <c r="AT46">
        <v>6.2</v>
      </c>
      <c r="AU46" t="s">
        <v>3</v>
      </c>
      <c r="AV46">
        <v>0</v>
      </c>
      <c r="AW46">
        <v>2</v>
      </c>
      <c r="AX46">
        <v>41858054</v>
      </c>
      <c r="AY46">
        <v>1</v>
      </c>
      <c r="AZ46">
        <v>0</v>
      </c>
      <c r="BA46">
        <v>38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Y46*Source!I126</f>
        <v>2.976</v>
      </c>
      <c r="CY46">
        <f>AA46</f>
        <v>753.67</v>
      </c>
      <c r="CZ46">
        <f>AE46</f>
        <v>753.67</v>
      </c>
      <c r="DA46">
        <f>AI46</f>
        <v>1</v>
      </c>
      <c r="DB46">
        <f t="shared" si="7"/>
        <v>4672.75</v>
      </c>
      <c r="DC46">
        <f t="shared" si="8"/>
        <v>0</v>
      </c>
    </row>
    <row r="47" spans="1:107">
      <c r="A47">
        <f>ROW(Source!A127)</f>
        <v>127</v>
      </c>
      <c r="B47">
        <v>41858681</v>
      </c>
      <c r="C47">
        <v>41858055</v>
      </c>
      <c r="D47">
        <v>38786840</v>
      </c>
      <c r="E47">
        <v>27</v>
      </c>
      <c r="F47">
        <v>1</v>
      </c>
      <c r="G47">
        <v>27</v>
      </c>
      <c r="H47">
        <v>1</v>
      </c>
      <c r="I47" t="s">
        <v>247</v>
      </c>
      <c r="J47" t="s">
        <v>3</v>
      </c>
      <c r="K47" t="s">
        <v>248</v>
      </c>
      <c r="L47">
        <v>1191</v>
      </c>
      <c r="N47">
        <v>1013</v>
      </c>
      <c r="O47" t="s">
        <v>249</v>
      </c>
      <c r="P47" t="s">
        <v>249</v>
      </c>
      <c r="Q47">
        <v>1</v>
      </c>
      <c r="W47">
        <v>0</v>
      </c>
      <c r="X47">
        <v>476480486</v>
      </c>
      <c r="Y47">
        <v>58.75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 t="s">
        <v>3</v>
      </c>
      <c r="AT47">
        <v>58.75</v>
      </c>
      <c r="AU47" t="s">
        <v>3</v>
      </c>
      <c r="AV47">
        <v>1</v>
      </c>
      <c r="AW47">
        <v>2</v>
      </c>
      <c r="AX47">
        <v>41858059</v>
      </c>
      <c r="AY47">
        <v>1</v>
      </c>
      <c r="AZ47">
        <v>0</v>
      </c>
      <c r="BA47">
        <v>39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Y47*Source!I127</f>
        <v>18.8</v>
      </c>
      <c r="CY47">
        <f>AD47</f>
        <v>0</v>
      </c>
      <c r="CZ47">
        <f>AH47</f>
        <v>0</v>
      </c>
      <c r="DA47">
        <f>AL47</f>
        <v>1</v>
      </c>
      <c r="DB47">
        <f t="shared" si="7"/>
        <v>0</v>
      </c>
      <c r="DC47">
        <f t="shared" si="8"/>
        <v>0</v>
      </c>
    </row>
    <row r="48" spans="1:107">
      <c r="A48">
        <f>ROW(Source!A127)</f>
        <v>127</v>
      </c>
      <c r="B48">
        <v>41858681</v>
      </c>
      <c r="C48">
        <v>41858055</v>
      </c>
      <c r="D48">
        <v>38803649</v>
      </c>
      <c r="E48">
        <v>1</v>
      </c>
      <c r="F48">
        <v>1</v>
      </c>
      <c r="G48">
        <v>27</v>
      </c>
      <c r="H48">
        <v>3</v>
      </c>
      <c r="I48" t="s">
        <v>277</v>
      </c>
      <c r="J48" t="s">
        <v>278</v>
      </c>
      <c r="K48" t="s">
        <v>279</v>
      </c>
      <c r="L48">
        <v>1339</v>
      </c>
      <c r="N48">
        <v>1007</v>
      </c>
      <c r="O48" t="s">
        <v>257</v>
      </c>
      <c r="P48" t="s">
        <v>257</v>
      </c>
      <c r="Q48">
        <v>1</v>
      </c>
      <c r="W48">
        <v>0</v>
      </c>
      <c r="X48">
        <v>620872455</v>
      </c>
      <c r="Y48">
        <v>2.1</v>
      </c>
      <c r="AA48">
        <v>810.33</v>
      </c>
      <c r="AB48">
        <v>0</v>
      </c>
      <c r="AC48">
        <v>0</v>
      </c>
      <c r="AD48">
        <v>0</v>
      </c>
      <c r="AE48">
        <v>810.33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 t="s">
        <v>3</v>
      </c>
      <c r="AT48">
        <v>2.1</v>
      </c>
      <c r="AU48" t="s">
        <v>3</v>
      </c>
      <c r="AV48">
        <v>0</v>
      </c>
      <c r="AW48">
        <v>2</v>
      </c>
      <c r="AX48">
        <v>41858060</v>
      </c>
      <c r="AY48">
        <v>1</v>
      </c>
      <c r="AZ48">
        <v>0</v>
      </c>
      <c r="BA48">
        <v>40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Y48*Source!I127</f>
        <v>0.67200000000000004</v>
      </c>
      <c r="CY48">
        <f>AA48</f>
        <v>810.33</v>
      </c>
      <c r="CZ48">
        <f>AE48</f>
        <v>810.33</v>
      </c>
      <c r="DA48">
        <f>AI48</f>
        <v>1</v>
      </c>
      <c r="DB48">
        <f t="shared" si="7"/>
        <v>1701.69</v>
      </c>
      <c r="DC48">
        <f t="shared" si="8"/>
        <v>0</v>
      </c>
    </row>
    <row r="49" spans="1:107">
      <c r="A49">
        <f>ROW(Source!A127)</f>
        <v>127</v>
      </c>
      <c r="B49">
        <v>41858681</v>
      </c>
      <c r="C49">
        <v>41858055</v>
      </c>
      <c r="D49">
        <v>38803640</v>
      </c>
      <c r="E49">
        <v>1</v>
      </c>
      <c r="F49">
        <v>1</v>
      </c>
      <c r="G49">
        <v>27</v>
      </c>
      <c r="H49">
        <v>3</v>
      </c>
      <c r="I49" t="s">
        <v>254</v>
      </c>
      <c r="J49" t="s">
        <v>280</v>
      </c>
      <c r="K49" t="s">
        <v>256</v>
      </c>
      <c r="L49">
        <v>1339</v>
      </c>
      <c r="N49">
        <v>1007</v>
      </c>
      <c r="O49" t="s">
        <v>257</v>
      </c>
      <c r="P49" t="s">
        <v>257</v>
      </c>
      <c r="Q49">
        <v>1</v>
      </c>
      <c r="W49">
        <v>0</v>
      </c>
      <c r="X49">
        <v>-1172857595</v>
      </c>
      <c r="Y49">
        <v>6.2</v>
      </c>
      <c r="AA49">
        <v>753.67</v>
      </c>
      <c r="AB49">
        <v>0</v>
      </c>
      <c r="AC49">
        <v>0</v>
      </c>
      <c r="AD49">
        <v>0</v>
      </c>
      <c r="AE49">
        <v>753.67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 t="s">
        <v>3</v>
      </c>
      <c r="AT49">
        <v>6.2</v>
      </c>
      <c r="AU49" t="s">
        <v>3</v>
      </c>
      <c r="AV49">
        <v>0</v>
      </c>
      <c r="AW49">
        <v>2</v>
      </c>
      <c r="AX49">
        <v>41858061</v>
      </c>
      <c r="AY49">
        <v>1</v>
      </c>
      <c r="AZ49">
        <v>0</v>
      </c>
      <c r="BA49">
        <v>41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Y49*Source!I127</f>
        <v>1.9840000000000002</v>
      </c>
      <c r="CY49">
        <f>AA49</f>
        <v>753.67</v>
      </c>
      <c r="CZ49">
        <f>AE49</f>
        <v>753.67</v>
      </c>
      <c r="DA49">
        <f>AI49</f>
        <v>1</v>
      </c>
      <c r="DB49">
        <f t="shared" si="7"/>
        <v>4672.75</v>
      </c>
      <c r="DC49">
        <f t="shared" si="8"/>
        <v>0</v>
      </c>
    </row>
    <row r="50" spans="1:107">
      <c r="A50">
        <f>ROW(Source!A128)</f>
        <v>128</v>
      </c>
      <c r="B50">
        <v>41858681</v>
      </c>
      <c r="C50">
        <v>41858062</v>
      </c>
      <c r="D50">
        <v>38799032</v>
      </c>
      <c r="E50">
        <v>1</v>
      </c>
      <c r="F50">
        <v>1</v>
      </c>
      <c r="G50">
        <v>27</v>
      </c>
      <c r="H50">
        <v>2</v>
      </c>
      <c r="I50" t="s">
        <v>281</v>
      </c>
      <c r="J50" t="s">
        <v>282</v>
      </c>
      <c r="K50" t="s">
        <v>283</v>
      </c>
      <c r="L50">
        <v>1368</v>
      </c>
      <c r="N50">
        <v>1011</v>
      </c>
      <c r="O50" t="s">
        <v>253</v>
      </c>
      <c r="P50" t="s">
        <v>253</v>
      </c>
      <c r="Q50">
        <v>1</v>
      </c>
      <c r="W50">
        <v>0</v>
      </c>
      <c r="X50">
        <v>974897901</v>
      </c>
      <c r="Y50">
        <v>0.31</v>
      </c>
      <c r="AA50">
        <v>0</v>
      </c>
      <c r="AB50">
        <v>956.79</v>
      </c>
      <c r="AC50">
        <v>359.44</v>
      </c>
      <c r="AD50">
        <v>0</v>
      </c>
      <c r="AE50">
        <v>0</v>
      </c>
      <c r="AF50">
        <v>956.79</v>
      </c>
      <c r="AG50">
        <v>359.44</v>
      </c>
      <c r="AH50">
        <v>0</v>
      </c>
      <c r="AI50">
        <v>1</v>
      </c>
      <c r="AJ50">
        <v>1</v>
      </c>
      <c r="AK50">
        <v>1</v>
      </c>
      <c r="AL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 t="s">
        <v>3</v>
      </c>
      <c r="AT50">
        <v>0.31</v>
      </c>
      <c r="AU50" t="s">
        <v>3</v>
      </c>
      <c r="AV50">
        <v>0</v>
      </c>
      <c r="AW50">
        <v>2</v>
      </c>
      <c r="AX50">
        <v>41858064</v>
      </c>
      <c r="AY50">
        <v>1</v>
      </c>
      <c r="AZ50">
        <v>0</v>
      </c>
      <c r="BA50">
        <v>42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Y50*Source!I128</f>
        <v>0.10509</v>
      </c>
      <c r="CY50">
        <f>AB50</f>
        <v>956.79</v>
      </c>
      <c r="CZ50">
        <f>AF50</f>
        <v>956.79</v>
      </c>
      <c r="DA50">
        <f>AJ50</f>
        <v>1</v>
      </c>
      <c r="DB50">
        <f t="shared" si="7"/>
        <v>296.60000000000002</v>
      </c>
      <c r="DC50">
        <f t="shared" si="8"/>
        <v>111.43</v>
      </c>
    </row>
    <row r="51" spans="1:107">
      <c r="A51">
        <f>ROW(Source!A129)</f>
        <v>129</v>
      </c>
      <c r="B51">
        <v>41858681</v>
      </c>
      <c r="C51">
        <v>41858065</v>
      </c>
      <c r="D51">
        <v>38786840</v>
      </c>
      <c r="E51">
        <v>27</v>
      </c>
      <c r="F51">
        <v>1</v>
      </c>
      <c r="G51">
        <v>27</v>
      </c>
      <c r="H51">
        <v>1</v>
      </c>
      <c r="I51" t="s">
        <v>247</v>
      </c>
      <c r="J51" t="s">
        <v>3</v>
      </c>
      <c r="K51" t="s">
        <v>248</v>
      </c>
      <c r="L51">
        <v>1191</v>
      </c>
      <c r="N51">
        <v>1013</v>
      </c>
      <c r="O51" t="s">
        <v>249</v>
      </c>
      <c r="P51" t="s">
        <v>249</v>
      </c>
      <c r="Q51">
        <v>1</v>
      </c>
      <c r="W51">
        <v>0</v>
      </c>
      <c r="X51">
        <v>476480486</v>
      </c>
      <c r="Y51">
        <v>11.73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1</v>
      </c>
      <c r="AL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 t="s">
        <v>3</v>
      </c>
      <c r="AT51">
        <v>11.73</v>
      </c>
      <c r="AU51" t="s">
        <v>3</v>
      </c>
      <c r="AV51">
        <v>1</v>
      </c>
      <c r="AW51">
        <v>2</v>
      </c>
      <c r="AX51">
        <v>41858067</v>
      </c>
      <c r="AY51">
        <v>1</v>
      </c>
      <c r="AZ51">
        <v>0</v>
      </c>
      <c r="BA51">
        <v>43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Y51*Source!I129</f>
        <v>1.3254900000000001</v>
      </c>
      <c r="CY51">
        <f>AD51</f>
        <v>0</v>
      </c>
      <c r="CZ51">
        <f>AH51</f>
        <v>0</v>
      </c>
      <c r="DA51">
        <f>AL51</f>
        <v>1</v>
      </c>
      <c r="DB51">
        <f t="shared" si="7"/>
        <v>0</v>
      </c>
      <c r="DC51">
        <f t="shared" si="8"/>
        <v>0</v>
      </c>
    </row>
    <row r="52" spans="1:107">
      <c r="A52">
        <f>ROW(Source!A130)</f>
        <v>130</v>
      </c>
      <c r="B52">
        <v>41858681</v>
      </c>
      <c r="C52">
        <v>41858068</v>
      </c>
      <c r="D52">
        <v>38786840</v>
      </c>
      <c r="E52">
        <v>27</v>
      </c>
      <c r="F52">
        <v>1</v>
      </c>
      <c r="G52">
        <v>27</v>
      </c>
      <c r="H52">
        <v>1</v>
      </c>
      <c r="I52" t="s">
        <v>247</v>
      </c>
      <c r="J52" t="s">
        <v>3</v>
      </c>
      <c r="K52" t="s">
        <v>248</v>
      </c>
      <c r="L52">
        <v>1191</v>
      </c>
      <c r="N52">
        <v>1013</v>
      </c>
      <c r="O52" t="s">
        <v>249</v>
      </c>
      <c r="P52" t="s">
        <v>249</v>
      </c>
      <c r="Q52">
        <v>1</v>
      </c>
      <c r="W52">
        <v>0</v>
      </c>
      <c r="X52">
        <v>476480486</v>
      </c>
      <c r="Y52">
        <v>20.71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 t="s">
        <v>3</v>
      </c>
      <c r="AT52">
        <v>20.71</v>
      </c>
      <c r="AU52" t="s">
        <v>3</v>
      </c>
      <c r="AV52">
        <v>1</v>
      </c>
      <c r="AW52">
        <v>2</v>
      </c>
      <c r="AX52">
        <v>41858077</v>
      </c>
      <c r="AY52">
        <v>1</v>
      </c>
      <c r="AZ52">
        <v>0</v>
      </c>
      <c r="BA52">
        <v>44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Y52*Source!I130</f>
        <v>16.568000000000001</v>
      </c>
      <c r="CY52">
        <f>AD52</f>
        <v>0</v>
      </c>
      <c r="CZ52">
        <f>AH52</f>
        <v>0</v>
      </c>
      <c r="DA52">
        <f>AL52</f>
        <v>1</v>
      </c>
      <c r="DB52">
        <f t="shared" si="7"/>
        <v>0</v>
      </c>
      <c r="DC52">
        <f t="shared" si="8"/>
        <v>0</v>
      </c>
    </row>
    <row r="53" spans="1:107">
      <c r="A53">
        <f>ROW(Source!A130)</f>
        <v>130</v>
      </c>
      <c r="B53">
        <v>41858681</v>
      </c>
      <c r="C53">
        <v>41858068</v>
      </c>
      <c r="D53">
        <v>38799213</v>
      </c>
      <c r="E53">
        <v>1</v>
      </c>
      <c r="F53">
        <v>1</v>
      </c>
      <c r="G53">
        <v>27</v>
      </c>
      <c r="H53">
        <v>2</v>
      </c>
      <c r="I53" t="s">
        <v>284</v>
      </c>
      <c r="J53" t="s">
        <v>285</v>
      </c>
      <c r="K53" t="s">
        <v>286</v>
      </c>
      <c r="L53">
        <v>1368</v>
      </c>
      <c r="N53">
        <v>1011</v>
      </c>
      <c r="O53" t="s">
        <v>253</v>
      </c>
      <c r="P53" t="s">
        <v>253</v>
      </c>
      <c r="Q53">
        <v>1</v>
      </c>
      <c r="W53">
        <v>0</v>
      </c>
      <c r="X53">
        <v>2042885981</v>
      </c>
      <c r="Y53">
        <v>0.76</v>
      </c>
      <c r="AA53">
        <v>0</v>
      </c>
      <c r="AB53">
        <v>2020.59</v>
      </c>
      <c r="AC53">
        <v>458.56</v>
      </c>
      <c r="AD53">
        <v>0</v>
      </c>
      <c r="AE53">
        <v>0</v>
      </c>
      <c r="AF53">
        <v>2020.59</v>
      </c>
      <c r="AG53">
        <v>458.56</v>
      </c>
      <c r="AH53">
        <v>0</v>
      </c>
      <c r="AI53">
        <v>1</v>
      </c>
      <c r="AJ53">
        <v>1</v>
      </c>
      <c r="AK53">
        <v>1</v>
      </c>
      <c r="AL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 t="s">
        <v>3</v>
      </c>
      <c r="AT53">
        <v>0.76</v>
      </c>
      <c r="AU53" t="s">
        <v>3</v>
      </c>
      <c r="AV53">
        <v>0</v>
      </c>
      <c r="AW53">
        <v>2</v>
      </c>
      <c r="AX53">
        <v>41858078</v>
      </c>
      <c r="AY53">
        <v>1</v>
      </c>
      <c r="AZ53">
        <v>0</v>
      </c>
      <c r="BA53">
        <v>45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Y53*Source!I130</f>
        <v>0.6080000000000001</v>
      </c>
      <c r="CY53">
        <f>AB53</f>
        <v>2020.59</v>
      </c>
      <c r="CZ53">
        <f>AF53</f>
        <v>2020.59</v>
      </c>
      <c r="DA53">
        <f>AJ53</f>
        <v>1</v>
      </c>
      <c r="DB53">
        <f t="shared" si="7"/>
        <v>1535.65</v>
      </c>
      <c r="DC53">
        <f t="shared" si="8"/>
        <v>348.51</v>
      </c>
    </row>
    <row r="54" spans="1:107">
      <c r="A54">
        <f>ROW(Source!A130)</f>
        <v>130</v>
      </c>
      <c r="B54">
        <v>41858681</v>
      </c>
      <c r="C54">
        <v>41858068</v>
      </c>
      <c r="D54">
        <v>38801734</v>
      </c>
      <c r="E54">
        <v>1</v>
      </c>
      <c r="F54">
        <v>1</v>
      </c>
      <c r="G54">
        <v>27</v>
      </c>
      <c r="H54">
        <v>3</v>
      </c>
      <c r="I54" t="s">
        <v>288</v>
      </c>
      <c r="J54" t="s">
        <v>289</v>
      </c>
      <c r="K54" t="s">
        <v>290</v>
      </c>
      <c r="L54">
        <v>1327</v>
      </c>
      <c r="N54">
        <v>1005</v>
      </c>
      <c r="O54" t="s">
        <v>291</v>
      </c>
      <c r="P54" t="s">
        <v>291</v>
      </c>
      <c r="Q54">
        <v>1</v>
      </c>
      <c r="W54">
        <v>0</v>
      </c>
      <c r="X54">
        <v>-2047649341</v>
      </c>
      <c r="Y54">
        <v>1.5</v>
      </c>
      <c r="AA54">
        <v>91.89</v>
      </c>
      <c r="AB54">
        <v>0</v>
      </c>
      <c r="AC54">
        <v>0</v>
      </c>
      <c r="AD54">
        <v>0</v>
      </c>
      <c r="AE54">
        <v>91.89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1</v>
      </c>
      <c r="AL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 t="s">
        <v>3</v>
      </c>
      <c r="AT54">
        <v>1.5</v>
      </c>
      <c r="AU54" t="s">
        <v>3</v>
      </c>
      <c r="AV54">
        <v>0</v>
      </c>
      <c r="AW54">
        <v>2</v>
      </c>
      <c r="AX54">
        <v>41858079</v>
      </c>
      <c r="AY54">
        <v>1</v>
      </c>
      <c r="AZ54">
        <v>0</v>
      </c>
      <c r="BA54">
        <v>46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CX54">
        <f>Y54*Source!I130</f>
        <v>1.2000000000000002</v>
      </c>
      <c r="CY54">
        <f t="shared" ref="CY54:CY59" si="12">AA54</f>
        <v>91.89</v>
      </c>
      <c r="CZ54">
        <f t="shared" ref="CZ54:CZ59" si="13">AE54</f>
        <v>91.89</v>
      </c>
      <c r="DA54">
        <f t="shared" ref="DA54:DA59" si="14">AI54</f>
        <v>1</v>
      </c>
      <c r="DB54">
        <f t="shared" si="7"/>
        <v>137.84</v>
      </c>
      <c r="DC54">
        <f t="shared" si="8"/>
        <v>0</v>
      </c>
    </row>
    <row r="55" spans="1:107">
      <c r="A55">
        <f>ROW(Source!A130)</f>
        <v>130</v>
      </c>
      <c r="B55">
        <v>41858681</v>
      </c>
      <c r="C55">
        <v>41858068</v>
      </c>
      <c r="D55">
        <v>38801771</v>
      </c>
      <c r="E55">
        <v>1</v>
      </c>
      <c r="F55">
        <v>1</v>
      </c>
      <c r="G55">
        <v>27</v>
      </c>
      <c r="H55">
        <v>3</v>
      </c>
      <c r="I55" t="s">
        <v>258</v>
      </c>
      <c r="J55" t="s">
        <v>259</v>
      </c>
      <c r="K55" t="s">
        <v>260</v>
      </c>
      <c r="L55">
        <v>1346</v>
      </c>
      <c r="N55">
        <v>1009</v>
      </c>
      <c r="O55" t="s">
        <v>261</v>
      </c>
      <c r="P55" t="s">
        <v>261</v>
      </c>
      <c r="Q55">
        <v>1</v>
      </c>
      <c r="W55">
        <v>0</v>
      </c>
      <c r="X55">
        <v>-2033961190</v>
      </c>
      <c r="Y55">
        <v>0.3</v>
      </c>
      <c r="AA55">
        <v>171.21</v>
      </c>
      <c r="AB55">
        <v>0</v>
      </c>
      <c r="AC55">
        <v>0</v>
      </c>
      <c r="AD55">
        <v>0</v>
      </c>
      <c r="AE55">
        <v>171.21</v>
      </c>
      <c r="AF55">
        <v>0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 t="s">
        <v>3</v>
      </c>
      <c r="AT55">
        <v>0.3</v>
      </c>
      <c r="AU55" t="s">
        <v>3</v>
      </c>
      <c r="AV55">
        <v>0</v>
      </c>
      <c r="AW55">
        <v>2</v>
      </c>
      <c r="AX55">
        <v>41858080</v>
      </c>
      <c r="AY55">
        <v>1</v>
      </c>
      <c r="AZ55">
        <v>0</v>
      </c>
      <c r="BA55">
        <v>47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CX55">
        <f>Y55*Source!I130</f>
        <v>0.24</v>
      </c>
      <c r="CY55">
        <f t="shared" si="12"/>
        <v>171.21</v>
      </c>
      <c r="CZ55">
        <f t="shared" si="13"/>
        <v>171.21</v>
      </c>
      <c r="DA55">
        <f t="shared" si="14"/>
        <v>1</v>
      </c>
      <c r="DB55">
        <f t="shared" ref="DB55:DB86" si="15">ROUND(ROUND(AT55*CZ55,2),6)</f>
        <v>51.36</v>
      </c>
      <c r="DC55">
        <f t="shared" ref="DC55:DC86" si="16">ROUND(ROUND(AT55*AG55,2),6)</f>
        <v>0</v>
      </c>
    </row>
    <row r="56" spans="1:107">
      <c r="A56">
        <f>ROW(Source!A130)</f>
        <v>130</v>
      </c>
      <c r="B56">
        <v>41858681</v>
      </c>
      <c r="C56">
        <v>41858068</v>
      </c>
      <c r="D56">
        <v>38801911</v>
      </c>
      <c r="E56">
        <v>1</v>
      </c>
      <c r="F56">
        <v>1</v>
      </c>
      <c r="G56">
        <v>27</v>
      </c>
      <c r="H56">
        <v>3</v>
      </c>
      <c r="I56" t="s">
        <v>262</v>
      </c>
      <c r="J56" t="s">
        <v>263</v>
      </c>
      <c r="K56" t="s">
        <v>264</v>
      </c>
      <c r="L56">
        <v>1339</v>
      </c>
      <c r="N56">
        <v>1007</v>
      </c>
      <c r="O56" t="s">
        <v>257</v>
      </c>
      <c r="P56" t="s">
        <v>257</v>
      </c>
      <c r="Q56">
        <v>1</v>
      </c>
      <c r="W56">
        <v>0</v>
      </c>
      <c r="X56">
        <v>1927597627</v>
      </c>
      <c r="Y56">
        <v>2.6</v>
      </c>
      <c r="AA56">
        <v>35.25</v>
      </c>
      <c r="AB56">
        <v>0</v>
      </c>
      <c r="AC56">
        <v>0</v>
      </c>
      <c r="AD56">
        <v>0</v>
      </c>
      <c r="AE56">
        <v>35.25</v>
      </c>
      <c r="AF56">
        <v>0</v>
      </c>
      <c r="AG56">
        <v>0</v>
      </c>
      <c r="AH56">
        <v>0</v>
      </c>
      <c r="AI56">
        <v>1</v>
      </c>
      <c r="AJ56">
        <v>1</v>
      </c>
      <c r="AK56">
        <v>1</v>
      </c>
      <c r="AL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 t="s">
        <v>3</v>
      </c>
      <c r="AT56">
        <v>2.6</v>
      </c>
      <c r="AU56" t="s">
        <v>3</v>
      </c>
      <c r="AV56">
        <v>0</v>
      </c>
      <c r="AW56">
        <v>2</v>
      </c>
      <c r="AX56">
        <v>41858081</v>
      </c>
      <c r="AY56">
        <v>1</v>
      </c>
      <c r="AZ56">
        <v>0</v>
      </c>
      <c r="BA56">
        <v>48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CX56">
        <f>Y56*Source!I130</f>
        <v>2.08</v>
      </c>
      <c r="CY56">
        <f t="shared" si="12"/>
        <v>35.25</v>
      </c>
      <c r="CZ56">
        <f t="shared" si="13"/>
        <v>35.25</v>
      </c>
      <c r="DA56">
        <f t="shared" si="14"/>
        <v>1</v>
      </c>
      <c r="DB56">
        <f t="shared" si="15"/>
        <v>91.65</v>
      </c>
      <c r="DC56">
        <f t="shared" si="16"/>
        <v>0</v>
      </c>
    </row>
    <row r="57" spans="1:107">
      <c r="A57">
        <f>ROW(Source!A130)</f>
        <v>130</v>
      </c>
      <c r="B57">
        <v>41858681</v>
      </c>
      <c r="C57">
        <v>41858068</v>
      </c>
      <c r="D57">
        <v>38803219</v>
      </c>
      <c r="E57">
        <v>1</v>
      </c>
      <c r="F57">
        <v>1</v>
      </c>
      <c r="G57">
        <v>27</v>
      </c>
      <c r="H57">
        <v>3</v>
      </c>
      <c r="I57" t="s">
        <v>174</v>
      </c>
      <c r="J57" t="s">
        <v>176</v>
      </c>
      <c r="K57" t="s">
        <v>175</v>
      </c>
      <c r="L57">
        <v>1354</v>
      </c>
      <c r="N57">
        <v>1010</v>
      </c>
      <c r="O57" t="s">
        <v>50</v>
      </c>
      <c r="P57" t="s">
        <v>50</v>
      </c>
      <c r="Q57">
        <v>1</v>
      </c>
      <c r="W57">
        <v>0</v>
      </c>
      <c r="X57">
        <v>260559075</v>
      </c>
      <c r="Y57">
        <v>5</v>
      </c>
      <c r="AA57">
        <v>2961.58</v>
      </c>
      <c r="AB57">
        <v>0</v>
      </c>
      <c r="AC57">
        <v>0</v>
      </c>
      <c r="AD57">
        <v>0</v>
      </c>
      <c r="AE57">
        <v>2961.58</v>
      </c>
      <c r="AF57">
        <v>0</v>
      </c>
      <c r="AG57">
        <v>0</v>
      </c>
      <c r="AH57">
        <v>0</v>
      </c>
      <c r="AI57">
        <v>1</v>
      </c>
      <c r="AJ57">
        <v>1</v>
      </c>
      <c r="AK57">
        <v>1</v>
      </c>
      <c r="AL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 t="s">
        <v>3</v>
      </c>
      <c r="AT57">
        <v>5</v>
      </c>
      <c r="AU57" t="s">
        <v>3</v>
      </c>
      <c r="AV57">
        <v>0</v>
      </c>
      <c r="AW57">
        <v>1</v>
      </c>
      <c r="AX57">
        <v>-1</v>
      </c>
      <c r="AY57">
        <v>0</v>
      </c>
      <c r="AZ57">
        <v>0</v>
      </c>
      <c r="BA57" t="s">
        <v>3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CX57">
        <f>Y57*Source!I130</f>
        <v>4</v>
      </c>
      <c r="CY57">
        <f t="shared" si="12"/>
        <v>2961.58</v>
      </c>
      <c r="CZ57">
        <f t="shared" si="13"/>
        <v>2961.58</v>
      </c>
      <c r="DA57">
        <f t="shared" si="14"/>
        <v>1</v>
      </c>
      <c r="DB57">
        <f t="shared" si="15"/>
        <v>14807.9</v>
      </c>
      <c r="DC57">
        <f t="shared" si="16"/>
        <v>0</v>
      </c>
    </row>
    <row r="58" spans="1:107">
      <c r="A58">
        <f>ROW(Source!A130)</f>
        <v>130</v>
      </c>
      <c r="B58">
        <v>41858681</v>
      </c>
      <c r="C58">
        <v>41858068</v>
      </c>
      <c r="D58">
        <v>38803641</v>
      </c>
      <c r="E58">
        <v>1</v>
      </c>
      <c r="F58">
        <v>1</v>
      </c>
      <c r="G58">
        <v>27</v>
      </c>
      <c r="H58">
        <v>3</v>
      </c>
      <c r="I58" t="s">
        <v>292</v>
      </c>
      <c r="J58" t="s">
        <v>293</v>
      </c>
      <c r="K58" t="s">
        <v>294</v>
      </c>
      <c r="L58">
        <v>1339</v>
      </c>
      <c r="N58">
        <v>1007</v>
      </c>
      <c r="O58" t="s">
        <v>257</v>
      </c>
      <c r="P58" t="s">
        <v>257</v>
      </c>
      <c r="Q58">
        <v>1</v>
      </c>
      <c r="W58">
        <v>0</v>
      </c>
      <c r="X58">
        <v>1048243141</v>
      </c>
      <c r="Y58">
        <v>0.15840000000000001</v>
      </c>
      <c r="AA58">
        <v>3467</v>
      </c>
      <c r="AB58">
        <v>0</v>
      </c>
      <c r="AC58">
        <v>0</v>
      </c>
      <c r="AD58">
        <v>0</v>
      </c>
      <c r="AE58">
        <v>3467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 t="s">
        <v>3</v>
      </c>
      <c r="AT58">
        <v>0.15840000000000001</v>
      </c>
      <c r="AU58" t="s">
        <v>3</v>
      </c>
      <c r="AV58">
        <v>0</v>
      </c>
      <c r="AW58">
        <v>2</v>
      </c>
      <c r="AX58">
        <v>41858082</v>
      </c>
      <c r="AY58">
        <v>1</v>
      </c>
      <c r="AZ58">
        <v>0</v>
      </c>
      <c r="BA58">
        <v>49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CX58">
        <f>Y58*Source!I130</f>
        <v>0.12672000000000003</v>
      </c>
      <c r="CY58">
        <f t="shared" si="12"/>
        <v>3467</v>
      </c>
      <c r="CZ58">
        <f t="shared" si="13"/>
        <v>3467</v>
      </c>
      <c r="DA58">
        <f t="shared" si="14"/>
        <v>1</v>
      </c>
      <c r="DB58">
        <f t="shared" si="15"/>
        <v>549.16999999999996</v>
      </c>
      <c r="DC58">
        <f t="shared" si="16"/>
        <v>0</v>
      </c>
    </row>
    <row r="59" spans="1:107">
      <c r="A59">
        <f>ROW(Source!A130)</f>
        <v>130</v>
      </c>
      <c r="B59">
        <v>41858681</v>
      </c>
      <c r="C59">
        <v>41858068</v>
      </c>
      <c r="D59">
        <v>0</v>
      </c>
      <c r="E59">
        <v>0</v>
      </c>
      <c r="F59">
        <v>1</v>
      </c>
      <c r="G59">
        <v>27</v>
      </c>
      <c r="H59">
        <v>3</v>
      </c>
      <c r="I59" t="s">
        <v>56</v>
      </c>
      <c r="J59" t="s">
        <v>3</v>
      </c>
      <c r="K59" t="s">
        <v>178</v>
      </c>
      <c r="L59">
        <v>1354</v>
      </c>
      <c r="N59">
        <v>1010</v>
      </c>
      <c r="O59" t="s">
        <v>50</v>
      </c>
      <c r="P59" t="s">
        <v>50</v>
      </c>
      <c r="Q59">
        <v>1</v>
      </c>
      <c r="W59">
        <v>0</v>
      </c>
      <c r="X59">
        <v>-2025809612</v>
      </c>
      <c r="Y59">
        <v>5</v>
      </c>
      <c r="AA59">
        <v>2833.33</v>
      </c>
      <c r="AB59">
        <v>0</v>
      </c>
      <c r="AC59">
        <v>0</v>
      </c>
      <c r="AD59">
        <v>0</v>
      </c>
      <c r="AE59">
        <v>2833.33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 t="s">
        <v>3</v>
      </c>
      <c r="AT59">
        <v>5</v>
      </c>
      <c r="AU59" t="s">
        <v>3</v>
      </c>
      <c r="AV59">
        <v>0</v>
      </c>
      <c r="AW59">
        <v>1</v>
      </c>
      <c r="AX59">
        <v>-1</v>
      </c>
      <c r="AY59">
        <v>0</v>
      </c>
      <c r="AZ59">
        <v>0</v>
      </c>
      <c r="BA59" t="s">
        <v>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CX59">
        <f>Y59*Source!I130</f>
        <v>4</v>
      </c>
      <c r="CY59">
        <f t="shared" si="12"/>
        <v>2833.33</v>
      </c>
      <c r="CZ59">
        <f t="shared" si="13"/>
        <v>2833.33</v>
      </c>
      <c r="DA59">
        <f t="shared" si="14"/>
        <v>1</v>
      </c>
      <c r="DB59">
        <f t="shared" si="15"/>
        <v>14166.65</v>
      </c>
      <c r="DC59">
        <f t="shared" si="16"/>
        <v>0</v>
      </c>
    </row>
    <row r="60" spans="1:107">
      <c r="A60">
        <f>ROW(Source!A170)</f>
        <v>170</v>
      </c>
      <c r="B60">
        <v>41858681</v>
      </c>
      <c r="C60">
        <v>41858086</v>
      </c>
      <c r="D60">
        <v>38786840</v>
      </c>
      <c r="E60">
        <v>27</v>
      </c>
      <c r="F60">
        <v>1</v>
      </c>
      <c r="G60">
        <v>27</v>
      </c>
      <c r="H60">
        <v>1</v>
      </c>
      <c r="I60" t="s">
        <v>247</v>
      </c>
      <c r="J60" t="s">
        <v>3</v>
      </c>
      <c r="K60" t="s">
        <v>248</v>
      </c>
      <c r="L60">
        <v>1191</v>
      </c>
      <c r="N60">
        <v>1013</v>
      </c>
      <c r="O60" t="s">
        <v>249</v>
      </c>
      <c r="P60" t="s">
        <v>249</v>
      </c>
      <c r="Q60">
        <v>1</v>
      </c>
      <c r="W60">
        <v>0</v>
      </c>
      <c r="X60">
        <v>476480486</v>
      </c>
      <c r="Y60">
        <v>34.44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1</v>
      </c>
      <c r="AL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 t="s">
        <v>3</v>
      </c>
      <c r="AT60">
        <v>34.44</v>
      </c>
      <c r="AU60" t="s">
        <v>3</v>
      </c>
      <c r="AV60">
        <v>1</v>
      </c>
      <c r="AW60">
        <v>2</v>
      </c>
      <c r="AX60">
        <v>41858091</v>
      </c>
      <c r="AY60">
        <v>1</v>
      </c>
      <c r="AZ60">
        <v>0</v>
      </c>
      <c r="BA60">
        <v>51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CX60">
        <f>Y60*Source!I170</f>
        <v>2.0663999999999998</v>
      </c>
      <c r="CY60">
        <f>AD60</f>
        <v>0</v>
      </c>
      <c r="CZ60">
        <f>AH60</f>
        <v>0</v>
      </c>
      <c r="DA60">
        <f>AL60</f>
        <v>1</v>
      </c>
      <c r="DB60">
        <f t="shared" si="15"/>
        <v>0</v>
      </c>
      <c r="DC60">
        <f t="shared" si="16"/>
        <v>0</v>
      </c>
    </row>
    <row r="61" spans="1:107">
      <c r="A61">
        <f>ROW(Source!A170)</f>
        <v>170</v>
      </c>
      <c r="B61">
        <v>41858681</v>
      </c>
      <c r="C61">
        <v>41858086</v>
      </c>
      <c r="D61">
        <v>38799022</v>
      </c>
      <c r="E61">
        <v>1</v>
      </c>
      <c r="F61">
        <v>1</v>
      </c>
      <c r="G61">
        <v>27</v>
      </c>
      <c r="H61">
        <v>2</v>
      </c>
      <c r="I61" t="s">
        <v>250</v>
      </c>
      <c r="J61" t="s">
        <v>287</v>
      </c>
      <c r="K61" t="s">
        <v>252</v>
      </c>
      <c r="L61">
        <v>1368</v>
      </c>
      <c r="N61">
        <v>1011</v>
      </c>
      <c r="O61" t="s">
        <v>253</v>
      </c>
      <c r="P61" t="s">
        <v>253</v>
      </c>
      <c r="Q61">
        <v>1</v>
      </c>
      <c r="W61">
        <v>0</v>
      </c>
      <c r="X61">
        <v>-229298672</v>
      </c>
      <c r="Y61">
        <v>0.68</v>
      </c>
      <c r="AA61">
        <v>0</v>
      </c>
      <c r="AB61">
        <v>812.16</v>
      </c>
      <c r="AC61">
        <v>448.48</v>
      </c>
      <c r="AD61">
        <v>0</v>
      </c>
      <c r="AE61">
        <v>0</v>
      </c>
      <c r="AF61">
        <v>812.16</v>
      </c>
      <c r="AG61">
        <v>448.48</v>
      </c>
      <c r="AH61">
        <v>0</v>
      </c>
      <c r="AI61">
        <v>1</v>
      </c>
      <c r="AJ61">
        <v>1</v>
      </c>
      <c r="AK61">
        <v>1</v>
      </c>
      <c r="AL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 t="s">
        <v>3</v>
      </c>
      <c r="AT61">
        <v>0.68</v>
      </c>
      <c r="AU61" t="s">
        <v>3</v>
      </c>
      <c r="AV61">
        <v>0</v>
      </c>
      <c r="AW61">
        <v>2</v>
      </c>
      <c r="AX61">
        <v>41858092</v>
      </c>
      <c r="AY61">
        <v>1</v>
      </c>
      <c r="AZ61">
        <v>0</v>
      </c>
      <c r="BA61">
        <v>52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CX61">
        <f>Y61*Source!I170</f>
        <v>4.0800000000000003E-2</v>
      </c>
      <c r="CY61">
        <f>AB61</f>
        <v>812.16</v>
      </c>
      <c r="CZ61">
        <f>AF61</f>
        <v>812.16</v>
      </c>
      <c r="DA61">
        <f>AJ61</f>
        <v>1</v>
      </c>
      <c r="DB61">
        <f t="shared" si="15"/>
        <v>552.27</v>
      </c>
      <c r="DC61">
        <f t="shared" si="16"/>
        <v>304.97000000000003</v>
      </c>
    </row>
    <row r="62" spans="1:107">
      <c r="A62">
        <f>ROW(Source!A170)</f>
        <v>170</v>
      </c>
      <c r="B62">
        <v>41858681</v>
      </c>
      <c r="C62">
        <v>41858086</v>
      </c>
      <c r="D62">
        <v>38803649</v>
      </c>
      <c r="E62">
        <v>1</v>
      </c>
      <c r="F62">
        <v>1</v>
      </c>
      <c r="G62">
        <v>27</v>
      </c>
      <c r="H62">
        <v>3</v>
      </c>
      <c r="I62" t="s">
        <v>277</v>
      </c>
      <c r="J62" t="s">
        <v>278</v>
      </c>
      <c r="K62" t="s">
        <v>279</v>
      </c>
      <c r="L62">
        <v>1339</v>
      </c>
      <c r="N62">
        <v>1007</v>
      </c>
      <c r="O62" t="s">
        <v>257</v>
      </c>
      <c r="P62" t="s">
        <v>257</v>
      </c>
      <c r="Q62">
        <v>1</v>
      </c>
      <c r="W62">
        <v>0</v>
      </c>
      <c r="X62">
        <v>620872455</v>
      </c>
      <c r="Y62">
        <v>2.1</v>
      </c>
      <c r="AA62">
        <v>810.33</v>
      </c>
      <c r="AB62">
        <v>0</v>
      </c>
      <c r="AC62">
        <v>0</v>
      </c>
      <c r="AD62">
        <v>0</v>
      </c>
      <c r="AE62">
        <v>810.33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1</v>
      </c>
      <c r="AN62">
        <v>0</v>
      </c>
      <c r="AO62">
        <v>1</v>
      </c>
      <c r="AP62">
        <v>0</v>
      </c>
      <c r="AQ62">
        <v>0</v>
      </c>
      <c r="AR62">
        <v>0</v>
      </c>
      <c r="AS62" t="s">
        <v>3</v>
      </c>
      <c r="AT62">
        <v>2.1</v>
      </c>
      <c r="AU62" t="s">
        <v>3</v>
      </c>
      <c r="AV62">
        <v>0</v>
      </c>
      <c r="AW62">
        <v>2</v>
      </c>
      <c r="AX62">
        <v>41858093</v>
      </c>
      <c r="AY62">
        <v>1</v>
      </c>
      <c r="AZ62">
        <v>0</v>
      </c>
      <c r="BA62">
        <v>53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CX62">
        <f>Y62*Source!I170</f>
        <v>0.126</v>
      </c>
      <c r="CY62">
        <f>AA62</f>
        <v>810.33</v>
      </c>
      <c r="CZ62">
        <f>AE62</f>
        <v>810.33</v>
      </c>
      <c r="DA62">
        <f>AI62</f>
        <v>1</v>
      </c>
      <c r="DB62">
        <f t="shared" si="15"/>
        <v>1701.69</v>
      </c>
      <c r="DC62">
        <f t="shared" si="16"/>
        <v>0</v>
      </c>
    </row>
    <row r="63" spans="1:107">
      <c r="A63">
        <f>ROW(Source!A170)</f>
        <v>170</v>
      </c>
      <c r="B63">
        <v>41858681</v>
      </c>
      <c r="C63">
        <v>41858086</v>
      </c>
      <c r="D63">
        <v>38803640</v>
      </c>
      <c r="E63">
        <v>1</v>
      </c>
      <c r="F63">
        <v>1</v>
      </c>
      <c r="G63">
        <v>27</v>
      </c>
      <c r="H63">
        <v>3</v>
      </c>
      <c r="I63" t="s">
        <v>254</v>
      </c>
      <c r="J63" t="s">
        <v>280</v>
      </c>
      <c r="K63" t="s">
        <v>256</v>
      </c>
      <c r="L63">
        <v>1339</v>
      </c>
      <c r="N63">
        <v>1007</v>
      </c>
      <c r="O63" t="s">
        <v>257</v>
      </c>
      <c r="P63" t="s">
        <v>257</v>
      </c>
      <c r="Q63">
        <v>1</v>
      </c>
      <c r="W63">
        <v>0</v>
      </c>
      <c r="X63">
        <v>-1172857595</v>
      </c>
      <c r="Y63">
        <v>6.2</v>
      </c>
      <c r="AA63">
        <v>753.67</v>
      </c>
      <c r="AB63">
        <v>0</v>
      </c>
      <c r="AC63">
        <v>0</v>
      </c>
      <c r="AD63">
        <v>0</v>
      </c>
      <c r="AE63">
        <v>753.67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 t="s">
        <v>3</v>
      </c>
      <c r="AT63">
        <v>6.2</v>
      </c>
      <c r="AU63" t="s">
        <v>3</v>
      </c>
      <c r="AV63">
        <v>0</v>
      </c>
      <c r="AW63">
        <v>2</v>
      </c>
      <c r="AX63">
        <v>41858094</v>
      </c>
      <c r="AY63">
        <v>1</v>
      </c>
      <c r="AZ63">
        <v>0</v>
      </c>
      <c r="BA63">
        <v>54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CX63">
        <f>Y63*Source!I170</f>
        <v>0.372</v>
      </c>
      <c r="CY63">
        <f>AA63</f>
        <v>753.67</v>
      </c>
      <c r="CZ63">
        <f>AE63</f>
        <v>753.67</v>
      </c>
      <c r="DA63">
        <f>AI63</f>
        <v>1</v>
      </c>
      <c r="DB63">
        <f t="shared" si="15"/>
        <v>4672.75</v>
      </c>
      <c r="DC63">
        <f t="shared" si="16"/>
        <v>0</v>
      </c>
    </row>
    <row r="64" spans="1:107">
      <c r="A64">
        <f>ROW(Source!A171)</f>
        <v>171</v>
      </c>
      <c r="B64">
        <v>41858681</v>
      </c>
      <c r="C64">
        <v>41858095</v>
      </c>
      <c r="D64">
        <v>38786840</v>
      </c>
      <c r="E64">
        <v>27</v>
      </c>
      <c r="F64">
        <v>1</v>
      </c>
      <c r="G64">
        <v>27</v>
      </c>
      <c r="H64">
        <v>1</v>
      </c>
      <c r="I64" t="s">
        <v>247</v>
      </c>
      <c r="J64" t="s">
        <v>3</v>
      </c>
      <c r="K64" t="s">
        <v>248</v>
      </c>
      <c r="L64">
        <v>1191</v>
      </c>
      <c r="N64">
        <v>1013</v>
      </c>
      <c r="O64" t="s">
        <v>249</v>
      </c>
      <c r="P64" t="s">
        <v>249</v>
      </c>
      <c r="Q64">
        <v>1</v>
      </c>
      <c r="W64">
        <v>0</v>
      </c>
      <c r="X64">
        <v>476480486</v>
      </c>
      <c r="Y64">
        <v>58.75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N64">
        <v>0</v>
      </c>
      <c r="AO64">
        <v>1</v>
      </c>
      <c r="AP64">
        <v>0</v>
      </c>
      <c r="AQ64">
        <v>0</v>
      </c>
      <c r="AR64">
        <v>0</v>
      </c>
      <c r="AS64" t="s">
        <v>3</v>
      </c>
      <c r="AT64">
        <v>58.75</v>
      </c>
      <c r="AU64" t="s">
        <v>3</v>
      </c>
      <c r="AV64">
        <v>1</v>
      </c>
      <c r="AW64">
        <v>2</v>
      </c>
      <c r="AX64">
        <v>41858099</v>
      </c>
      <c r="AY64">
        <v>1</v>
      </c>
      <c r="AZ64">
        <v>0</v>
      </c>
      <c r="BA64">
        <v>55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CX64">
        <f>Y64*Source!I171</f>
        <v>2.35</v>
      </c>
      <c r="CY64">
        <f>AD64</f>
        <v>0</v>
      </c>
      <c r="CZ64">
        <f>AH64</f>
        <v>0</v>
      </c>
      <c r="DA64">
        <f>AL64</f>
        <v>1</v>
      </c>
      <c r="DB64">
        <f t="shared" si="15"/>
        <v>0</v>
      </c>
      <c r="DC64">
        <f t="shared" si="16"/>
        <v>0</v>
      </c>
    </row>
    <row r="65" spans="1:107">
      <c r="A65">
        <f>ROW(Source!A171)</f>
        <v>171</v>
      </c>
      <c r="B65">
        <v>41858681</v>
      </c>
      <c r="C65">
        <v>41858095</v>
      </c>
      <c r="D65">
        <v>38803649</v>
      </c>
      <c r="E65">
        <v>1</v>
      </c>
      <c r="F65">
        <v>1</v>
      </c>
      <c r="G65">
        <v>27</v>
      </c>
      <c r="H65">
        <v>3</v>
      </c>
      <c r="I65" t="s">
        <v>277</v>
      </c>
      <c r="J65" t="s">
        <v>278</v>
      </c>
      <c r="K65" t="s">
        <v>279</v>
      </c>
      <c r="L65">
        <v>1339</v>
      </c>
      <c r="N65">
        <v>1007</v>
      </c>
      <c r="O65" t="s">
        <v>257</v>
      </c>
      <c r="P65" t="s">
        <v>257</v>
      </c>
      <c r="Q65">
        <v>1</v>
      </c>
      <c r="W65">
        <v>0</v>
      </c>
      <c r="X65">
        <v>620872455</v>
      </c>
      <c r="Y65">
        <v>2.1</v>
      </c>
      <c r="AA65">
        <v>810.33</v>
      </c>
      <c r="AB65">
        <v>0</v>
      </c>
      <c r="AC65">
        <v>0</v>
      </c>
      <c r="AD65">
        <v>0</v>
      </c>
      <c r="AE65">
        <v>810.33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1</v>
      </c>
      <c r="AL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 t="s">
        <v>3</v>
      </c>
      <c r="AT65">
        <v>2.1</v>
      </c>
      <c r="AU65" t="s">
        <v>3</v>
      </c>
      <c r="AV65">
        <v>0</v>
      </c>
      <c r="AW65">
        <v>2</v>
      </c>
      <c r="AX65">
        <v>41858100</v>
      </c>
      <c r="AY65">
        <v>1</v>
      </c>
      <c r="AZ65">
        <v>0</v>
      </c>
      <c r="BA65">
        <v>56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CX65">
        <f>Y65*Source!I171</f>
        <v>8.4000000000000005E-2</v>
      </c>
      <c r="CY65">
        <f>AA65</f>
        <v>810.33</v>
      </c>
      <c r="CZ65">
        <f>AE65</f>
        <v>810.33</v>
      </c>
      <c r="DA65">
        <f>AI65</f>
        <v>1</v>
      </c>
      <c r="DB65">
        <f t="shared" si="15"/>
        <v>1701.69</v>
      </c>
      <c r="DC65">
        <f t="shared" si="16"/>
        <v>0</v>
      </c>
    </row>
    <row r="66" spans="1:107">
      <c r="A66">
        <f>ROW(Source!A171)</f>
        <v>171</v>
      </c>
      <c r="B66">
        <v>41858681</v>
      </c>
      <c r="C66">
        <v>41858095</v>
      </c>
      <c r="D66">
        <v>38803640</v>
      </c>
      <c r="E66">
        <v>1</v>
      </c>
      <c r="F66">
        <v>1</v>
      </c>
      <c r="G66">
        <v>27</v>
      </c>
      <c r="H66">
        <v>3</v>
      </c>
      <c r="I66" t="s">
        <v>254</v>
      </c>
      <c r="J66" t="s">
        <v>280</v>
      </c>
      <c r="K66" t="s">
        <v>256</v>
      </c>
      <c r="L66">
        <v>1339</v>
      </c>
      <c r="N66">
        <v>1007</v>
      </c>
      <c r="O66" t="s">
        <v>257</v>
      </c>
      <c r="P66" t="s">
        <v>257</v>
      </c>
      <c r="Q66">
        <v>1</v>
      </c>
      <c r="W66">
        <v>0</v>
      </c>
      <c r="X66">
        <v>-1172857595</v>
      </c>
      <c r="Y66">
        <v>6.2</v>
      </c>
      <c r="AA66">
        <v>753.67</v>
      </c>
      <c r="AB66">
        <v>0</v>
      </c>
      <c r="AC66">
        <v>0</v>
      </c>
      <c r="AD66">
        <v>0</v>
      </c>
      <c r="AE66">
        <v>753.67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1</v>
      </c>
      <c r="AL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 t="s">
        <v>3</v>
      </c>
      <c r="AT66">
        <v>6.2</v>
      </c>
      <c r="AU66" t="s">
        <v>3</v>
      </c>
      <c r="AV66">
        <v>0</v>
      </c>
      <c r="AW66">
        <v>2</v>
      </c>
      <c r="AX66">
        <v>41858101</v>
      </c>
      <c r="AY66">
        <v>1</v>
      </c>
      <c r="AZ66">
        <v>0</v>
      </c>
      <c r="BA66">
        <v>57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CX66">
        <f>Y66*Source!I171</f>
        <v>0.24800000000000003</v>
      </c>
      <c r="CY66">
        <f>AA66</f>
        <v>753.67</v>
      </c>
      <c r="CZ66">
        <f>AE66</f>
        <v>753.67</v>
      </c>
      <c r="DA66">
        <f>AI66</f>
        <v>1</v>
      </c>
      <c r="DB66">
        <f t="shared" si="15"/>
        <v>4672.75</v>
      </c>
      <c r="DC66">
        <f t="shared" si="16"/>
        <v>0</v>
      </c>
    </row>
    <row r="67" spans="1:107">
      <c r="A67">
        <f>ROW(Source!A172)</f>
        <v>172</v>
      </c>
      <c r="B67">
        <v>41858681</v>
      </c>
      <c r="C67">
        <v>41858102</v>
      </c>
      <c r="D67">
        <v>38799032</v>
      </c>
      <c r="E67">
        <v>1</v>
      </c>
      <c r="F67">
        <v>1</v>
      </c>
      <c r="G67">
        <v>27</v>
      </c>
      <c r="H67">
        <v>2</v>
      </c>
      <c r="I67" t="s">
        <v>281</v>
      </c>
      <c r="J67" t="s">
        <v>282</v>
      </c>
      <c r="K67" t="s">
        <v>283</v>
      </c>
      <c r="L67">
        <v>1368</v>
      </c>
      <c r="N67">
        <v>1011</v>
      </c>
      <c r="O67" t="s">
        <v>253</v>
      </c>
      <c r="P67" t="s">
        <v>253</v>
      </c>
      <c r="Q67">
        <v>1</v>
      </c>
      <c r="W67">
        <v>0</v>
      </c>
      <c r="X67">
        <v>974897901</v>
      </c>
      <c r="Y67">
        <v>0.31</v>
      </c>
      <c r="AA67">
        <v>0</v>
      </c>
      <c r="AB67">
        <v>956.79</v>
      </c>
      <c r="AC67">
        <v>359.44</v>
      </c>
      <c r="AD67">
        <v>0</v>
      </c>
      <c r="AE67">
        <v>0</v>
      </c>
      <c r="AF67">
        <v>956.79</v>
      </c>
      <c r="AG67">
        <v>359.44</v>
      </c>
      <c r="AH67">
        <v>0</v>
      </c>
      <c r="AI67">
        <v>1</v>
      </c>
      <c r="AJ67">
        <v>1</v>
      </c>
      <c r="AK67">
        <v>1</v>
      </c>
      <c r="AL67">
        <v>1</v>
      </c>
      <c r="AN67">
        <v>0</v>
      </c>
      <c r="AO67">
        <v>1</v>
      </c>
      <c r="AP67">
        <v>0</v>
      </c>
      <c r="AQ67">
        <v>0</v>
      </c>
      <c r="AR67">
        <v>0</v>
      </c>
      <c r="AS67" t="s">
        <v>3</v>
      </c>
      <c r="AT67">
        <v>0.31</v>
      </c>
      <c r="AU67" t="s">
        <v>3</v>
      </c>
      <c r="AV67">
        <v>0</v>
      </c>
      <c r="AW67">
        <v>2</v>
      </c>
      <c r="AX67">
        <v>41858104</v>
      </c>
      <c r="AY67">
        <v>1</v>
      </c>
      <c r="AZ67">
        <v>0</v>
      </c>
      <c r="BA67">
        <v>58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CX67">
        <f>Y67*Source!I172</f>
        <v>1.3143999999999999E-2</v>
      </c>
      <c r="CY67">
        <f>AB67</f>
        <v>956.79</v>
      </c>
      <c r="CZ67">
        <f>AF67</f>
        <v>956.79</v>
      </c>
      <c r="DA67">
        <f>AJ67</f>
        <v>1</v>
      </c>
      <c r="DB67">
        <f t="shared" si="15"/>
        <v>296.60000000000002</v>
      </c>
      <c r="DC67">
        <f t="shared" si="16"/>
        <v>111.43</v>
      </c>
    </row>
    <row r="68" spans="1:107">
      <c r="A68">
        <f>ROW(Source!A173)</f>
        <v>173</v>
      </c>
      <c r="B68">
        <v>41858681</v>
      </c>
      <c r="C68">
        <v>41858105</v>
      </c>
      <c r="D68">
        <v>38786840</v>
      </c>
      <c r="E68">
        <v>27</v>
      </c>
      <c r="F68">
        <v>1</v>
      </c>
      <c r="G68">
        <v>27</v>
      </c>
      <c r="H68">
        <v>1</v>
      </c>
      <c r="I68" t="s">
        <v>247</v>
      </c>
      <c r="J68" t="s">
        <v>3</v>
      </c>
      <c r="K68" t="s">
        <v>248</v>
      </c>
      <c r="L68">
        <v>1191</v>
      </c>
      <c r="N68">
        <v>1013</v>
      </c>
      <c r="O68" t="s">
        <v>249</v>
      </c>
      <c r="P68" t="s">
        <v>249</v>
      </c>
      <c r="Q68">
        <v>1</v>
      </c>
      <c r="W68">
        <v>0</v>
      </c>
      <c r="X68">
        <v>476480486</v>
      </c>
      <c r="Y68">
        <v>11.73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1</v>
      </c>
      <c r="AL68">
        <v>1</v>
      </c>
      <c r="AN68">
        <v>0</v>
      </c>
      <c r="AO68">
        <v>1</v>
      </c>
      <c r="AP68">
        <v>0</v>
      </c>
      <c r="AQ68">
        <v>0</v>
      </c>
      <c r="AR68">
        <v>0</v>
      </c>
      <c r="AS68" t="s">
        <v>3</v>
      </c>
      <c r="AT68">
        <v>11.73</v>
      </c>
      <c r="AU68" t="s">
        <v>3</v>
      </c>
      <c r="AV68">
        <v>1</v>
      </c>
      <c r="AW68">
        <v>2</v>
      </c>
      <c r="AX68">
        <v>41858107</v>
      </c>
      <c r="AY68">
        <v>1</v>
      </c>
      <c r="AZ68">
        <v>0</v>
      </c>
      <c r="BA68">
        <v>59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CX68">
        <f>Y68*Source!I173</f>
        <v>0.16539300000000001</v>
      </c>
      <c r="CY68">
        <f>AD68</f>
        <v>0</v>
      </c>
      <c r="CZ68">
        <f>AH68</f>
        <v>0</v>
      </c>
      <c r="DA68">
        <f>AL68</f>
        <v>1</v>
      </c>
      <c r="DB68">
        <f t="shared" si="15"/>
        <v>0</v>
      </c>
      <c r="DC68">
        <f t="shared" si="16"/>
        <v>0</v>
      </c>
    </row>
    <row r="69" spans="1:107">
      <c r="A69">
        <f>ROW(Source!A174)</f>
        <v>174</v>
      </c>
      <c r="B69">
        <v>41858681</v>
      </c>
      <c r="C69">
        <v>41858108</v>
      </c>
      <c r="D69">
        <v>38786840</v>
      </c>
      <c r="E69">
        <v>27</v>
      </c>
      <c r="F69">
        <v>1</v>
      </c>
      <c r="G69">
        <v>27</v>
      </c>
      <c r="H69">
        <v>1</v>
      </c>
      <c r="I69" t="s">
        <v>247</v>
      </c>
      <c r="J69" t="s">
        <v>3</v>
      </c>
      <c r="K69" t="s">
        <v>248</v>
      </c>
      <c r="L69">
        <v>1191</v>
      </c>
      <c r="N69">
        <v>1013</v>
      </c>
      <c r="O69" t="s">
        <v>249</v>
      </c>
      <c r="P69" t="s">
        <v>249</v>
      </c>
      <c r="Q69">
        <v>1</v>
      </c>
      <c r="W69">
        <v>0</v>
      </c>
      <c r="X69">
        <v>476480486</v>
      </c>
      <c r="Y69">
        <v>20.71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S69" t="s">
        <v>3</v>
      </c>
      <c r="AT69">
        <v>20.71</v>
      </c>
      <c r="AU69" t="s">
        <v>3</v>
      </c>
      <c r="AV69">
        <v>1</v>
      </c>
      <c r="AW69">
        <v>2</v>
      </c>
      <c r="AX69">
        <v>41858116</v>
      </c>
      <c r="AY69">
        <v>1</v>
      </c>
      <c r="AZ69">
        <v>0</v>
      </c>
      <c r="BA69">
        <v>60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CX69">
        <f>Y69*Source!I174</f>
        <v>2.0710000000000002</v>
      </c>
      <c r="CY69">
        <f>AD69</f>
        <v>0</v>
      </c>
      <c r="CZ69">
        <f>AH69</f>
        <v>0</v>
      </c>
      <c r="DA69">
        <f>AL69</f>
        <v>1</v>
      </c>
      <c r="DB69">
        <f t="shared" si="15"/>
        <v>0</v>
      </c>
      <c r="DC69">
        <f t="shared" si="16"/>
        <v>0</v>
      </c>
    </row>
    <row r="70" spans="1:107">
      <c r="A70">
        <f>ROW(Source!A174)</f>
        <v>174</v>
      </c>
      <c r="B70">
        <v>41858681</v>
      </c>
      <c r="C70">
        <v>41858108</v>
      </c>
      <c r="D70">
        <v>38799213</v>
      </c>
      <c r="E70">
        <v>1</v>
      </c>
      <c r="F70">
        <v>1</v>
      </c>
      <c r="G70">
        <v>27</v>
      </c>
      <c r="H70">
        <v>2</v>
      </c>
      <c r="I70" t="s">
        <v>284</v>
      </c>
      <c r="J70" t="s">
        <v>285</v>
      </c>
      <c r="K70" t="s">
        <v>286</v>
      </c>
      <c r="L70">
        <v>1368</v>
      </c>
      <c r="N70">
        <v>1011</v>
      </c>
      <c r="O70" t="s">
        <v>253</v>
      </c>
      <c r="P70" t="s">
        <v>253</v>
      </c>
      <c r="Q70">
        <v>1</v>
      </c>
      <c r="W70">
        <v>0</v>
      </c>
      <c r="X70">
        <v>2042885981</v>
      </c>
      <c r="Y70">
        <v>0.76</v>
      </c>
      <c r="AA70">
        <v>0</v>
      </c>
      <c r="AB70">
        <v>2020.59</v>
      </c>
      <c r="AC70">
        <v>458.56</v>
      </c>
      <c r="AD70">
        <v>0</v>
      </c>
      <c r="AE70">
        <v>0</v>
      </c>
      <c r="AF70">
        <v>2020.59</v>
      </c>
      <c r="AG70">
        <v>458.56</v>
      </c>
      <c r="AH70">
        <v>0</v>
      </c>
      <c r="AI70">
        <v>1</v>
      </c>
      <c r="AJ70">
        <v>1</v>
      </c>
      <c r="AK70">
        <v>1</v>
      </c>
      <c r="AL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S70" t="s">
        <v>3</v>
      </c>
      <c r="AT70">
        <v>0.76</v>
      </c>
      <c r="AU70" t="s">
        <v>3</v>
      </c>
      <c r="AV70">
        <v>0</v>
      </c>
      <c r="AW70">
        <v>2</v>
      </c>
      <c r="AX70">
        <v>41858117</v>
      </c>
      <c r="AY70">
        <v>1</v>
      </c>
      <c r="AZ70">
        <v>0</v>
      </c>
      <c r="BA70">
        <v>61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CX70">
        <f>Y70*Source!I174</f>
        <v>7.6000000000000012E-2</v>
      </c>
      <c r="CY70">
        <f>AB70</f>
        <v>2020.59</v>
      </c>
      <c r="CZ70">
        <f>AF70</f>
        <v>2020.59</v>
      </c>
      <c r="DA70">
        <f>AJ70</f>
        <v>1</v>
      </c>
      <c r="DB70">
        <f t="shared" si="15"/>
        <v>1535.65</v>
      </c>
      <c r="DC70">
        <f t="shared" si="16"/>
        <v>348.51</v>
      </c>
    </row>
    <row r="71" spans="1:107">
      <c r="A71">
        <f>ROW(Source!A174)</f>
        <v>174</v>
      </c>
      <c r="B71">
        <v>41858681</v>
      </c>
      <c r="C71">
        <v>41858108</v>
      </c>
      <c r="D71">
        <v>38801734</v>
      </c>
      <c r="E71">
        <v>1</v>
      </c>
      <c r="F71">
        <v>1</v>
      </c>
      <c r="G71">
        <v>27</v>
      </c>
      <c r="H71">
        <v>3</v>
      </c>
      <c r="I71" t="s">
        <v>288</v>
      </c>
      <c r="J71" t="s">
        <v>289</v>
      </c>
      <c r="K71" t="s">
        <v>290</v>
      </c>
      <c r="L71">
        <v>1327</v>
      </c>
      <c r="N71">
        <v>1005</v>
      </c>
      <c r="O71" t="s">
        <v>291</v>
      </c>
      <c r="P71" t="s">
        <v>291</v>
      </c>
      <c r="Q71">
        <v>1</v>
      </c>
      <c r="W71">
        <v>0</v>
      </c>
      <c r="X71">
        <v>-2047649341</v>
      </c>
      <c r="Y71">
        <v>1.5</v>
      </c>
      <c r="AA71">
        <v>91.89</v>
      </c>
      <c r="AB71">
        <v>0</v>
      </c>
      <c r="AC71">
        <v>0</v>
      </c>
      <c r="AD71">
        <v>0</v>
      </c>
      <c r="AE71">
        <v>91.89</v>
      </c>
      <c r="AF71">
        <v>0</v>
      </c>
      <c r="AG71">
        <v>0</v>
      </c>
      <c r="AH71">
        <v>0</v>
      </c>
      <c r="AI71">
        <v>1</v>
      </c>
      <c r="AJ71">
        <v>1</v>
      </c>
      <c r="AK71">
        <v>1</v>
      </c>
      <c r="AL71">
        <v>1</v>
      </c>
      <c r="AN71">
        <v>0</v>
      </c>
      <c r="AO71">
        <v>1</v>
      </c>
      <c r="AP71">
        <v>0</v>
      </c>
      <c r="AQ71">
        <v>0</v>
      </c>
      <c r="AR71">
        <v>0</v>
      </c>
      <c r="AS71" t="s">
        <v>3</v>
      </c>
      <c r="AT71">
        <v>1.5</v>
      </c>
      <c r="AU71" t="s">
        <v>3</v>
      </c>
      <c r="AV71">
        <v>0</v>
      </c>
      <c r="AW71">
        <v>2</v>
      </c>
      <c r="AX71">
        <v>41858118</v>
      </c>
      <c r="AY71">
        <v>1</v>
      </c>
      <c r="AZ71">
        <v>0</v>
      </c>
      <c r="BA71">
        <v>62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CX71">
        <f>Y71*Source!I174</f>
        <v>0.15000000000000002</v>
      </c>
      <c r="CY71">
        <f>AA71</f>
        <v>91.89</v>
      </c>
      <c r="CZ71">
        <f>AE71</f>
        <v>91.89</v>
      </c>
      <c r="DA71">
        <f>AI71</f>
        <v>1</v>
      </c>
      <c r="DB71">
        <f t="shared" si="15"/>
        <v>137.84</v>
      </c>
      <c r="DC71">
        <f t="shared" si="16"/>
        <v>0</v>
      </c>
    </row>
    <row r="72" spans="1:107">
      <c r="A72">
        <f>ROW(Source!A174)</f>
        <v>174</v>
      </c>
      <c r="B72">
        <v>41858681</v>
      </c>
      <c r="C72">
        <v>41858108</v>
      </c>
      <c r="D72">
        <v>38801771</v>
      </c>
      <c r="E72">
        <v>1</v>
      </c>
      <c r="F72">
        <v>1</v>
      </c>
      <c r="G72">
        <v>27</v>
      </c>
      <c r="H72">
        <v>3</v>
      </c>
      <c r="I72" t="s">
        <v>258</v>
      </c>
      <c r="J72" t="s">
        <v>259</v>
      </c>
      <c r="K72" t="s">
        <v>260</v>
      </c>
      <c r="L72">
        <v>1346</v>
      </c>
      <c r="N72">
        <v>1009</v>
      </c>
      <c r="O72" t="s">
        <v>261</v>
      </c>
      <c r="P72" t="s">
        <v>261</v>
      </c>
      <c r="Q72">
        <v>1</v>
      </c>
      <c r="W72">
        <v>0</v>
      </c>
      <c r="X72">
        <v>-2033961190</v>
      </c>
      <c r="Y72">
        <v>0.3</v>
      </c>
      <c r="AA72">
        <v>171.21</v>
      </c>
      <c r="AB72">
        <v>0</v>
      </c>
      <c r="AC72">
        <v>0</v>
      </c>
      <c r="AD72">
        <v>0</v>
      </c>
      <c r="AE72">
        <v>171.21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1</v>
      </c>
      <c r="AL72">
        <v>1</v>
      </c>
      <c r="AN72">
        <v>0</v>
      </c>
      <c r="AO72">
        <v>1</v>
      </c>
      <c r="AP72">
        <v>0</v>
      </c>
      <c r="AQ72">
        <v>0</v>
      </c>
      <c r="AR72">
        <v>0</v>
      </c>
      <c r="AS72" t="s">
        <v>3</v>
      </c>
      <c r="AT72">
        <v>0.3</v>
      </c>
      <c r="AU72" t="s">
        <v>3</v>
      </c>
      <c r="AV72">
        <v>0</v>
      </c>
      <c r="AW72">
        <v>2</v>
      </c>
      <c r="AX72">
        <v>41858119</v>
      </c>
      <c r="AY72">
        <v>1</v>
      </c>
      <c r="AZ72">
        <v>0</v>
      </c>
      <c r="BA72">
        <v>63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CX72">
        <f>Y72*Source!I174</f>
        <v>0.03</v>
      </c>
      <c r="CY72">
        <f>AA72</f>
        <v>171.21</v>
      </c>
      <c r="CZ72">
        <f>AE72</f>
        <v>171.21</v>
      </c>
      <c r="DA72">
        <f>AI72</f>
        <v>1</v>
      </c>
      <c r="DB72">
        <f t="shared" si="15"/>
        <v>51.36</v>
      </c>
      <c r="DC72">
        <f t="shared" si="16"/>
        <v>0</v>
      </c>
    </row>
    <row r="73" spans="1:107">
      <c r="A73">
        <f>ROW(Source!A174)</f>
        <v>174</v>
      </c>
      <c r="B73">
        <v>41858681</v>
      </c>
      <c r="C73">
        <v>41858108</v>
      </c>
      <c r="D73">
        <v>38801911</v>
      </c>
      <c r="E73">
        <v>1</v>
      </c>
      <c r="F73">
        <v>1</v>
      </c>
      <c r="G73">
        <v>27</v>
      </c>
      <c r="H73">
        <v>3</v>
      </c>
      <c r="I73" t="s">
        <v>262</v>
      </c>
      <c r="J73" t="s">
        <v>263</v>
      </c>
      <c r="K73" t="s">
        <v>264</v>
      </c>
      <c r="L73">
        <v>1339</v>
      </c>
      <c r="N73">
        <v>1007</v>
      </c>
      <c r="O73" t="s">
        <v>257</v>
      </c>
      <c r="P73" t="s">
        <v>257</v>
      </c>
      <c r="Q73">
        <v>1</v>
      </c>
      <c r="W73">
        <v>0</v>
      </c>
      <c r="X73">
        <v>1927597627</v>
      </c>
      <c r="Y73">
        <v>2.6</v>
      </c>
      <c r="AA73">
        <v>35.25</v>
      </c>
      <c r="AB73">
        <v>0</v>
      </c>
      <c r="AC73">
        <v>0</v>
      </c>
      <c r="AD73">
        <v>0</v>
      </c>
      <c r="AE73">
        <v>35.25</v>
      </c>
      <c r="AF73">
        <v>0</v>
      </c>
      <c r="AG73">
        <v>0</v>
      </c>
      <c r="AH73">
        <v>0</v>
      </c>
      <c r="AI73">
        <v>1</v>
      </c>
      <c r="AJ73">
        <v>1</v>
      </c>
      <c r="AK73">
        <v>1</v>
      </c>
      <c r="AL73">
        <v>1</v>
      </c>
      <c r="AN73">
        <v>0</v>
      </c>
      <c r="AO73">
        <v>1</v>
      </c>
      <c r="AP73">
        <v>0</v>
      </c>
      <c r="AQ73">
        <v>0</v>
      </c>
      <c r="AR73">
        <v>0</v>
      </c>
      <c r="AS73" t="s">
        <v>3</v>
      </c>
      <c r="AT73">
        <v>2.6</v>
      </c>
      <c r="AU73" t="s">
        <v>3</v>
      </c>
      <c r="AV73">
        <v>0</v>
      </c>
      <c r="AW73">
        <v>2</v>
      </c>
      <c r="AX73">
        <v>41858120</v>
      </c>
      <c r="AY73">
        <v>1</v>
      </c>
      <c r="AZ73">
        <v>0</v>
      </c>
      <c r="BA73">
        <v>64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CX73">
        <f>Y73*Source!I174</f>
        <v>0.26</v>
      </c>
      <c r="CY73">
        <f>AA73</f>
        <v>35.25</v>
      </c>
      <c r="CZ73">
        <f>AE73</f>
        <v>35.25</v>
      </c>
      <c r="DA73">
        <f>AI73</f>
        <v>1</v>
      </c>
      <c r="DB73">
        <f t="shared" si="15"/>
        <v>91.65</v>
      </c>
      <c r="DC73">
        <f t="shared" si="16"/>
        <v>0</v>
      </c>
    </row>
    <row r="74" spans="1:107">
      <c r="A74">
        <f>ROW(Source!A174)</f>
        <v>174</v>
      </c>
      <c r="B74">
        <v>41858681</v>
      </c>
      <c r="C74">
        <v>41858108</v>
      </c>
      <c r="D74">
        <v>38803641</v>
      </c>
      <c r="E74">
        <v>1</v>
      </c>
      <c r="F74">
        <v>1</v>
      </c>
      <c r="G74">
        <v>27</v>
      </c>
      <c r="H74">
        <v>3</v>
      </c>
      <c r="I74" t="s">
        <v>292</v>
      </c>
      <c r="J74" t="s">
        <v>293</v>
      </c>
      <c r="K74" t="s">
        <v>294</v>
      </c>
      <c r="L74">
        <v>1339</v>
      </c>
      <c r="N74">
        <v>1007</v>
      </c>
      <c r="O74" t="s">
        <v>257</v>
      </c>
      <c r="P74" t="s">
        <v>257</v>
      </c>
      <c r="Q74">
        <v>1</v>
      </c>
      <c r="W74">
        <v>0</v>
      </c>
      <c r="X74">
        <v>1048243141</v>
      </c>
      <c r="Y74">
        <v>0.15840000000000001</v>
      </c>
      <c r="AA74">
        <v>3467</v>
      </c>
      <c r="AB74">
        <v>0</v>
      </c>
      <c r="AC74">
        <v>0</v>
      </c>
      <c r="AD74">
        <v>0</v>
      </c>
      <c r="AE74">
        <v>3467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N74">
        <v>0</v>
      </c>
      <c r="AO74">
        <v>1</v>
      </c>
      <c r="AP74">
        <v>0</v>
      </c>
      <c r="AQ74">
        <v>0</v>
      </c>
      <c r="AR74">
        <v>0</v>
      </c>
      <c r="AS74" t="s">
        <v>3</v>
      </c>
      <c r="AT74">
        <v>0.15840000000000001</v>
      </c>
      <c r="AU74" t="s">
        <v>3</v>
      </c>
      <c r="AV74">
        <v>0</v>
      </c>
      <c r="AW74">
        <v>2</v>
      </c>
      <c r="AX74">
        <v>41858121</v>
      </c>
      <c r="AY74">
        <v>1</v>
      </c>
      <c r="AZ74">
        <v>0</v>
      </c>
      <c r="BA74">
        <v>65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CX74">
        <f>Y74*Source!I174</f>
        <v>1.5840000000000003E-2</v>
      </c>
      <c r="CY74">
        <f>AA74</f>
        <v>3467</v>
      </c>
      <c r="CZ74">
        <f>AE74</f>
        <v>3467</v>
      </c>
      <c r="DA74">
        <f>AI74</f>
        <v>1</v>
      </c>
      <c r="DB74">
        <f t="shared" si="15"/>
        <v>549.16999999999996</v>
      </c>
      <c r="DC74">
        <f t="shared" si="16"/>
        <v>0</v>
      </c>
    </row>
    <row r="75" spans="1:107">
      <c r="A75">
        <f>ROW(Source!A174)</f>
        <v>174</v>
      </c>
      <c r="B75">
        <v>41858681</v>
      </c>
      <c r="C75">
        <v>41858108</v>
      </c>
      <c r="D75">
        <v>0</v>
      </c>
      <c r="E75">
        <v>27</v>
      </c>
      <c r="F75">
        <v>1</v>
      </c>
      <c r="G75">
        <v>27</v>
      </c>
      <c r="H75">
        <v>3</v>
      </c>
      <c r="I75" t="s">
        <v>187</v>
      </c>
      <c r="J75" t="s">
        <v>3</v>
      </c>
      <c r="K75" t="s">
        <v>188</v>
      </c>
      <c r="L75">
        <v>1354</v>
      </c>
      <c r="N75">
        <v>1010</v>
      </c>
      <c r="O75" t="s">
        <v>50</v>
      </c>
      <c r="P75" t="s">
        <v>50</v>
      </c>
      <c r="Q75">
        <v>1</v>
      </c>
      <c r="W75">
        <v>0</v>
      </c>
      <c r="X75">
        <v>-1077476460</v>
      </c>
      <c r="Y75">
        <v>10</v>
      </c>
      <c r="AA75">
        <v>7845.83</v>
      </c>
      <c r="AB75">
        <v>0</v>
      </c>
      <c r="AC75">
        <v>0</v>
      </c>
      <c r="AD75">
        <v>0</v>
      </c>
      <c r="AE75">
        <v>7845.83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 t="s">
        <v>3</v>
      </c>
      <c r="AT75">
        <v>10</v>
      </c>
      <c r="AU75" t="s">
        <v>3</v>
      </c>
      <c r="AV75">
        <v>0</v>
      </c>
      <c r="AW75">
        <v>1</v>
      </c>
      <c r="AX75">
        <v>-1</v>
      </c>
      <c r="AY75">
        <v>0</v>
      </c>
      <c r="AZ75">
        <v>0</v>
      </c>
      <c r="BA75" t="s">
        <v>3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CX75">
        <f>Y75*Source!I174</f>
        <v>1</v>
      </c>
      <c r="CY75">
        <f>AA75</f>
        <v>7845.83</v>
      </c>
      <c r="CZ75">
        <f>AE75</f>
        <v>7845.83</v>
      </c>
      <c r="DA75">
        <f>AI75</f>
        <v>1</v>
      </c>
      <c r="DB75">
        <f t="shared" si="15"/>
        <v>78458.3</v>
      </c>
      <c r="DC75">
        <f t="shared" si="16"/>
        <v>0</v>
      </c>
    </row>
    <row r="76" spans="1:107">
      <c r="A76">
        <f>ROW(Source!A176)</f>
        <v>176</v>
      </c>
      <c r="B76">
        <v>41858681</v>
      </c>
      <c r="C76">
        <v>41858124</v>
      </c>
      <c r="D76">
        <v>38786840</v>
      </c>
      <c r="E76">
        <v>27</v>
      </c>
      <c r="F76">
        <v>1</v>
      </c>
      <c r="G76">
        <v>27</v>
      </c>
      <c r="H76">
        <v>1</v>
      </c>
      <c r="I76" t="s">
        <v>247</v>
      </c>
      <c r="J76" t="s">
        <v>3</v>
      </c>
      <c r="K76" t="s">
        <v>248</v>
      </c>
      <c r="L76">
        <v>1191</v>
      </c>
      <c r="N76">
        <v>1013</v>
      </c>
      <c r="O76" t="s">
        <v>249</v>
      </c>
      <c r="P76" t="s">
        <v>249</v>
      </c>
      <c r="Q76">
        <v>1</v>
      </c>
      <c r="W76">
        <v>0</v>
      </c>
      <c r="X76">
        <v>476480486</v>
      </c>
      <c r="Y76">
        <v>21.77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1</v>
      </c>
      <c r="AK76">
        <v>1</v>
      </c>
      <c r="AL76">
        <v>1</v>
      </c>
      <c r="AN76">
        <v>0</v>
      </c>
      <c r="AO76">
        <v>1</v>
      </c>
      <c r="AP76">
        <v>0</v>
      </c>
      <c r="AQ76">
        <v>0</v>
      </c>
      <c r="AR76">
        <v>0</v>
      </c>
      <c r="AS76" t="s">
        <v>3</v>
      </c>
      <c r="AT76">
        <v>21.77</v>
      </c>
      <c r="AU76" t="s">
        <v>3</v>
      </c>
      <c r="AV76">
        <v>1</v>
      </c>
      <c r="AW76">
        <v>2</v>
      </c>
      <c r="AX76">
        <v>41858128</v>
      </c>
      <c r="AY76">
        <v>1</v>
      </c>
      <c r="AZ76">
        <v>0</v>
      </c>
      <c r="BA76">
        <v>67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CX76">
        <f>Y76*Source!I176</f>
        <v>17.416</v>
      </c>
      <c r="CY76">
        <f>AD76</f>
        <v>0</v>
      </c>
      <c r="CZ76">
        <f>AH76</f>
        <v>0</v>
      </c>
      <c r="DA76">
        <f>AL76</f>
        <v>1</v>
      </c>
      <c r="DB76">
        <f t="shared" si="15"/>
        <v>0</v>
      </c>
      <c r="DC76">
        <f t="shared" si="16"/>
        <v>0</v>
      </c>
    </row>
    <row r="77" spans="1:107">
      <c r="A77">
        <f>ROW(Source!A176)</f>
        <v>176</v>
      </c>
      <c r="B77">
        <v>41858681</v>
      </c>
      <c r="C77">
        <v>41858124</v>
      </c>
      <c r="D77">
        <v>38803649</v>
      </c>
      <c r="E77">
        <v>1</v>
      </c>
      <c r="F77">
        <v>1</v>
      </c>
      <c r="G77">
        <v>27</v>
      </c>
      <c r="H77">
        <v>3</v>
      </c>
      <c r="I77" t="s">
        <v>277</v>
      </c>
      <c r="J77" t="s">
        <v>278</v>
      </c>
      <c r="K77" t="s">
        <v>279</v>
      </c>
      <c r="L77">
        <v>1339</v>
      </c>
      <c r="N77">
        <v>1007</v>
      </c>
      <c r="O77" t="s">
        <v>257</v>
      </c>
      <c r="P77" t="s">
        <v>257</v>
      </c>
      <c r="Q77">
        <v>1</v>
      </c>
      <c r="W77">
        <v>0</v>
      </c>
      <c r="X77">
        <v>620872455</v>
      </c>
      <c r="Y77">
        <v>1.08</v>
      </c>
      <c r="AA77">
        <v>810.33</v>
      </c>
      <c r="AB77">
        <v>0</v>
      </c>
      <c r="AC77">
        <v>0</v>
      </c>
      <c r="AD77">
        <v>0</v>
      </c>
      <c r="AE77">
        <v>810.33</v>
      </c>
      <c r="AF77">
        <v>0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1</v>
      </c>
      <c r="AN77">
        <v>0</v>
      </c>
      <c r="AO77">
        <v>1</v>
      </c>
      <c r="AP77">
        <v>0</v>
      </c>
      <c r="AQ77">
        <v>0</v>
      </c>
      <c r="AR77">
        <v>0</v>
      </c>
      <c r="AS77" t="s">
        <v>3</v>
      </c>
      <c r="AT77">
        <v>1.08</v>
      </c>
      <c r="AU77" t="s">
        <v>3</v>
      </c>
      <c r="AV77">
        <v>0</v>
      </c>
      <c r="AW77">
        <v>2</v>
      </c>
      <c r="AX77">
        <v>41858129</v>
      </c>
      <c r="AY77">
        <v>1</v>
      </c>
      <c r="AZ77">
        <v>0</v>
      </c>
      <c r="BA77">
        <v>68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CX77">
        <f>Y77*Source!I176</f>
        <v>0.8640000000000001</v>
      </c>
      <c r="CY77">
        <f>AA77</f>
        <v>810.33</v>
      </c>
      <c r="CZ77">
        <f>AE77</f>
        <v>810.33</v>
      </c>
      <c r="DA77">
        <f>AI77</f>
        <v>1</v>
      </c>
      <c r="DB77">
        <f t="shared" si="15"/>
        <v>875.16</v>
      </c>
      <c r="DC77">
        <f t="shared" si="16"/>
        <v>0</v>
      </c>
    </row>
    <row r="78" spans="1:107">
      <c r="A78">
        <f>ROW(Source!A176)</f>
        <v>176</v>
      </c>
      <c r="B78">
        <v>41858681</v>
      </c>
      <c r="C78">
        <v>41858124</v>
      </c>
      <c r="D78">
        <v>38803640</v>
      </c>
      <c r="E78">
        <v>1</v>
      </c>
      <c r="F78">
        <v>1</v>
      </c>
      <c r="G78">
        <v>27</v>
      </c>
      <c r="H78">
        <v>3</v>
      </c>
      <c r="I78" t="s">
        <v>254</v>
      </c>
      <c r="J78" t="s">
        <v>280</v>
      </c>
      <c r="K78" t="s">
        <v>256</v>
      </c>
      <c r="L78">
        <v>1339</v>
      </c>
      <c r="N78">
        <v>1007</v>
      </c>
      <c r="O78" t="s">
        <v>257</v>
      </c>
      <c r="P78" t="s">
        <v>257</v>
      </c>
      <c r="Q78">
        <v>1</v>
      </c>
      <c r="W78">
        <v>0</v>
      </c>
      <c r="X78">
        <v>-1172857595</v>
      </c>
      <c r="Y78">
        <v>3.23</v>
      </c>
      <c r="AA78">
        <v>753.67</v>
      </c>
      <c r="AB78">
        <v>0</v>
      </c>
      <c r="AC78">
        <v>0</v>
      </c>
      <c r="AD78">
        <v>0</v>
      </c>
      <c r="AE78">
        <v>753.67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1</v>
      </c>
      <c r="AL78">
        <v>1</v>
      </c>
      <c r="AN78">
        <v>0</v>
      </c>
      <c r="AO78">
        <v>1</v>
      </c>
      <c r="AP78">
        <v>0</v>
      </c>
      <c r="AQ78">
        <v>0</v>
      </c>
      <c r="AR78">
        <v>0</v>
      </c>
      <c r="AS78" t="s">
        <v>3</v>
      </c>
      <c r="AT78">
        <v>3.23</v>
      </c>
      <c r="AU78" t="s">
        <v>3</v>
      </c>
      <c r="AV78">
        <v>0</v>
      </c>
      <c r="AW78">
        <v>2</v>
      </c>
      <c r="AX78">
        <v>41858130</v>
      </c>
      <c r="AY78">
        <v>1</v>
      </c>
      <c r="AZ78">
        <v>0</v>
      </c>
      <c r="BA78">
        <v>69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CX78">
        <f>Y78*Source!I176</f>
        <v>2.5840000000000001</v>
      </c>
      <c r="CY78">
        <f>AA78</f>
        <v>753.67</v>
      </c>
      <c r="CZ78">
        <f>AE78</f>
        <v>753.67</v>
      </c>
      <c r="DA78">
        <f>AI78</f>
        <v>1</v>
      </c>
      <c r="DB78">
        <f t="shared" si="15"/>
        <v>2434.35</v>
      </c>
      <c r="DC78">
        <f t="shared" si="16"/>
        <v>0</v>
      </c>
    </row>
    <row r="79" spans="1:107">
      <c r="A79">
        <f>ROW(Source!A177)</f>
        <v>177</v>
      </c>
      <c r="B79">
        <v>41858681</v>
      </c>
      <c r="C79">
        <v>41858131</v>
      </c>
      <c r="D79">
        <v>38786840</v>
      </c>
      <c r="E79">
        <v>27</v>
      </c>
      <c r="F79">
        <v>1</v>
      </c>
      <c r="G79">
        <v>27</v>
      </c>
      <c r="H79">
        <v>1</v>
      </c>
      <c r="I79" t="s">
        <v>247</v>
      </c>
      <c r="J79" t="s">
        <v>3</v>
      </c>
      <c r="K79" t="s">
        <v>248</v>
      </c>
      <c r="L79">
        <v>1191</v>
      </c>
      <c r="N79">
        <v>1013</v>
      </c>
      <c r="O79" t="s">
        <v>249</v>
      </c>
      <c r="P79" t="s">
        <v>249</v>
      </c>
      <c r="Q79">
        <v>1</v>
      </c>
      <c r="W79">
        <v>0</v>
      </c>
      <c r="X79">
        <v>476480486</v>
      </c>
      <c r="Y79">
        <v>15.52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1</v>
      </c>
      <c r="AN79">
        <v>0</v>
      </c>
      <c r="AO79">
        <v>1</v>
      </c>
      <c r="AP79">
        <v>0</v>
      </c>
      <c r="AQ79">
        <v>0</v>
      </c>
      <c r="AR79">
        <v>0</v>
      </c>
      <c r="AS79" t="s">
        <v>3</v>
      </c>
      <c r="AT79">
        <v>15.52</v>
      </c>
      <c r="AU79" t="s">
        <v>3</v>
      </c>
      <c r="AV79">
        <v>1</v>
      </c>
      <c r="AW79">
        <v>2</v>
      </c>
      <c r="AX79">
        <v>41858137</v>
      </c>
      <c r="AY79">
        <v>1</v>
      </c>
      <c r="AZ79">
        <v>0</v>
      </c>
      <c r="BA79">
        <v>70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CX79">
        <f>Y79*Source!I177</f>
        <v>18.623999999999999</v>
      </c>
      <c r="CY79">
        <f>AD79</f>
        <v>0</v>
      </c>
      <c r="CZ79">
        <f>AH79</f>
        <v>0</v>
      </c>
      <c r="DA79">
        <f>AL79</f>
        <v>1</v>
      </c>
      <c r="DB79">
        <f t="shared" si="15"/>
        <v>0</v>
      </c>
      <c r="DC79">
        <f t="shared" si="16"/>
        <v>0</v>
      </c>
    </row>
    <row r="80" spans="1:107">
      <c r="A80">
        <f>ROW(Source!A177)</f>
        <v>177</v>
      </c>
      <c r="B80">
        <v>41858681</v>
      </c>
      <c r="C80">
        <v>41858131</v>
      </c>
      <c r="D80">
        <v>38799622</v>
      </c>
      <c r="E80">
        <v>1</v>
      </c>
      <c r="F80">
        <v>1</v>
      </c>
      <c r="G80">
        <v>27</v>
      </c>
      <c r="H80">
        <v>2</v>
      </c>
      <c r="I80" t="s">
        <v>271</v>
      </c>
      <c r="J80" t="s">
        <v>272</v>
      </c>
      <c r="K80" t="s">
        <v>273</v>
      </c>
      <c r="L80">
        <v>1368</v>
      </c>
      <c r="N80">
        <v>1011</v>
      </c>
      <c r="O80" t="s">
        <v>253</v>
      </c>
      <c r="P80" t="s">
        <v>253</v>
      </c>
      <c r="Q80">
        <v>1</v>
      </c>
      <c r="W80">
        <v>0</v>
      </c>
      <c r="X80">
        <v>-582299019</v>
      </c>
      <c r="Y80">
        <v>0.28000000000000003</v>
      </c>
      <c r="AA80">
        <v>0</v>
      </c>
      <c r="AB80">
        <v>27.58</v>
      </c>
      <c r="AC80">
        <v>12.08</v>
      </c>
      <c r="AD80">
        <v>0</v>
      </c>
      <c r="AE80">
        <v>0</v>
      </c>
      <c r="AF80">
        <v>27.58</v>
      </c>
      <c r="AG80">
        <v>12.08</v>
      </c>
      <c r="AH80">
        <v>0</v>
      </c>
      <c r="AI80">
        <v>1</v>
      </c>
      <c r="AJ80">
        <v>1</v>
      </c>
      <c r="AK80">
        <v>1</v>
      </c>
      <c r="AL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 t="s">
        <v>3</v>
      </c>
      <c r="AT80">
        <v>0.28000000000000003</v>
      </c>
      <c r="AU80" t="s">
        <v>3</v>
      </c>
      <c r="AV80">
        <v>0</v>
      </c>
      <c r="AW80">
        <v>2</v>
      </c>
      <c r="AX80">
        <v>41858138</v>
      </c>
      <c r="AY80">
        <v>1</v>
      </c>
      <c r="AZ80">
        <v>0</v>
      </c>
      <c r="BA80">
        <v>71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CX80">
        <f>Y80*Source!I177</f>
        <v>0.33600000000000002</v>
      </c>
      <c r="CY80">
        <f>AB80</f>
        <v>27.58</v>
      </c>
      <c r="CZ80">
        <f>AF80</f>
        <v>27.58</v>
      </c>
      <c r="DA80">
        <f>AJ80</f>
        <v>1</v>
      </c>
      <c r="DB80">
        <f t="shared" si="15"/>
        <v>7.72</v>
      </c>
      <c r="DC80">
        <f t="shared" si="16"/>
        <v>3.38</v>
      </c>
    </row>
    <row r="81" spans="1:107">
      <c r="A81">
        <f>ROW(Source!A177)</f>
        <v>177</v>
      </c>
      <c r="B81">
        <v>41858681</v>
      </c>
      <c r="C81">
        <v>41858131</v>
      </c>
      <c r="D81">
        <v>38799061</v>
      </c>
      <c r="E81">
        <v>1</v>
      </c>
      <c r="F81">
        <v>1</v>
      </c>
      <c r="G81">
        <v>27</v>
      </c>
      <c r="H81">
        <v>2</v>
      </c>
      <c r="I81" t="s">
        <v>274</v>
      </c>
      <c r="J81" t="s">
        <v>275</v>
      </c>
      <c r="K81" t="s">
        <v>276</v>
      </c>
      <c r="L81">
        <v>1368</v>
      </c>
      <c r="N81">
        <v>1011</v>
      </c>
      <c r="O81" t="s">
        <v>253</v>
      </c>
      <c r="P81" t="s">
        <v>253</v>
      </c>
      <c r="Q81">
        <v>1</v>
      </c>
      <c r="W81">
        <v>0</v>
      </c>
      <c r="X81">
        <v>978366829</v>
      </c>
      <c r="Y81">
        <v>0.28000000000000003</v>
      </c>
      <c r="AA81">
        <v>0</v>
      </c>
      <c r="AB81">
        <v>991.89</v>
      </c>
      <c r="AC81">
        <v>360.79</v>
      </c>
      <c r="AD81">
        <v>0</v>
      </c>
      <c r="AE81">
        <v>0</v>
      </c>
      <c r="AF81">
        <v>991.89</v>
      </c>
      <c r="AG81">
        <v>360.79</v>
      </c>
      <c r="AH81">
        <v>0</v>
      </c>
      <c r="AI81">
        <v>1</v>
      </c>
      <c r="AJ81">
        <v>1</v>
      </c>
      <c r="AK81">
        <v>1</v>
      </c>
      <c r="AL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 t="s">
        <v>3</v>
      </c>
      <c r="AT81">
        <v>0.28000000000000003</v>
      </c>
      <c r="AU81" t="s">
        <v>3</v>
      </c>
      <c r="AV81">
        <v>0</v>
      </c>
      <c r="AW81">
        <v>2</v>
      </c>
      <c r="AX81">
        <v>41858139</v>
      </c>
      <c r="AY81">
        <v>1</v>
      </c>
      <c r="AZ81">
        <v>0</v>
      </c>
      <c r="BA81">
        <v>72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CX81">
        <f>Y81*Source!I177</f>
        <v>0.33600000000000002</v>
      </c>
      <c r="CY81">
        <f>AB81</f>
        <v>991.89</v>
      </c>
      <c r="CZ81">
        <f>AF81</f>
        <v>991.89</v>
      </c>
      <c r="DA81">
        <f>AJ81</f>
        <v>1</v>
      </c>
      <c r="DB81">
        <f t="shared" si="15"/>
        <v>277.73</v>
      </c>
      <c r="DC81">
        <f t="shared" si="16"/>
        <v>101.02</v>
      </c>
    </row>
    <row r="82" spans="1:107">
      <c r="A82">
        <f>ROW(Source!A177)</f>
        <v>177</v>
      </c>
      <c r="B82">
        <v>41858681</v>
      </c>
      <c r="C82">
        <v>41858131</v>
      </c>
      <c r="D82">
        <v>38803649</v>
      </c>
      <c r="E82">
        <v>1</v>
      </c>
      <c r="F82">
        <v>1</v>
      </c>
      <c r="G82">
        <v>27</v>
      </c>
      <c r="H82">
        <v>3</v>
      </c>
      <c r="I82" t="s">
        <v>277</v>
      </c>
      <c r="J82" t="s">
        <v>278</v>
      </c>
      <c r="K82" t="s">
        <v>279</v>
      </c>
      <c r="L82">
        <v>1339</v>
      </c>
      <c r="N82">
        <v>1007</v>
      </c>
      <c r="O82" t="s">
        <v>257</v>
      </c>
      <c r="P82" t="s">
        <v>257</v>
      </c>
      <c r="Q82">
        <v>1</v>
      </c>
      <c r="W82">
        <v>0</v>
      </c>
      <c r="X82">
        <v>620872455</v>
      </c>
      <c r="Y82">
        <v>1.08</v>
      </c>
      <c r="AA82">
        <v>810.33</v>
      </c>
      <c r="AB82">
        <v>0</v>
      </c>
      <c r="AC82">
        <v>0</v>
      </c>
      <c r="AD82">
        <v>0</v>
      </c>
      <c r="AE82">
        <v>810.33</v>
      </c>
      <c r="AF82">
        <v>0</v>
      </c>
      <c r="AG82">
        <v>0</v>
      </c>
      <c r="AH82">
        <v>0</v>
      </c>
      <c r="AI82">
        <v>1</v>
      </c>
      <c r="AJ82">
        <v>1</v>
      </c>
      <c r="AK82">
        <v>1</v>
      </c>
      <c r="AL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 t="s">
        <v>3</v>
      </c>
      <c r="AT82">
        <v>1.08</v>
      </c>
      <c r="AU82" t="s">
        <v>3</v>
      </c>
      <c r="AV82">
        <v>0</v>
      </c>
      <c r="AW82">
        <v>2</v>
      </c>
      <c r="AX82">
        <v>41858140</v>
      </c>
      <c r="AY82">
        <v>1</v>
      </c>
      <c r="AZ82">
        <v>0</v>
      </c>
      <c r="BA82">
        <v>73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CX82">
        <f>Y82*Source!I177</f>
        <v>1.296</v>
      </c>
      <c r="CY82">
        <f>AA82</f>
        <v>810.33</v>
      </c>
      <c r="CZ82">
        <f>AE82</f>
        <v>810.33</v>
      </c>
      <c r="DA82">
        <f>AI82</f>
        <v>1</v>
      </c>
      <c r="DB82">
        <f t="shared" si="15"/>
        <v>875.16</v>
      </c>
      <c r="DC82">
        <f t="shared" si="16"/>
        <v>0</v>
      </c>
    </row>
    <row r="83" spans="1:107">
      <c r="A83">
        <f>ROW(Source!A177)</f>
        <v>177</v>
      </c>
      <c r="B83">
        <v>41858681</v>
      </c>
      <c r="C83">
        <v>41858131</v>
      </c>
      <c r="D83">
        <v>38803640</v>
      </c>
      <c r="E83">
        <v>1</v>
      </c>
      <c r="F83">
        <v>1</v>
      </c>
      <c r="G83">
        <v>27</v>
      </c>
      <c r="H83">
        <v>3</v>
      </c>
      <c r="I83" t="s">
        <v>254</v>
      </c>
      <c r="J83" t="s">
        <v>280</v>
      </c>
      <c r="K83" t="s">
        <v>256</v>
      </c>
      <c r="L83">
        <v>1339</v>
      </c>
      <c r="N83">
        <v>1007</v>
      </c>
      <c r="O83" t="s">
        <v>257</v>
      </c>
      <c r="P83" t="s">
        <v>257</v>
      </c>
      <c r="Q83">
        <v>1</v>
      </c>
      <c r="W83">
        <v>0</v>
      </c>
      <c r="X83">
        <v>-1172857595</v>
      </c>
      <c r="Y83">
        <v>3.23</v>
      </c>
      <c r="AA83">
        <v>753.67</v>
      </c>
      <c r="AB83">
        <v>0</v>
      </c>
      <c r="AC83">
        <v>0</v>
      </c>
      <c r="AD83">
        <v>0</v>
      </c>
      <c r="AE83">
        <v>753.67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 t="s">
        <v>3</v>
      </c>
      <c r="AT83">
        <v>3.23</v>
      </c>
      <c r="AU83" t="s">
        <v>3</v>
      </c>
      <c r="AV83">
        <v>0</v>
      </c>
      <c r="AW83">
        <v>2</v>
      </c>
      <c r="AX83">
        <v>41858141</v>
      </c>
      <c r="AY83">
        <v>1</v>
      </c>
      <c r="AZ83">
        <v>0</v>
      </c>
      <c r="BA83">
        <v>74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CX83">
        <f>Y83*Source!I177</f>
        <v>3.8759999999999999</v>
      </c>
      <c r="CY83">
        <f>AA83</f>
        <v>753.67</v>
      </c>
      <c r="CZ83">
        <f>AE83</f>
        <v>753.67</v>
      </c>
      <c r="DA83">
        <f>AI83</f>
        <v>1</v>
      </c>
      <c r="DB83">
        <f t="shared" si="15"/>
        <v>2434.35</v>
      </c>
      <c r="DC83">
        <f t="shared" si="16"/>
        <v>0</v>
      </c>
    </row>
    <row r="84" spans="1:107">
      <c r="A84">
        <f>ROW(Source!A178)</f>
        <v>178</v>
      </c>
      <c r="B84">
        <v>41858681</v>
      </c>
      <c r="C84">
        <v>41858142</v>
      </c>
      <c r="D84">
        <v>38799032</v>
      </c>
      <c r="E84">
        <v>1</v>
      </c>
      <c r="F84">
        <v>1</v>
      </c>
      <c r="G84">
        <v>27</v>
      </c>
      <c r="H84">
        <v>2</v>
      </c>
      <c r="I84" t="s">
        <v>281</v>
      </c>
      <c r="J84" t="s">
        <v>282</v>
      </c>
      <c r="K84" t="s">
        <v>283</v>
      </c>
      <c r="L84">
        <v>1368</v>
      </c>
      <c r="N84">
        <v>1011</v>
      </c>
      <c r="O84" t="s">
        <v>253</v>
      </c>
      <c r="P84" t="s">
        <v>253</v>
      </c>
      <c r="Q84">
        <v>1</v>
      </c>
      <c r="W84">
        <v>0</v>
      </c>
      <c r="X84">
        <v>974897901</v>
      </c>
      <c r="Y84">
        <v>0.31</v>
      </c>
      <c r="AA84">
        <v>0</v>
      </c>
      <c r="AB84">
        <v>956.79</v>
      </c>
      <c r="AC84">
        <v>359.44</v>
      </c>
      <c r="AD84">
        <v>0</v>
      </c>
      <c r="AE84">
        <v>0</v>
      </c>
      <c r="AF84">
        <v>956.79</v>
      </c>
      <c r="AG84">
        <v>359.44</v>
      </c>
      <c r="AH84">
        <v>0</v>
      </c>
      <c r="AI84">
        <v>1</v>
      </c>
      <c r="AJ84">
        <v>1</v>
      </c>
      <c r="AK84">
        <v>1</v>
      </c>
      <c r="AL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 t="s">
        <v>3</v>
      </c>
      <c r="AT84">
        <v>0.31</v>
      </c>
      <c r="AU84" t="s">
        <v>3</v>
      </c>
      <c r="AV84">
        <v>0</v>
      </c>
      <c r="AW84">
        <v>2</v>
      </c>
      <c r="AX84">
        <v>41858144</v>
      </c>
      <c r="AY84">
        <v>1</v>
      </c>
      <c r="AZ84">
        <v>0</v>
      </c>
      <c r="BA84">
        <v>75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CX84">
        <f>Y84*Source!I178</f>
        <v>0.11842</v>
      </c>
      <c r="CY84">
        <f>AB84</f>
        <v>956.79</v>
      </c>
      <c r="CZ84">
        <f>AF84</f>
        <v>956.79</v>
      </c>
      <c r="DA84">
        <f>AJ84</f>
        <v>1</v>
      </c>
      <c r="DB84">
        <f t="shared" si="15"/>
        <v>296.60000000000002</v>
      </c>
      <c r="DC84">
        <f t="shared" si="16"/>
        <v>111.43</v>
      </c>
    </row>
    <row r="85" spans="1:107">
      <c r="A85">
        <f>ROW(Source!A179)</f>
        <v>179</v>
      </c>
      <c r="B85">
        <v>41858681</v>
      </c>
      <c r="C85">
        <v>41858145</v>
      </c>
      <c r="D85">
        <v>38786840</v>
      </c>
      <c r="E85">
        <v>27</v>
      </c>
      <c r="F85">
        <v>1</v>
      </c>
      <c r="G85">
        <v>27</v>
      </c>
      <c r="H85">
        <v>1</v>
      </c>
      <c r="I85" t="s">
        <v>247</v>
      </c>
      <c r="J85" t="s">
        <v>3</v>
      </c>
      <c r="K85" t="s">
        <v>248</v>
      </c>
      <c r="L85">
        <v>1191</v>
      </c>
      <c r="N85">
        <v>1013</v>
      </c>
      <c r="O85" t="s">
        <v>249</v>
      </c>
      <c r="P85" t="s">
        <v>249</v>
      </c>
      <c r="Q85">
        <v>1</v>
      </c>
      <c r="W85">
        <v>0</v>
      </c>
      <c r="X85">
        <v>476480486</v>
      </c>
      <c r="Y85">
        <v>11.73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 t="s">
        <v>3</v>
      </c>
      <c r="AT85">
        <v>11.73</v>
      </c>
      <c r="AU85" t="s">
        <v>3</v>
      </c>
      <c r="AV85">
        <v>1</v>
      </c>
      <c r="AW85">
        <v>2</v>
      </c>
      <c r="AX85">
        <v>41858147</v>
      </c>
      <c r="AY85">
        <v>1</v>
      </c>
      <c r="AZ85">
        <v>0</v>
      </c>
      <c r="BA85">
        <v>76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CX85">
        <f>Y85*Source!I179</f>
        <v>1.5014400000000001</v>
      </c>
      <c r="CY85">
        <f>AD85</f>
        <v>0</v>
      </c>
      <c r="CZ85">
        <f>AH85</f>
        <v>0</v>
      </c>
      <c r="DA85">
        <f>AL85</f>
        <v>1</v>
      </c>
      <c r="DB85">
        <f t="shared" si="15"/>
        <v>0</v>
      </c>
      <c r="DC85">
        <f t="shared" si="16"/>
        <v>0</v>
      </c>
    </row>
    <row r="86" spans="1:107">
      <c r="A86">
        <f>ROW(Source!A180)</f>
        <v>180</v>
      </c>
      <c r="B86">
        <v>41858681</v>
      </c>
      <c r="C86">
        <v>41858148</v>
      </c>
      <c r="D86">
        <v>38786840</v>
      </c>
      <c r="E86">
        <v>27</v>
      </c>
      <c r="F86">
        <v>1</v>
      </c>
      <c r="G86">
        <v>27</v>
      </c>
      <c r="H86">
        <v>1</v>
      </c>
      <c r="I86" t="s">
        <v>247</v>
      </c>
      <c r="J86" t="s">
        <v>3</v>
      </c>
      <c r="K86" t="s">
        <v>248</v>
      </c>
      <c r="L86">
        <v>1191</v>
      </c>
      <c r="N86">
        <v>1013</v>
      </c>
      <c r="O86" t="s">
        <v>249</v>
      </c>
      <c r="P86" t="s">
        <v>249</v>
      </c>
      <c r="Q86">
        <v>1</v>
      </c>
      <c r="W86">
        <v>0</v>
      </c>
      <c r="X86">
        <v>476480486</v>
      </c>
      <c r="Y86">
        <v>14.42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1</v>
      </c>
      <c r="AK86">
        <v>1</v>
      </c>
      <c r="AL86">
        <v>1</v>
      </c>
      <c r="AN86">
        <v>0</v>
      </c>
      <c r="AO86">
        <v>1</v>
      </c>
      <c r="AP86">
        <v>0</v>
      </c>
      <c r="AQ86">
        <v>0</v>
      </c>
      <c r="AR86">
        <v>0</v>
      </c>
      <c r="AS86" t="s">
        <v>3</v>
      </c>
      <c r="AT86">
        <v>14.42</v>
      </c>
      <c r="AU86" t="s">
        <v>3</v>
      </c>
      <c r="AV86">
        <v>1</v>
      </c>
      <c r="AW86">
        <v>2</v>
      </c>
      <c r="AX86">
        <v>41858159</v>
      </c>
      <c r="AY86">
        <v>1</v>
      </c>
      <c r="AZ86">
        <v>0</v>
      </c>
      <c r="BA86">
        <v>77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CX86">
        <f>Y86*Source!I180</f>
        <v>28.84</v>
      </c>
      <c r="CY86">
        <f>AD86</f>
        <v>0</v>
      </c>
      <c r="CZ86">
        <f>AH86</f>
        <v>0</v>
      </c>
      <c r="DA86">
        <f>AL86</f>
        <v>1</v>
      </c>
      <c r="DB86">
        <f t="shared" si="15"/>
        <v>0</v>
      </c>
      <c r="DC86">
        <f t="shared" si="16"/>
        <v>0</v>
      </c>
    </row>
    <row r="87" spans="1:107">
      <c r="A87">
        <f>ROW(Source!A180)</f>
        <v>180</v>
      </c>
      <c r="B87">
        <v>41858681</v>
      </c>
      <c r="C87">
        <v>41858148</v>
      </c>
      <c r="D87">
        <v>38799213</v>
      </c>
      <c r="E87">
        <v>1</v>
      </c>
      <c r="F87">
        <v>1</v>
      </c>
      <c r="G87">
        <v>27</v>
      </c>
      <c r="H87">
        <v>2</v>
      </c>
      <c r="I87" t="s">
        <v>284</v>
      </c>
      <c r="J87" t="s">
        <v>285</v>
      </c>
      <c r="K87" t="s">
        <v>286</v>
      </c>
      <c r="L87">
        <v>1368</v>
      </c>
      <c r="N87">
        <v>1011</v>
      </c>
      <c r="O87" t="s">
        <v>253</v>
      </c>
      <c r="P87" t="s">
        <v>253</v>
      </c>
      <c r="Q87">
        <v>1</v>
      </c>
      <c r="W87">
        <v>0</v>
      </c>
      <c r="X87">
        <v>2042885981</v>
      </c>
      <c r="Y87">
        <v>0.66</v>
      </c>
      <c r="AA87">
        <v>0</v>
      </c>
      <c r="AB87">
        <v>2020.59</v>
      </c>
      <c r="AC87">
        <v>458.56</v>
      </c>
      <c r="AD87">
        <v>0</v>
      </c>
      <c r="AE87">
        <v>0</v>
      </c>
      <c r="AF87">
        <v>2020.59</v>
      </c>
      <c r="AG87">
        <v>458.56</v>
      </c>
      <c r="AH87">
        <v>0</v>
      </c>
      <c r="AI87">
        <v>1</v>
      </c>
      <c r="AJ87">
        <v>1</v>
      </c>
      <c r="AK87">
        <v>1</v>
      </c>
      <c r="AL87">
        <v>1</v>
      </c>
      <c r="AN87">
        <v>0</v>
      </c>
      <c r="AO87">
        <v>1</v>
      </c>
      <c r="AP87">
        <v>0</v>
      </c>
      <c r="AQ87">
        <v>0</v>
      </c>
      <c r="AR87">
        <v>0</v>
      </c>
      <c r="AS87" t="s">
        <v>3</v>
      </c>
      <c r="AT87">
        <v>0.66</v>
      </c>
      <c r="AU87" t="s">
        <v>3</v>
      </c>
      <c r="AV87">
        <v>0</v>
      </c>
      <c r="AW87">
        <v>2</v>
      </c>
      <c r="AX87">
        <v>41858160</v>
      </c>
      <c r="AY87">
        <v>1</v>
      </c>
      <c r="AZ87">
        <v>0</v>
      </c>
      <c r="BA87">
        <v>78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CX87">
        <f>Y87*Source!I180</f>
        <v>1.32</v>
      </c>
      <c r="CY87">
        <f>AB87</f>
        <v>2020.59</v>
      </c>
      <c r="CZ87">
        <f>AF87</f>
        <v>2020.59</v>
      </c>
      <c r="DA87">
        <f>AJ87</f>
        <v>1</v>
      </c>
      <c r="DB87">
        <f t="shared" ref="DB87:DB97" si="17">ROUND(ROUND(AT87*CZ87,2),6)</f>
        <v>1333.59</v>
      </c>
      <c r="DC87">
        <f t="shared" ref="DC87:DC97" si="18">ROUND(ROUND(AT87*AG87,2),6)</f>
        <v>302.64999999999998</v>
      </c>
    </row>
    <row r="88" spans="1:107">
      <c r="A88">
        <f>ROW(Source!A180)</f>
        <v>180</v>
      </c>
      <c r="B88">
        <v>41858681</v>
      </c>
      <c r="C88">
        <v>41858148</v>
      </c>
      <c r="D88">
        <v>38801734</v>
      </c>
      <c r="E88">
        <v>1</v>
      </c>
      <c r="F88">
        <v>1</v>
      </c>
      <c r="G88">
        <v>27</v>
      </c>
      <c r="H88">
        <v>3</v>
      </c>
      <c r="I88" t="s">
        <v>288</v>
      </c>
      <c r="J88" t="s">
        <v>289</v>
      </c>
      <c r="K88" t="s">
        <v>290</v>
      </c>
      <c r="L88">
        <v>1327</v>
      </c>
      <c r="N88">
        <v>1005</v>
      </c>
      <c r="O88" t="s">
        <v>291</v>
      </c>
      <c r="P88" t="s">
        <v>291</v>
      </c>
      <c r="Q88">
        <v>1</v>
      </c>
      <c r="W88">
        <v>0</v>
      </c>
      <c r="X88">
        <v>-2047649341</v>
      </c>
      <c r="Y88">
        <v>1.5</v>
      </c>
      <c r="AA88">
        <v>91.89</v>
      </c>
      <c r="AB88">
        <v>0</v>
      </c>
      <c r="AC88">
        <v>0</v>
      </c>
      <c r="AD88">
        <v>0</v>
      </c>
      <c r="AE88">
        <v>91.89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1</v>
      </c>
      <c r="AN88">
        <v>0</v>
      </c>
      <c r="AO88">
        <v>1</v>
      </c>
      <c r="AP88">
        <v>0</v>
      </c>
      <c r="AQ88">
        <v>0</v>
      </c>
      <c r="AR88">
        <v>0</v>
      </c>
      <c r="AS88" t="s">
        <v>3</v>
      </c>
      <c r="AT88">
        <v>1.5</v>
      </c>
      <c r="AU88" t="s">
        <v>3</v>
      </c>
      <c r="AV88">
        <v>0</v>
      </c>
      <c r="AW88">
        <v>2</v>
      </c>
      <c r="AX88">
        <v>41858161</v>
      </c>
      <c r="AY88">
        <v>1</v>
      </c>
      <c r="AZ88">
        <v>0</v>
      </c>
      <c r="BA88">
        <v>79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CX88">
        <f>Y88*Source!I180</f>
        <v>3</v>
      </c>
      <c r="CY88">
        <f t="shared" ref="CY88:CY95" si="19">AA88</f>
        <v>91.89</v>
      </c>
      <c r="CZ88">
        <f t="shared" ref="CZ88:CZ95" si="20">AE88</f>
        <v>91.89</v>
      </c>
      <c r="DA88">
        <f t="shared" ref="DA88:DA95" si="21">AI88</f>
        <v>1</v>
      </c>
      <c r="DB88">
        <f t="shared" si="17"/>
        <v>137.84</v>
      </c>
      <c r="DC88">
        <f t="shared" si="18"/>
        <v>0</v>
      </c>
    </row>
    <row r="89" spans="1:107">
      <c r="A89">
        <f>ROW(Source!A180)</f>
        <v>180</v>
      </c>
      <c r="B89">
        <v>41858681</v>
      </c>
      <c r="C89">
        <v>41858148</v>
      </c>
      <c r="D89">
        <v>38801771</v>
      </c>
      <c r="E89">
        <v>1</v>
      </c>
      <c r="F89">
        <v>1</v>
      </c>
      <c r="G89">
        <v>27</v>
      </c>
      <c r="H89">
        <v>3</v>
      </c>
      <c r="I89" t="s">
        <v>258</v>
      </c>
      <c r="J89" t="s">
        <v>259</v>
      </c>
      <c r="K89" t="s">
        <v>260</v>
      </c>
      <c r="L89">
        <v>1346</v>
      </c>
      <c r="N89">
        <v>1009</v>
      </c>
      <c r="O89" t="s">
        <v>261</v>
      </c>
      <c r="P89" t="s">
        <v>261</v>
      </c>
      <c r="Q89">
        <v>1</v>
      </c>
      <c r="W89">
        <v>0</v>
      </c>
      <c r="X89">
        <v>-2033961190</v>
      </c>
      <c r="Y89">
        <v>0.3</v>
      </c>
      <c r="AA89">
        <v>171.21</v>
      </c>
      <c r="AB89">
        <v>0</v>
      </c>
      <c r="AC89">
        <v>0</v>
      </c>
      <c r="AD89">
        <v>0</v>
      </c>
      <c r="AE89">
        <v>171.21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1</v>
      </c>
      <c r="AL89">
        <v>1</v>
      </c>
      <c r="AN89">
        <v>0</v>
      </c>
      <c r="AO89">
        <v>1</v>
      </c>
      <c r="AP89">
        <v>0</v>
      </c>
      <c r="AQ89">
        <v>0</v>
      </c>
      <c r="AR89">
        <v>0</v>
      </c>
      <c r="AS89" t="s">
        <v>3</v>
      </c>
      <c r="AT89">
        <v>0.3</v>
      </c>
      <c r="AU89" t="s">
        <v>3</v>
      </c>
      <c r="AV89">
        <v>0</v>
      </c>
      <c r="AW89">
        <v>2</v>
      </c>
      <c r="AX89">
        <v>41858162</v>
      </c>
      <c r="AY89">
        <v>1</v>
      </c>
      <c r="AZ89">
        <v>0</v>
      </c>
      <c r="BA89">
        <v>80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CX89">
        <f>Y89*Source!I180</f>
        <v>0.6</v>
      </c>
      <c r="CY89">
        <f t="shared" si="19"/>
        <v>171.21</v>
      </c>
      <c r="CZ89">
        <f t="shared" si="20"/>
        <v>171.21</v>
      </c>
      <c r="DA89">
        <f t="shared" si="21"/>
        <v>1</v>
      </c>
      <c r="DB89">
        <f t="shared" si="17"/>
        <v>51.36</v>
      </c>
      <c r="DC89">
        <f t="shared" si="18"/>
        <v>0</v>
      </c>
    </row>
    <row r="90" spans="1:107">
      <c r="A90">
        <f>ROW(Source!A180)</f>
        <v>180</v>
      </c>
      <c r="B90">
        <v>41858681</v>
      </c>
      <c r="C90">
        <v>41858148</v>
      </c>
      <c r="D90">
        <v>38801911</v>
      </c>
      <c r="E90">
        <v>1</v>
      </c>
      <c r="F90">
        <v>1</v>
      </c>
      <c r="G90">
        <v>27</v>
      </c>
      <c r="H90">
        <v>3</v>
      </c>
      <c r="I90" t="s">
        <v>262</v>
      </c>
      <c r="J90" t="s">
        <v>263</v>
      </c>
      <c r="K90" t="s">
        <v>264</v>
      </c>
      <c r="L90">
        <v>1339</v>
      </c>
      <c r="N90">
        <v>1007</v>
      </c>
      <c r="O90" t="s">
        <v>257</v>
      </c>
      <c r="P90" t="s">
        <v>257</v>
      </c>
      <c r="Q90">
        <v>1</v>
      </c>
      <c r="W90">
        <v>0</v>
      </c>
      <c r="X90">
        <v>1927597627</v>
      </c>
      <c r="Y90">
        <v>2.2000000000000002</v>
      </c>
      <c r="AA90">
        <v>35.25</v>
      </c>
      <c r="AB90">
        <v>0</v>
      </c>
      <c r="AC90">
        <v>0</v>
      </c>
      <c r="AD90">
        <v>0</v>
      </c>
      <c r="AE90">
        <v>35.25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1</v>
      </c>
      <c r="AL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 t="s">
        <v>3</v>
      </c>
      <c r="AT90">
        <v>2.2000000000000002</v>
      </c>
      <c r="AU90" t="s">
        <v>3</v>
      </c>
      <c r="AV90">
        <v>0</v>
      </c>
      <c r="AW90">
        <v>2</v>
      </c>
      <c r="AX90">
        <v>41858163</v>
      </c>
      <c r="AY90">
        <v>1</v>
      </c>
      <c r="AZ90">
        <v>0</v>
      </c>
      <c r="BA90">
        <v>81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CX90">
        <f>Y90*Source!I180</f>
        <v>4.4000000000000004</v>
      </c>
      <c r="CY90">
        <f t="shared" si="19"/>
        <v>35.25</v>
      </c>
      <c r="CZ90">
        <f t="shared" si="20"/>
        <v>35.25</v>
      </c>
      <c r="DA90">
        <f t="shared" si="21"/>
        <v>1</v>
      </c>
      <c r="DB90">
        <f t="shared" si="17"/>
        <v>77.55</v>
      </c>
      <c r="DC90">
        <f t="shared" si="18"/>
        <v>0</v>
      </c>
    </row>
    <row r="91" spans="1:107">
      <c r="A91">
        <f>ROW(Source!A180)</f>
        <v>180</v>
      </c>
      <c r="B91">
        <v>41858681</v>
      </c>
      <c r="C91">
        <v>41858148</v>
      </c>
      <c r="D91">
        <v>38803641</v>
      </c>
      <c r="E91">
        <v>1</v>
      </c>
      <c r="F91">
        <v>1</v>
      </c>
      <c r="G91">
        <v>27</v>
      </c>
      <c r="H91">
        <v>3</v>
      </c>
      <c r="I91" t="s">
        <v>292</v>
      </c>
      <c r="J91" t="s">
        <v>293</v>
      </c>
      <c r="K91" t="s">
        <v>294</v>
      </c>
      <c r="L91">
        <v>1339</v>
      </c>
      <c r="N91">
        <v>1007</v>
      </c>
      <c r="O91" t="s">
        <v>257</v>
      </c>
      <c r="P91" t="s">
        <v>257</v>
      </c>
      <c r="Q91">
        <v>1</v>
      </c>
      <c r="W91">
        <v>0</v>
      </c>
      <c r="X91">
        <v>1048243141</v>
      </c>
      <c r="Y91">
        <v>0.15840000000000001</v>
      </c>
      <c r="AA91">
        <v>3467</v>
      </c>
      <c r="AB91">
        <v>0</v>
      </c>
      <c r="AC91">
        <v>0</v>
      </c>
      <c r="AD91">
        <v>0</v>
      </c>
      <c r="AE91">
        <v>3467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1</v>
      </c>
      <c r="AL91">
        <v>1</v>
      </c>
      <c r="AN91">
        <v>0</v>
      </c>
      <c r="AO91">
        <v>1</v>
      </c>
      <c r="AP91">
        <v>0</v>
      </c>
      <c r="AQ91">
        <v>0</v>
      </c>
      <c r="AR91">
        <v>0</v>
      </c>
      <c r="AS91" t="s">
        <v>3</v>
      </c>
      <c r="AT91">
        <v>0.15840000000000001</v>
      </c>
      <c r="AU91" t="s">
        <v>3</v>
      </c>
      <c r="AV91">
        <v>0</v>
      </c>
      <c r="AW91">
        <v>2</v>
      </c>
      <c r="AX91">
        <v>41858164</v>
      </c>
      <c r="AY91">
        <v>1</v>
      </c>
      <c r="AZ91">
        <v>0</v>
      </c>
      <c r="BA91">
        <v>82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CX91">
        <f>Y91*Source!I180</f>
        <v>0.31680000000000003</v>
      </c>
      <c r="CY91">
        <f t="shared" si="19"/>
        <v>3467</v>
      </c>
      <c r="CZ91">
        <f t="shared" si="20"/>
        <v>3467</v>
      </c>
      <c r="DA91">
        <f t="shared" si="21"/>
        <v>1</v>
      </c>
      <c r="DB91">
        <f t="shared" si="17"/>
        <v>549.16999999999996</v>
      </c>
      <c r="DC91">
        <f t="shared" si="18"/>
        <v>0</v>
      </c>
    </row>
    <row r="92" spans="1:107">
      <c r="A92">
        <f>ROW(Source!A180)</f>
        <v>180</v>
      </c>
      <c r="B92">
        <v>41858681</v>
      </c>
      <c r="C92">
        <v>41858148</v>
      </c>
      <c r="D92">
        <v>0</v>
      </c>
      <c r="E92">
        <v>27</v>
      </c>
      <c r="F92">
        <v>1</v>
      </c>
      <c r="G92">
        <v>27</v>
      </c>
      <c r="H92">
        <v>3</v>
      </c>
      <c r="I92" t="s">
        <v>187</v>
      </c>
      <c r="J92" t="s">
        <v>3</v>
      </c>
      <c r="K92" t="s">
        <v>209</v>
      </c>
      <c r="L92">
        <v>1354</v>
      </c>
      <c r="N92">
        <v>1010</v>
      </c>
      <c r="O92" t="s">
        <v>50</v>
      </c>
      <c r="P92" t="s">
        <v>50</v>
      </c>
      <c r="Q92">
        <v>1</v>
      </c>
      <c r="W92">
        <v>0</v>
      </c>
      <c r="X92">
        <v>1812474931</v>
      </c>
      <c r="Y92">
        <v>2</v>
      </c>
      <c r="AA92">
        <v>2458.33</v>
      </c>
      <c r="AB92">
        <v>0</v>
      </c>
      <c r="AC92">
        <v>0</v>
      </c>
      <c r="AD92">
        <v>0</v>
      </c>
      <c r="AE92">
        <v>2458.33</v>
      </c>
      <c r="AF92">
        <v>0</v>
      </c>
      <c r="AG92">
        <v>0</v>
      </c>
      <c r="AH92">
        <v>0</v>
      </c>
      <c r="AI92">
        <v>1</v>
      </c>
      <c r="AJ92">
        <v>1</v>
      </c>
      <c r="AK92">
        <v>1</v>
      </c>
      <c r="AL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 t="s">
        <v>3</v>
      </c>
      <c r="AT92">
        <v>2</v>
      </c>
      <c r="AU92" t="s">
        <v>3</v>
      </c>
      <c r="AV92">
        <v>0</v>
      </c>
      <c r="AW92">
        <v>1</v>
      </c>
      <c r="AX92">
        <v>-1</v>
      </c>
      <c r="AY92">
        <v>0</v>
      </c>
      <c r="AZ92">
        <v>0</v>
      </c>
      <c r="BA92" t="s">
        <v>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CX92">
        <f>Y92*Source!I180</f>
        <v>4</v>
      </c>
      <c r="CY92">
        <f t="shared" si="19"/>
        <v>2458.33</v>
      </c>
      <c r="CZ92">
        <f t="shared" si="20"/>
        <v>2458.33</v>
      </c>
      <c r="DA92">
        <f t="shared" si="21"/>
        <v>1</v>
      </c>
      <c r="DB92">
        <f t="shared" si="17"/>
        <v>4916.66</v>
      </c>
      <c r="DC92">
        <f t="shared" si="18"/>
        <v>0</v>
      </c>
    </row>
    <row r="93" spans="1:107">
      <c r="A93">
        <f>ROW(Source!A180)</f>
        <v>180</v>
      </c>
      <c r="B93">
        <v>41858681</v>
      </c>
      <c r="C93">
        <v>41858148</v>
      </c>
      <c r="D93">
        <v>0</v>
      </c>
      <c r="E93">
        <v>27</v>
      </c>
      <c r="F93">
        <v>1</v>
      </c>
      <c r="G93">
        <v>27</v>
      </c>
      <c r="H93">
        <v>3</v>
      </c>
      <c r="I93" t="s">
        <v>187</v>
      </c>
      <c r="J93" t="s">
        <v>3</v>
      </c>
      <c r="K93" t="s">
        <v>207</v>
      </c>
      <c r="L93">
        <v>1354</v>
      </c>
      <c r="N93">
        <v>1010</v>
      </c>
      <c r="O93" t="s">
        <v>50</v>
      </c>
      <c r="P93" t="s">
        <v>50</v>
      </c>
      <c r="Q93">
        <v>1</v>
      </c>
      <c r="W93">
        <v>0</v>
      </c>
      <c r="X93">
        <v>1783154136</v>
      </c>
      <c r="Y93">
        <v>1.5</v>
      </c>
      <c r="AA93">
        <v>2250</v>
      </c>
      <c r="AB93">
        <v>0</v>
      </c>
      <c r="AC93">
        <v>0</v>
      </c>
      <c r="AD93">
        <v>0</v>
      </c>
      <c r="AE93">
        <v>2250</v>
      </c>
      <c r="AF93">
        <v>0</v>
      </c>
      <c r="AG93">
        <v>0</v>
      </c>
      <c r="AH93">
        <v>0</v>
      </c>
      <c r="AI93">
        <v>1</v>
      </c>
      <c r="AJ93">
        <v>1</v>
      </c>
      <c r="AK93">
        <v>1</v>
      </c>
      <c r="AL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 t="s">
        <v>3</v>
      </c>
      <c r="AT93">
        <v>1.5</v>
      </c>
      <c r="AU93" t="s">
        <v>3</v>
      </c>
      <c r="AV93">
        <v>0</v>
      </c>
      <c r="AW93">
        <v>1</v>
      </c>
      <c r="AX93">
        <v>-1</v>
      </c>
      <c r="AY93">
        <v>0</v>
      </c>
      <c r="AZ93">
        <v>0</v>
      </c>
      <c r="BA93" t="s">
        <v>3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CX93">
        <f>Y93*Source!I180</f>
        <v>3</v>
      </c>
      <c r="CY93">
        <f t="shared" si="19"/>
        <v>2250</v>
      </c>
      <c r="CZ93">
        <f t="shared" si="20"/>
        <v>2250</v>
      </c>
      <c r="DA93">
        <f t="shared" si="21"/>
        <v>1</v>
      </c>
      <c r="DB93">
        <f t="shared" si="17"/>
        <v>3375</v>
      </c>
      <c r="DC93">
        <f t="shared" si="18"/>
        <v>0</v>
      </c>
    </row>
    <row r="94" spans="1:107">
      <c r="A94">
        <f>ROW(Source!A180)</f>
        <v>180</v>
      </c>
      <c r="B94">
        <v>41858681</v>
      </c>
      <c r="C94">
        <v>41858148</v>
      </c>
      <c r="D94">
        <v>0</v>
      </c>
      <c r="E94">
        <v>27</v>
      </c>
      <c r="F94">
        <v>1</v>
      </c>
      <c r="G94">
        <v>27</v>
      </c>
      <c r="H94">
        <v>3</v>
      </c>
      <c r="I94" t="s">
        <v>187</v>
      </c>
      <c r="J94" t="s">
        <v>3</v>
      </c>
      <c r="K94" t="s">
        <v>205</v>
      </c>
      <c r="L94">
        <v>1354</v>
      </c>
      <c r="N94">
        <v>1010</v>
      </c>
      <c r="O94" t="s">
        <v>50</v>
      </c>
      <c r="P94" t="s">
        <v>50</v>
      </c>
      <c r="Q94">
        <v>1</v>
      </c>
      <c r="W94">
        <v>0</v>
      </c>
      <c r="X94">
        <v>-1872626533</v>
      </c>
      <c r="Y94">
        <v>5</v>
      </c>
      <c r="AA94">
        <v>4250</v>
      </c>
      <c r="AB94">
        <v>0</v>
      </c>
      <c r="AC94">
        <v>0</v>
      </c>
      <c r="AD94">
        <v>0</v>
      </c>
      <c r="AE94">
        <v>4250</v>
      </c>
      <c r="AF94">
        <v>0</v>
      </c>
      <c r="AG94">
        <v>0</v>
      </c>
      <c r="AH94">
        <v>0</v>
      </c>
      <c r="AI94">
        <v>1</v>
      </c>
      <c r="AJ94">
        <v>1</v>
      </c>
      <c r="AK94">
        <v>1</v>
      </c>
      <c r="AL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 t="s">
        <v>3</v>
      </c>
      <c r="AT94">
        <v>5</v>
      </c>
      <c r="AU94" t="s">
        <v>3</v>
      </c>
      <c r="AV94">
        <v>0</v>
      </c>
      <c r="AW94">
        <v>1</v>
      </c>
      <c r="AX94">
        <v>-1</v>
      </c>
      <c r="AY94">
        <v>0</v>
      </c>
      <c r="AZ94">
        <v>0</v>
      </c>
      <c r="BA94" t="s">
        <v>3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CX94">
        <f>Y94*Source!I180</f>
        <v>10</v>
      </c>
      <c r="CY94">
        <f t="shared" si="19"/>
        <v>4250</v>
      </c>
      <c r="CZ94">
        <f t="shared" si="20"/>
        <v>4250</v>
      </c>
      <c r="DA94">
        <f t="shared" si="21"/>
        <v>1</v>
      </c>
      <c r="DB94">
        <f t="shared" si="17"/>
        <v>21250</v>
      </c>
      <c r="DC94">
        <f t="shared" si="18"/>
        <v>0</v>
      </c>
    </row>
    <row r="95" spans="1:107">
      <c r="A95">
        <f>ROW(Source!A180)</f>
        <v>180</v>
      </c>
      <c r="B95">
        <v>41858681</v>
      </c>
      <c r="C95">
        <v>41858148</v>
      </c>
      <c r="D95">
        <v>0</v>
      </c>
      <c r="E95">
        <v>27</v>
      </c>
      <c r="F95">
        <v>1</v>
      </c>
      <c r="G95">
        <v>27</v>
      </c>
      <c r="H95">
        <v>3</v>
      </c>
      <c r="I95" t="s">
        <v>187</v>
      </c>
      <c r="J95" t="s">
        <v>3</v>
      </c>
      <c r="K95" t="s">
        <v>211</v>
      </c>
      <c r="L95">
        <v>1354</v>
      </c>
      <c r="N95">
        <v>1010</v>
      </c>
      <c r="O95" t="s">
        <v>50</v>
      </c>
      <c r="P95" t="s">
        <v>50</v>
      </c>
      <c r="Q95">
        <v>1</v>
      </c>
      <c r="W95">
        <v>0</v>
      </c>
      <c r="X95">
        <v>1312657559</v>
      </c>
      <c r="Y95">
        <v>1.5</v>
      </c>
      <c r="AA95">
        <v>3583.33</v>
      </c>
      <c r="AB95">
        <v>0</v>
      </c>
      <c r="AC95">
        <v>0</v>
      </c>
      <c r="AD95">
        <v>0</v>
      </c>
      <c r="AE95">
        <v>3583.33</v>
      </c>
      <c r="AF95">
        <v>0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 t="s">
        <v>3</v>
      </c>
      <c r="AT95">
        <v>1.5</v>
      </c>
      <c r="AU95" t="s">
        <v>3</v>
      </c>
      <c r="AV95">
        <v>0</v>
      </c>
      <c r="AW95">
        <v>1</v>
      </c>
      <c r="AX95">
        <v>-1</v>
      </c>
      <c r="AY95">
        <v>0</v>
      </c>
      <c r="AZ95">
        <v>0</v>
      </c>
      <c r="BA95" t="s">
        <v>3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CX95">
        <f>Y95*Source!I180</f>
        <v>3</v>
      </c>
      <c r="CY95">
        <f t="shared" si="19"/>
        <v>3583.33</v>
      </c>
      <c r="CZ95">
        <f t="shared" si="20"/>
        <v>3583.33</v>
      </c>
      <c r="DA95">
        <f t="shared" si="21"/>
        <v>1</v>
      </c>
      <c r="DB95">
        <f t="shared" si="17"/>
        <v>5375</v>
      </c>
      <c r="DC95">
        <f t="shared" si="18"/>
        <v>0</v>
      </c>
    </row>
    <row r="96" spans="1:107">
      <c r="A96">
        <f>ROW(Source!A222)</f>
        <v>222</v>
      </c>
      <c r="B96">
        <v>41858681</v>
      </c>
      <c r="C96">
        <v>41858170</v>
      </c>
      <c r="D96">
        <v>38786840</v>
      </c>
      <c r="E96">
        <v>27</v>
      </c>
      <c r="F96">
        <v>1</v>
      </c>
      <c r="G96">
        <v>27</v>
      </c>
      <c r="H96">
        <v>1</v>
      </c>
      <c r="I96" t="s">
        <v>247</v>
      </c>
      <c r="J96" t="s">
        <v>3</v>
      </c>
      <c r="K96" t="s">
        <v>248</v>
      </c>
      <c r="L96">
        <v>1191</v>
      </c>
      <c r="N96">
        <v>1013</v>
      </c>
      <c r="O96" t="s">
        <v>249</v>
      </c>
      <c r="P96" t="s">
        <v>249</v>
      </c>
      <c r="Q96">
        <v>1</v>
      </c>
      <c r="W96">
        <v>0</v>
      </c>
      <c r="X96">
        <v>476480486</v>
      </c>
      <c r="Y96">
        <v>1.96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1</v>
      </c>
      <c r="AN96">
        <v>0</v>
      </c>
      <c r="AO96">
        <v>1</v>
      </c>
      <c r="AP96">
        <v>0</v>
      </c>
      <c r="AQ96">
        <v>0</v>
      </c>
      <c r="AR96">
        <v>0</v>
      </c>
      <c r="AS96" t="s">
        <v>3</v>
      </c>
      <c r="AT96">
        <v>1.96</v>
      </c>
      <c r="AU96" t="s">
        <v>3</v>
      </c>
      <c r="AV96">
        <v>1</v>
      </c>
      <c r="AW96">
        <v>2</v>
      </c>
      <c r="AX96">
        <v>41858173</v>
      </c>
      <c r="AY96">
        <v>1</v>
      </c>
      <c r="AZ96">
        <v>0</v>
      </c>
      <c r="BA96">
        <v>84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CX96">
        <f>Y96*Source!I222</f>
        <v>0.94079999999999997</v>
      </c>
      <c r="CY96">
        <f>AD96</f>
        <v>0</v>
      </c>
      <c r="CZ96">
        <f>AH96</f>
        <v>0</v>
      </c>
      <c r="DA96">
        <f>AL96</f>
        <v>1</v>
      </c>
      <c r="DB96">
        <f t="shared" si="17"/>
        <v>0</v>
      </c>
      <c r="DC96">
        <f t="shared" si="18"/>
        <v>0</v>
      </c>
    </row>
    <row r="97" spans="1:107">
      <c r="A97">
        <f>ROW(Source!A222)</f>
        <v>222</v>
      </c>
      <c r="B97">
        <v>41858681</v>
      </c>
      <c r="C97">
        <v>41858170</v>
      </c>
      <c r="D97">
        <v>38803651</v>
      </c>
      <c r="E97">
        <v>1</v>
      </c>
      <c r="F97">
        <v>1</v>
      </c>
      <c r="G97">
        <v>27</v>
      </c>
      <c r="H97">
        <v>3</v>
      </c>
      <c r="I97" t="s">
        <v>295</v>
      </c>
      <c r="J97" t="s">
        <v>296</v>
      </c>
      <c r="K97" t="s">
        <v>297</v>
      </c>
      <c r="L97">
        <v>1346</v>
      </c>
      <c r="N97">
        <v>1009</v>
      </c>
      <c r="O97" t="s">
        <v>261</v>
      </c>
      <c r="P97" t="s">
        <v>261</v>
      </c>
      <c r="Q97">
        <v>1</v>
      </c>
      <c r="W97">
        <v>0</v>
      </c>
      <c r="X97">
        <v>-454677619</v>
      </c>
      <c r="Y97">
        <v>120</v>
      </c>
      <c r="AA97">
        <v>43.69</v>
      </c>
      <c r="AB97">
        <v>0</v>
      </c>
      <c r="AC97">
        <v>0</v>
      </c>
      <c r="AD97">
        <v>0</v>
      </c>
      <c r="AE97">
        <v>43.69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N97">
        <v>0</v>
      </c>
      <c r="AO97">
        <v>1</v>
      </c>
      <c r="AP97">
        <v>0</v>
      </c>
      <c r="AQ97">
        <v>0</v>
      </c>
      <c r="AR97">
        <v>0</v>
      </c>
      <c r="AS97" t="s">
        <v>3</v>
      </c>
      <c r="AT97">
        <v>120</v>
      </c>
      <c r="AU97" t="s">
        <v>3</v>
      </c>
      <c r="AV97">
        <v>0</v>
      </c>
      <c r="AW97">
        <v>2</v>
      </c>
      <c r="AX97">
        <v>41858174</v>
      </c>
      <c r="AY97">
        <v>1</v>
      </c>
      <c r="AZ97">
        <v>0</v>
      </c>
      <c r="BA97">
        <v>85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CX97">
        <f>Y97*Source!I222</f>
        <v>57.599999999999994</v>
      </c>
      <c r="CY97">
        <f>AA97</f>
        <v>43.69</v>
      </c>
      <c r="CZ97">
        <f>AE97</f>
        <v>43.69</v>
      </c>
      <c r="DA97">
        <f>AI97</f>
        <v>1</v>
      </c>
      <c r="DB97">
        <f t="shared" si="17"/>
        <v>5242.8</v>
      </c>
      <c r="DC97">
        <f t="shared" si="18"/>
        <v>0</v>
      </c>
    </row>
    <row r="98" spans="1:107">
      <c r="A98">
        <f>ROW(Source!A223)</f>
        <v>223</v>
      </c>
      <c r="B98">
        <v>41858681</v>
      </c>
      <c r="C98">
        <v>41858175</v>
      </c>
      <c r="D98">
        <v>38786840</v>
      </c>
      <c r="E98">
        <v>27</v>
      </c>
      <c r="F98">
        <v>1</v>
      </c>
      <c r="G98">
        <v>27</v>
      </c>
      <c r="H98">
        <v>1</v>
      </c>
      <c r="I98" t="s">
        <v>247</v>
      </c>
      <c r="J98" t="s">
        <v>3</v>
      </c>
      <c r="K98" t="s">
        <v>248</v>
      </c>
      <c r="L98">
        <v>1191</v>
      </c>
      <c r="N98">
        <v>1013</v>
      </c>
      <c r="O98" t="s">
        <v>249</v>
      </c>
      <c r="P98" t="s">
        <v>249</v>
      </c>
      <c r="Q98">
        <v>1</v>
      </c>
      <c r="W98">
        <v>0</v>
      </c>
      <c r="X98">
        <v>476480486</v>
      </c>
      <c r="Y98">
        <v>2.5499999999999998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1</v>
      </c>
      <c r="AK98">
        <v>1</v>
      </c>
      <c r="AL98">
        <v>1</v>
      </c>
      <c r="AN98">
        <v>0</v>
      </c>
      <c r="AO98">
        <v>1</v>
      </c>
      <c r="AP98">
        <v>1</v>
      </c>
      <c r="AQ98">
        <v>0</v>
      </c>
      <c r="AR98">
        <v>0</v>
      </c>
      <c r="AS98" t="s">
        <v>3</v>
      </c>
      <c r="AT98">
        <v>0.85</v>
      </c>
      <c r="AU98" t="s">
        <v>221</v>
      </c>
      <c r="AV98">
        <v>1</v>
      </c>
      <c r="AW98">
        <v>2</v>
      </c>
      <c r="AX98">
        <v>41858178</v>
      </c>
      <c r="AY98">
        <v>1</v>
      </c>
      <c r="AZ98">
        <v>0</v>
      </c>
      <c r="BA98">
        <v>86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CX98">
        <f>Y98*Source!I223</f>
        <v>1.224</v>
      </c>
      <c r="CY98">
        <f>AD98</f>
        <v>0</v>
      </c>
      <c r="CZ98">
        <f>AH98</f>
        <v>0</v>
      </c>
      <c r="DA98">
        <f>AL98</f>
        <v>1</v>
      </c>
      <c r="DB98">
        <f>ROUND((ROUND(AT98*CZ98,2)*3),6)</f>
        <v>0</v>
      </c>
      <c r="DC98">
        <f>ROUND((ROUND(AT98*AG98,2)*3),6)</f>
        <v>0</v>
      </c>
    </row>
    <row r="99" spans="1:107">
      <c r="A99">
        <f>ROW(Source!A223)</f>
        <v>223</v>
      </c>
      <c r="B99">
        <v>41858681</v>
      </c>
      <c r="C99">
        <v>41858175</v>
      </c>
      <c r="D99">
        <v>38803651</v>
      </c>
      <c r="E99">
        <v>1</v>
      </c>
      <c r="F99">
        <v>1</v>
      </c>
      <c r="G99">
        <v>27</v>
      </c>
      <c r="H99">
        <v>3</v>
      </c>
      <c r="I99" t="s">
        <v>295</v>
      </c>
      <c r="J99" t="s">
        <v>296</v>
      </c>
      <c r="K99" t="s">
        <v>297</v>
      </c>
      <c r="L99">
        <v>1346</v>
      </c>
      <c r="N99">
        <v>1009</v>
      </c>
      <c r="O99" t="s">
        <v>261</v>
      </c>
      <c r="P99" t="s">
        <v>261</v>
      </c>
      <c r="Q99">
        <v>1</v>
      </c>
      <c r="W99">
        <v>0</v>
      </c>
      <c r="X99">
        <v>-454677619</v>
      </c>
      <c r="Y99">
        <v>180</v>
      </c>
      <c r="AA99">
        <v>43.69</v>
      </c>
      <c r="AB99">
        <v>0</v>
      </c>
      <c r="AC99">
        <v>0</v>
      </c>
      <c r="AD99">
        <v>0</v>
      </c>
      <c r="AE99">
        <v>43.69</v>
      </c>
      <c r="AF99">
        <v>0</v>
      </c>
      <c r="AG99">
        <v>0</v>
      </c>
      <c r="AH99">
        <v>0</v>
      </c>
      <c r="AI99">
        <v>1</v>
      </c>
      <c r="AJ99">
        <v>1</v>
      </c>
      <c r="AK99">
        <v>1</v>
      </c>
      <c r="AL99">
        <v>1</v>
      </c>
      <c r="AN99">
        <v>0</v>
      </c>
      <c r="AO99">
        <v>1</v>
      </c>
      <c r="AP99">
        <v>1</v>
      </c>
      <c r="AQ99">
        <v>0</v>
      </c>
      <c r="AR99">
        <v>0</v>
      </c>
      <c r="AS99" t="s">
        <v>3</v>
      </c>
      <c r="AT99">
        <v>60</v>
      </c>
      <c r="AU99" t="s">
        <v>221</v>
      </c>
      <c r="AV99">
        <v>0</v>
      </c>
      <c r="AW99">
        <v>2</v>
      </c>
      <c r="AX99">
        <v>41858179</v>
      </c>
      <c r="AY99">
        <v>1</v>
      </c>
      <c r="AZ99">
        <v>0</v>
      </c>
      <c r="BA99">
        <v>87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CX99">
        <f>Y99*Source!I223</f>
        <v>86.399999999999991</v>
      </c>
      <c r="CY99">
        <f>AA99</f>
        <v>43.69</v>
      </c>
      <c r="CZ99">
        <f>AE99</f>
        <v>43.69</v>
      </c>
      <c r="DA99">
        <f>AI99</f>
        <v>1</v>
      </c>
      <c r="DB99">
        <f>ROUND((ROUND(AT99*CZ99,2)*3),6)</f>
        <v>7864.2</v>
      </c>
      <c r="DC99">
        <f>ROUND((ROUND(AT99*AG99,2)*3),6)</f>
        <v>0</v>
      </c>
    </row>
    <row r="100" spans="1:107">
      <c r="A100">
        <f>ROW(Source!A224)</f>
        <v>224</v>
      </c>
      <c r="B100">
        <v>41858681</v>
      </c>
      <c r="C100">
        <v>41858180</v>
      </c>
      <c r="D100">
        <v>38786840</v>
      </c>
      <c r="E100">
        <v>27</v>
      </c>
      <c r="F100">
        <v>1</v>
      </c>
      <c r="G100">
        <v>27</v>
      </c>
      <c r="H100">
        <v>1</v>
      </c>
      <c r="I100" t="s">
        <v>247</v>
      </c>
      <c r="J100" t="s">
        <v>3</v>
      </c>
      <c r="K100" t="s">
        <v>248</v>
      </c>
      <c r="L100">
        <v>1191</v>
      </c>
      <c r="N100">
        <v>1013</v>
      </c>
      <c r="O100" t="s">
        <v>249</v>
      </c>
      <c r="P100" t="s">
        <v>249</v>
      </c>
      <c r="Q100">
        <v>1</v>
      </c>
      <c r="W100">
        <v>0</v>
      </c>
      <c r="X100">
        <v>476480486</v>
      </c>
      <c r="Y100">
        <v>124.37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1</v>
      </c>
      <c r="AN100">
        <v>0</v>
      </c>
      <c r="AO100">
        <v>1</v>
      </c>
      <c r="AP100">
        <v>0</v>
      </c>
      <c r="AQ100">
        <v>0</v>
      </c>
      <c r="AR100">
        <v>0</v>
      </c>
      <c r="AS100" t="s">
        <v>3</v>
      </c>
      <c r="AT100">
        <v>124.37</v>
      </c>
      <c r="AU100" t="s">
        <v>3</v>
      </c>
      <c r="AV100">
        <v>1</v>
      </c>
      <c r="AW100">
        <v>2</v>
      </c>
      <c r="AX100">
        <v>41858192</v>
      </c>
      <c r="AY100">
        <v>1</v>
      </c>
      <c r="AZ100">
        <v>0</v>
      </c>
      <c r="BA100">
        <v>88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CX100">
        <f>Y100*Source!I224</f>
        <v>62.185000000000002</v>
      </c>
      <c r="CY100">
        <f>AD100</f>
        <v>0</v>
      </c>
      <c r="CZ100">
        <f>AH100</f>
        <v>0</v>
      </c>
      <c r="DA100">
        <f>AL100</f>
        <v>1</v>
      </c>
      <c r="DB100">
        <f t="shared" ref="DB100:DB121" si="22">ROUND(ROUND(AT100*CZ100,2),6)</f>
        <v>0</v>
      </c>
      <c r="DC100">
        <f t="shared" ref="DC100:DC121" si="23">ROUND(ROUND(AT100*AG100,2),6)</f>
        <v>0</v>
      </c>
    </row>
    <row r="101" spans="1:107">
      <c r="A101">
        <f>ROW(Source!A224)</f>
        <v>224</v>
      </c>
      <c r="B101">
        <v>41858681</v>
      </c>
      <c r="C101">
        <v>41858180</v>
      </c>
      <c r="D101">
        <v>38799817</v>
      </c>
      <c r="E101">
        <v>1</v>
      </c>
      <c r="F101">
        <v>1</v>
      </c>
      <c r="G101">
        <v>27</v>
      </c>
      <c r="H101">
        <v>2</v>
      </c>
      <c r="I101" t="s">
        <v>298</v>
      </c>
      <c r="J101" t="s">
        <v>299</v>
      </c>
      <c r="K101" t="s">
        <v>300</v>
      </c>
      <c r="L101">
        <v>1368</v>
      </c>
      <c r="N101">
        <v>1011</v>
      </c>
      <c r="O101" t="s">
        <v>253</v>
      </c>
      <c r="P101" t="s">
        <v>253</v>
      </c>
      <c r="Q101">
        <v>1</v>
      </c>
      <c r="W101">
        <v>0</v>
      </c>
      <c r="X101">
        <v>1185668136</v>
      </c>
      <c r="Y101">
        <v>1.1000000000000001</v>
      </c>
      <c r="AA101">
        <v>0</v>
      </c>
      <c r="AB101">
        <v>641.88</v>
      </c>
      <c r="AC101">
        <v>413.66</v>
      </c>
      <c r="AD101">
        <v>0</v>
      </c>
      <c r="AE101">
        <v>0</v>
      </c>
      <c r="AF101">
        <v>641.88</v>
      </c>
      <c r="AG101">
        <v>413.66</v>
      </c>
      <c r="AH101">
        <v>0</v>
      </c>
      <c r="AI101">
        <v>1</v>
      </c>
      <c r="AJ101">
        <v>1</v>
      </c>
      <c r="AK101">
        <v>1</v>
      </c>
      <c r="AL101">
        <v>1</v>
      </c>
      <c r="AN101">
        <v>0</v>
      </c>
      <c r="AO101">
        <v>1</v>
      </c>
      <c r="AP101">
        <v>0</v>
      </c>
      <c r="AQ101">
        <v>0</v>
      </c>
      <c r="AR101">
        <v>0</v>
      </c>
      <c r="AS101" t="s">
        <v>3</v>
      </c>
      <c r="AT101">
        <v>1.1000000000000001</v>
      </c>
      <c r="AU101" t="s">
        <v>3</v>
      </c>
      <c r="AV101">
        <v>0</v>
      </c>
      <c r="AW101">
        <v>2</v>
      </c>
      <c r="AX101">
        <v>41858193</v>
      </c>
      <c r="AY101">
        <v>1</v>
      </c>
      <c r="AZ101">
        <v>0</v>
      </c>
      <c r="BA101">
        <v>89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CX101">
        <f>Y101*Source!I224</f>
        <v>0.55000000000000004</v>
      </c>
      <c r="CY101">
        <f>AB101</f>
        <v>641.88</v>
      </c>
      <c r="CZ101">
        <f>AF101</f>
        <v>641.88</v>
      </c>
      <c r="DA101">
        <f>AJ101</f>
        <v>1</v>
      </c>
      <c r="DB101">
        <f t="shared" si="22"/>
        <v>706.07</v>
      </c>
      <c r="DC101">
        <f t="shared" si="23"/>
        <v>455.03</v>
      </c>
    </row>
    <row r="102" spans="1:107">
      <c r="A102">
        <f>ROW(Source!A224)</f>
        <v>224</v>
      </c>
      <c r="B102">
        <v>41858681</v>
      </c>
      <c r="C102">
        <v>41858180</v>
      </c>
      <c r="D102">
        <v>38799852</v>
      </c>
      <c r="E102">
        <v>1</v>
      </c>
      <c r="F102">
        <v>1</v>
      </c>
      <c r="G102">
        <v>27</v>
      </c>
      <c r="H102">
        <v>2</v>
      </c>
      <c r="I102" t="s">
        <v>301</v>
      </c>
      <c r="J102" t="s">
        <v>302</v>
      </c>
      <c r="K102" t="s">
        <v>303</v>
      </c>
      <c r="L102">
        <v>1368</v>
      </c>
      <c r="N102">
        <v>1011</v>
      </c>
      <c r="O102" t="s">
        <v>253</v>
      </c>
      <c r="P102" t="s">
        <v>253</v>
      </c>
      <c r="Q102">
        <v>1</v>
      </c>
      <c r="W102">
        <v>0</v>
      </c>
      <c r="X102">
        <v>1867963690</v>
      </c>
      <c r="Y102">
        <v>7.12</v>
      </c>
      <c r="AA102">
        <v>0</v>
      </c>
      <c r="AB102">
        <v>7.97</v>
      </c>
      <c r="AC102">
        <v>1.87</v>
      </c>
      <c r="AD102">
        <v>0</v>
      </c>
      <c r="AE102">
        <v>0</v>
      </c>
      <c r="AF102">
        <v>7.97</v>
      </c>
      <c r="AG102">
        <v>1.87</v>
      </c>
      <c r="AH102">
        <v>0</v>
      </c>
      <c r="AI102">
        <v>1</v>
      </c>
      <c r="AJ102">
        <v>1</v>
      </c>
      <c r="AK102">
        <v>1</v>
      </c>
      <c r="AL102">
        <v>1</v>
      </c>
      <c r="AN102">
        <v>0</v>
      </c>
      <c r="AO102">
        <v>1</v>
      </c>
      <c r="AP102">
        <v>0</v>
      </c>
      <c r="AQ102">
        <v>0</v>
      </c>
      <c r="AR102">
        <v>0</v>
      </c>
      <c r="AS102" t="s">
        <v>3</v>
      </c>
      <c r="AT102">
        <v>7.12</v>
      </c>
      <c r="AU102" t="s">
        <v>3</v>
      </c>
      <c r="AV102">
        <v>0</v>
      </c>
      <c r="AW102">
        <v>2</v>
      </c>
      <c r="AX102">
        <v>41858194</v>
      </c>
      <c r="AY102">
        <v>1</v>
      </c>
      <c r="AZ102">
        <v>0</v>
      </c>
      <c r="BA102">
        <v>90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CX102">
        <f>Y102*Source!I224</f>
        <v>3.56</v>
      </c>
      <c r="CY102">
        <f>AB102</f>
        <v>7.97</v>
      </c>
      <c r="CZ102">
        <f>AF102</f>
        <v>7.97</v>
      </c>
      <c r="DA102">
        <f>AJ102</f>
        <v>1</v>
      </c>
      <c r="DB102">
        <f t="shared" si="22"/>
        <v>56.75</v>
      </c>
      <c r="DC102">
        <f t="shared" si="23"/>
        <v>13.31</v>
      </c>
    </row>
    <row r="103" spans="1:107">
      <c r="A103">
        <f>ROW(Source!A224)</f>
        <v>224</v>
      </c>
      <c r="B103">
        <v>41858681</v>
      </c>
      <c r="C103">
        <v>41858180</v>
      </c>
      <c r="D103">
        <v>38800826</v>
      </c>
      <c r="E103">
        <v>1</v>
      </c>
      <c r="F103">
        <v>1</v>
      </c>
      <c r="G103">
        <v>27</v>
      </c>
      <c r="H103">
        <v>3</v>
      </c>
      <c r="I103" t="s">
        <v>304</v>
      </c>
      <c r="J103" t="s">
        <v>305</v>
      </c>
      <c r="K103" t="s">
        <v>306</v>
      </c>
      <c r="L103">
        <v>1348</v>
      </c>
      <c r="N103">
        <v>1009</v>
      </c>
      <c r="O103" t="s">
        <v>307</v>
      </c>
      <c r="P103" t="s">
        <v>307</v>
      </c>
      <c r="Q103">
        <v>1000</v>
      </c>
      <c r="W103">
        <v>0</v>
      </c>
      <c r="X103">
        <v>1130308456</v>
      </c>
      <c r="Y103">
        <v>0.11</v>
      </c>
      <c r="AA103">
        <v>53313.54</v>
      </c>
      <c r="AB103">
        <v>0</v>
      </c>
      <c r="AC103">
        <v>0</v>
      </c>
      <c r="AD103">
        <v>0</v>
      </c>
      <c r="AE103">
        <v>53313.54</v>
      </c>
      <c r="AF103">
        <v>0</v>
      </c>
      <c r="AG103">
        <v>0</v>
      </c>
      <c r="AH103">
        <v>0</v>
      </c>
      <c r="AI103">
        <v>1</v>
      </c>
      <c r="AJ103">
        <v>1</v>
      </c>
      <c r="AK103">
        <v>1</v>
      </c>
      <c r="AL103">
        <v>1</v>
      </c>
      <c r="AN103">
        <v>0</v>
      </c>
      <c r="AO103">
        <v>1</v>
      </c>
      <c r="AP103">
        <v>0</v>
      </c>
      <c r="AQ103">
        <v>0</v>
      </c>
      <c r="AR103">
        <v>0</v>
      </c>
      <c r="AS103" t="s">
        <v>3</v>
      </c>
      <c r="AT103">
        <v>0.11</v>
      </c>
      <c r="AU103" t="s">
        <v>3</v>
      </c>
      <c r="AV103">
        <v>0</v>
      </c>
      <c r="AW103">
        <v>2</v>
      </c>
      <c r="AX103">
        <v>41858195</v>
      </c>
      <c r="AY103">
        <v>1</v>
      </c>
      <c r="AZ103">
        <v>0</v>
      </c>
      <c r="BA103">
        <v>91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CX103">
        <f>Y103*Source!I224</f>
        <v>5.5E-2</v>
      </c>
      <c r="CY103">
        <f t="shared" ref="CY103:CY110" si="24">AA103</f>
        <v>53313.54</v>
      </c>
      <c r="CZ103">
        <f t="shared" ref="CZ103:CZ110" si="25">AE103</f>
        <v>53313.54</v>
      </c>
      <c r="DA103">
        <f t="shared" ref="DA103:DA110" si="26">AI103</f>
        <v>1</v>
      </c>
      <c r="DB103">
        <f t="shared" si="22"/>
        <v>5864.49</v>
      </c>
      <c r="DC103">
        <f t="shared" si="23"/>
        <v>0</v>
      </c>
    </row>
    <row r="104" spans="1:107">
      <c r="A104">
        <f>ROW(Source!A224)</f>
        <v>224</v>
      </c>
      <c r="B104">
        <v>41858681</v>
      </c>
      <c r="C104">
        <v>41858180</v>
      </c>
      <c r="D104">
        <v>38801166</v>
      </c>
      <c r="E104">
        <v>1</v>
      </c>
      <c r="F104">
        <v>1</v>
      </c>
      <c r="G104">
        <v>27</v>
      </c>
      <c r="H104">
        <v>3</v>
      </c>
      <c r="I104" t="s">
        <v>308</v>
      </c>
      <c r="J104" t="s">
        <v>309</v>
      </c>
      <c r="K104" t="s">
        <v>310</v>
      </c>
      <c r="L104">
        <v>1339</v>
      </c>
      <c r="N104">
        <v>1007</v>
      </c>
      <c r="O104" t="s">
        <v>257</v>
      </c>
      <c r="P104" t="s">
        <v>257</v>
      </c>
      <c r="Q104">
        <v>1</v>
      </c>
      <c r="W104">
        <v>0</v>
      </c>
      <c r="X104">
        <v>909340900</v>
      </c>
      <c r="Y104">
        <v>3.4</v>
      </c>
      <c r="AA104">
        <v>590.78</v>
      </c>
      <c r="AB104">
        <v>0</v>
      </c>
      <c r="AC104">
        <v>0</v>
      </c>
      <c r="AD104">
        <v>0</v>
      </c>
      <c r="AE104">
        <v>590.78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1</v>
      </c>
      <c r="AL104">
        <v>1</v>
      </c>
      <c r="AN104">
        <v>0</v>
      </c>
      <c r="AO104">
        <v>1</v>
      </c>
      <c r="AP104">
        <v>0</v>
      </c>
      <c r="AQ104">
        <v>0</v>
      </c>
      <c r="AR104">
        <v>0</v>
      </c>
      <c r="AS104" t="s">
        <v>3</v>
      </c>
      <c r="AT104">
        <v>3.4</v>
      </c>
      <c r="AU104" t="s">
        <v>3</v>
      </c>
      <c r="AV104">
        <v>0</v>
      </c>
      <c r="AW104">
        <v>2</v>
      </c>
      <c r="AX104">
        <v>41858196</v>
      </c>
      <c r="AY104">
        <v>1</v>
      </c>
      <c r="AZ104">
        <v>0</v>
      </c>
      <c r="BA104">
        <v>92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CX104">
        <f>Y104*Source!I224</f>
        <v>1.7</v>
      </c>
      <c r="CY104">
        <f t="shared" si="24"/>
        <v>590.78</v>
      </c>
      <c r="CZ104">
        <f t="shared" si="25"/>
        <v>590.78</v>
      </c>
      <c r="DA104">
        <f t="shared" si="26"/>
        <v>1</v>
      </c>
      <c r="DB104">
        <f t="shared" si="22"/>
        <v>2008.65</v>
      </c>
      <c r="DC104">
        <f t="shared" si="23"/>
        <v>0</v>
      </c>
    </row>
    <row r="105" spans="1:107">
      <c r="A105">
        <f>ROW(Source!A224)</f>
        <v>224</v>
      </c>
      <c r="B105">
        <v>41858681</v>
      </c>
      <c r="C105">
        <v>41858180</v>
      </c>
      <c r="D105">
        <v>38801184</v>
      </c>
      <c r="E105">
        <v>1</v>
      </c>
      <c r="F105">
        <v>1</v>
      </c>
      <c r="G105">
        <v>27</v>
      </c>
      <c r="H105">
        <v>3</v>
      </c>
      <c r="I105" t="s">
        <v>311</v>
      </c>
      <c r="J105" t="s">
        <v>312</v>
      </c>
      <c r="K105" t="s">
        <v>313</v>
      </c>
      <c r="L105">
        <v>1339</v>
      </c>
      <c r="N105">
        <v>1007</v>
      </c>
      <c r="O105" t="s">
        <v>257</v>
      </c>
      <c r="P105" t="s">
        <v>257</v>
      </c>
      <c r="Q105">
        <v>1</v>
      </c>
      <c r="W105">
        <v>0</v>
      </c>
      <c r="X105">
        <v>-1412128106</v>
      </c>
      <c r="Y105">
        <v>3.4</v>
      </c>
      <c r="AA105">
        <v>1436.5</v>
      </c>
      <c r="AB105">
        <v>0</v>
      </c>
      <c r="AC105">
        <v>0</v>
      </c>
      <c r="AD105">
        <v>0</v>
      </c>
      <c r="AE105">
        <v>1436.5</v>
      </c>
      <c r="AF105">
        <v>0</v>
      </c>
      <c r="AG105">
        <v>0</v>
      </c>
      <c r="AH105">
        <v>0</v>
      </c>
      <c r="AI105">
        <v>1</v>
      </c>
      <c r="AJ105">
        <v>1</v>
      </c>
      <c r="AK105">
        <v>1</v>
      </c>
      <c r="AL105">
        <v>1</v>
      </c>
      <c r="AN105">
        <v>0</v>
      </c>
      <c r="AO105">
        <v>1</v>
      </c>
      <c r="AP105">
        <v>0</v>
      </c>
      <c r="AQ105">
        <v>0</v>
      </c>
      <c r="AR105">
        <v>0</v>
      </c>
      <c r="AS105" t="s">
        <v>3</v>
      </c>
      <c r="AT105">
        <v>3.4</v>
      </c>
      <c r="AU105" t="s">
        <v>3</v>
      </c>
      <c r="AV105">
        <v>0</v>
      </c>
      <c r="AW105">
        <v>2</v>
      </c>
      <c r="AX105">
        <v>41858197</v>
      </c>
      <c r="AY105">
        <v>1</v>
      </c>
      <c r="AZ105">
        <v>0</v>
      </c>
      <c r="BA105">
        <v>93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CX105">
        <f>Y105*Source!I224</f>
        <v>1.7</v>
      </c>
      <c r="CY105">
        <f t="shared" si="24"/>
        <v>1436.5</v>
      </c>
      <c r="CZ105">
        <f t="shared" si="25"/>
        <v>1436.5</v>
      </c>
      <c r="DA105">
        <f t="shared" si="26"/>
        <v>1</v>
      </c>
      <c r="DB105">
        <f t="shared" si="22"/>
        <v>4884.1000000000004</v>
      </c>
      <c r="DC105">
        <f t="shared" si="23"/>
        <v>0</v>
      </c>
    </row>
    <row r="106" spans="1:107">
      <c r="A106">
        <f>ROW(Source!A224)</f>
        <v>224</v>
      </c>
      <c r="B106">
        <v>41858681</v>
      </c>
      <c r="C106">
        <v>41858180</v>
      </c>
      <c r="D106">
        <v>38801216</v>
      </c>
      <c r="E106">
        <v>1</v>
      </c>
      <c r="F106">
        <v>1</v>
      </c>
      <c r="G106">
        <v>27</v>
      </c>
      <c r="H106">
        <v>3</v>
      </c>
      <c r="I106" t="s">
        <v>314</v>
      </c>
      <c r="J106" t="s">
        <v>315</v>
      </c>
      <c r="K106" t="s">
        <v>316</v>
      </c>
      <c r="L106">
        <v>1348</v>
      </c>
      <c r="N106">
        <v>1009</v>
      </c>
      <c r="O106" t="s">
        <v>307</v>
      </c>
      <c r="P106" t="s">
        <v>307</v>
      </c>
      <c r="Q106">
        <v>1000</v>
      </c>
      <c r="W106">
        <v>0</v>
      </c>
      <c r="X106">
        <v>-750171961</v>
      </c>
      <c r="Y106">
        <v>1.46</v>
      </c>
      <c r="AA106">
        <v>9548.1200000000008</v>
      </c>
      <c r="AB106">
        <v>0</v>
      </c>
      <c r="AC106">
        <v>0</v>
      </c>
      <c r="AD106">
        <v>0</v>
      </c>
      <c r="AE106">
        <v>9548.1200000000008</v>
      </c>
      <c r="AF106">
        <v>0</v>
      </c>
      <c r="AG106">
        <v>0</v>
      </c>
      <c r="AH106">
        <v>0</v>
      </c>
      <c r="AI106">
        <v>1</v>
      </c>
      <c r="AJ106">
        <v>1</v>
      </c>
      <c r="AK106">
        <v>1</v>
      </c>
      <c r="AL106">
        <v>1</v>
      </c>
      <c r="AN106">
        <v>0</v>
      </c>
      <c r="AO106">
        <v>1</v>
      </c>
      <c r="AP106">
        <v>0</v>
      </c>
      <c r="AQ106">
        <v>0</v>
      </c>
      <c r="AR106">
        <v>0</v>
      </c>
      <c r="AS106" t="s">
        <v>3</v>
      </c>
      <c r="AT106">
        <v>1.46</v>
      </c>
      <c r="AU106" t="s">
        <v>3</v>
      </c>
      <c r="AV106">
        <v>0</v>
      </c>
      <c r="AW106">
        <v>2</v>
      </c>
      <c r="AX106">
        <v>41858198</v>
      </c>
      <c r="AY106">
        <v>1</v>
      </c>
      <c r="AZ106">
        <v>0</v>
      </c>
      <c r="BA106">
        <v>94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CX106">
        <f>Y106*Source!I224</f>
        <v>0.73</v>
      </c>
      <c r="CY106">
        <f t="shared" si="24"/>
        <v>9548.1200000000008</v>
      </c>
      <c r="CZ106">
        <f t="shared" si="25"/>
        <v>9548.1200000000008</v>
      </c>
      <c r="DA106">
        <f t="shared" si="26"/>
        <v>1</v>
      </c>
      <c r="DB106">
        <f t="shared" si="22"/>
        <v>13940.26</v>
      </c>
      <c r="DC106">
        <f t="shared" si="23"/>
        <v>0</v>
      </c>
    </row>
    <row r="107" spans="1:107">
      <c r="A107">
        <f>ROW(Source!A224)</f>
        <v>224</v>
      </c>
      <c r="B107">
        <v>41858681</v>
      </c>
      <c r="C107">
        <v>41858180</v>
      </c>
      <c r="D107">
        <v>38801217</v>
      </c>
      <c r="E107">
        <v>1</v>
      </c>
      <c r="F107">
        <v>1</v>
      </c>
      <c r="G107">
        <v>27</v>
      </c>
      <c r="H107">
        <v>3</v>
      </c>
      <c r="I107" t="s">
        <v>317</v>
      </c>
      <c r="J107" t="s">
        <v>318</v>
      </c>
      <c r="K107" t="s">
        <v>319</v>
      </c>
      <c r="L107">
        <v>1327</v>
      </c>
      <c r="N107">
        <v>1005</v>
      </c>
      <c r="O107" t="s">
        <v>291</v>
      </c>
      <c r="P107" t="s">
        <v>291</v>
      </c>
      <c r="Q107">
        <v>1</v>
      </c>
      <c r="W107">
        <v>0</v>
      </c>
      <c r="X107">
        <v>-1610909561</v>
      </c>
      <c r="Y107">
        <v>10</v>
      </c>
      <c r="AA107">
        <v>4659.1099999999997</v>
      </c>
      <c r="AB107">
        <v>0</v>
      </c>
      <c r="AC107">
        <v>0</v>
      </c>
      <c r="AD107">
        <v>0</v>
      </c>
      <c r="AE107">
        <v>4659.1099999999997</v>
      </c>
      <c r="AF107">
        <v>0</v>
      </c>
      <c r="AG107">
        <v>0</v>
      </c>
      <c r="AH107">
        <v>0</v>
      </c>
      <c r="AI107">
        <v>1</v>
      </c>
      <c r="AJ107">
        <v>1</v>
      </c>
      <c r="AK107">
        <v>1</v>
      </c>
      <c r="AL107">
        <v>1</v>
      </c>
      <c r="AN107">
        <v>0</v>
      </c>
      <c r="AO107">
        <v>1</v>
      </c>
      <c r="AP107">
        <v>0</v>
      </c>
      <c r="AQ107">
        <v>0</v>
      </c>
      <c r="AR107">
        <v>0</v>
      </c>
      <c r="AS107" t="s">
        <v>3</v>
      </c>
      <c r="AT107">
        <v>10</v>
      </c>
      <c r="AU107" t="s">
        <v>3</v>
      </c>
      <c r="AV107">
        <v>0</v>
      </c>
      <c r="AW107">
        <v>2</v>
      </c>
      <c r="AX107">
        <v>41858199</v>
      </c>
      <c r="AY107">
        <v>1</v>
      </c>
      <c r="AZ107">
        <v>0</v>
      </c>
      <c r="BA107">
        <v>95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CX107">
        <f>Y107*Source!I224</f>
        <v>5</v>
      </c>
      <c r="CY107">
        <f t="shared" si="24"/>
        <v>4659.1099999999997</v>
      </c>
      <c r="CZ107">
        <f t="shared" si="25"/>
        <v>4659.1099999999997</v>
      </c>
      <c r="DA107">
        <f t="shared" si="26"/>
        <v>1</v>
      </c>
      <c r="DB107">
        <f t="shared" si="22"/>
        <v>46591.1</v>
      </c>
      <c r="DC107">
        <f t="shared" si="23"/>
        <v>0</v>
      </c>
    </row>
    <row r="108" spans="1:107">
      <c r="A108">
        <f>ROW(Source!A224)</f>
        <v>224</v>
      </c>
      <c r="B108">
        <v>41858681</v>
      </c>
      <c r="C108">
        <v>41858180</v>
      </c>
      <c r="D108">
        <v>38800114</v>
      </c>
      <c r="E108">
        <v>1</v>
      </c>
      <c r="F108">
        <v>1</v>
      </c>
      <c r="G108">
        <v>27</v>
      </c>
      <c r="H108">
        <v>3</v>
      </c>
      <c r="I108" t="s">
        <v>320</v>
      </c>
      <c r="J108" t="s">
        <v>321</v>
      </c>
      <c r="K108" t="s">
        <v>322</v>
      </c>
      <c r="L108">
        <v>1348</v>
      </c>
      <c r="N108">
        <v>1009</v>
      </c>
      <c r="O108" t="s">
        <v>307</v>
      </c>
      <c r="P108" t="s">
        <v>307</v>
      </c>
      <c r="Q108">
        <v>1000</v>
      </c>
      <c r="W108">
        <v>0</v>
      </c>
      <c r="X108">
        <v>1285591100</v>
      </c>
      <c r="Y108">
        <v>1.3</v>
      </c>
      <c r="AA108">
        <v>4207.5</v>
      </c>
      <c r="AB108">
        <v>0</v>
      </c>
      <c r="AC108">
        <v>0</v>
      </c>
      <c r="AD108">
        <v>0</v>
      </c>
      <c r="AE108">
        <v>4207.5</v>
      </c>
      <c r="AF108">
        <v>0</v>
      </c>
      <c r="AG108">
        <v>0</v>
      </c>
      <c r="AH108">
        <v>0</v>
      </c>
      <c r="AI108">
        <v>1</v>
      </c>
      <c r="AJ108">
        <v>1</v>
      </c>
      <c r="AK108">
        <v>1</v>
      </c>
      <c r="AL108">
        <v>1</v>
      </c>
      <c r="AN108">
        <v>0</v>
      </c>
      <c r="AO108">
        <v>1</v>
      </c>
      <c r="AP108">
        <v>0</v>
      </c>
      <c r="AQ108">
        <v>0</v>
      </c>
      <c r="AR108">
        <v>0</v>
      </c>
      <c r="AS108" t="s">
        <v>3</v>
      </c>
      <c r="AT108">
        <v>1.3</v>
      </c>
      <c r="AU108" t="s">
        <v>3</v>
      </c>
      <c r="AV108">
        <v>0</v>
      </c>
      <c r="AW108">
        <v>2</v>
      </c>
      <c r="AX108">
        <v>41858200</v>
      </c>
      <c r="AY108">
        <v>1</v>
      </c>
      <c r="AZ108">
        <v>0</v>
      </c>
      <c r="BA108">
        <v>96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CX108">
        <f>Y108*Source!I224</f>
        <v>0.65</v>
      </c>
      <c r="CY108">
        <f t="shared" si="24"/>
        <v>4207.5</v>
      </c>
      <c r="CZ108">
        <f t="shared" si="25"/>
        <v>4207.5</v>
      </c>
      <c r="DA108">
        <f t="shared" si="26"/>
        <v>1</v>
      </c>
      <c r="DB108">
        <f t="shared" si="22"/>
        <v>5469.75</v>
      </c>
      <c r="DC108">
        <f t="shared" si="23"/>
        <v>0</v>
      </c>
    </row>
    <row r="109" spans="1:107">
      <c r="A109">
        <f>ROW(Source!A224)</f>
        <v>224</v>
      </c>
      <c r="B109">
        <v>41858681</v>
      </c>
      <c r="C109">
        <v>41858180</v>
      </c>
      <c r="D109">
        <v>38801911</v>
      </c>
      <c r="E109">
        <v>1</v>
      </c>
      <c r="F109">
        <v>1</v>
      </c>
      <c r="G109">
        <v>27</v>
      </c>
      <c r="H109">
        <v>3</v>
      </c>
      <c r="I109" t="s">
        <v>262</v>
      </c>
      <c r="J109" t="s">
        <v>263</v>
      </c>
      <c r="K109" t="s">
        <v>264</v>
      </c>
      <c r="L109">
        <v>1339</v>
      </c>
      <c r="N109">
        <v>1007</v>
      </c>
      <c r="O109" t="s">
        <v>257</v>
      </c>
      <c r="P109" t="s">
        <v>257</v>
      </c>
      <c r="Q109">
        <v>1</v>
      </c>
      <c r="W109">
        <v>0</v>
      </c>
      <c r="X109">
        <v>1927597627</v>
      </c>
      <c r="Y109">
        <v>1</v>
      </c>
      <c r="AA109">
        <v>35.25</v>
      </c>
      <c r="AB109">
        <v>0</v>
      </c>
      <c r="AC109">
        <v>0</v>
      </c>
      <c r="AD109">
        <v>0</v>
      </c>
      <c r="AE109">
        <v>35.25</v>
      </c>
      <c r="AF109">
        <v>0</v>
      </c>
      <c r="AG109">
        <v>0</v>
      </c>
      <c r="AH109">
        <v>0</v>
      </c>
      <c r="AI109">
        <v>1</v>
      </c>
      <c r="AJ109">
        <v>1</v>
      </c>
      <c r="AK109">
        <v>1</v>
      </c>
      <c r="AL109">
        <v>1</v>
      </c>
      <c r="AN109">
        <v>0</v>
      </c>
      <c r="AO109">
        <v>1</v>
      </c>
      <c r="AP109">
        <v>0</v>
      </c>
      <c r="AQ109">
        <v>0</v>
      </c>
      <c r="AR109">
        <v>0</v>
      </c>
      <c r="AS109" t="s">
        <v>3</v>
      </c>
      <c r="AT109">
        <v>1</v>
      </c>
      <c r="AU109" t="s">
        <v>3</v>
      </c>
      <c r="AV109">
        <v>0</v>
      </c>
      <c r="AW109">
        <v>2</v>
      </c>
      <c r="AX109">
        <v>41858201</v>
      </c>
      <c r="AY109">
        <v>1</v>
      </c>
      <c r="AZ109">
        <v>0</v>
      </c>
      <c r="BA109">
        <v>97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CX109">
        <f>Y109*Source!I224</f>
        <v>0.5</v>
      </c>
      <c r="CY109">
        <f t="shared" si="24"/>
        <v>35.25</v>
      </c>
      <c r="CZ109">
        <f t="shared" si="25"/>
        <v>35.25</v>
      </c>
      <c r="DA109">
        <f t="shared" si="26"/>
        <v>1</v>
      </c>
      <c r="DB109">
        <f t="shared" si="22"/>
        <v>35.25</v>
      </c>
      <c r="DC109">
        <f t="shared" si="23"/>
        <v>0</v>
      </c>
    </row>
    <row r="110" spans="1:107">
      <c r="A110">
        <f>ROW(Source!A224)</f>
        <v>224</v>
      </c>
      <c r="B110">
        <v>41858681</v>
      </c>
      <c r="C110">
        <v>41858180</v>
      </c>
      <c r="D110">
        <v>38803130</v>
      </c>
      <c r="E110">
        <v>1</v>
      </c>
      <c r="F110">
        <v>1</v>
      </c>
      <c r="G110">
        <v>27</v>
      </c>
      <c r="H110">
        <v>3</v>
      </c>
      <c r="I110" t="s">
        <v>323</v>
      </c>
      <c r="J110" t="s">
        <v>324</v>
      </c>
      <c r="K110" t="s">
        <v>325</v>
      </c>
      <c r="L110">
        <v>1348</v>
      </c>
      <c r="N110">
        <v>1009</v>
      </c>
      <c r="O110" t="s">
        <v>307</v>
      </c>
      <c r="P110" t="s">
        <v>307</v>
      </c>
      <c r="Q110">
        <v>1000</v>
      </c>
      <c r="W110">
        <v>0</v>
      </c>
      <c r="X110">
        <v>-508128525</v>
      </c>
      <c r="Y110">
        <v>0.03</v>
      </c>
      <c r="AA110">
        <v>36434</v>
      </c>
      <c r="AB110">
        <v>0</v>
      </c>
      <c r="AC110">
        <v>0</v>
      </c>
      <c r="AD110">
        <v>0</v>
      </c>
      <c r="AE110">
        <v>36434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1</v>
      </c>
      <c r="AL110">
        <v>1</v>
      </c>
      <c r="AN110">
        <v>0</v>
      </c>
      <c r="AO110">
        <v>1</v>
      </c>
      <c r="AP110">
        <v>0</v>
      </c>
      <c r="AQ110">
        <v>0</v>
      </c>
      <c r="AR110">
        <v>0</v>
      </c>
      <c r="AS110" t="s">
        <v>3</v>
      </c>
      <c r="AT110">
        <v>0.03</v>
      </c>
      <c r="AU110" t="s">
        <v>3</v>
      </c>
      <c r="AV110">
        <v>0</v>
      </c>
      <c r="AW110">
        <v>2</v>
      </c>
      <c r="AX110">
        <v>41858202</v>
      </c>
      <c r="AY110">
        <v>1</v>
      </c>
      <c r="AZ110">
        <v>0</v>
      </c>
      <c r="BA110">
        <v>98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CX110">
        <f>Y110*Source!I224</f>
        <v>1.4999999999999999E-2</v>
      </c>
      <c r="CY110">
        <f t="shared" si="24"/>
        <v>36434</v>
      </c>
      <c r="CZ110">
        <f t="shared" si="25"/>
        <v>36434</v>
      </c>
      <c r="DA110">
        <f t="shared" si="26"/>
        <v>1</v>
      </c>
      <c r="DB110">
        <f t="shared" si="22"/>
        <v>1093.02</v>
      </c>
      <c r="DC110">
        <f t="shared" si="23"/>
        <v>0</v>
      </c>
    </row>
    <row r="111" spans="1:107">
      <c r="A111">
        <f>ROW(Source!A262)</f>
        <v>262</v>
      </c>
      <c r="B111">
        <v>41858681</v>
      </c>
      <c r="C111">
        <v>41858203</v>
      </c>
      <c r="D111">
        <v>38786840</v>
      </c>
      <c r="E111">
        <v>27</v>
      </c>
      <c r="F111">
        <v>1</v>
      </c>
      <c r="G111">
        <v>27</v>
      </c>
      <c r="H111">
        <v>1</v>
      </c>
      <c r="I111" t="s">
        <v>247</v>
      </c>
      <c r="J111" t="s">
        <v>3</v>
      </c>
      <c r="K111" t="s">
        <v>248</v>
      </c>
      <c r="L111">
        <v>1191</v>
      </c>
      <c r="N111">
        <v>1013</v>
      </c>
      <c r="O111" t="s">
        <v>249</v>
      </c>
      <c r="P111" t="s">
        <v>249</v>
      </c>
      <c r="Q111">
        <v>1</v>
      </c>
      <c r="W111">
        <v>0</v>
      </c>
      <c r="X111">
        <v>476480486</v>
      </c>
      <c r="Y111">
        <v>30.8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1</v>
      </c>
      <c r="AN111">
        <v>0</v>
      </c>
      <c r="AO111">
        <v>1</v>
      </c>
      <c r="AP111">
        <v>0</v>
      </c>
      <c r="AQ111">
        <v>0</v>
      </c>
      <c r="AR111">
        <v>0</v>
      </c>
      <c r="AS111" t="s">
        <v>3</v>
      </c>
      <c r="AT111">
        <v>30.8</v>
      </c>
      <c r="AU111" t="s">
        <v>3</v>
      </c>
      <c r="AV111">
        <v>1</v>
      </c>
      <c r="AW111">
        <v>2</v>
      </c>
      <c r="AX111">
        <v>41858208</v>
      </c>
      <c r="AY111">
        <v>1</v>
      </c>
      <c r="AZ111">
        <v>0</v>
      </c>
      <c r="BA111">
        <v>99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CX111">
        <f>Y111*Source!I262</f>
        <v>127.05</v>
      </c>
      <c r="CY111">
        <f>AD111</f>
        <v>0</v>
      </c>
      <c r="CZ111">
        <f>AH111</f>
        <v>0</v>
      </c>
      <c r="DA111">
        <f>AL111</f>
        <v>1</v>
      </c>
      <c r="DB111">
        <f t="shared" si="22"/>
        <v>0</v>
      </c>
      <c r="DC111">
        <f t="shared" si="23"/>
        <v>0</v>
      </c>
    </row>
    <row r="112" spans="1:107">
      <c r="A112">
        <f>ROW(Source!A262)</f>
        <v>262</v>
      </c>
      <c r="B112">
        <v>41858681</v>
      </c>
      <c r="C112">
        <v>41858203</v>
      </c>
      <c r="D112">
        <v>38799611</v>
      </c>
      <c r="E112">
        <v>1</v>
      </c>
      <c r="F112">
        <v>1</v>
      </c>
      <c r="G112">
        <v>27</v>
      </c>
      <c r="H112">
        <v>2</v>
      </c>
      <c r="I112" t="s">
        <v>326</v>
      </c>
      <c r="J112" t="s">
        <v>327</v>
      </c>
      <c r="K112" t="s">
        <v>328</v>
      </c>
      <c r="L112">
        <v>1368</v>
      </c>
      <c r="N112">
        <v>1011</v>
      </c>
      <c r="O112" t="s">
        <v>253</v>
      </c>
      <c r="P112" t="s">
        <v>253</v>
      </c>
      <c r="Q112">
        <v>1</v>
      </c>
      <c r="W112">
        <v>0</v>
      </c>
      <c r="X112">
        <v>2094046019</v>
      </c>
      <c r="Y112">
        <v>0.06</v>
      </c>
      <c r="AA112">
        <v>0</v>
      </c>
      <c r="AB112">
        <v>20.7</v>
      </c>
      <c r="AC112">
        <v>9.74</v>
      </c>
      <c r="AD112">
        <v>0</v>
      </c>
      <c r="AE112">
        <v>0</v>
      </c>
      <c r="AF112">
        <v>20.7</v>
      </c>
      <c r="AG112">
        <v>9.74</v>
      </c>
      <c r="AH112">
        <v>0</v>
      </c>
      <c r="AI112">
        <v>1</v>
      </c>
      <c r="AJ112">
        <v>1</v>
      </c>
      <c r="AK112">
        <v>1</v>
      </c>
      <c r="AL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 t="s">
        <v>3</v>
      </c>
      <c r="AT112">
        <v>0.06</v>
      </c>
      <c r="AU112" t="s">
        <v>3</v>
      </c>
      <c r="AV112">
        <v>0</v>
      </c>
      <c r="AW112">
        <v>2</v>
      </c>
      <c r="AX112">
        <v>41858209</v>
      </c>
      <c r="AY112">
        <v>1</v>
      </c>
      <c r="AZ112">
        <v>0</v>
      </c>
      <c r="BA112">
        <v>100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CX112">
        <f>Y112*Source!I262</f>
        <v>0.2475</v>
      </c>
      <c r="CY112">
        <f>AB112</f>
        <v>20.7</v>
      </c>
      <c r="CZ112">
        <f>AF112</f>
        <v>20.7</v>
      </c>
      <c r="DA112">
        <f>AJ112</f>
        <v>1</v>
      </c>
      <c r="DB112">
        <f t="shared" si="22"/>
        <v>1.24</v>
      </c>
      <c r="DC112">
        <f t="shared" si="23"/>
        <v>0.57999999999999996</v>
      </c>
    </row>
    <row r="113" spans="1:107">
      <c r="A113">
        <f>ROW(Source!A262)</f>
        <v>262</v>
      </c>
      <c r="B113">
        <v>41858681</v>
      </c>
      <c r="C113">
        <v>41858203</v>
      </c>
      <c r="D113">
        <v>38799061</v>
      </c>
      <c r="E113">
        <v>1</v>
      </c>
      <c r="F113">
        <v>1</v>
      </c>
      <c r="G113">
        <v>27</v>
      </c>
      <c r="H113">
        <v>2</v>
      </c>
      <c r="I113" t="s">
        <v>274</v>
      </c>
      <c r="J113" t="s">
        <v>275</v>
      </c>
      <c r="K113" t="s">
        <v>276</v>
      </c>
      <c r="L113">
        <v>1368</v>
      </c>
      <c r="N113">
        <v>1011</v>
      </c>
      <c r="O113" t="s">
        <v>253</v>
      </c>
      <c r="P113" t="s">
        <v>253</v>
      </c>
      <c r="Q113">
        <v>1</v>
      </c>
      <c r="W113">
        <v>0</v>
      </c>
      <c r="X113">
        <v>978366829</v>
      </c>
      <c r="Y113">
        <v>0.06</v>
      </c>
      <c r="AA113">
        <v>0</v>
      </c>
      <c r="AB113">
        <v>991.89</v>
      </c>
      <c r="AC113">
        <v>360.79</v>
      </c>
      <c r="AD113">
        <v>0</v>
      </c>
      <c r="AE113">
        <v>0</v>
      </c>
      <c r="AF113">
        <v>991.89</v>
      </c>
      <c r="AG113">
        <v>360.79</v>
      </c>
      <c r="AH113">
        <v>0</v>
      </c>
      <c r="AI113">
        <v>1</v>
      </c>
      <c r="AJ113">
        <v>1</v>
      </c>
      <c r="AK113">
        <v>1</v>
      </c>
      <c r="AL113">
        <v>1</v>
      </c>
      <c r="AN113">
        <v>0</v>
      </c>
      <c r="AO113">
        <v>1</v>
      </c>
      <c r="AP113">
        <v>0</v>
      </c>
      <c r="AQ113">
        <v>0</v>
      </c>
      <c r="AR113">
        <v>0</v>
      </c>
      <c r="AS113" t="s">
        <v>3</v>
      </c>
      <c r="AT113">
        <v>0.06</v>
      </c>
      <c r="AU113" t="s">
        <v>3</v>
      </c>
      <c r="AV113">
        <v>0</v>
      </c>
      <c r="AW113">
        <v>2</v>
      </c>
      <c r="AX113">
        <v>41858210</v>
      </c>
      <c r="AY113">
        <v>1</v>
      </c>
      <c r="AZ113">
        <v>0</v>
      </c>
      <c r="BA113">
        <v>101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CX113">
        <f>Y113*Source!I262</f>
        <v>0.2475</v>
      </c>
      <c r="CY113">
        <f>AB113</f>
        <v>991.89</v>
      </c>
      <c r="CZ113">
        <f>AF113</f>
        <v>991.89</v>
      </c>
      <c r="DA113">
        <f>AJ113</f>
        <v>1</v>
      </c>
      <c r="DB113">
        <f t="shared" si="22"/>
        <v>59.51</v>
      </c>
      <c r="DC113">
        <f t="shared" si="23"/>
        <v>21.65</v>
      </c>
    </row>
    <row r="114" spans="1:107">
      <c r="A114">
        <f>ROW(Source!A262)</f>
        <v>262</v>
      </c>
      <c r="B114">
        <v>41858681</v>
      </c>
      <c r="C114">
        <v>41858203</v>
      </c>
      <c r="D114">
        <v>38803640</v>
      </c>
      <c r="E114">
        <v>1</v>
      </c>
      <c r="F114">
        <v>1</v>
      </c>
      <c r="G114">
        <v>27</v>
      </c>
      <c r="H114">
        <v>3</v>
      </c>
      <c r="I114" t="s">
        <v>254</v>
      </c>
      <c r="J114" t="s">
        <v>280</v>
      </c>
      <c r="K114" t="s">
        <v>256</v>
      </c>
      <c r="L114">
        <v>1339</v>
      </c>
      <c r="N114">
        <v>1007</v>
      </c>
      <c r="O114" t="s">
        <v>257</v>
      </c>
      <c r="P114" t="s">
        <v>257</v>
      </c>
      <c r="Q114">
        <v>1</v>
      </c>
      <c r="W114">
        <v>0</v>
      </c>
      <c r="X114">
        <v>-1172857595</v>
      </c>
      <c r="Y114">
        <v>15</v>
      </c>
      <c r="AA114">
        <v>753.67</v>
      </c>
      <c r="AB114">
        <v>0</v>
      </c>
      <c r="AC114">
        <v>0</v>
      </c>
      <c r="AD114">
        <v>0</v>
      </c>
      <c r="AE114">
        <v>753.67</v>
      </c>
      <c r="AF114">
        <v>0</v>
      </c>
      <c r="AG114">
        <v>0</v>
      </c>
      <c r="AH114">
        <v>0</v>
      </c>
      <c r="AI114">
        <v>1</v>
      </c>
      <c r="AJ114">
        <v>1</v>
      </c>
      <c r="AK114">
        <v>1</v>
      </c>
      <c r="AL114">
        <v>1</v>
      </c>
      <c r="AN114">
        <v>0</v>
      </c>
      <c r="AO114">
        <v>1</v>
      </c>
      <c r="AP114">
        <v>0</v>
      </c>
      <c r="AQ114">
        <v>0</v>
      </c>
      <c r="AR114">
        <v>0</v>
      </c>
      <c r="AS114" t="s">
        <v>3</v>
      </c>
      <c r="AT114">
        <v>15</v>
      </c>
      <c r="AU114" t="s">
        <v>3</v>
      </c>
      <c r="AV114">
        <v>0</v>
      </c>
      <c r="AW114">
        <v>2</v>
      </c>
      <c r="AX114">
        <v>41858211</v>
      </c>
      <c r="AY114">
        <v>1</v>
      </c>
      <c r="AZ114">
        <v>0</v>
      </c>
      <c r="BA114">
        <v>102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CX114">
        <f>Y114*Source!I262</f>
        <v>61.875</v>
      </c>
      <c r="CY114">
        <f>AA114</f>
        <v>753.67</v>
      </c>
      <c r="CZ114">
        <f>AE114</f>
        <v>753.67</v>
      </c>
      <c r="DA114">
        <f>AI114</f>
        <v>1</v>
      </c>
      <c r="DB114">
        <f t="shared" si="22"/>
        <v>11305.05</v>
      </c>
      <c r="DC114">
        <f t="shared" si="23"/>
        <v>0</v>
      </c>
    </row>
    <row r="115" spans="1:107">
      <c r="A115">
        <f>ROW(Source!A263)</f>
        <v>263</v>
      </c>
      <c r="B115">
        <v>41858681</v>
      </c>
      <c r="C115">
        <v>41858212</v>
      </c>
      <c r="D115">
        <v>38786840</v>
      </c>
      <c r="E115">
        <v>27</v>
      </c>
      <c r="F115">
        <v>1</v>
      </c>
      <c r="G115">
        <v>27</v>
      </c>
      <c r="H115">
        <v>1</v>
      </c>
      <c r="I115" t="s">
        <v>247</v>
      </c>
      <c r="J115" t="s">
        <v>3</v>
      </c>
      <c r="K115" t="s">
        <v>248</v>
      </c>
      <c r="L115">
        <v>1191</v>
      </c>
      <c r="N115">
        <v>1013</v>
      </c>
      <c r="O115" t="s">
        <v>249</v>
      </c>
      <c r="P115" t="s">
        <v>249</v>
      </c>
      <c r="Q115">
        <v>1</v>
      </c>
      <c r="W115">
        <v>0</v>
      </c>
      <c r="X115">
        <v>476480486</v>
      </c>
      <c r="Y115">
        <v>46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</v>
      </c>
      <c r="AJ115">
        <v>1</v>
      </c>
      <c r="AK115">
        <v>1</v>
      </c>
      <c r="AL115">
        <v>1</v>
      </c>
      <c r="AN115">
        <v>0</v>
      </c>
      <c r="AO115">
        <v>1</v>
      </c>
      <c r="AP115">
        <v>0</v>
      </c>
      <c r="AQ115">
        <v>0</v>
      </c>
      <c r="AR115">
        <v>0</v>
      </c>
      <c r="AS115" t="s">
        <v>3</v>
      </c>
      <c r="AT115">
        <v>46</v>
      </c>
      <c r="AU115" t="s">
        <v>3</v>
      </c>
      <c r="AV115">
        <v>1</v>
      </c>
      <c r="AW115">
        <v>2</v>
      </c>
      <c r="AX115">
        <v>41858215</v>
      </c>
      <c r="AY115">
        <v>1</v>
      </c>
      <c r="AZ115">
        <v>0</v>
      </c>
      <c r="BA115">
        <v>103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CX115">
        <f>Y115*Source!I263</f>
        <v>63.25</v>
      </c>
      <c r="CY115">
        <f>AD115</f>
        <v>0</v>
      </c>
      <c r="CZ115">
        <f>AH115</f>
        <v>0</v>
      </c>
      <c r="DA115">
        <f>AL115</f>
        <v>1</v>
      </c>
      <c r="DB115">
        <f t="shared" si="22"/>
        <v>0</v>
      </c>
      <c r="DC115">
        <f t="shared" si="23"/>
        <v>0</v>
      </c>
    </row>
    <row r="116" spans="1:107">
      <c r="A116">
        <f>ROW(Source!A263)</f>
        <v>263</v>
      </c>
      <c r="B116">
        <v>41858681</v>
      </c>
      <c r="C116">
        <v>41858212</v>
      </c>
      <c r="D116">
        <v>38803640</v>
      </c>
      <c r="E116">
        <v>1</v>
      </c>
      <c r="F116">
        <v>1</v>
      </c>
      <c r="G116">
        <v>27</v>
      </c>
      <c r="H116">
        <v>3</v>
      </c>
      <c r="I116" t="s">
        <v>254</v>
      </c>
      <c r="J116" t="s">
        <v>280</v>
      </c>
      <c r="K116" t="s">
        <v>256</v>
      </c>
      <c r="L116">
        <v>1339</v>
      </c>
      <c r="N116">
        <v>1007</v>
      </c>
      <c r="O116" t="s">
        <v>257</v>
      </c>
      <c r="P116" t="s">
        <v>257</v>
      </c>
      <c r="Q116">
        <v>1</v>
      </c>
      <c r="W116">
        <v>0</v>
      </c>
      <c r="X116">
        <v>-1172857595</v>
      </c>
      <c r="Y116">
        <v>15</v>
      </c>
      <c r="AA116">
        <v>753.67</v>
      </c>
      <c r="AB116">
        <v>0</v>
      </c>
      <c r="AC116">
        <v>0</v>
      </c>
      <c r="AD116">
        <v>0</v>
      </c>
      <c r="AE116">
        <v>753.67</v>
      </c>
      <c r="AF116">
        <v>0</v>
      </c>
      <c r="AG116">
        <v>0</v>
      </c>
      <c r="AH116">
        <v>0</v>
      </c>
      <c r="AI116">
        <v>1</v>
      </c>
      <c r="AJ116">
        <v>1</v>
      </c>
      <c r="AK116">
        <v>1</v>
      </c>
      <c r="AL116">
        <v>1</v>
      </c>
      <c r="AN116">
        <v>0</v>
      </c>
      <c r="AO116">
        <v>1</v>
      </c>
      <c r="AP116">
        <v>0</v>
      </c>
      <c r="AQ116">
        <v>0</v>
      </c>
      <c r="AR116">
        <v>0</v>
      </c>
      <c r="AS116" t="s">
        <v>3</v>
      </c>
      <c r="AT116">
        <v>15</v>
      </c>
      <c r="AU116" t="s">
        <v>3</v>
      </c>
      <c r="AV116">
        <v>0</v>
      </c>
      <c r="AW116">
        <v>2</v>
      </c>
      <c r="AX116">
        <v>41858216</v>
      </c>
      <c r="AY116">
        <v>1</v>
      </c>
      <c r="AZ116">
        <v>0</v>
      </c>
      <c r="BA116">
        <v>104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CX116">
        <f>Y116*Source!I263</f>
        <v>20.625</v>
      </c>
      <c r="CY116">
        <f>AA116</f>
        <v>753.67</v>
      </c>
      <c r="CZ116">
        <f>AE116</f>
        <v>753.67</v>
      </c>
      <c r="DA116">
        <f>AI116</f>
        <v>1</v>
      </c>
      <c r="DB116">
        <f t="shared" si="22"/>
        <v>11305.05</v>
      </c>
      <c r="DC116">
        <f t="shared" si="23"/>
        <v>0</v>
      </c>
    </row>
    <row r="117" spans="1:107">
      <c r="A117">
        <f>ROW(Source!A264)</f>
        <v>264</v>
      </c>
      <c r="B117">
        <v>41858681</v>
      </c>
      <c r="C117">
        <v>41858217</v>
      </c>
      <c r="D117">
        <v>38786840</v>
      </c>
      <c r="E117">
        <v>27</v>
      </c>
      <c r="F117">
        <v>1</v>
      </c>
      <c r="G117">
        <v>27</v>
      </c>
      <c r="H117">
        <v>1</v>
      </c>
      <c r="I117" t="s">
        <v>247</v>
      </c>
      <c r="J117" t="s">
        <v>3</v>
      </c>
      <c r="K117" t="s">
        <v>248</v>
      </c>
      <c r="L117">
        <v>1191</v>
      </c>
      <c r="N117">
        <v>1013</v>
      </c>
      <c r="O117" t="s">
        <v>249</v>
      </c>
      <c r="P117" t="s">
        <v>249</v>
      </c>
      <c r="Q117">
        <v>1</v>
      </c>
      <c r="W117">
        <v>0</v>
      </c>
      <c r="X117">
        <v>476480486</v>
      </c>
      <c r="Y117">
        <v>6.29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1</v>
      </c>
      <c r="AK117">
        <v>1</v>
      </c>
      <c r="AL117">
        <v>1</v>
      </c>
      <c r="AN117">
        <v>0</v>
      </c>
      <c r="AO117">
        <v>1</v>
      </c>
      <c r="AP117">
        <v>0</v>
      </c>
      <c r="AQ117">
        <v>0</v>
      </c>
      <c r="AR117">
        <v>0</v>
      </c>
      <c r="AS117" t="s">
        <v>3</v>
      </c>
      <c r="AT117">
        <v>6.29</v>
      </c>
      <c r="AU117" t="s">
        <v>3</v>
      </c>
      <c r="AV117">
        <v>1</v>
      </c>
      <c r="AW117">
        <v>2</v>
      </c>
      <c r="AX117">
        <v>41858220</v>
      </c>
      <c r="AY117">
        <v>1</v>
      </c>
      <c r="AZ117">
        <v>0</v>
      </c>
      <c r="BA117">
        <v>105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CX117">
        <f>Y117*Source!I264</f>
        <v>-34.594999999999999</v>
      </c>
      <c r="CY117">
        <f>AD117</f>
        <v>0</v>
      </c>
      <c r="CZ117">
        <f>AH117</f>
        <v>0</v>
      </c>
      <c r="DA117">
        <f>AL117</f>
        <v>1</v>
      </c>
      <c r="DB117">
        <f t="shared" si="22"/>
        <v>0</v>
      </c>
      <c r="DC117">
        <f t="shared" si="23"/>
        <v>0</v>
      </c>
    </row>
    <row r="118" spans="1:107">
      <c r="A118">
        <f>ROW(Source!A264)</f>
        <v>264</v>
      </c>
      <c r="B118">
        <v>41858681</v>
      </c>
      <c r="C118">
        <v>41858217</v>
      </c>
      <c r="D118">
        <v>38803640</v>
      </c>
      <c r="E118">
        <v>1</v>
      </c>
      <c r="F118">
        <v>1</v>
      </c>
      <c r="G118">
        <v>27</v>
      </c>
      <c r="H118">
        <v>3</v>
      </c>
      <c r="I118" t="s">
        <v>254</v>
      </c>
      <c r="J118" t="s">
        <v>280</v>
      </c>
      <c r="K118" t="s">
        <v>256</v>
      </c>
      <c r="L118">
        <v>1339</v>
      </c>
      <c r="N118">
        <v>1007</v>
      </c>
      <c r="O118" t="s">
        <v>257</v>
      </c>
      <c r="P118" t="s">
        <v>257</v>
      </c>
      <c r="Q118">
        <v>1</v>
      </c>
      <c r="W118">
        <v>0</v>
      </c>
      <c r="X118">
        <v>-1172857595</v>
      </c>
      <c r="Y118">
        <v>5</v>
      </c>
      <c r="AA118">
        <v>753.67</v>
      </c>
      <c r="AB118">
        <v>0</v>
      </c>
      <c r="AC118">
        <v>0</v>
      </c>
      <c r="AD118">
        <v>0</v>
      </c>
      <c r="AE118">
        <v>753.67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1</v>
      </c>
      <c r="AL118">
        <v>1</v>
      </c>
      <c r="AN118">
        <v>0</v>
      </c>
      <c r="AO118">
        <v>1</v>
      </c>
      <c r="AP118">
        <v>0</v>
      </c>
      <c r="AQ118">
        <v>0</v>
      </c>
      <c r="AR118">
        <v>0</v>
      </c>
      <c r="AS118" t="s">
        <v>3</v>
      </c>
      <c r="AT118">
        <v>5</v>
      </c>
      <c r="AU118" t="s">
        <v>3</v>
      </c>
      <c r="AV118">
        <v>0</v>
      </c>
      <c r="AW118">
        <v>2</v>
      </c>
      <c r="AX118">
        <v>41858221</v>
      </c>
      <c r="AY118">
        <v>1</v>
      </c>
      <c r="AZ118">
        <v>0</v>
      </c>
      <c r="BA118">
        <v>106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CX118">
        <f>Y118*Source!I264</f>
        <v>-27.5</v>
      </c>
      <c r="CY118">
        <f>AA118</f>
        <v>753.67</v>
      </c>
      <c r="CZ118">
        <f>AE118</f>
        <v>753.67</v>
      </c>
      <c r="DA118">
        <f>AI118</f>
        <v>1</v>
      </c>
      <c r="DB118">
        <f t="shared" si="22"/>
        <v>3768.35</v>
      </c>
      <c r="DC118">
        <f t="shared" si="23"/>
        <v>0</v>
      </c>
    </row>
    <row r="119" spans="1:107">
      <c r="A119">
        <f>ROW(Source!A265)</f>
        <v>265</v>
      </c>
      <c r="B119">
        <v>41858681</v>
      </c>
      <c r="C119">
        <v>41858222</v>
      </c>
      <c r="D119">
        <v>38786840</v>
      </c>
      <c r="E119">
        <v>27</v>
      </c>
      <c r="F119">
        <v>1</v>
      </c>
      <c r="G119">
        <v>27</v>
      </c>
      <c r="H119">
        <v>1</v>
      </c>
      <c r="I119" t="s">
        <v>247</v>
      </c>
      <c r="J119" t="s">
        <v>3</v>
      </c>
      <c r="K119" t="s">
        <v>248</v>
      </c>
      <c r="L119">
        <v>1191</v>
      </c>
      <c r="N119">
        <v>1013</v>
      </c>
      <c r="O119" t="s">
        <v>249</v>
      </c>
      <c r="P119" t="s">
        <v>249</v>
      </c>
      <c r="Q119">
        <v>1</v>
      </c>
      <c r="W119">
        <v>0</v>
      </c>
      <c r="X119">
        <v>476480486</v>
      </c>
      <c r="Y119">
        <v>6.04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1</v>
      </c>
      <c r="AN119">
        <v>0</v>
      </c>
      <c r="AO119">
        <v>1</v>
      </c>
      <c r="AP119">
        <v>0</v>
      </c>
      <c r="AQ119">
        <v>0</v>
      </c>
      <c r="AR119">
        <v>0</v>
      </c>
      <c r="AS119" t="s">
        <v>3</v>
      </c>
      <c r="AT119">
        <v>6.04</v>
      </c>
      <c r="AU119" t="s">
        <v>3</v>
      </c>
      <c r="AV119">
        <v>1</v>
      </c>
      <c r="AW119">
        <v>2</v>
      </c>
      <c r="AX119">
        <v>41858226</v>
      </c>
      <c r="AY119">
        <v>1</v>
      </c>
      <c r="AZ119">
        <v>0</v>
      </c>
      <c r="BA119">
        <v>107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CX119">
        <f>Y119*Source!I265</f>
        <v>33.22</v>
      </c>
      <c r="CY119">
        <f>AD119</f>
        <v>0</v>
      </c>
      <c r="CZ119">
        <f>AH119</f>
        <v>0</v>
      </c>
      <c r="DA119">
        <f>AL119</f>
        <v>1</v>
      </c>
      <c r="DB119">
        <f t="shared" si="22"/>
        <v>0</v>
      </c>
      <c r="DC119">
        <f t="shared" si="23"/>
        <v>0</v>
      </c>
    </row>
    <row r="120" spans="1:107">
      <c r="A120">
        <f>ROW(Source!A265)</f>
        <v>265</v>
      </c>
      <c r="B120">
        <v>41858681</v>
      </c>
      <c r="C120">
        <v>41858222</v>
      </c>
      <c r="D120">
        <v>38801911</v>
      </c>
      <c r="E120">
        <v>1</v>
      </c>
      <c r="F120">
        <v>1</v>
      </c>
      <c r="G120">
        <v>27</v>
      </c>
      <c r="H120">
        <v>3</v>
      </c>
      <c r="I120" t="s">
        <v>262</v>
      </c>
      <c r="J120" t="s">
        <v>263</v>
      </c>
      <c r="K120" t="s">
        <v>264</v>
      </c>
      <c r="L120">
        <v>1339</v>
      </c>
      <c r="N120">
        <v>1007</v>
      </c>
      <c r="O120" t="s">
        <v>257</v>
      </c>
      <c r="P120" t="s">
        <v>257</v>
      </c>
      <c r="Q120">
        <v>1</v>
      </c>
      <c r="W120">
        <v>0</v>
      </c>
      <c r="X120">
        <v>1927597627</v>
      </c>
      <c r="Y120">
        <v>10</v>
      </c>
      <c r="AA120">
        <v>35.25</v>
      </c>
      <c r="AB120">
        <v>0</v>
      </c>
      <c r="AC120">
        <v>0</v>
      </c>
      <c r="AD120">
        <v>0</v>
      </c>
      <c r="AE120">
        <v>35.25</v>
      </c>
      <c r="AF120">
        <v>0</v>
      </c>
      <c r="AG120">
        <v>0</v>
      </c>
      <c r="AH120">
        <v>0</v>
      </c>
      <c r="AI120">
        <v>1</v>
      </c>
      <c r="AJ120">
        <v>1</v>
      </c>
      <c r="AK120">
        <v>1</v>
      </c>
      <c r="AL120">
        <v>1</v>
      </c>
      <c r="AN120">
        <v>0</v>
      </c>
      <c r="AO120">
        <v>1</v>
      </c>
      <c r="AP120">
        <v>0</v>
      </c>
      <c r="AQ120">
        <v>0</v>
      </c>
      <c r="AR120">
        <v>0</v>
      </c>
      <c r="AS120" t="s">
        <v>3</v>
      </c>
      <c r="AT120">
        <v>10</v>
      </c>
      <c r="AU120" t="s">
        <v>3</v>
      </c>
      <c r="AV120">
        <v>0</v>
      </c>
      <c r="AW120">
        <v>2</v>
      </c>
      <c r="AX120">
        <v>41858227</v>
      </c>
      <c r="AY120">
        <v>1</v>
      </c>
      <c r="AZ120">
        <v>0</v>
      </c>
      <c r="BA120">
        <v>108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CX120">
        <f>Y120*Source!I265</f>
        <v>55</v>
      </c>
      <c r="CY120">
        <f>AA120</f>
        <v>35.25</v>
      </c>
      <c r="CZ120">
        <f>AE120</f>
        <v>35.25</v>
      </c>
      <c r="DA120">
        <f>AI120</f>
        <v>1</v>
      </c>
      <c r="DB120">
        <f t="shared" si="22"/>
        <v>352.5</v>
      </c>
      <c r="DC120">
        <f t="shared" si="23"/>
        <v>0</v>
      </c>
    </row>
    <row r="121" spans="1:107">
      <c r="A121">
        <f>ROW(Source!A265)</f>
        <v>265</v>
      </c>
      <c r="B121">
        <v>41858681</v>
      </c>
      <c r="C121">
        <v>41858222</v>
      </c>
      <c r="D121">
        <v>38803645</v>
      </c>
      <c r="E121">
        <v>1</v>
      </c>
      <c r="F121">
        <v>1</v>
      </c>
      <c r="G121">
        <v>27</v>
      </c>
      <c r="H121">
        <v>3</v>
      </c>
      <c r="I121" t="s">
        <v>329</v>
      </c>
      <c r="J121" t="s">
        <v>330</v>
      </c>
      <c r="K121" t="s">
        <v>331</v>
      </c>
      <c r="L121">
        <v>1346</v>
      </c>
      <c r="N121">
        <v>1009</v>
      </c>
      <c r="O121" t="s">
        <v>261</v>
      </c>
      <c r="P121" t="s">
        <v>261</v>
      </c>
      <c r="Q121">
        <v>1</v>
      </c>
      <c r="W121">
        <v>0</v>
      </c>
      <c r="X121">
        <v>-835995803</v>
      </c>
      <c r="Y121">
        <v>4</v>
      </c>
      <c r="AA121">
        <v>303.08999999999997</v>
      </c>
      <c r="AB121">
        <v>0</v>
      </c>
      <c r="AC121">
        <v>0</v>
      </c>
      <c r="AD121">
        <v>0</v>
      </c>
      <c r="AE121">
        <v>303.08999999999997</v>
      </c>
      <c r="AF121">
        <v>0</v>
      </c>
      <c r="AG121">
        <v>0</v>
      </c>
      <c r="AH121">
        <v>0</v>
      </c>
      <c r="AI121">
        <v>1</v>
      </c>
      <c r="AJ121">
        <v>1</v>
      </c>
      <c r="AK121">
        <v>1</v>
      </c>
      <c r="AL121">
        <v>1</v>
      </c>
      <c r="AN121">
        <v>0</v>
      </c>
      <c r="AO121">
        <v>1</v>
      </c>
      <c r="AP121">
        <v>0</v>
      </c>
      <c r="AQ121">
        <v>0</v>
      </c>
      <c r="AR121">
        <v>0</v>
      </c>
      <c r="AS121" t="s">
        <v>3</v>
      </c>
      <c r="AT121">
        <v>4</v>
      </c>
      <c r="AU121" t="s">
        <v>3</v>
      </c>
      <c r="AV121">
        <v>0</v>
      </c>
      <c r="AW121">
        <v>2</v>
      </c>
      <c r="AX121">
        <v>41858228</v>
      </c>
      <c r="AY121">
        <v>1</v>
      </c>
      <c r="AZ121">
        <v>0</v>
      </c>
      <c r="BA121">
        <v>109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CX121">
        <f>Y121*Source!I265</f>
        <v>22</v>
      </c>
      <c r="CY121">
        <f>AA121</f>
        <v>303.08999999999997</v>
      </c>
      <c r="CZ121">
        <f>AE121</f>
        <v>303.08999999999997</v>
      </c>
      <c r="DA121">
        <f>AI121</f>
        <v>1</v>
      </c>
      <c r="DB121">
        <f t="shared" si="22"/>
        <v>1212.3599999999999</v>
      </c>
      <c r="DC121">
        <f t="shared" si="23"/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AR109"/>
  <sheetViews>
    <sheetView workbookViewId="0"/>
  </sheetViews>
  <sheetFormatPr defaultColWidth="9.140625" defaultRowHeight="12.75"/>
  <cols>
    <col min="1" max="256" width="9.140625" customWidth="1"/>
  </cols>
  <sheetData>
    <row r="1" spans="1:44">
      <c r="A1">
        <f>ROW(Source!A28)</f>
        <v>28</v>
      </c>
      <c r="B1">
        <v>41857949</v>
      </c>
      <c r="C1">
        <v>41857946</v>
      </c>
      <c r="D1">
        <v>38786840</v>
      </c>
      <c r="E1">
        <v>27</v>
      </c>
      <c r="F1">
        <v>1</v>
      </c>
      <c r="G1">
        <v>27</v>
      </c>
      <c r="H1">
        <v>1</v>
      </c>
      <c r="I1" t="s">
        <v>247</v>
      </c>
      <c r="J1" t="s">
        <v>3</v>
      </c>
      <c r="K1" t="s">
        <v>248</v>
      </c>
      <c r="L1">
        <v>1191</v>
      </c>
      <c r="N1">
        <v>1013</v>
      </c>
      <c r="O1" t="s">
        <v>249</v>
      </c>
      <c r="P1" t="s">
        <v>249</v>
      </c>
      <c r="Q1">
        <v>1</v>
      </c>
      <c r="X1">
        <v>41.38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3</v>
      </c>
      <c r="AG1">
        <v>41.38</v>
      </c>
      <c r="AH1">
        <v>2</v>
      </c>
      <c r="AI1">
        <v>41857947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>
      <c r="A2">
        <f>ROW(Source!A28)</f>
        <v>28</v>
      </c>
      <c r="B2">
        <v>41857950</v>
      </c>
      <c r="C2">
        <v>41857946</v>
      </c>
      <c r="D2">
        <v>38799022</v>
      </c>
      <c r="E2">
        <v>1</v>
      </c>
      <c r="F2">
        <v>1</v>
      </c>
      <c r="G2">
        <v>27</v>
      </c>
      <c r="H2">
        <v>2</v>
      </c>
      <c r="I2" t="s">
        <v>250</v>
      </c>
      <c r="J2" t="s">
        <v>251</v>
      </c>
      <c r="K2" t="s">
        <v>252</v>
      </c>
      <c r="L2">
        <v>1368</v>
      </c>
      <c r="N2">
        <v>1011</v>
      </c>
      <c r="O2" t="s">
        <v>253</v>
      </c>
      <c r="P2" t="s">
        <v>253</v>
      </c>
      <c r="Q2">
        <v>1</v>
      </c>
      <c r="X2">
        <v>1.84</v>
      </c>
      <c r="Y2">
        <v>0</v>
      </c>
      <c r="Z2">
        <v>812.16</v>
      </c>
      <c r="AA2">
        <v>448.48</v>
      </c>
      <c r="AB2">
        <v>0</v>
      </c>
      <c r="AC2">
        <v>0</v>
      </c>
      <c r="AD2">
        <v>1</v>
      </c>
      <c r="AE2">
        <v>0</v>
      </c>
      <c r="AF2" t="s">
        <v>3</v>
      </c>
      <c r="AG2">
        <v>1.84</v>
      </c>
      <c r="AH2">
        <v>2</v>
      </c>
      <c r="AI2">
        <v>41857948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>
      <c r="A3">
        <f>ROW(Source!A29)</f>
        <v>29</v>
      </c>
      <c r="B3">
        <v>41857954</v>
      </c>
      <c r="C3">
        <v>41857951</v>
      </c>
      <c r="D3">
        <v>38786840</v>
      </c>
      <c r="E3">
        <v>27</v>
      </c>
      <c r="F3">
        <v>1</v>
      </c>
      <c r="G3">
        <v>27</v>
      </c>
      <c r="H3">
        <v>1</v>
      </c>
      <c r="I3" t="s">
        <v>247</v>
      </c>
      <c r="J3" t="s">
        <v>3</v>
      </c>
      <c r="K3" t="s">
        <v>248</v>
      </c>
      <c r="L3">
        <v>1191</v>
      </c>
      <c r="N3">
        <v>1013</v>
      </c>
      <c r="O3" t="s">
        <v>249</v>
      </c>
      <c r="P3" t="s">
        <v>249</v>
      </c>
      <c r="Q3">
        <v>1</v>
      </c>
      <c r="X3">
        <v>8.27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 t="s">
        <v>3</v>
      </c>
      <c r="AG3">
        <v>8.27</v>
      </c>
      <c r="AH3">
        <v>2</v>
      </c>
      <c r="AI3">
        <v>41857952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>
      <c r="A4">
        <f>ROW(Source!A29)</f>
        <v>29</v>
      </c>
      <c r="B4">
        <v>41857955</v>
      </c>
      <c r="C4">
        <v>41857951</v>
      </c>
      <c r="D4">
        <v>38799022</v>
      </c>
      <c r="E4">
        <v>1</v>
      </c>
      <c r="F4">
        <v>1</v>
      </c>
      <c r="G4">
        <v>27</v>
      </c>
      <c r="H4">
        <v>2</v>
      </c>
      <c r="I4" t="s">
        <v>250</v>
      </c>
      <c r="J4" t="s">
        <v>251</v>
      </c>
      <c r="K4" t="s">
        <v>252</v>
      </c>
      <c r="L4">
        <v>1368</v>
      </c>
      <c r="N4">
        <v>1011</v>
      </c>
      <c r="O4" t="s">
        <v>253</v>
      </c>
      <c r="P4" t="s">
        <v>253</v>
      </c>
      <c r="Q4">
        <v>1</v>
      </c>
      <c r="X4">
        <v>0.46</v>
      </c>
      <c r="Y4">
        <v>0</v>
      </c>
      <c r="Z4">
        <v>812.16</v>
      </c>
      <c r="AA4">
        <v>448.48</v>
      </c>
      <c r="AB4">
        <v>0</v>
      </c>
      <c r="AC4">
        <v>0</v>
      </c>
      <c r="AD4">
        <v>1</v>
      </c>
      <c r="AE4">
        <v>0</v>
      </c>
      <c r="AF4" t="s">
        <v>3</v>
      </c>
      <c r="AG4">
        <v>0.46</v>
      </c>
      <c r="AH4">
        <v>2</v>
      </c>
      <c r="AI4">
        <v>41857953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>
      <c r="A5">
        <f>ROW(Source!A30)</f>
        <v>30</v>
      </c>
      <c r="B5">
        <v>41857958</v>
      </c>
      <c r="C5">
        <v>41857956</v>
      </c>
      <c r="D5">
        <v>38786840</v>
      </c>
      <c r="E5">
        <v>27</v>
      </c>
      <c r="F5">
        <v>1</v>
      </c>
      <c r="G5">
        <v>27</v>
      </c>
      <c r="H5">
        <v>1</v>
      </c>
      <c r="I5" t="s">
        <v>247</v>
      </c>
      <c r="J5" t="s">
        <v>3</v>
      </c>
      <c r="K5" t="s">
        <v>248</v>
      </c>
      <c r="L5">
        <v>1191</v>
      </c>
      <c r="N5">
        <v>1013</v>
      </c>
      <c r="O5" t="s">
        <v>249</v>
      </c>
      <c r="P5" t="s">
        <v>249</v>
      </c>
      <c r="Q5">
        <v>1</v>
      </c>
      <c r="X5">
        <v>85.94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 t="s">
        <v>3</v>
      </c>
      <c r="AG5">
        <v>85.94</v>
      </c>
      <c r="AH5">
        <v>2</v>
      </c>
      <c r="AI5">
        <v>41857957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>
      <c r="A6">
        <f>ROW(Source!A31)</f>
        <v>31</v>
      </c>
      <c r="B6">
        <v>41857961</v>
      </c>
      <c r="C6">
        <v>41857959</v>
      </c>
      <c r="D6">
        <v>38786840</v>
      </c>
      <c r="E6">
        <v>27</v>
      </c>
      <c r="F6">
        <v>1</v>
      </c>
      <c r="G6">
        <v>27</v>
      </c>
      <c r="H6">
        <v>1</v>
      </c>
      <c r="I6" t="s">
        <v>247</v>
      </c>
      <c r="J6" t="s">
        <v>3</v>
      </c>
      <c r="K6" t="s">
        <v>248</v>
      </c>
      <c r="L6">
        <v>1191</v>
      </c>
      <c r="N6">
        <v>1013</v>
      </c>
      <c r="O6" t="s">
        <v>249</v>
      </c>
      <c r="P6" t="s">
        <v>249</v>
      </c>
      <c r="Q6">
        <v>1</v>
      </c>
      <c r="X6">
        <v>21.48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 t="s">
        <v>3</v>
      </c>
      <c r="AG6">
        <v>21.48</v>
      </c>
      <c r="AH6">
        <v>2</v>
      </c>
      <c r="AI6">
        <v>41857960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>
      <c r="A7">
        <f>ROW(Source!A32)</f>
        <v>32</v>
      </c>
      <c r="B7">
        <v>41857965</v>
      </c>
      <c r="C7">
        <v>41857962</v>
      </c>
      <c r="D7">
        <v>38786840</v>
      </c>
      <c r="E7">
        <v>27</v>
      </c>
      <c r="F7">
        <v>1</v>
      </c>
      <c r="G7">
        <v>27</v>
      </c>
      <c r="H7">
        <v>1</v>
      </c>
      <c r="I7" t="s">
        <v>247</v>
      </c>
      <c r="J7" t="s">
        <v>3</v>
      </c>
      <c r="K7" t="s">
        <v>248</v>
      </c>
      <c r="L7">
        <v>1191</v>
      </c>
      <c r="N7">
        <v>1013</v>
      </c>
      <c r="O7" t="s">
        <v>249</v>
      </c>
      <c r="P7" t="s">
        <v>249</v>
      </c>
      <c r="Q7">
        <v>1</v>
      </c>
      <c r="X7">
        <v>53.7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 t="s">
        <v>3</v>
      </c>
      <c r="AG7">
        <v>53.7</v>
      </c>
      <c r="AH7">
        <v>2</v>
      </c>
      <c r="AI7">
        <v>41857963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>
      <c r="A8">
        <f>ROW(Source!A32)</f>
        <v>32</v>
      </c>
      <c r="B8">
        <v>41857966</v>
      </c>
      <c r="C8">
        <v>41857962</v>
      </c>
      <c r="D8">
        <v>38803640</v>
      </c>
      <c r="E8">
        <v>1</v>
      </c>
      <c r="F8">
        <v>1</v>
      </c>
      <c r="G8">
        <v>27</v>
      </c>
      <c r="H8">
        <v>3</v>
      </c>
      <c r="I8" t="s">
        <v>254</v>
      </c>
      <c r="J8" t="s">
        <v>255</v>
      </c>
      <c r="K8" t="s">
        <v>256</v>
      </c>
      <c r="L8">
        <v>1339</v>
      </c>
      <c r="N8">
        <v>1007</v>
      </c>
      <c r="O8" t="s">
        <v>257</v>
      </c>
      <c r="P8" t="s">
        <v>257</v>
      </c>
      <c r="Q8">
        <v>1</v>
      </c>
      <c r="X8">
        <v>20</v>
      </c>
      <c r="Y8">
        <v>753.67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 t="s">
        <v>3</v>
      </c>
      <c r="AG8">
        <v>20</v>
      </c>
      <c r="AH8">
        <v>2</v>
      </c>
      <c r="AI8">
        <v>41857964</v>
      </c>
      <c r="AJ8">
        <v>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>
      <c r="A9">
        <f>ROW(Source!A33)</f>
        <v>33</v>
      </c>
      <c r="B9">
        <v>41857970</v>
      </c>
      <c r="C9">
        <v>41857967</v>
      </c>
      <c r="D9">
        <v>38786840</v>
      </c>
      <c r="E9">
        <v>27</v>
      </c>
      <c r="F9">
        <v>1</v>
      </c>
      <c r="G9">
        <v>27</v>
      </c>
      <c r="H9">
        <v>1</v>
      </c>
      <c r="I9" t="s">
        <v>247</v>
      </c>
      <c r="J9" t="s">
        <v>3</v>
      </c>
      <c r="K9" t="s">
        <v>248</v>
      </c>
      <c r="L9">
        <v>1191</v>
      </c>
      <c r="N9">
        <v>1013</v>
      </c>
      <c r="O9" t="s">
        <v>249</v>
      </c>
      <c r="P9" t="s">
        <v>249</v>
      </c>
      <c r="Q9">
        <v>1</v>
      </c>
      <c r="X9">
        <v>6.23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 t="s">
        <v>42</v>
      </c>
      <c r="AG9">
        <v>12.46</v>
      </c>
      <c r="AH9">
        <v>2</v>
      </c>
      <c r="AI9">
        <v>41857968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>
      <c r="A10">
        <f>ROW(Source!A33)</f>
        <v>33</v>
      </c>
      <c r="B10">
        <v>41857971</v>
      </c>
      <c r="C10">
        <v>41857967</v>
      </c>
      <c r="D10">
        <v>38803640</v>
      </c>
      <c r="E10">
        <v>1</v>
      </c>
      <c r="F10">
        <v>1</v>
      </c>
      <c r="G10">
        <v>27</v>
      </c>
      <c r="H10">
        <v>3</v>
      </c>
      <c r="I10" t="s">
        <v>254</v>
      </c>
      <c r="J10" t="s">
        <v>255</v>
      </c>
      <c r="K10" t="s">
        <v>256</v>
      </c>
      <c r="L10">
        <v>1339</v>
      </c>
      <c r="N10">
        <v>1007</v>
      </c>
      <c r="O10" t="s">
        <v>257</v>
      </c>
      <c r="P10" t="s">
        <v>257</v>
      </c>
      <c r="Q10">
        <v>1</v>
      </c>
      <c r="X10">
        <v>5</v>
      </c>
      <c r="Y10">
        <v>753.67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 t="s">
        <v>42</v>
      </c>
      <c r="AG10">
        <v>10</v>
      </c>
      <c r="AH10">
        <v>2</v>
      </c>
      <c r="AI10">
        <v>41857969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>
      <c r="A11">
        <f>ROW(Source!A34)</f>
        <v>34</v>
      </c>
      <c r="B11">
        <v>41857981</v>
      </c>
      <c r="C11">
        <v>41857972</v>
      </c>
      <c r="D11">
        <v>38786840</v>
      </c>
      <c r="E11">
        <v>27</v>
      </c>
      <c r="F11">
        <v>1</v>
      </c>
      <c r="G11">
        <v>27</v>
      </c>
      <c r="H11">
        <v>1</v>
      </c>
      <c r="I11" t="s">
        <v>247</v>
      </c>
      <c r="J11" t="s">
        <v>3</v>
      </c>
      <c r="K11" t="s">
        <v>248</v>
      </c>
      <c r="L11">
        <v>1191</v>
      </c>
      <c r="N11">
        <v>1013</v>
      </c>
      <c r="O11" t="s">
        <v>249</v>
      </c>
      <c r="P11" t="s">
        <v>249</v>
      </c>
      <c r="Q11">
        <v>1</v>
      </c>
      <c r="X11">
        <v>155.26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 t="s">
        <v>3</v>
      </c>
      <c r="AG11">
        <v>155.26</v>
      </c>
      <c r="AH11">
        <v>2</v>
      </c>
      <c r="AI11">
        <v>41857973</v>
      </c>
      <c r="AJ11">
        <v>11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>
      <c r="A12">
        <f>ROW(Source!A34)</f>
        <v>34</v>
      </c>
      <c r="B12">
        <v>41857982</v>
      </c>
      <c r="C12">
        <v>41857972</v>
      </c>
      <c r="D12">
        <v>38801771</v>
      </c>
      <c r="E12">
        <v>1</v>
      </c>
      <c r="F12">
        <v>1</v>
      </c>
      <c r="G12">
        <v>27</v>
      </c>
      <c r="H12">
        <v>3</v>
      </c>
      <c r="I12" t="s">
        <v>258</v>
      </c>
      <c r="J12" t="s">
        <v>259</v>
      </c>
      <c r="K12" t="s">
        <v>260</v>
      </c>
      <c r="L12">
        <v>1346</v>
      </c>
      <c r="N12">
        <v>1009</v>
      </c>
      <c r="O12" t="s">
        <v>261</v>
      </c>
      <c r="P12" t="s">
        <v>261</v>
      </c>
      <c r="Q12">
        <v>1</v>
      </c>
      <c r="X12">
        <v>0.8</v>
      </c>
      <c r="Y12">
        <v>171.21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 t="s">
        <v>3</v>
      </c>
      <c r="AG12">
        <v>0.8</v>
      </c>
      <c r="AH12">
        <v>2</v>
      </c>
      <c r="AI12">
        <v>41857974</v>
      </c>
      <c r="AJ12">
        <v>12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>
      <c r="A13">
        <f>ROW(Source!A34)</f>
        <v>34</v>
      </c>
      <c r="B13">
        <v>41857983</v>
      </c>
      <c r="C13">
        <v>41857972</v>
      </c>
      <c r="D13">
        <v>38801911</v>
      </c>
      <c r="E13">
        <v>1</v>
      </c>
      <c r="F13">
        <v>1</v>
      </c>
      <c r="G13">
        <v>27</v>
      </c>
      <c r="H13">
        <v>3</v>
      </c>
      <c r="I13" t="s">
        <v>262</v>
      </c>
      <c r="J13" t="s">
        <v>263</v>
      </c>
      <c r="K13" t="s">
        <v>264</v>
      </c>
      <c r="L13">
        <v>1339</v>
      </c>
      <c r="N13">
        <v>1007</v>
      </c>
      <c r="O13" t="s">
        <v>257</v>
      </c>
      <c r="P13" t="s">
        <v>257</v>
      </c>
      <c r="Q13">
        <v>1</v>
      </c>
      <c r="X13">
        <v>30</v>
      </c>
      <c r="Y13">
        <v>35.25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 t="s">
        <v>3</v>
      </c>
      <c r="AG13">
        <v>30</v>
      </c>
      <c r="AH13">
        <v>2</v>
      </c>
      <c r="AI13">
        <v>41857975</v>
      </c>
      <c r="AJ13">
        <v>13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>
      <c r="A14">
        <f>ROW(Source!A34)</f>
        <v>34</v>
      </c>
      <c r="B14">
        <v>41857984</v>
      </c>
      <c r="C14">
        <v>41857972</v>
      </c>
      <c r="D14">
        <v>38800613</v>
      </c>
      <c r="E14">
        <v>1</v>
      </c>
      <c r="F14">
        <v>1</v>
      </c>
      <c r="G14">
        <v>27</v>
      </c>
      <c r="H14">
        <v>3</v>
      </c>
      <c r="I14" t="s">
        <v>265</v>
      </c>
      <c r="J14" t="s">
        <v>266</v>
      </c>
      <c r="K14" t="s">
        <v>267</v>
      </c>
      <c r="L14">
        <v>1339</v>
      </c>
      <c r="N14">
        <v>1007</v>
      </c>
      <c r="O14" t="s">
        <v>257</v>
      </c>
      <c r="P14" t="s">
        <v>257</v>
      </c>
      <c r="Q14">
        <v>1</v>
      </c>
      <c r="X14">
        <v>8.0000000000000002E-3</v>
      </c>
      <c r="Y14">
        <v>7098.7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 t="s">
        <v>3</v>
      </c>
      <c r="AG14">
        <v>8.0000000000000002E-3</v>
      </c>
      <c r="AH14">
        <v>2</v>
      </c>
      <c r="AI14">
        <v>41857976</v>
      </c>
      <c r="AJ14">
        <v>14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>
      <c r="A15">
        <f>ROW(Source!A34)</f>
        <v>34</v>
      </c>
      <c r="B15">
        <v>41857985</v>
      </c>
      <c r="C15">
        <v>41857972</v>
      </c>
      <c r="D15">
        <v>38803642</v>
      </c>
      <c r="E15">
        <v>1</v>
      </c>
      <c r="F15">
        <v>1</v>
      </c>
      <c r="G15">
        <v>27</v>
      </c>
      <c r="H15">
        <v>3</v>
      </c>
      <c r="I15" t="s">
        <v>268</v>
      </c>
      <c r="J15" t="s">
        <v>269</v>
      </c>
      <c r="K15" t="s">
        <v>270</v>
      </c>
      <c r="L15">
        <v>1339</v>
      </c>
      <c r="N15">
        <v>1007</v>
      </c>
      <c r="O15" t="s">
        <v>257</v>
      </c>
      <c r="P15" t="s">
        <v>257</v>
      </c>
      <c r="Q15">
        <v>1</v>
      </c>
      <c r="X15">
        <v>2</v>
      </c>
      <c r="Y15">
        <v>1105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 t="s">
        <v>3</v>
      </c>
      <c r="AG15">
        <v>2</v>
      </c>
      <c r="AH15">
        <v>2</v>
      </c>
      <c r="AI15">
        <v>41857977</v>
      </c>
      <c r="AJ15">
        <v>16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>
      <c r="A16">
        <f>ROW(Source!A34)</f>
        <v>34</v>
      </c>
      <c r="B16">
        <v>41857986</v>
      </c>
      <c r="C16">
        <v>41857972</v>
      </c>
      <c r="D16">
        <v>38786925</v>
      </c>
      <c r="E16">
        <v>27</v>
      </c>
      <c r="F16">
        <v>1</v>
      </c>
      <c r="G16">
        <v>27</v>
      </c>
      <c r="H16">
        <v>3</v>
      </c>
      <c r="I16" t="s">
        <v>48</v>
      </c>
      <c r="J16" t="s">
        <v>3</v>
      </c>
      <c r="K16" t="s">
        <v>49</v>
      </c>
      <c r="L16">
        <v>1354</v>
      </c>
      <c r="N16">
        <v>1010</v>
      </c>
      <c r="O16" t="s">
        <v>50</v>
      </c>
      <c r="P16" t="s">
        <v>50</v>
      </c>
      <c r="Q16">
        <v>1</v>
      </c>
      <c r="X16">
        <v>1680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t="s">
        <v>3</v>
      </c>
      <c r="AG16">
        <v>1680</v>
      </c>
      <c r="AH16">
        <v>2</v>
      </c>
      <c r="AI16">
        <v>41857978</v>
      </c>
      <c r="AJ16">
        <v>17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>
      <c r="A17">
        <f>ROW(Source!A38)</f>
        <v>38</v>
      </c>
      <c r="B17">
        <v>41857995</v>
      </c>
      <c r="C17">
        <v>41857990</v>
      </c>
      <c r="D17">
        <v>38786840</v>
      </c>
      <c r="E17">
        <v>27</v>
      </c>
      <c r="F17">
        <v>1</v>
      </c>
      <c r="G17">
        <v>27</v>
      </c>
      <c r="H17">
        <v>1</v>
      </c>
      <c r="I17" t="s">
        <v>247</v>
      </c>
      <c r="J17" t="s">
        <v>3</v>
      </c>
      <c r="K17" t="s">
        <v>248</v>
      </c>
      <c r="L17">
        <v>1191</v>
      </c>
      <c r="N17">
        <v>1013</v>
      </c>
      <c r="O17" t="s">
        <v>249</v>
      </c>
      <c r="P17" t="s">
        <v>249</v>
      </c>
      <c r="Q17">
        <v>1</v>
      </c>
      <c r="X17">
        <v>7.91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 t="s">
        <v>62</v>
      </c>
      <c r="AG17">
        <v>4.5199999966100002</v>
      </c>
      <c r="AH17">
        <v>2</v>
      </c>
      <c r="AI17">
        <v>41857991</v>
      </c>
      <c r="AJ17">
        <v>19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>
      <c r="A18">
        <f>ROW(Source!A38)</f>
        <v>38</v>
      </c>
      <c r="B18">
        <v>41857996</v>
      </c>
      <c r="C18">
        <v>41857990</v>
      </c>
      <c r="D18">
        <v>38801771</v>
      </c>
      <c r="E18">
        <v>1</v>
      </c>
      <c r="F18">
        <v>1</v>
      </c>
      <c r="G18">
        <v>27</v>
      </c>
      <c r="H18">
        <v>3</v>
      </c>
      <c r="I18" t="s">
        <v>258</v>
      </c>
      <c r="J18" t="s">
        <v>259</v>
      </c>
      <c r="K18" t="s">
        <v>260</v>
      </c>
      <c r="L18">
        <v>1346</v>
      </c>
      <c r="N18">
        <v>1009</v>
      </c>
      <c r="O18" t="s">
        <v>261</v>
      </c>
      <c r="P18" t="s">
        <v>261</v>
      </c>
      <c r="Q18">
        <v>1</v>
      </c>
      <c r="X18">
        <v>0.5</v>
      </c>
      <c r="Y18">
        <v>171.21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 t="s">
        <v>62</v>
      </c>
      <c r="AG18">
        <v>0.2857142855</v>
      </c>
      <c r="AH18">
        <v>2</v>
      </c>
      <c r="AI18">
        <v>41857992</v>
      </c>
      <c r="AJ18">
        <v>20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>
      <c r="A19">
        <f>ROW(Source!A38)</f>
        <v>38</v>
      </c>
      <c r="B19">
        <v>41857997</v>
      </c>
      <c r="C19">
        <v>41857990</v>
      </c>
      <c r="D19">
        <v>38800613</v>
      </c>
      <c r="E19">
        <v>1</v>
      </c>
      <c r="F19">
        <v>1</v>
      </c>
      <c r="G19">
        <v>27</v>
      </c>
      <c r="H19">
        <v>3</v>
      </c>
      <c r="I19" t="s">
        <v>265</v>
      </c>
      <c r="J19" t="s">
        <v>266</v>
      </c>
      <c r="K19" t="s">
        <v>267</v>
      </c>
      <c r="L19">
        <v>1339</v>
      </c>
      <c r="N19">
        <v>1007</v>
      </c>
      <c r="O19" t="s">
        <v>257</v>
      </c>
      <c r="P19" t="s">
        <v>257</v>
      </c>
      <c r="Q19">
        <v>1</v>
      </c>
      <c r="X19">
        <v>5.0000000000000001E-3</v>
      </c>
      <c r="Y19">
        <v>7098.7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 t="s">
        <v>62</v>
      </c>
      <c r="AG19">
        <v>2.8571428550000001E-3</v>
      </c>
      <c r="AH19">
        <v>2</v>
      </c>
      <c r="AI19">
        <v>41857993</v>
      </c>
      <c r="AJ19">
        <v>21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>
      <c r="A20">
        <f>ROW(Source!A38)</f>
        <v>38</v>
      </c>
      <c r="B20">
        <v>41857998</v>
      </c>
      <c r="C20">
        <v>41857990</v>
      </c>
      <c r="D20">
        <v>38786925</v>
      </c>
      <c r="E20">
        <v>27</v>
      </c>
      <c r="F20">
        <v>1</v>
      </c>
      <c r="G20">
        <v>27</v>
      </c>
      <c r="H20">
        <v>3</v>
      </c>
      <c r="I20" t="s">
        <v>48</v>
      </c>
      <c r="J20" t="s">
        <v>3</v>
      </c>
      <c r="K20" t="s">
        <v>49</v>
      </c>
      <c r="L20">
        <v>1354</v>
      </c>
      <c r="N20">
        <v>1010</v>
      </c>
      <c r="O20" t="s">
        <v>50</v>
      </c>
      <c r="P20" t="s">
        <v>50</v>
      </c>
      <c r="Q20">
        <v>1</v>
      </c>
      <c r="X20">
        <v>1050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t="s">
        <v>62</v>
      </c>
      <c r="AG20">
        <v>599.99999954999998</v>
      </c>
      <c r="AH20">
        <v>2</v>
      </c>
      <c r="AI20">
        <v>41857994</v>
      </c>
      <c r="AJ20">
        <v>22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>
      <c r="A21">
        <f>ROW(Source!A77)</f>
        <v>77</v>
      </c>
      <c r="B21">
        <v>41858006</v>
      </c>
      <c r="C21">
        <v>41858000</v>
      </c>
      <c r="D21">
        <v>38786840</v>
      </c>
      <c r="E21">
        <v>27</v>
      </c>
      <c r="F21">
        <v>1</v>
      </c>
      <c r="G21">
        <v>27</v>
      </c>
      <c r="H21">
        <v>1</v>
      </c>
      <c r="I21" t="s">
        <v>247</v>
      </c>
      <c r="J21" t="s">
        <v>3</v>
      </c>
      <c r="K21" t="s">
        <v>248</v>
      </c>
      <c r="L21">
        <v>1191</v>
      </c>
      <c r="N21">
        <v>1013</v>
      </c>
      <c r="O21" t="s">
        <v>249</v>
      </c>
      <c r="P21" t="s">
        <v>249</v>
      </c>
      <c r="Q21">
        <v>1</v>
      </c>
      <c r="X21">
        <v>11.11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 t="s">
        <v>3</v>
      </c>
      <c r="AG21">
        <v>11.11</v>
      </c>
      <c r="AH21">
        <v>2</v>
      </c>
      <c r="AI21">
        <v>41858001</v>
      </c>
      <c r="AJ21">
        <v>23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>
      <c r="A22">
        <f>ROW(Source!A77)</f>
        <v>77</v>
      </c>
      <c r="B22">
        <v>41858007</v>
      </c>
      <c r="C22">
        <v>41858000</v>
      </c>
      <c r="D22">
        <v>38799622</v>
      </c>
      <c r="E22">
        <v>1</v>
      </c>
      <c r="F22">
        <v>1</v>
      </c>
      <c r="G22">
        <v>27</v>
      </c>
      <c r="H22">
        <v>2</v>
      </c>
      <c r="I22" t="s">
        <v>271</v>
      </c>
      <c r="J22" t="s">
        <v>272</v>
      </c>
      <c r="K22" t="s">
        <v>273</v>
      </c>
      <c r="L22">
        <v>1368</v>
      </c>
      <c r="N22">
        <v>1011</v>
      </c>
      <c r="O22" t="s">
        <v>253</v>
      </c>
      <c r="P22" t="s">
        <v>253</v>
      </c>
      <c r="Q22">
        <v>1</v>
      </c>
      <c r="X22">
        <v>0.25</v>
      </c>
      <c r="Y22">
        <v>0</v>
      </c>
      <c r="Z22">
        <v>27.58</v>
      </c>
      <c r="AA22">
        <v>12.08</v>
      </c>
      <c r="AB22">
        <v>0</v>
      </c>
      <c r="AC22">
        <v>0</v>
      </c>
      <c r="AD22">
        <v>1</v>
      </c>
      <c r="AE22">
        <v>0</v>
      </c>
      <c r="AF22" t="s">
        <v>3</v>
      </c>
      <c r="AG22">
        <v>0.25</v>
      </c>
      <c r="AH22">
        <v>2</v>
      </c>
      <c r="AI22">
        <v>41858002</v>
      </c>
      <c r="AJ22">
        <v>24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>
      <c r="A23">
        <f>ROW(Source!A77)</f>
        <v>77</v>
      </c>
      <c r="B23">
        <v>41858008</v>
      </c>
      <c r="C23">
        <v>41858000</v>
      </c>
      <c r="D23">
        <v>38799061</v>
      </c>
      <c r="E23">
        <v>1</v>
      </c>
      <c r="F23">
        <v>1</v>
      </c>
      <c r="G23">
        <v>27</v>
      </c>
      <c r="H23">
        <v>2</v>
      </c>
      <c r="I23" t="s">
        <v>274</v>
      </c>
      <c r="J23" t="s">
        <v>275</v>
      </c>
      <c r="K23" t="s">
        <v>276</v>
      </c>
      <c r="L23">
        <v>1368</v>
      </c>
      <c r="N23">
        <v>1011</v>
      </c>
      <c r="O23" t="s">
        <v>253</v>
      </c>
      <c r="P23" t="s">
        <v>253</v>
      </c>
      <c r="Q23">
        <v>1</v>
      </c>
      <c r="X23">
        <v>0.25</v>
      </c>
      <c r="Y23">
        <v>0</v>
      </c>
      <c r="Z23">
        <v>991.89</v>
      </c>
      <c r="AA23">
        <v>360.79</v>
      </c>
      <c r="AB23">
        <v>0</v>
      </c>
      <c r="AC23">
        <v>0</v>
      </c>
      <c r="AD23">
        <v>1</v>
      </c>
      <c r="AE23">
        <v>0</v>
      </c>
      <c r="AF23" t="s">
        <v>3</v>
      </c>
      <c r="AG23">
        <v>0.25</v>
      </c>
      <c r="AH23">
        <v>2</v>
      </c>
      <c r="AI23">
        <v>41858003</v>
      </c>
      <c r="AJ23">
        <v>25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>
      <c r="A24">
        <f>ROW(Source!A77)</f>
        <v>77</v>
      </c>
      <c r="B24">
        <v>41858009</v>
      </c>
      <c r="C24">
        <v>41858000</v>
      </c>
      <c r="D24">
        <v>38803649</v>
      </c>
      <c r="E24">
        <v>1</v>
      </c>
      <c r="F24">
        <v>1</v>
      </c>
      <c r="G24">
        <v>27</v>
      </c>
      <c r="H24">
        <v>3</v>
      </c>
      <c r="I24" t="s">
        <v>277</v>
      </c>
      <c r="J24" t="s">
        <v>278</v>
      </c>
      <c r="K24" t="s">
        <v>279</v>
      </c>
      <c r="L24">
        <v>1339</v>
      </c>
      <c r="N24">
        <v>1007</v>
      </c>
      <c r="O24" t="s">
        <v>257</v>
      </c>
      <c r="P24" t="s">
        <v>257</v>
      </c>
      <c r="Q24">
        <v>1</v>
      </c>
      <c r="X24">
        <v>0.7</v>
      </c>
      <c r="Y24">
        <v>810.33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 t="s">
        <v>3</v>
      </c>
      <c r="AG24">
        <v>0.7</v>
      </c>
      <c r="AH24">
        <v>2</v>
      </c>
      <c r="AI24">
        <v>41858004</v>
      </c>
      <c r="AJ24">
        <v>26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>
      <c r="A25">
        <f>ROW(Source!A77)</f>
        <v>77</v>
      </c>
      <c r="B25">
        <v>41858010</v>
      </c>
      <c r="C25">
        <v>41858000</v>
      </c>
      <c r="D25">
        <v>38803640</v>
      </c>
      <c r="E25">
        <v>1</v>
      </c>
      <c r="F25">
        <v>1</v>
      </c>
      <c r="G25">
        <v>27</v>
      </c>
      <c r="H25">
        <v>3</v>
      </c>
      <c r="I25" t="s">
        <v>254</v>
      </c>
      <c r="J25" t="s">
        <v>280</v>
      </c>
      <c r="K25" t="s">
        <v>256</v>
      </c>
      <c r="L25">
        <v>1339</v>
      </c>
      <c r="N25">
        <v>1007</v>
      </c>
      <c r="O25" t="s">
        <v>257</v>
      </c>
      <c r="P25" t="s">
        <v>257</v>
      </c>
      <c r="Q25">
        <v>1</v>
      </c>
      <c r="X25">
        <v>2</v>
      </c>
      <c r="Y25">
        <v>753.67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 t="s">
        <v>3</v>
      </c>
      <c r="AG25">
        <v>2</v>
      </c>
      <c r="AH25">
        <v>2</v>
      </c>
      <c r="AI25">
        <v>41858005</v>
      </c>
      <c r="AJ25">
        <v>27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>
      <c r="A26">
        <f>ROW(Source!A78)</f>
        <v>78</v>
      </c>
      <c r="B26">
        <v>41858015</v>
      </c>
      <c r="C26">
        <v>41858011</v>
      </c>
      <c r="D26">
        <v>38786840</v>
      </c>
      <c r="E26">
        <v>27</v>
      </c>
      <c r="F26">
        <v>1</v>
      </c>
      <c r="G26">
        <v>27</v>
      </c>
      <c r="H26">
        <v>1</v>
      </c>
      <c r="I26" t="s">
        <v>247</v>
      </c>
      <c r="J26" t="s">
        <v>3</v>
      </c>
      <c r="K26" t="s">
        <v>248</v>
      </c>
      <c r="L26">
        <v>1191</v>
      </c>
      <c r="N26">
        <v>1013</v>
      </c>
      <c r="O26" t="s">
        <v>249</v>
      </c>
      <c r="P26" t="s">
        <v>249</v>
      </c>
      <c r="Q26">
        <v>1</v>
      </c>
      <c r="X26">
        <v>16.79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 t="s">
        <v>3</v>
      </c>
      <c r="AG26">
        <v>16.79</v>
      </c>
      <c r="AH26">
        <v>2</v>
      </c>
      <c r="AI26">
        <v>41858012</v>
      </c>
      <c r="AJ26">
        <v>28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>
      <c r="A27">
        <f>ROW(Source!A78)</f>
        <v>78</v>
      </c>
      <c r="B27">
        <v>41858016</v>
      </c>
      <c r="C27">
        <v>41858011</v>
      </c>
      <c r="D27">
        <v>38803649</v>
      </c>
      <c r="E27">
        <v>1</v>
      </c>
      <c r="F27">
        <v>1</v>
      </c>
      <c r="G27">
        <v>27</v>
      </c>
      <c r="H27">
        <v>3</v>
      </c>
      <c r="I27" t="s">
        <v>277</v>
      </c>
      <c r="J27" t="s">
        <v>278</v>
      </c>
      <c r="K27" t="s">
        <v>279</v>
      </c>
      <c r="L27">
        <v>1339</v>
      </c>
      <c r="N27">
        <v>1007</v>
      </c>
      <c r="O27" t="s">
        <v>257</v>
      </c>
      <c r="P27" t="s">
        <v>257</v>
      </c>
      <c r="Q27">
        <v>1</v>
      </c>
      <c r="X27">
        <v>0.7</v>
      </c>
      <c r="Y27">
        <v>810.33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 t="s">
        <v>3</v>
      </c>
      <c r="AG27">
        <v>0.7</v>
      </c>
      <c r="AH27">
        <v>2</v>
      </c>
      <c r="AI27">
        <v>41858013</v>
      </c>
      <c r="AJ27">
        <v>29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>
      <c r="A28">
        <f>ROW(Source!A78)</f>
        <v>78</v>
      </c>
      <c r="B28">
        <v>41858017</v>
      </c>
      <c r="C28">
        <v>41858011</v>
      </c>
      <c r="D28">
        <v>38803640</v>
      </c>
      <c r="E28">
        <v>1</v>
      </c>
      <c r="F28">
        <v>1</v>
      </c>
      <c r="G28">
        <v>27</v>
      </c>
      <c r="H28">
        <v>3</v>
      </c>
      <c r="I28" t="s">
        <v>254</v>
      </c>
      <c r="J28" t="s">
        <v>280</v>
      </c>
      <c r="K28" t="s">
        <v>256</v>
      </c>
      <c r="L28">
        <v>1339</v>
      </c>
      <c r="N28">
        <v>1007</v>
      </c>
      <c r="O28" t="s">
        <v>257</v>
      </c>
      <c r="P28" t="s">
        <v>257</v>
      </c>
      <c r="Q28">
        <v>1</v>
      </c>
      <c r="X28">
        <v>2</v>
      </c>
      <c r="Y28">
        <v>753.67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 t="s">
        <v>3</v>
      </c>
      <c r="AG28">
        <v>2</v>
      </c>
      <c r="AH28">
        <v>2</v>
      </c>
      <c r="AI28">
        <v>41858014</v>
      </c>
      <c r="AJ28">
        <v>30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>
      <c r="A29">
        <f>ROW(Source!A79)</f>
        <v>79</v>
      </c>
      <c r="B29">
        <v>41858020</v>
      </c>
      <c r="C29">
        <v>41858018</v>
      </c>
      <c r="D29">
        <v>38799032</v>
      </c>
      <c r="E29">
        <v>1</v>
      </c>
      <c r="F29">
        <v>1</v>
      </c>
      <c r="G29">
        <v>27</v>
      </c>
      <c r="H29">
        <v>2</v>
      </c>
      <c r="I29" t="s">
        <v>281</v>
      </c>
      <c r="J29" t="s">
        <v>282</v>
      </c>
      <c r="K29" t="s">
        <v>283</v>
      </c>
      <c r="L29">
        <v>1368</v>
      </c>
      <c r="N29">
        <v>1011</v>
      </c>
      <c r="O29" t="s">
        <v>253</v>
      </c>
      <c r="P29" t="s">
        <v>253</v>
      </c>
      <c r="Q29">
        <v>1</v>
      </c>
      <c r="X29">
        <v>0.31</v>
      </c>
      <c r="Y29">
        <v>0</v>
      </c>
      <c r="Z29">
        <v>956.79</v>
      </c>
      <c r="AA29">
        <v>359.44</v>
      </c>
      <c r="AB29">
        <v>0</v>
      </c>
      <c r="AC29">
        <v>0</v>
      </c>
      <c r="AD29">
        <v>1</v>
      </c>
      <c r="AE29">
        <v>0</v>
      </c>
      <c r="AF29" t="s">
        <v>3</v>
      </c>
      <c r="AG29">
        <v>0.31</v>
      </c>
      <c r="AH29">
        <v>2</v>
      </c>
      <c r="AI29">
        <v>41858019</v>
      </c>
      <c r="AJ29">
        <v>31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>
      <c r="A30">
        <f>ROW(Source!A80)</f>
        <v>80</v>
      </c>
      <c r="B30">
        <v>41858023</v>
      </c>
      <c r="C30">
        <v>41858021</v>
      </c>
      <c r="D30">
        <v>38786840</v>
      </c>
      <c r="E30">
        <v>27</v>
      </c>
      <c r="F30">
        <v>1</v>
      </c>
      <c r="G30">
        <v>27</v>
      </c>
      <c r="H30">
        <v>1</v>
      </c>
      <c r="I30" t="s">
        <v>247</v>
      </c>
      <c r="J30" t="s">
        <v>3</v>
      </c>
      <c r="K30" t="s">
        <v>248</v>
      </c>
      <c r="L30">
        <v>1191</v>
      </c>
      <c r="N30">
        <v>1013</v>
      </c>
      <c r="O30" t="s">
        <v>249</v>
      </c>
      <c r="P30" t="s">
        <v>249</v>
      </c>
      <c r="Q30">
        <v>1</v>
      </c>
      <c r="X30">
        <v>11.73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 t="s">
        <v>3</v>
      </c>
      <c r="AG30">
        <v>11.73</v>
      </c>
      <c r="AH30">
        <v>2</v>
      </c>
      <c r="AI30">
        <v>41858022</v>
      </c>
      <c r="AJ30">
        <v>32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>
      <c r="A31">
        <f>ROW(Source!A81)</f>
        <v>81</v>
      </c>
      <c r="B31">
        <v>41858035</v>
      </c>
      <c r="C31">
        <v>41858024</v>
      </c>
      <c r="D31">
        <v>38786840</v>
      </c>
      <c r="E31">
        <v>27</v>
      </c>
      <c r="F31">
        <v>1</v>
      </c>
      <c r="G31">
        <v>27</v>
      </c>
      <c r="H31">
        <v>1</v>
      </c>
      <c r="I31" t="s">
        <v>247</v>
      </c>
      <c r="J31" t="s">
        <v>3</v>
      </c>
      <c r="K31" t="s">
        <v>248</v>
      </c>
      <c r="L31">
        <v>1191</v>
      </c>
      <c r="N31">
        <v>1013</v>
      </c>
      <c r="O31" t="s">
        <v>249</v>
      </c>
      <c r="P31" t="s">
        <v>249</v>
      </c>
      <c r="Q31">
        <v>1</v>
      </c>
      <c r="X31">
        <v>7.08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 t="s">
        <v>3</v>
      </c>
      <c r="AG31">
        <v>7.08</v>
      </c>
      <c r="AH31">
        <v>2</v>
      </c>
      <c r="AI31">
        <v>41858025</v>
      </c>
      <c r="AJ31">
        <v>33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>
      <c r="A32">
        <f>ROW(Source!A81)</f>
        <v>81</v>
      </c>
      <c r="B32">
        <v>41858036</v>
      </c>
      <c r="C32">
        <v>41858024</v>
      </c>
      <c r="D32">
        <v>38799213</v>
      </c>
      <c r="E32">
        <v>1</v>
      </c>
      <c r="F32">
        <v>1</v>
      </c>
      <c r="G32">
        <v>27</v>
      </c>
      <c r="H32">
        <v>2</v>
      </c>
      <c r="I32" t="s">
        <v>284</v>
      </c>
      <c r="J32" t="s">
        <v>285</v>
      </c>
      <c r="K32" t="s">
        <v>286</v>
      </c>
      <c r="L32">
        <v>1368</v>
      </c>
      <c r="N32">
        <v>1011</v>
      </c>
      <c r="O32" t="s">
        <v>253</v>
      </c>
      <c r="P32" t="s">
        <v>253</v>
      </c>
      <c r="Q32">
        <v>1</v>
      </c>
      <c r="X32">
        <v>0.32</v>
      </c>
      <c r="Y32">
        <v>0</v>
      </c>
      <c r="Z32">
        <v>2020.59</v>
      </c>
      <c r="AA32">
        <v>458.56</v>
      </c>
      <c r="AB32">
        <v>0</v>
      </c>
      <c r="AC32">
        <v>0</v>
      </c>
      <c r="AD32">
        <v>1</v>
      </c>
      <c r="AE32">
        <v>0</v>
      </c>
      <c r="AF32" t="s">
        <v>3</v>
      </c>
      <c r="AG32">
        <v>0.32</v>
      </c>
      <c r="AH32">
        <v>2</v>
      </c>
      <c r="AI32">
        <v>41858026</v>
      </c>
      <c r="AJ32">
        <v>34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>
      <c r="A33">
        <f>ROW(Source!A81)</f>
        <v>81</v>
      </c>
      <c r="B33">
        <v>41858037</v>
      </c>
      <c r="C33">
        <v>41858024</v>
      </c>
      <c r="D33">
        <v>38801911</v>
      </c>
      <c r="E33">
        <v>1</v>
      </c>
      <c r="F33">
        <v>1</v>
      </c>
      <c r="G33">
        <v>27</v>
      </c>
      <c r="H33">
        <v>3</v>
      </c>
      <c r="I33" t="s">
        <v>262</v>
      </c>
      <c r="J33" t="s">
        <v>263</v>
      </c>
      <c r="K33" t="s">
        <v>264</v>
      </c>
      <c r="L33">
        <v>1339</v>
      </c>
      <c r="N33">
        <v>1007</v>
      </c>
      <c r="O33" t="s">
        <v>257</v>
      </c>
      <c r="P33" t="s">
        <v>257</v>
      </c>
      <c r="Q33">
        <v>1</v>
      </c>
      <c r="X33">
        <v>1.07</v>
      </c>
      <c r="Y33">
        <v>35.25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 t="s">
        <v>3</v>
      </c>
      <c r="AG33">
        <v>1.07</v>
      </c>
      <c r="AH33">
        <v>2</v>
      </c>
      <c r="AI33">
        <v>41858027</v>
      </c>
      <c r="AJ33">
        <v>35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>
      <c r="A34">
        <f>ROW(Source!A81)</f>
        <v>81</v>
      </c>
      <c r="B34">
        <v>41858038</v>
      </c>
      <c r="C34">
        <v>41858024</v>
      </c>
      <c r="D34">
        <v>38786919</v>
      </c>
      <c r="E34">
        <v>27</v>
      </c>
      <c r="F34">
        <v>1</v>
      </c>
      <c r="G34">
        <v>27</v>
      </c>
      <c r="H34">
        <v>3</v>
      </c>
      <c r="I34" t="s">
        <v>332</v>
      </c>
      <c r="J34" t="s">
        <v>3</v>
      </c>
      <c r="K34" t="s">
        <v>333</v>
      </c>
      <c r="L34">
        <v>1354</v>
      </c>
      <c r="N34">
        <v>1010</v>
      </c>
      <c r="O34" t="s">
        <v>50</v>
      </c>
      <c r="P34" t="s">
        <v>50</v>
      </c>
      <c r="Q34">
        <v>1</v>
      </c>
      <c r="X34">
        <v>10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t="s">
        <v>3</v>
      </c>
      <c r="AG34">
        <v>10</v>
      </c>
      <c r="AH34">
        <v>3</v>
      </c>
      <c r="AI34">
        <v>-1</v>
      </c>
      <c r="AJ34" t="s">
        <v>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>
      <c r="A35">
        <f>ROW(Source!A126)</f>
        <v>126</v>
      </c>
      <c r="B35">
        <v>41858051</v>
      </c>
      <c r="C35">
        <v>41858046</v>
      </c>
      <c r="D35">
        <v>38786840</v>
      </c>
      <c r="E35">
        <v>27</v>
      </c>
      <c r="F35">
        <v>1</v>
      </c>
      <c r="G35">
        <v>27</v>
      </c>
      <c r="H35">
        <v>1</v>
      </c>
      <c r="I35" t="s">
        <v>247</v>
      </c>
      <c r="J35" t="s">
        <v>3</v>
      </c>
      <c r="K35" t="s">
        <v>248</v>
      </c>
      <c r="L35">
        <v>1191</v>
      </c>
      <c r="N35">
        <v>1013</v>
      </c>
      <c r="O35" t="s">
        <v>249</v>
      </c>
      <c r="P35" t="s">
        <v>249</v>
      </c>
      <c r="Q35">
        <v>1</v>
      </c>
      <c r="X35">
        <v>34.44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1</v>
      </c>
      <c r="AF35" t="s">
        <v>3</v>
      </c>
      <c r="AG35">
        <v>34.44</v>
      </c>
      <c r="AH35">
        <v>2</v>
      </c>
      <c r="AI35">
        <v>41858047</v>
      </c>
      <c r="AJ35">
        <v>43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>
      <c r="A36">
        <f>ROW(Source!A126)</f>
        <v>126</v>
      </c>
      <c r="B36">
        <v>41858052</v>
      </c>
      <c r="C36">
        <v>41858046</v>
      </c>
      <c r="D36">
        <v>38799022</v>
      </c>
      <c r="E36">
        <v>1</v>
      </c>
      <c r="F36">
        <v>1</v>
      </c>
      <c r="G36">
        <v>27</v>
      </c>
      <c r="H36">
        <v>2</v>
      </c>
      <c r="I36" t="s">
        <v>250</v>
      </c>
      <c r="J36" t="s">
        <v>287</v>
      </c>
      <c r="K36" t="s">
        <v>252</v>
      </c>
      <c r="L36">
        <v>1368</v>
      </c>
      <c r="N36">
        <v>1011</v>
      </c>
      <c r="O36" t="s">
        <v>253</v>
      </c>
      <c r="P36" t="s">
        <v>253</v>
      </c>
      <c r="Q36">
        <v>1</v>
      </c>
      <c r="X36">
        <v>0.68</v>
      </c>
      <c r="Y36">
        <v>0</v>
      </c>
      <c r="Z36">
        <v>812.16</v>
      </c>
      <c r="AA36">
        <v>448.48</v>
      </c>
      <c r="AB36">
        <v>0</v>
      </c>
      <c r="AC36">
        <v>0</v>
      </c>
      <c r="AD36">
        <v>1</v>
      </c>
      <c r="AE36">
        <v>0</v>
      </c>
      <c r="AF36" t="s">
        <v>3</v>
      </c>
      <c r="AG36">
        <v>0.68</v>
      </c>
      <c r="AH36">
        <v>2</v>
      </c>
      <c r="AI36">
        <v>41858048</v>
      </c>
      <c r="AJ36">
        <v>44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>
      <c r="A37">
        <f>ROW(Source!A126)</f>
        <v>126</v>
      </c>
      <c r="B37">
        <v>41858053</v>
      </c>
      <c r="C37">
        <v>41858046</v>
      </c>
      <c r="D37">
        <v>38803649</v>
      </c>
      <c r="E37">
        <v>1</v>
      </c>
      <c r="F37">
        <v>1</v>
      </c>
      <c r="G37">
        <v>27</v>
      </c>
      <c r="H37">
        <v>3</v>
      </c>
      <c r="I37" t="s">
        <v>277</v>
      </c>
      <c r="J37" t="s">
        <v>278</v>
      </c>
      <c r="K37" t="s">
        <v>279</v>
      </c>
      <c r="L37">
        <v>1339</v>
      </c>
      <c r="N37">
        <v>1007</v>
      </c>
      <c r="O37" t="s">
        <v>257</v>
      </c>
      <c r="P37" t="s">
        <v>257</v>
      </c>
      <c r="Q37">
        <v>1</v>
      </c>
      <c r="X37">
        <v>2.1</v>
      </c>
      <c r="Y37">
        <v>810.33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 t="s">
        <v>3</v>
      </c>
      <c r="AG37">
        <v>2.1</v>
      </c>
      <c r="AH37">
        <v>2</v>
      </c>
      <c r="AI37">
        <v>41858049</v>
      </c>
      <c r="AJ37">
        <v>45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>
      <c r="A38">
        <f>ROW(Source!A126)</f>
        <v>126</v>
      </c>
      <c r="B38">
        <v>41858054</v>
      </c>
      <c r="C38">
        <v>41858046</v>
      </c>
      <c r="D38">
        <v>38803640</v>
      </c>
      <c r="E38">
        <v>1</v>
      </c>
      <c r="F38">
        <v>1</v>
      </c>
      <c r="G38">
        <v>27</v>
      </c>
      <c r="H38">
        <v>3</v>
      </c>
      <c r="I38" t="s">
        <v>254</v>
      </c>
      <c r="J38" t="s">
        <v>280</v>
      </c>
      <c r="K38" t="s">
        <v>256</v>
      </c>
      <c r="L38">
        <v>1339</v>
      </c>
      <c r="N38">
        <v>1007</v>
      </c>
      <c r="O38" t="s">
        <v>257</v>
      </c>
      <c r="P38" t="s">
        <v>257</v>
      </c>
      <c r="Q38">
        <v>1</v>
      </c>
      <c r="X38">
        <v>6.2</v>
      </c>
      <c r="Y38">
        <v>753.67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 t="s">
        <v>3</v>
      </c>
      <c r="AG38">
        <v>6.2</v>
      </c>
      <c r="AH38">
        <v>2</v>
      </c>
      <c r="AI38">
        <v>41858050</v>
      </c>
      <c r="AJ38">
        <v>46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>
      <c r="A39">
        <f>ROW(Source!A127)</f>
        <v>127</v>
      </c>
      <c r="B39">
        <v>41858059</v>
      </c>
      <c r="C39">
        <v>41858055</v>
      </c>
      <c r="D39">
        <v>38786840</v>
      </c>
      <c r="E39">
        <v>27</v>
      </c>
      <c r="F39">
        <v>1</v>
      </c>
      <c r="G39">
        <v>27</v>
      </c>
      <c r="H39">
        <v>1</v>
      </c>
      <c r="I39" t="s">
        <v>247</v>
      </c>
      <c r="J39" t="s">
        <v>3</v>
      </c>
      <c r="K39" t="s">
        <v>248</v>
      </c>
      <c r="L39">
        <v>1191</v>
      </c>
      <c r="N39">
        <v>1013</v>
      </c>
      <c r="O39" t="s">
        <v>249</v>
      </c>
      <c r="P39" t="s">
        <v>249</v>
      </c>
      <c r="Q39">
        <v>1</v>
      </c>
      <c r="X39">
        <v>58.75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1</v>
      </c>
      <c r="AF39" t="s">
        <v>3</v>
      </c>
      <c r="AG39">
        <v>58.75</v>
      </c>
      <c r="AH39">
        <v>2</v>
      </c>
      <c r="AI39">
        <v>41858056</v>
      </c>
      <c r="AJ39">
        <v>47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>
      <c r="A40">
        <f>ROW(Source!A127)</f>
        <v>127</v>
      </c>
      <c r="B40">
        <v>41858060</v>
      </c>
      <c r="C40">
        <v>41858055</v>
      </c>
      <c r="D40">
        <v>38803649</v>
      </c>
      <c r="E40">
        <v>1</v>
      </c>
      <c r="F40">
        <v>1</v>
      </c>
      <c r="G40">
        <v>27</v>
      </c>
      <c r="H40">
        <v>3</v>
      </c>
      <c r="I40" t="s">
        <v>277</v>
      </c>
      <c r="J40" t="s">
        <v>278</v>
      </c>
      <c r="K40" t="s">
        <v>279</v>
      </c>
      <c r="L40">
        <v>1339</v>
      </c>
      <c r="N40">
        <v>1007</v>
      </c>
      <c r="O40" t="s">
        <v>257</v>
      </c>
      <c r="P40" t="s">
        <v>257</v>
      </c>
      <c r="Q40">
        <v>1</v>
      </c>
      <c r="X40">
        <v>2.1</v>
      </c>
      <c r="Y40">
        <v>810.33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 t="s">
        <v>3</v>
      </c>
      <c r="AG40">
        <v>2.1</v>
      </c>
      <c r="AH40">
        <v>2</v>
      </c>
      <c r="AI40">
        <v>41858057</v>
      </c>
      <c r="AJ40">
        <v>48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>
      <c r="A41">
        <f>ROW(Source!A127)</f>
        <v>127</v>
      </c>
      <c r="B41">
        <v>41858061</v>
      </c>
      <c r="C41">
        <v>41858055</v>
      </c>
      <c r="D41">
        <v>38803640</v>
      </c>
      <c r="E41">
        <v>1</v>
      </c>
      <c r="F41">
        <v>1</v>
      </c>
      <c r="G41">
        <v>27</v>
      </c>
      <c r="H41">
        <v>3</v>
      </c>
      <c r="I41" t="s">
        <v>254</v>
      </c>
      <c r="J41" t="s">
        <v>280</v>
      </c>
      <c r="K41" t="s">
        <v>256</v>
      </c>
      <c r="L41">
        <v>1339</v>
      </c>
      <c r="N41">
        <v>1007</v>
      </c>
      <c r="O41" t="s">
        <v>257</v>
      </c>
      <c r="P41" t="s">
        <v>257</v>
      </c>
      <c r="Q41">
        <v>1</v>
      </c>
      <c r="X41">
        <v>6.2</v>
      </c>
      <c r="Y41">
        <v>753.67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 t="s">
        <v>3</v>
      </c>
      <c r="AG41">
        <v>6.2</v>
      </c>
      <c r="AH41">
        <v>2</v>
      </c>
      <c r="AI41">
        <v>41858058</v>
      </c>
      <c r="AJ41">
        <v>49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>
      <c r="A42">
        <f>ROW(Source!A128)</f>
        <v>128</v>
      </c>
      <c r="B42">
        <v>41858064</v>
      </c>
      <c r="C42">
        <v>41858062</v>
      </c>
      <c r="D42">
        <v>38799032</v>
      </c>
      <c r="E42">
        <v>1</v>
      </c>
      <c r="F42">
        <v>1</v>
      </c>
      <c r="G42">
        <v>27</v>
      </c>
      <c r="H42">
        <v>2</v>
      </c>
      <c r="I42" t="s">
        <v>281</v>
      </c>
      <c r="J42" t="s">
        <v>282</v>
      </c>
      <c r="K42" t="s">
        <v>283</v>
      </c>
      <c r="L42">
        <v>1368</v>
      </c>
      <c r="N42">
        <v>1011</v>
      </c>
      <c r="O42" t="s">
        <v>253</v>
      </c>
      <c r="P42" t="s">
        <v>253</v>
      </c>
      <c r="Q42">
        <v>1</v>
      </c>
      <c r="X42">
        <v>0.31</v>
      </c>
      <c r="Y42">
        <v>0</v>
      </c>
      <c r="Z42">
        <v>956.79</v>
      </c>
      <c r="AA42">
        <v>359.44</v>
      </c>
      <c r="AB42">
        <v>0</v>
      </c>
      <c r="AC42">
        <v>0</v>
      </c>
      <c r="AD42">
        <v>1</v>
      </c>
      <c r="AE42">
        <v>0</v>
      </c>
      <c r="AF42" t="s">
        <v>3</v>
      </c>
      <c r="AG42">
        <v>0.31</v>
      </c>
      <c r="AH42">
        <v>2</v>
      </c>
      <c r="AI42">
        <v>41858063</v>
      </c>
      <c r="AJ42">
        <v>50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>
      <c r="A43">
        <f>ROW(Source!A129)</f>
        <v>129</v>
      </c>
      <c r="B43">
        <v>41858067</v>
      </c>
      <c r="C43">
        <v>41858065</v>
      </c>
      <c r="D43">
        <v>38786840</v>
      </c>
      <c r="E43">
        <v>27</v>
      </c>
      <c r="F43">
        <v>1</v>
      </c>
      <c r="G43">
        <v>27</v>
      </c>
      <c r="H43">
        <v>1</v>
      </c>
      <c r="I43" t="s">
        <v>247</v>
      </c>
      <c r="J43" t="s">
        <v>3</v>
      </c>
      <c r="K43" t="s">
        <v>248</v>
      </c>
      <c r="L43">
        <v>1191</v>
      </c>
      <c r="N43">
        <v>1013</v>
      </c>
      <c r="O43" t="s">
        <v>249</v>
      </c>
      <c r="P43" t="s">
        <v>249</v>
      </c>
      <c r="Q43">
        <v>1</v>
      </c>
      <c r="X43">
        <v>11.73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1</v>
      </c>
      <c r="AF43" t="s">
        <v>3</v>
      </c>
      <c r="AG43">
        <v>11.73</v>
      </c>
      <c r="AH43">
        <v>2</v>
      </c>
      <c r="AI43">
        <v>41858066</v>
      </c>
      <c r="AJ43">
        <v>51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>
      <c r="A44">
        <f>ROW(Source!A130)</f>
        <v>130</v>
      </c>
      <c r="B44">
        <v>41858077</v>
      </c>
      <c r="C44">
        <v>41858068</v>
      </c>
      <c r="D44">
        <v>38786840</v>
      </c>
      <c r="E44">
        <v>27</v>
      </c>
      <c r="F44">
        <v>1</v>
      </c>
      <c r="G44">
        <v>27</v>
      </c>
      <c r="H44">
        <v>1</v>
      </c>
      <c r="I44" t="s">
        <v>247</v>
      </c>
      <c r="J44" t="s">
        <v>3</v>
      </c>
      <c r="K44" t="s">
        <v>248</v>
      </c>
      <c r="L44">
        <v>1191</v>
      </c>
      <c r="N44">
        <v>1013</v>
      </c>
      <c r="O44" t="s">
        <v>249</v>
      </c>
      <c r="P44" t="s">
        <v>249</v>
      </c>
      <c r="Q44">
        <v>1</v>
      </c>
      <c r="X44">
        <v>20.71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F44" t="s">
        <v>3</v>
      </c>
      <c r="AG44">
        <v>20.71</v>
      </c>
      <c r="AH44">
        <v>2</v>
      </c>
      <c r="AI44">
        <v>41858069</v>
      </c>
      <c r="AJ44">
        <v>52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>
      <c r="A45">
        <f>ROW(Source!A130)</f>
        <v>130</v>
      </c>
      <c r="B45">
        <v>41858078</v>
      </c>
      <c r="C45">
        <v>41858068</v>
      </c>
      <c r="D45">
        <v>38799213</v>
      </c>
      <c r="E45">
        <v>1</v>
      </c>
      <c r="F45">
        <v>1</v>
      </c>
      <c r="G45">
        <v>27</v>
      </c>
      <c r="H45">
        <v>2</v>
      </c>
      <c r="I45" t="s">
        <v>284</v>
      </c>
      <c r="J45" t="s">
        <v>285</v>
      </c>
      <c r="K45" t="s">
        <v>286</v>
      </c>
      <c r="L45">
        <v>1368</v>
      </c>
      <c r="N45">
        <v>1011</v>
      </c>
      <c r="O45" t="s">
        <v>253</v>
      </c>
      <c r="P45" t="s">
        <v>253</v>
      </c>
      <c r="Q45">
        <v>1</v>
      </c>
      <c r="X45">
        <v>0.76</v>
      </c>
      <c r="Y45">
        <v>0</v>
      </c>
      <c r="Z45">
        <v>2020.59</v>
      </c>
      <c r="AA45">
        <v>458.56</v>
      </c>
      <c r="AB45">
        <v>0</v>
      </c>
      <c r="AC45">
        <v>0</v>
      </c>
      <c r="AD45">
        <v>1</v>
      </c>
      <c r="AE45">
        <v>0</v>
      </c>
      <c r="AF45" t="s">
        <v>3</v>
      </c>
      <c r="AG45">
        <v>0.76</v>
      </c>
      <c r="AH45">
        <v>2</v>
      </c>
      <c r="AI45">
        <v>41858070</v>
      </c>
      <c r="AJ45">
        <v>53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>
      <c r="A46">
        <f>ROW(Source!A130)</f>
        <v>130</v>
      </c>
      <c r="B46">
        <v>41858079</v>
      </c>
      <c r="C46">
        <v>41858068</v>
      </c>
      <c r="D46">
        <v>38801734</v>
      </c>
      <c r="E46">
        <v>1</v>
      </c>
      <c r="F46">
        <v>1</v>
      </c>
      <c r="G46">
        <v>27</v>
      </c>
      <c r="H46">
        <v>3</v>
      </c>
      <c r="I46" t="s">
        <v>288</v>
      </c>
      <c r="J46" t="s">
        <v>289</v>
      </c>
      <c r="K46" t="s">
        <v>290</v>
      </c>
      <c r="L46">
        <v>1327</v>
      </c>
      <c r="N46">
        <v>1005</v>
      </c>
      <c r="O46" t="s">
        <v>291</v>
      </c>
      <c r="P46" t="s">
        <v>291</v>
      </c>
      <c r="Q46">
        <v>1</v>
      </c>
      <c r="X46">
        <v>1.5</v>
      </c>
      <c r="Y46">
        <v>91.89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 t="s">
        <v>3</v>
      </c>
      <c r="AG46">
        <v>1.5</v>
      </c>
      <c r="AH46">
        <v>2</v>
      </c>
      <c r="AI46">
        <v>41858071</v>
      </c>
      <c r="AJ46">
        <v>54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>
      <c r="A47">
        <f>ROW(Source!A130)</f>
        <v>130</v>
      </c>
      <c r="B47">
        <v>41858080</v>
      </c>
      <c r="C47">
        <v>41858068</v>
      </c>
      <c r="D47">
        <v>38801771</v>
      </c>
      <c r="E47">
        <v>1</v>
      </c>
      <c r="F47">
        <v>1</v>
      </c>
      <c r="G47">
        <v>27</v>
      </c>
      <c r="H47">
        <v>3</v>
      </c>
      <c r="I47" t="s">
        <v>258</v>
      </c>
      <c r="J47" t="s">
        <v>259</v>
      </c>
      <c r="K47" t="s">
        <v>260</v>
      </c>
      <c r="L47">
        <v>1346</v>
      </c>
      <c r="N47">
        <v>1009</v>
      </c>
      <c r="O47" t="s">
        <v>261</v>
      </c>
      <c r="P47" t="s">
        <v>261</v>
      </c>
      <c r="Q47">
        <v>1</v>
      </c>
      <c r="X47">
        <v>0.3</v>
      </c>
      <c r="Y47">
        <v>171.21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 t="s">
        <v>3</v>
      </c>
      <c r="AG47">
        <v>0.3</v>
      </c>
      <c r="AH47">
        <v>2</v>
      </c>
      <c r="AI47">
        <v>41858072</v>
      </c>
      <c r="AJ47">
        <v>55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>
      <c r="A48">
        <f>ROW(Source!A130)</f>
        <v>130</v>
      </c>
      <c r="B48">
        <v>41858081</v>
      </c>
      <c r="C48">
        <v>41858068</v>
      </c>
      <c r="D48">
        <v>38801911</v>
      </c>
      <c r="E48">
        <v>1</v>
      </c>
      <c r="F48">
        <v>1</v>
      </c>
      <c r="G48">
        <v>27</v>
      </c>
      <c r="H48">
        <v>3</v>
      </c>
      <c r="I48" t="s">
        <v>262</v>
      </c>
      <c r="J48" t="s">
        <v>263</v>
      </c>
      <c r="K48" t="s">
        <v>264</v>
      </c>
      <c r="L48">
        <v>1339</v>
      </c>
      <c r="N48">
        <v>1007</v>
      </c>
      <c r="O48" t="s">
        <v>257</v>
      </c>
      <c r="P48" t="s">
        <v>257</v>
      </c>
      <c r="Q48">
        <v>1</v>
      </c>
      <c r="X48">
        <v>2.6</v>
      </c>
      <c r="Y48">
        <v>35.25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 t="s">
        <v>3</v>
      </c>
      <c r="AG48">
        <v>2.6</v>
      </c>
      <c r="AH48">
        <v>2</v>
      </c>
      <c r="AI48">
        <v>41858073</v>
      </c>
      <c r="AJ48">
        <v>56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>
      <c r="A49">
        <f>ROW(Source!A130)</f>
        <v>130</v>
      </c>
      <c r="B49">
        <v>41858082</v>
      </c>
      <c r="C49">
        <v>41858068</v>
      </c>
      <c r="D49">
        <v>38803641</v>
      </c>
      <c r="E49">
        <v>1</v>
      </c>
      <c r="F49">
        <v>1</v>
      </c>
      <c r="G49">
        <v>27</v>
      </c>
      <c r="H49">
        <v>3</v>
      </c>
      <c r="I49" t="s">
        <v>292</v>
      </c>
      <c r="J49" t="s">
        <v>293</v>
      </c>
      <c r="K49" t="s">
        <v>294</v>
      </c>
      <c r="L49">
        <v>1339</v>
      </c>
      <c r="N49">
        <v>1007</v>
      </c>
      <c r="O49" t="s">
        <v>257</v>
      </c>
      <c r="P49" t="s">
        <v>257</v>
      </c>
      <c r="Q49">
        <v>1</v>
      </c>
      <c r="X49">
        <v>0.15840000000000001</v>
      </c>
      <c r="Y49">
        <v>3467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 t="s">
        <v>3</v>
      </c>
      <c r="AG49">
        <v>0.15840000000000001</v>
      </c>
      <c r="AH49">
        <v>2</v>
      </c>
      <c r="AI49">
        <v>41858074</v>
      </c>
      <c r="AJ49">
        <v>58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>
      <c r="A50">
        <f>ROW(Source!A130)</f>
        <v>130</v>
      </c>
      <c r="B50">
        <v>41858083</v>
      </c>
      <c r="C50">
        <v>41858068</v>
      </c>
      <c r="D50">
        <v>38786919</v>
      </c>
      <c r="E50">
        <v>27</v>
      </c>
      <c r="F50">
        <v>1</v>
      </c>
      <c r="G50">
        <v>27</v>
      </c>
      <c r="H50">
        <v>3</v>
      </c>
      <c r="I50" t="s">
        <v>332</v>
      </c>
      <c r="J50" t="s">
        <v>3</v>
      </c>
      <c r="K50" t="s">
        <v>333</v>
      </c>
      <c r="L50">
        <v>1354</v>
      </c>
      <c r="N50">
        <v>1010</v>
      </c>
      <c r="O50" t="s">
        <v>50</v>
      </c>
      <c r="P50" t="s">
        <v>50</v>
      </c>
      <c r="Q50">
        <v>1</v>
      </c>
      <c r="X50">
        <v>10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t="s">
        <v>3</v>
      </c>
      <c r="AG50">
        <v>10</v>
      </c>
      <c r="AH50">
        <v>3</v>
      </c>
      <c r="AI50">
        <v>-1</v>
      </c>
      <c r="AJ50" t="s">
        <v>3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>
      <c r="A51">
        <f>ROW(Source!A170)</f>
        <v>170</v>
      </c>
      <c r="B51">
        <v>41858091</v>
      </c>
      <c r="C51">
        <v>41858086</v>
      </c>
      <c r="D51">
        <v>38786840</v>
      </c>
      <c r="E51">
        <v>27</v>
      </c>
      <c r="F51">
        <v>1</v>
      </c>
      <c r="G51">
        <v>27</v>
      </c>
      <c r="H51">
        <v>1</v>
      </c>
      <c r="I51" t="s">
        <v>247</v>
      </c>
      <c r="J51" t="s">
        <v>3</v>
      </c>
      <c r="K51" t="s">
        <v>248</v>
      </c>
      <c r="L51">
        <v>1191</v>
      </c>
      <c r="N51">
        <v>1013</v>
      </c>
      <c r="O51" t="s">
        <v>249</v>
      </c>
      <c r="P51" t="s">
        <v>249</v>
      </c>
      <c r="Q51">
        <v>1</v>
      </c>
      <c r="X51">
        <v>34.44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1</v>
      </c>
      <c r="AF51" t="s">
        <v>3</v>
      </c>
      <c r="AG51">
        <v>34.44</v>
      </c>
      <c r="AH51">
        <v>2</v>
      </c>
      <c r="AI51">
        <v>41858087</v>
      </c>
      <c r="AJ51">
        <v>60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>
      <c r="A52">
        <f>ROW(Source!A170)</f>
        <v>170</v>
      </c>
      <c r="B52">
        <v>41858092</v>
      </c>
      <c r="C52">
        <v>41858086</v>
      </c>
      <c r="D52">
        <v>38799022</v>
      </c>
      <c r="E52">
        <v>1</v>
      </c>
      <c r="F52">
        <v>1</v>
      </c>
      <c r="G52">
        <v>27</v>
      </c>
      <c r="H52">
        <v>2</v>
      </c>
      <c r="I52" t="s">
        <v>250</v>
      </c>
      <c r="J52" t="s">
        <v>287</v>
      </c>
      <c r="K52" t="s">
        <v>252</v>
      </c>
      <c r="L52">
        <v>1368</v>
      </c>
      <c r="N52">
        <v>1011</v>
      </c>
      <c r="O52" t="s">
        <v>253</v>
      </c>
      <c r="P52" t="s">
        <v>253</v>
      </c>
      <c r="Q52">
        <v>1</v>
      </c>
      <c r="X52">
        <v>0.68</v>
      </c>
      <c r="Y52">
        <v>0</v>
      </c>
      <c r="Z52">
        <v>812.16</v>
      </c>
      <c r="AA52">
        <v>448.48</v>
      </c>
      <c r="AB52">
        <v>0</v>
      </c>
      <c r="AC52">
        <v>0</v>
      </c>
      <c r="AD52">
        <v>1</v>
      </c>
      <c r="AE52">
        <v>0</v>
      </c>
      <c r="AF52" t="s">
        <v>3</v>
      </c>
      <c r="AG52">
        <v>0.68</v>
      </c>
      <c r="AH52">
        <v>2</v>
      </c>
      <c r="AI52">
        <v>41858088</v>
      </c>
      <c r="AJ52">
        <v>61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>
      <c r="A53">
        <f>ROW(Source!A170)</f>
        <v>170</v>
      </c>
      <c r="B53">
        <v>41858093</v>
      </c>
      <c r="C53">
        <v>41858086</v>
      </c>
      <c r="D53">
        <v>38803649</v>
      </c>
      <c r="E53">
        <v>1</v>
      </c>
      <c r="F53">
        <v>1</v>
      </c>
      <c r="G53">
        <v>27</v>
      </c>
      <c r="H53">
        <v>3</v>
      </c>
      <c r="I53" t="s">
        <v>277</v>
      </c>
      <c r="J53" t="s">
        <v>278</v>
      </c>
      <c r="K53" t="s">
        <v>279</v>
      </c>
      <c r="L53">
        <v>1339</v>
      </c>
      <c r="N53">
        <v>1007</v>
      </c>
      <c r="O53" t="s">
        <v>257</v>
      </c>
      <c r="P53" t="s">
        <v>257</v>
      </c>
      <c r="Q53">
        <v>1</v>
      </c>
      <c r="X53">
        <v>2.1</v>
      </c>
      <c r="Y53">
        <v>810.33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 t="s">
        <v>3</v>
      </c>
      <c r="AG53">
        <v>2.1</v>
      </c>
      <c r="AH53">
        <v>2</v>
      </c>
      <c r="AI53">
        <v>41858089</v>
      </c>
      <c r="AJ53">
        <v>62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>
      <c r="A54">
        <f>ROW(Source!A170)</f>
        <v>170</v>
      </c>
      <c r="B54">
        <v>41858094</v>
      </c>
      <c r="C54">
        <v>41858086</v>
      </c>
      <c r="D54">
        <v>38803640</v>
      </c>
      <c r="E54">
        <v>1</v>
      </c>
      <c r="F54">
        <v>1</v>
      </c>
      <c r="G54">
        <v>27</v>
      </c>
      <c r="H54">
        <v>3</v>
      </c>
      <c r="I54" t="s">
        <v>254</v>
      </c>
      <c r="J54" t="s">
        <v>280</v>
      </c>
      <c r="K54" t="s">
        <v>256</v>
      </c>
      <c r="L54">
        <v>1339</v>
      </c>
      <c r="N54">
        <v>1007</v>
      </c>
      <c r="O54" t="s">
        <v>257</v>
      </c>
      <c r="P54" t="s">
        <v>257</v>
      </c>
      <c r="Q54">
        <v>1</v>
      </c>
      <c r="X54">
        <v>6.2</v>
      </c>
      <c r="Y54">
        <v>753.67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 t="s">
        <v>3</v>
      </c>
      <c r="AG54">
        <v>6.2</v>
      </c>
      <c r="AH54">
        <v>2</v>
      </c>
      <c r="AI54">
        <v>41858090</v>
      </c>
      <c r="AJ54">
        <v>63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>
      <c r="A55">
        <f>ROW(Source!A171)</f>
        <v>171</v>
      </c>
      <c r="B55">
        <v>41858099</v>
      </c>
      <c r="C55">
        <v>41858095</v>
      </c>
      <c r="D55">
        <v>38786840</v>
      </c>
      <c r="E55">
        <v>27</v>
      </c>
      <c r="F55">
        <v>1</v>
      </c>
      <c r="G55">
        <v>27</v>
      </c>
      <c r="H55">
        <v>1</v>
      </c>
      <c r="I55" t="s">
        <v>247</v>
      </c>
      <c r="J55" t="s">
        <v>3</v>
      </c>
      <c r="K55" t="s">
        <v>248</v>
      </c>
      <c r="L55">
        <v>1191</v>
      </c>
      <c r="N55">
        <v>1013</v>
      </c>
      <c r="O55" t="s">
        <v>249</v>
      </c>
      <c r="P55" t="s">
        <v>249</v>
      </c>
      <c r="Q55">
        <v>1</v>
      </c>
      <c r="X55">
        <v>58.75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1</v>
      </c>
      <c r="AF55" t="s">
        <v>3</v>
      </c>
      <c r="AG55">
        <v>58.75</v>
      </c>
      <c r="AH55">
        <v>2</v>
      </c>
      <c r="AI55">
        <v>41858096</v>
      </c>
      <c r="AJ55">
        <v>64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>
      <c r="A56">
        <f>ROW(Source!A171)</f>
        <v>171</v>
      </c>
      <c r="B56">
        <v>41858100</v>
      </c>
      <c r="C56">
        <v>41858095</v>
      </c>
      <c r="D56">
        <v>38803649</v>
      </c>
      <c r="E56">
        <v>1</v>
      </c>
      <c r="F56">
        <v>1</v>
      </c>
      <c r="G56">
        <v>27</v>
      </c>
      <c r="H56">
        <v>3</v>
      </c>
      <c r="I56" t="s">
        <v>277</v>
      </c>
      <c r="J56" t="s">
        <v>278</v>
      </c>
      <c r="K56" t="s">
        <v>279</v>
      </c>
      <c r="L56">
        <v>1339</v>
      </c>
      <c r="N56">
        <v>1007</v>
      </c>
      <c r="O56" t="s">
        <v>257</v>
      </c>
      <c r="P56" t="s">
        <v>257</v>
      </c>
      <c r="Q56">
        <v>1</v>
      </c>
      <c r="X56">
        <v>2.1</v>
      </c>
      <c r="Y56">
        <v>810.33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 t="s">
        <v>3</v>
      </c>
      <c r="AG56">
        <v>2.1</v>
      </c>
      <c r="AH56">
        <v>2</v>
      </c>
      <c r="AI56">
        <v>41858097</v>
      </c>
      <c r="AJ56">
        <v>65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>
      <c r="A57">
        <f>ROW(Source!A171)</f>
        <v>171</v>
      </c>
      <c r="B57">
        <v>41858101</v>
      </c>
      <c r="C57">
        <v>41858095</v>
      </c>
      <c r="D57">
        <v>38803640</v>
      </c>
      <c r="E57">
        <v>1</v>
      </c>
      <c r="F57">
        <v>1</v>
      </c>
      <c r="G57">
        <v>27</v>
      </c>
      <c r="H57">
        <v>3</v>
      </c>
      <c r="I57" t="s">
        <v>254</v>
      </c>
      <c r="J57" t="s">
        <v>280</v>
      </c>
      <c r="K57" t="s">
        <v>256</v>
      </c>
      <c r="L57">
        <v>1339</v>
      </c>
      <c r="N57">
        <v>1007</v>
      </c>
      <c r="O57" t="s">
        <v>257</v>
      </c>
      <c r="P57" t="s">
        <v>257</v>
      </c>
      <c r="Q57">
        <v>1</v>
      </c>
      <c r="X57">
        <v>6.2</v>
      </c>
      <c r="Y57">
        <v>753.67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 t="s">
        <v>3</v>
      </c>
      <c r="AG57">
        <v>6.2</v>
      </c>
      <c r="AH57">
        <v>2</v>
      </c>
      <c r="AI57">
        <v>41858098</v>
      </c>
      <c r="AJ57">
        <v>66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>
      <c r="A58">
        <f>ROW(Source!A172)</f>
        <v>172</v>
      </c>
      <c r="B58">
        <v>41858104</v>
      </c>
      <c r="C58">
        <v>41858102</v>
      </c>
      <c r="D58">
        <v>38799032</v>
      </c>
      <c r="E58">
        <v>1</v>
      </c>
      <c r="F58">
        <v>1</v>
      </c>
      <c r="G58">
        <v>27</v>
      </c>
      <c r="H58">
        <v>2</v>
      </c>
      <c r="I58" t="s">
        <v>281</v>
      </c>
      <c r="J58" t="s">
        <v>282</v>
      </c>
      <c r="K58" t="s">
        <v>283</v>
      </c>
      <c r="L58">
        <v>1368</v>
      </c>
      <c r="N58">
        <v>1011</v>
      </c>
      <c r="O58" t="s">
        <v>253</v>
      </c>
      <c r="P58" t="s">
        <v>253</v>
      </c>
      <c r="Q58">
        <v>1</v>
      </c>
      <c r="X58">
        <v>0.31</v>
      </c>
      <c r="Y58">
        <v>0</v>
      </c>
      <c r="Z58">
        <v>956.79</v>
      </c>
      <c r="AA58">
        <v>359.44</v>
      </c>
      <c r="AB58">
        <v>0</v>
      </c>
      <c r="AC58">
        <v>0</v>
      </c>
      <c r="AD58">
        <v>1</v>
      </c>
      <c r="AE58">
        <v>0</v>
      </c>
      <c r="AF58" t="s">
        <v>3</v>
      </c>
      <c r="AG58">
        <v>0.31</v>
      </c>
      <c r="AH58">
        <v>2</v>
      </c>
      <c r="AI58">
        <v>41858103</v>
      </c>
      <c r="AJ58">
        <v>67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>
      <c r="A59">
        <f>ROW(Source!A173)</f>
        <v>173</v>
      </c>
      <c r="B59">
        <v>41858107</v>
      </c>
      <c r="C59">
        <v>41858105</v>
      </c>
      <c r="D59">
        <v>38786840</v>
      </c>
      <c r="E59">
        <v>27</v>
      </c>
      <c r="F59">
        <v>1</v>
      </c>
      <c r="G59">
        <v>27</v>
      </c>
      <c r="H59">
        <v>1</v>
      </c>
      <c r="I59" t="s">
        <v>247</v>
      </c>
      <c r="J59" t="s">
        <v>3</v>
      </c>
      <c r="K59" t="s">
        <v>248</v>
      </c>
      <c r="L59">
        <v>1191</v>
      </c>
      <c r="N59">
        <v>1013</v>
      </c>
      <c r="O59" t="s">
        <v>249</v>
      </c>
      <c r="P59" t="s">
        <v>249</v>
      </c>
      <c r="Q59">
        <v>1</v>
      </c>
      <c r="X59">
        <v>11.73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1</v>
      </c>
      <c r="AF59" t="s">
        <v>3</v>
      </c>
      <c r="AG59">
        <v>11.73</v>
      </c>
      <c r="AH59">
        <v>2</v>
      </c>
      <c r="AI59">
        <v>41858106</v>
      </c>
      <c r="AJ59">
        <v>68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>
      <c r="A60">
        <f>ROW(Source!A174)</f>
        <v>174</v>
      </c>
      <c r="B60">
        <v>41858116</v>
      </c>
      <c r="C60">
        <v>41858108</v>
      </c>
      <c r="D60">
        <v>38786840</v>
      </c>
      <c r="E60">
        <v>27</v>
      </c>
      <c r="F60">
        <v>1</v>
      </c>
      <c r="G60">
        <v>27</v>
      </c>
      <c r="H60">
        <v>1</v>
      </c>
      <c r="I60" t="s">
        <v>247</v>
      </c>
      <c r="J60" t="s">
        <v>3</v>
      </c>
      <c r="K60" t="s">
        <v>248</v>
      </c>
      <c r="L60">
        <v>1191</v>
      </c>
      <c r="N60">
        <v>1013</v>
      </c>
      <c r="O60" t="s">
        <v>249</v>
      </c>
      <c r="P60" t="s">
        <v>249</v>
      </c>
      <c r="Q60">
        <v>1</v>
      </c>
      <c r="X60">
        <v>20.71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1</v>
      </c>
      <c r="AF60" t="s">
        <v>3</v>
      </c>
      <c r="AG60">
        <v>20.71</v>
      </c>
      <c r="AH60">
        <v>2</v>
      </c>
      <c r="AI60">
        <v>41858109</v>
      </c>
      <c r="AJ60">
        <v>69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>
      <c r="A61">
        <f>ROW(Source!A174)</f>
        <v>174</v>
      </c>
      <c r="B61">
        <v>41858117</v>
      </c>
      <c r="C61">
        <v>41858108</v>
      </c>
      <c r="D61">
        <v>38799213</v>
      </c>
      <c r="E61">
        <v>1</v>
      </c>
      <c r="F61">
        <v>1</v>
      </c>
      <c r="G61">
        <v>27</v>
      </c>
      <c r="H61">
        <v>2</v>
      </c>
      <c r="I61" t="s">
        <v>284</v>
      </c>
      <c r="J61" t="s">
        <v>285</v>
      </c>
      <c r="K61" t="s">
        <v>286</v>
      </c>
      <c r="L61">
        <v>1368</v>
      </c>
      <c r="N61">
        <v>1011</v>
      </c>
      <c r="O61" t="s">
        <v>253</v>
      </c>
      <c r="P61" t="s">
        <v>253</v>
      </c>
      <c r="Q61">
        <v>1</v>
      </c>
      <c r="X61">
        <v>0.76</v>
      </c>
      <c r="Y61">
        <v>0</v>
      </c>
      <c r="Z61">
        <v>2020.59</v>
      </c>
      <c r="AA61">
        <v>458.56</v>
      </c>
      <c r="AB61">
        <v>0</v>
      </c>
      <c r="AC61">
        <v>0</v>
      </c>
      <c r="AD61">
        <v>1</v>
      </c>
      <c r="AE61">
        <v>0</v>
      </c>
      <c r="AF61" t="s">
        <v>3</v>
      </c>
      <c r="AG61">
        <v>0.76</v>
      </c>
      <c r="AH61">
        <v>2</v>
      </c>
      <c r="AI61">
        <v>41858110</v>
      </c>
      <c r="AJ61">
        <v>70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>
      <c r="A62">
        <f>ROW(Source!A174)</f>
        <v>174</v>
      </c>
      <c r="B62">
        <v>41858118</v>
      </c>
      <c r="C62">
        <v>41858108</v>
      </c>
      <c r="D62">
        <v>38801734</v>
      </c>
      <c r="E62">
        <v>1</v>
      </c>
      <c r="F62">
        <v>1</v>
      </c>
      <c r="G62">
        <v>27</v>
      </c>
      <c r="H62">
        <v>3</v>
      </c>
      <c r="I62" t="s">
        <v>288</v>
      </c>
      <c r="J62" t="s">
        <v>289</v>
      </c>
      <c r="K62" t="s">
        <v>290</v>
      </c>
      <c r="L62">
        <v>1327</v>
      </c>
      <c r="N62">
        <v>1005</v>
      </c>
      <c r="O62" t="s">
        <v>291</v>
      </c>
      <c r="P62" t="s">
        <v>291</v>
      </c>
      <c r="Q62">
        <v>1</v>
      </c>
      <c r="X62">
        <v>1.5</v>
      </c>
      <c r="Y62">
        <v>91.89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 t="s">
        <v>3</v>
      </c>
      <c r="AG62">
        <v>1.5</v>
      </c>
      <c r="AH62">
        <v>2</v>
      </c>
      <c r="AI62">
        <v>41858111</v>
      </c>
      <c r="AJ62">
        <v>71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>
      <c r="A63">
        <f>ROW(Source!A174)</f>
        <v>174</v>
      </c>
      <c r="B63">
        <v>41858119</v>
      </c>
      <c r="C63">
        <v>41858108</v>
      </c>
      <c r="D63">
        <v>38801771</v>
      </c>
      <c r="E63">
        <v>1</v>
      </c>
      <c r="F63">
        <v>1</v>
      </c>
      <c r="G63">
        <v>27</v>
      </c>
      <c r="H63">
        <v>3</v>
      </c>
      <c r="I63" t="s">
        <v>258</v>
      </c>
      <c r="J63" t="s">
        <v>259</v>
      </c>
      <c r="K63" t="s">
        <v>260</v>
      </c>
      <c r="L63">
        <v>1346</v>
      </c>
      <c r="N63">
        <v>1009</v>
      </c>
      <c r="O63" t="s">
        <v>261</v>
      </c>
      <c r="P63" t="s">
        <v>261</v>
      </c>
      <c r="Q63">
        <v>1</v>
      </c>
      <c r="X63">
        <v>0.3</v>
      </c>
      <c r="Y63">
        <v>171.21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 t="s">
        <v>3</v>
      </c>
      <c r="AG63">
        <v>0.3</v>
      </c>
      <c r="AH63">
        <v>2</v>
      </c>
      <c r="AI63">
        <v>41858112</v>
      </c>
      <c r="AJ63">
        <v>72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>
      <c r="A64">
        <f>ROW(Source!A174)</f>
        <v>174</v>
      </c>
      <c r="B64">
        <v>41858120</v>
      </c>
      <c r="C64">
        <v>41858108</v>
      </c>
      <c r="D64">
        <v>38801911</v>
      </c>
      <c r="E64">
        <v>1</v>
      </c>
      <c r="F64">
        <v>1</v>
      </c>
      <c r="G64">
        <v>27</v>
      </c>
      <c r="H64">
        <v>3</v>
      </c>
      <c r="I64" t="s">
        <v>262</v>
      </c>
      <c r="J64" t="s">
        <v>263</v>
      </c>
      <c r="K64" t="s">
        <v>264</v>
      </c>
      <c r="L64">
        <v>1339</v>
      </c>
      <c r="N64">
        <v>1007</v>
      </c>
      <c r="O64" t="s">
        <v>257</v>
      </c>
      <c r="P64" t="s">
        <v>257</v>
      </c>
      <c r="Q64">
        <v>1</v>
      </c>
      <c r="X64">
        <v>2.6</v>
      </c>
      <c r="Y64">
        <v>35.25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 t="s">
        <v>3</v>
      </c>
      <c r="AG64">
        <v>2.6</v>
      </c>
      <c r="AH64">
        <v>2</v>
      </c>
      <c r="AI64">
        <v>41858113</v>
      </c>
      <c r="AJ64">
        <v>73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>
      <c r="A65">
        <f>ROW(Source!A174)</f>
        <v>174</v>
      </c>
      <c r="B65">
        <v>41858121</v>
      </c>
      <c r="C65">
        <v>41858108</v>
      </c>
      <c r="D65">
        <v>38803641</v>
      </c>
      <c r="E65">
        <v>1</v>
      </c>
      <c r="F65">
        <v>1</v>
      </c>
      <c r="G65">
        <v>27</v>
      </c>
      <c r="H65">
        <v>3</v>
      </c>
      <c r="I65" t="s">
        <v>292</v>
      </c>
      <c r="J65" t="s">
        <v>293</v>
      </c>
      <c r="K65" t="s">
        <v>294</v>
      </c>
      <c r="L65">
        <v>1339</v>
      </c>
      <c r="N65">
        <v>1007</v>
      </c>
      <c r="O65" t="s">
        <v>257</v>
      </c>
      <c r="P65" t="s">
        <v>257</v>
      </c>
      <c r="Q65">
        <v>1</v>
      </c>
      <c r="X65">
        <v>0.15840000000000001</v>
      </c>
      <c r="Y65">
        <v>3467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 t="s">
        <v>3</v>
      </c>
      <c r="AG65">
        <v>0.15840000000000001</v>
      </c>
      <c r="AH65">
        <v>2</v>
      </c>
      <c r="AI65">
        <v>41858114</v>
      </c>
      <c r="AJ65">
        <v>74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>
      <c r="A66">
        <f>ROW(Source!A174)</f>
        <v>174</v>
      </c>
      <c r="B66">
        <v>41858122</v>
      </c>
      <c r="C66">
        <v>41858108</v>
      </c>
      <c r="D66">
        <v>38786919</v>
      </c>
      <c r="E66">
        <v>27</v>
      </c>
      <c r="F66">
        <v>1</v>
      </c>
      <c r="G66">
        <v>27</v>
      </c>
      <c r="H66">
        <v>3</v>
      </c>
      <c r="I66" t="s">
        <v>332</v>
      </c>
      <c r="J66" t="s">
        <v>3</v>
      </c>
      <c r="K66" t="s">
        <v>333</v>
      </c>
      <c r="L66">
        <v>1354</v>
      </c>
      <c r="N66">
        <v>1010</v>
      </c>
      <c r="O66" t="s">
        <v>50</v>
      </c>
      <c r="P66" t="s">
        <v>50</v>
      </c>
      <c r="Q66">
        <v>1</v>
      </c>
      <c r="X66">
        <v>10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t="s">
        <v>3</v>
      </c>
      <c r="AG66">
        <v>10</v>
      </c>
      <c r="AH66">
        <v>3</v>
      </c>
      <c r="AI66">
        <v>-1</v>
      </c>
      <c r="AJ66" t="s">
        <v>3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>
      <c r="A67">
        <f>ROW(Source!A176)</f>
        <v>176</v>
      </c>
      <c r="B67">
        <v>41858128</v>
      </c>
      <c r="C67">
        <v>41858124</v>
      </c>
      <c r="D67">
        <v>38786840</v>
      </c>
      <c r="E67">
        <v>27</v>
      </c>
      <c r="F67">
        <v>1</v>
      </c>
      <c r="G67">
        <v>27</v>
      </c>
      <c r="H67">
        <v>1</v>
      </c>
      <c r="I67" t="s">
        <v>247</v>
      </c>
      <c r="J67" t="s">
        <v>3</v>
      </c>
      <c r="K67" t="s">
        <v>248</v>
      </c>
      <c r="L67">
        <v>1191</v>
      </c>
      <c r="N67">
        <v>1013</v>
      </c>
      <c r="O67" t="s">
        <v>249</v>
      </c>
      <c r="P67" t="s">
        <v>249</v>
      </c>
      <c r="Q67">
        <v>1</v>
      </c>
      <c r="X67">
        <v>21.77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1</v>
      </c>
      <c r="AF67" t="s">
        <v>3</v>
      </c>
      <c r="AG67">
        <v>21.77</v>
      </c>
      <c r="AH67">
        <v>2</v>
      </c>
      <c r="AI67">
        <v>41858125</v>
      </c>
      <c r="AJ67">
        <v>76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>
      <c r="A68">
        <f>ROW(Source!A176)</f>
        <v>176</v>
      </c>
      <c r="B68">
        <v>41858129</v>
      </c>
      <c r="C68">
        <v>41858124</v>
      </c>
      <c r="D68">
        <v>38803649</v>
      </c>
      <c r="E68">
        <v>1</v>
      </c>
      <c r="F68">
        <v>1</v>
      </c>
      <c r="G68">
        <v>27</v>
      </c>
      <c r="H68">
        <v>3</v>
      </c>
      <c r="I68" t="s">
        <v>277</v>
      </c>
      <c r="J68" t="s">
        <v>278</v>
      </c>
      <c r="K68" t="s">
        <v>279</v>
      </c>
      <c r="L68">
        <v>1339</v>
      </c>
      <c r="N68">
        <v>1007</v>
      </c>
      <c r="O68" t="s">
        <v>257</v>
      </c>
      <c r="P68" t="s">
        <v>257</v>
      </c>
      <c r="Q68">
        <v>1</v>
      </c>
      <c r="X68">
        <v>1.08</v>
      </c>
      <c r="Y68">
        <v>810.33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 t="s">
        <v>3</v>
      </c>
      <c r="AG68">
        <v>1.08</v>
      </c>
      <c r="AH68">
        <v>2</v>
      </c>
      <c r="AI68">
        <v>41858126</v>
      </c>
      <c r="AJ68">
        <v>77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>
      <c r="A69">
        <f>ROW(Source!A176)</f>
        <v>176</v>
      </c>
      <c r="B69">
        <v>41858130</v>
      </c>
      <c r="C69">
        <v>41858124</v>
      </c>
      <c r="D69">
        <v>38803640</v>
      </c>
      <c r="E69">
        <v>1</v>
      </c>
      <c r="F69">
        <v>1</v>
      </c>
      <c r="G69">
        <v>27</v>
      </c>
      <c r="H69">
        <v>3</v>
      </c>
      <c r="I69" t="s">
        <v>254</v>
      </c>
      <c r="J69" t="s">
        <v>280</v>
      </c>
      <c r="K69" t="s">
        <v>256</v>
      </c>
      <c r="L69">
        <v>1339</v>
      </c>
      <c r="N69">
        <v>1007</v>
      </c>
      <c r="O69" t="s">
        <v>257</v>
      </c>
      <c r="P69" t="s">
        <v>257</v>
      </c>
      <c r="Q69">
        <v>1</v>
      </c>
      <c r="X69">
        <v>3.23</v>
      </c>
      <c r="Y69">
        <v>753.67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 t="s">
        <v>3</v>
      </c>
      <c r="AG69">
        <v>3.23</v>
      </c>
      <c r="AH69">
        <v>2</v>
      </c>
      <c r="AI69">
        <v>41858127</v>
      </c>
      <c r="AJ69">
        <v>78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>
      <c r="A70">
        <f>ROW(Source!A177)</f>
        <v>177</v>
      </c>
      <c r="B70">
        <v>41858137</v>
      </c>
      <c r="C70">
        <v>41858131</v>
      </c>
      <c r="D70">
        <v>38786840</v>
      </c>
      <c r="E70">
        <v>27</v>
      </c>
      <c r="F70">
        <v>1</v>
      </c>
      <c r="G70">
        <v>27</v>
      </c>
      <c r="H70">
        <v>1</v>
      </c>
      <c r="I70" t="s">
        <v>247</v>
      </c>
      <c r="J70" t="s">
        <v>3</v>
      </c>
      <c r="K70" t="s">
        <v>248</v>
      </c>
      <c r="L70">
        <v>1191</v>
      </c>
      <c r="N70">
        <v>1013</v>
      </c>
      <c r="O70" t="s">
        <v>249</v>
      </c>
      <c r="P70" t="s">
        <v>249</v>
      </c>
      <c r="Q70">
        <v>1</v>
      </c>
      <c r="X70">
        <v>15.52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 t="s">
        <v>3</v>
      </c>
      <c r="AG70">
        <v>15.52</v>
      </c>
      <c r="AH70">
        <v>2</v>
      </c>
      <c r="AI70">
        <v>41858132</v>
      </c>
      <c r="AJ70">
        <v>79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>
      <c r="A71">
        <f>ROW(Source!A177)</f>
        <v>177</v>
      </c>
      <c r="B71">
        <v>41858138</v>
      </c>
      <c r="C71">
        <v>41858131</v>
      </c>
      <c r="D71">
        <v>38799622</v>
      </c>
      <c r="E71">
        <v>1</v>
      </c>
      <c r="F71">
        <v>1</v>
      </c>
      <c r="G71">
        <v>27</v>
      </c>
      <c r="H71">
        <v>2</v>
      </c>
      <c r="I71" t="s">
        <v>271</v>
      </c>
      <c r="J71" t="s">
        <v>272</v>
      </c>
      <c r="K71" t="s">
        <v>273</v>
      </c>
      <c r="L71">
        <v>1368</v>
      </c>
      <c r="N71">
        <v>1011</v>
      </c>
      <c r="O71" t="s">
        <v>253</v>
      </c>
      <c r="P71" t="s">
        <v>253</v>
      </c>
      <c r="Q71">
        <v>1</v>
      </c>
      <c r="X71">
        <v>0.28000000000000003</v>
      </c>
      <c r="Y71">
        <v>0</v>
      </c>
      <c r="Z71">
        <v>27.58</v>
      </c>
      <c r="AA71">
        <v>12.08</v>
      </c>
      <c r="AB71">
        <v>0</v>
      </c>
      <c r="AC71">
        <v>0</v>
      </c>
      <c r="AD71">
        <v>1</v>
      </c>
      <c r="AE71">
        <v>0</v>
      </c>
      <c r="AF71" t="s">
        <v>3</v>
      </c>
      <c r="AG71">
        <v>0.28000000000000003</v>
      </c>
      <c r="AH71">
        <v>2</v>
      </c>
      <c r="AI71">
        <v>41858133</v>
      </c>
      <c r="AJ71">
        <v>80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>
      <c r="A72">
        <f>ROW(Source!A177)</f>
        <v>177</v>
      </c>
      <c r="B72">
        <v>41858139</v>
      </c>
      <c r="C72">
        <v>41858131</v>
      </c>
      <c r="D72">
        <v>38799061</v>
      </c>
      <c r="E72">
        <v>1</v>
      </c>
      <c r="F72">
        <v>1</v>
      </c>
      <c r="G72">
        <v>27</v>
      </c>
      <c r="H72">
        <v>2</v>
      </c>
      <c r="I72" t="s">
        <v>274</v>
      </c>
      <c r="J72" t="s">
        <v>275</v>
      </c>
      <c r="K72" t="s">
        <v>276</v>
      </c>
      <c r="L72">
        <v>1368</v>
      </c>
      <c r="N72">
        <v>1011</v>
      </c>
      <c r="O72" t="s">
        <v>253</v>
      </c>
      <c r="P72" t="s">
        <v>253</v>
      </c>
      <c r="Q72">
        <v>1</v>
      </c>
      <c r="X72">
        <v>0.28000000000000003</v>
      </c>
      <c r="Y72">
        <v>0</v>
      </c>
      <c r="Z72">
        <v>991.89</v>
      </c>
      <c r="AA72">
        <v>360.79</v>
      </c>
      <c r="AB72">
        <v>0</v>
      </c>
      <c r="AC72">
        <v>0</v>
      </c>
      <c r="AD72">
        <v>1</v>
      </c>
      <c r="AE72">
        <v>0</v>
      </c>
      <c r="AF72" t="s">
        <v>3</v>
      </c>
      <c r="AG72">
        <v>0.28000000000000003</v>
      </c>
      <c r="AH72">
        <v>2</v>
      </c>
      <c r="AI72">
        <v>41858134</v>
      </c>
      <c r="AJ72">
        <v>81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>
      <c r="A73">
        <f>ROW(Source!A177)</f>
        <v>177</v>
      </c>
      <c r="B73">
        <v>41858140</v>
      </c>
      <c r="C73">
        <v>41858131</v>
      </c>
      <c r="D73">
        <v>38803649</v>
      </c>
      <c r="E73">
        <v>1</v>
      </c>
      <c r="F73">
        <v>1</v>
      </c>
      <c r="G73">
        <v>27</v>
      </c>
      <c r="H73">
        <v>3</v>
      </c>
      <c r="I73" t="s">
        <v>277</v>
      </c>
      <c r="J73" t="s">
        <v>278</v>
      </c>
      <c r="K73" t="s">
        <v>279</v>
      </c>
      <c r="L73">
        <v>1339</v>
      </c>
      <c r="N73">
        <v>1007</v>
      </c>
      <c r="O73" t="s">
        <v>257</v>
      </c>
      <c r="P73" t="s">
        <v>257</v>
      </c>
      <c r="Q73">
        <v>1</v>
      </c>
      <c r="X73">
        <v>1.08</v>
      </c>
      <c r="Y73">
        <v>810.33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 t="s">
        <v>3</v>
      </c>
      <c r="AG73">
        <v>1.08</v>
      </c>
      <c r="AH73">
        <v>2</v>
      </c>
      <c r="AI73">
        <v>41858135</v>
      </c>
      <c r="AJ73">
        <v>82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>
      <c r="A74">
        <f>ROW(Source!A177)</f>
        <v>177</v>
      </c>
      <c r="B74">
        <v>41858141</v>
      </c>
      <c r="C74">
        <v>41858131</v>
      </c>
      <c r="D74">
        <v>38803640</v>
      </c>
      <c r="E74">
        <v>1</v>
      </c>
      <c r="F74">
        <v>1</v>
      </c>
      <c r="G74">
        <v>27</v>
      </c>
      <c r="H74">
        <v>3</v>
      </c>
      <c r="I74" t="s">
        <v>254</v>
      </c>
      <c r="J74" t="s">
        <v>280</v>
      </c>
      <c r="K74" t="s">
        <v>256</v>
      </c>
      <c r="L74">
        <v>1339</v>
      </c>
      <c r="N74">
        <v>1007</v>
      </c>
      <c r="O74" t="s">
        <v>257</v>
      </c>
      <c r="P74" t="s">
        <v>257</v>
      </c>
      <c r="Q74">
        <v>1</v>
      </c>
      <c r="X74">
        <v>3.23</v>
      </c>
      <c r="Y74">
        <v>753.67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 t="s">
        <v>3</v>
      </c>
      <c r="AG74">
        <v>3.23</v>
      </c>
      <c r="AH74">
        <v>2</v>
      </c>
      <c r="AI74">
        <v>41858136</v>
      </c>
      <c r="AJ74">
        <v>83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>
      <c r="A75">
        <f>ROW(Source!A178)</f>
        <v>178</v>
      </c>
      <c r="B75">
        <v>41858144</v>
      </c>
      <c r="C75">
        <v>41858142</v>
      </c>
      <c r="D75">
        <v>38799032</v>
      </c>
      <c r="E75">
        <v>1</v>
      </c>
      <c r="F75">
        <v>1</v>
      </c>
      <c r="G75">
        <v>27</v>
      </c>
      <c r="H75">
        <v>2</v>
      </c>
      <c r="I75" t="s">
        <v>281</v>
      </c>
      <c r="J75" t="s">
        <v>282</v>
      </c>
      <c r="K75" t="s">
        <v>283</v>
      </c>
      <c r="L75">
        <v>1368</v>
      </c>
      <c r="N75">
        <v>1011</v>
      </c>
      <c r="O75" t="s">
        <v>253</v>
      </c>
      <c r="P75" t="s">
        <v>253</v>
      </c>
      <c r="Q75">
        <v>1</v>
      </c>
      <c r="X75">
        <v>0.31</v>
      </c>
      <c r="Y75">
        <v>0</v>
      </c>
      <c r="Z75">
        <v>956.79</v>
      </c>
      <c r="AA75">
        <v>359.44</v>
      </c>
      <c r="AB75">
        <v>0</v>
      </c>
      <c r="AC75">
        <v>0</v>
      </c>
      <c r="AD75">
        <v>1</v>
      </c>
      <c r="AE75">
        <v>0</v>
      </c>
      <c r="AF75" t="s">
        <v>3</v>
      </c>
      <c r="AG75">
        <v>0.31</v>
      </c>
      <c r="AH75">
        <v>2</v>
      </c>
      <c r="AI75">
        <v>41858143</v>
      </c>
      <c r="AJ75">
        <v>84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>
      <c r="A76">
        <f>ROW(Source!A179)</f>
        <v>179</v>
      </c>
      <c r="B76">
        <v>41858147</v>
      </c>
      <c r="C76">
        <v>41858145</v>
      </c>
      <c r="D76">
        <v>38786840</v>
      </c>
      <c r="E76">
        <v>27</v>
      </c>
      <c r="F76">
        <v>1</v>
      </c>
      <c r="G76">
        <v>27</v>
      </c>
      <c r="H76">
        <v>1</v>
      </c>
      <c r="I76" t="s">
        <v>247</v>
      </c>
      <c r="J76" t="s">
        <v>3</v>
      </c>
      <c r="K76" t="s">
        <v>248</v>
      </c>
      <c r="L76">
        <v>1191</v>
      </c>
      <c r="N76">
        <v>1013</v>
      </c>
      <c r="O76" t="s">
        <v>249</v>
      </c>
      <c r="P76" t="s">
        <v>249</v>
      </c>
      <c r="Q76">
        <v>1</v>
      </c>
      <c r="X76">
        <v>11.73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1</v>
      </c>
      <c r="AF76" t="s">
        <v>3</v>
      </c>
      <c r="AG76">
        <v>11.73</v>
      </c>
      <c r="AH76">
        <v>2</v>
      </c>
      <c r="AI76">
        <v>41858146</v>
      </c>
      <c r="AJ76">
        <v>85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>
      <c r="A77">
        <f>ROW(Source!A180)</f>
        <v>180</v>
      </c>
      <c r="B77">
        <v>41858159</v>
      </c>
      <c r="C77">
        <v>41858148</v>
      </c>
      <c r="D77">
        <v>38786840</v>
      </c>
      <c r="E77">
        <v>27</v>
      </c>
      <c r="F77">
        <v>1</v>
      </c>
      <c r="G77">
        <v>27</v>
      </c>
      <c r="H77">
        <v>1</v>
      </c>
      <c r="I77" t="s">
        <v>247</v>
      </c>
      <c r="J77" t="s">
        <v>3</v>
      </c>
      <c r="K77" t="s">
        <v>248</v>
      </c>
      <c r="L77">
        <v>1191</v>
      </c>
      <c r="N77">
        <v>1013</v>
      </c>
      <c r="O77" t="s">
        <v>249</v>
      </c>
      <c r="P77" t="s">
        <v>249</v>
      </c>
      <c r="Q77">
        <v>1</v>
      </c>
      <c r="X77">
        <v>14.42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1</v>
      </c>
      <c r="AF77" t="s">
        <v>3</v>
      </c>
      <c r="AG77">
        <v>14.42</v>
      </c>
      <c r="AH77">
        <v>2</v>
      </c>
      <c r="AI77">
        <v>41858150</v>
      </c>
      <c r="AJ77">
        <v>86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>
      <c r="A78">
        <f>ROW(Source!A180)</f>
        <v>180</v>
      </c>
      <c r="B78">
        <v>41858160</v>
      </c>
      <c r="C78">
        <v>41858148</v>
      </c>
      <c r="D78">
        <v>38799213</v>
      </c>
      <c r="E78">
        <v>1</v>
      </c>
      <c r="F78">
        <v>1</v>
      </c>
      <c r="G78">
        <v>27</v>
      </c>
      <c r="H78">
        <v>2</v>
      </c>
      <c r="I78" t="s">
        <v>284</v>
      </c>
      <c r="J78" t="s">
        <v>285</v>
      </c>
      <c r="K78" t="s">
        <v>286</v>
      </c>
      <c r="L78">
        <v>1368</v>
      </c>
      <c r="N78">
        <v>1011</v>
      </c>
      <c r="O78" t="s">
        <v>253</v>
      </c>
      <c r="P78" t="s">
        <v>253</v>
      </c>
      <c r="Q78">
        <v>1</v>
      </c>
      <c r="X78">
        <v>0.66</v>
      </c>
      <c r="Y78">
        <v>0</v>
      </c>
      <c r="Z78">
        <v>2020.59</v>
      </c>
      <c r="AA78">
        <v>458.56</v>
      </c>
      <c r="AB78">
        <v>0</v>
      </c>
      <c r="AC78">
        <v>0</v>
      </c>
      <c r="AD78">
        <v>1</v>
      </c>
      <c r="AE78">
        <v>0</v>
      </c>
      <c r="AF78" t="s">
        <v>3</v>
      </c>
      <c r="AG78">
        <v>0.66</v>
      </c>
      <c r="AH78">
        <v>2</v>
      </c>
      <c r="AI78">
        <v>41858151</v>
      </c>
      <c r="AJ78">
        <v>87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>
      <c r="A79">
        <f>ROW(Source!A180)</f>
        <v>180</v>
      </c>
      <c r="B79">
        <v>41858161</v>
      </c>
      <c r="C79">
        <v>41858148</v>
      </c>
      <c r="D79">
        <v>38801734</v>
      </c>
      <c r="E79">
        <v>1</v>
      </c>
      <c r="F79">
        <v>1</v>
      </c>
      <c r="G79">
        <v>27</v>
      </c>
      <c r="H79">
        <v>3</v>
      </c>
      <c r="I79" t="s">
        <v>288</v>
      </c>
      <c r="J79" t="s">
        <v>289</v>
      </c>
      <c r="K79" t="s">
        <v>290</v>
      </c>
      <c r="L79">
        <v>1327</v>
      </c>
      <c r="N79">
        <v>1005</v>
      </c>
      <c r="O79" t="s">
        <v>291</v>
      </c>
      <c r="P79" t="s">
        <v>291</v>
      </c>
      <c r="Q79">
        <v>1</v>
      </c>
      <c r="X79">
        <v>1.5</v>
      </c>
      <c r="Y79">
        <v>91.89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 t="s">
        <v>3</v>
      </c>
      <c r="AG79">
        <v>1.5</v>
      </c>
      <c r="AH79">
        <v>2</v>
      </c>
      <c r="AI79">
        <v>41858152</v>
      </c>
      <c r="AJ79">
        <v>88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>
      <c r="A80">
        <f>ROW(Source!A180)</f>
        <v>180</v>
      </c>
      <c r="B80">
        <v>41858162</v>
      </c>
      <c r="C80">
        <v>41858148</v>
      </c>
      <c r="D80">
        <v>38801771</v>
      </c>
      <c r="E80">
        <v>1</v>
      </c>
      <c r="F80">
        <v>1</v>
      </c>
      <c r="G80">
        <v>27</v>
      </c>
      <c r="H80">
        <v>3</v>
      </c>
      <c r="I80" t="s">
        <v>258</v>
      </c>
      <c r="J80" t="s">
        <v>259</v>
      </c>
      <c r="K80" t="s">
        <v>260</v>
      </c>
      <c r="L80">
        <v>1346</v>
      </c>
      <c r="N80">
        <v>1009</v>
      </c>
      <c r="O80" t="s">
        <v>261</v>
      </c>
      <c r="P80" t="s">
        <v>261</v>
      </c>
      <c r="Q80">
        <v>1</v>
      </c>
      <c r="X80">
        <v>0.3</v>
      </c>
      <c r="Y80">
        <v>171.21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 t="s">
        <v>3</v>
      </c>
      <c r="AG80">
        <v>0.3</v>
      </c>
      <c r="AH80">
        <v>2</v>
      </c>
      <c r="AI80">
        <v>41858153</v>
      </c>
      <c r="AJ80">
        <v>89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>
      <c r="A81">
        <f>ROW(Source!A180)</f>
        <v>180</v>
      </c>
      <c r="B81">
        <v>41858163</v>
      </c>
      <c r="C81">
        <v>41858148</v>
      </c>
      <c r="D81">
        <v>38801911</v>
      </c>
      <c r="E81">
        <v>1</v>
      </c>
      <c r="F81">
        <v>1</v>
      </c>
      <c r="G81">
        <v>27</v>
      </c>
      <c r="H81">
        <v>3</v>
      </c>
      <c r="I81" t="s">
        <v>262</v>
      </c>
      <c r="J81" t="s">
        <v>263</v>
      </c>
      <c r="K81" t="s">
        <v>264</v>
      </c>
      <c r="L81">
        <v>1339</v>
      </c>
      <c r="N81">
        <v>1007</v>
      </c>
      <c r="O81" t="s">
        <v>257</v>
      </c>
      <c r="P81" t="s">
        <v>257</v>
      </c>
      <c r="Q81">
        <v>1</v>
      </c>
      <c r="X81">
        <v>2.2000000000000002</v>
      </c>
      <c r="Y81">
        <v>35.25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 t="s">
        <v>3</v>
      </c>
      <c r="AG81">
        <v>2.2000000000000002</v>
      </c>
      <c r="AH81">
        <v>2</v>
      </c>
      <c r="AI81">
        <v>41858154</v>
      </c>
      <c r="AJ81">
        <v>90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>
      <c r="A82">
        <f>ROW(Source!A180)</f>
        <v>180</v>
      </c>
      <c r="B82">
        <v>41858164</v>
      </c>
      <c r="C82">
        <v>41858148</v>
      </c>
      <c r="D82">
        <v>38803641</v>
      </c>
      <c r="E82">
        <v>1</v>
      </c>
      <c r="F82">
        <v>1</v>
      </c>
      <c r="G82">
        <v>27</v>
      </c>
      <c r="H82">
        <v>3</v>
      </c>
      <c r="I82" t="s">
        <v>292</v>
      </c>
      <c r="J82" t="s">
        <v>293</v>
      </c>
      <c r="K82" t="s">
        <v>294</v>
      </c>
      <c r="L82">
        <v>1339</v>
      </c>
      <c r="N82">
        <v>1007</v>
      </c>
      <c r="O82" t="s">
        <v>257</v>
      </c>
      <c r="P82" t="s">
        <v>257</v>
      </c>
      <c r="Q82">
        <v>1</v>
      </c>
      <c r="X82">
        <v>0.15840000000000001</v>
      </c>
      <c r="Y82">
        <v>3467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 t="s">
        <v>3</v>
      </c>
      <c r="AG82">
        <v>0.15840000000000001</v>
      </c>
      <c r="AH82">
        <v>2</v>
      </c>
      <c r="AI82">
        <v>41858155</v>
      </c>
      <c r="AJ82">
        <v>91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>
      <c r="A83">
        <f>ROW(Source!A180)</f>
        <v>180</v>
      </c>
      <c r="B83">
        <v>41858165</v>
      </c>
      <c r="C83">
        <v>41858148</v>
      </c>
      <c r="D83">
        <v>38786919</v>
      </c>
      <c r="E83">
        <v>27</v>
      </c>
      <c r="F83">
        <v>1</v>
      </c>
      <c r="G83">
        <v>27</v>
      </c>
      <c r="H83">
        <v>3</v>
      </c>
      <c r="I83" t="s">
        <v>332</v>
      </c>
      <c r="J83" t="s">
        <v>3</v>
      </c>
      <c r="K83" t="s">
        <v>333</v>
      </c>
      <c r="L83">
        <v>1354</v>
      </c>
      <c r="N83">
        <v>1010</v>
      </c>
      <c r="O83" t="s">
        <v>50</v>
      </c>
      <c r="P83" t="s">
        <v>50</v>
      </c>
      <c r="Q83">
        <v>1</v>
      </c>
      <c r="X83">
        <v>10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t="s">
        <v>3</v>
      </c>
      <c r="AG83">
        <v>10</v>
      </c>
      <c r="AH83">
        <v>3</v>
      </c>
      <c r="AI83">
        <v>-1</v>
      </c>
      <c r="AJ83" t="s">
        <v>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>
      <c r="A84">
        <f>ROW(Source!A222)</f>
        <v>222</v>
      </c>
      <c r="B84">
        <v>41858173</v>
      </c>
      <c r="C84">
        <v>41858170</v>
      </c>
      <c r="D84">
        <v>38786840</v>
      </c>
      <c r="E84">
        <v>27</v>
      </c>
      <c r="F84">
        <v>1</v>
      </c>
      <c r="G84">
        <v>27</v>
      </c>
      <c r="H84">
        <v>1</v>
      </c>
      <c r="I84" t="s">
        <v>247</v>
      </c>
      <c r="J84" t="s">
        <v>3</v>
      </c>
      <c r="K84" t="s">
        <v>248</v>
      </c>
      <c r="L84">
        <v>1191</v>
      </c>
      <c r="N84">
        <v>1013</v>
      </c>
      <c r="O84" t="s">
        <v>249</v>
      </c>
      <c r="P84" t="s">
        <v>249</v>
      </c>
      <c r="Q84">
        <v>1</v>
      </c>
      <c r="X84">
        <v>1.96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1</v>
      </c>
      <c r="AF84" t="s">
        <v>3</v>
      </c>
      <c r="AG84">
        <v>1.96</v>
      </c>
      <c r="AH84">
        <v>2</v>
      </c>
      <c r="AI84">
        <v>41858171</v>
      </c>
      <c r="AJ84">
        <v>96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>
      <c r="A85">
        <f>ROW(Source!A222)</f>
        <v>222</v>
      </c>
      <c r="B85">
        <v>41858174</v>
      </c>
      <c r="C85">
        <v>41858170</v>
      </c>
      <c r="D85">
        <v>38803651</v>
      </c>
      <c r="E85">
        <v>1</v>
      </c>
      <c r="F85">
        <v>1</v>
      </c>
      <c r="G85">
        <v>27</v>
      </c>
      <c r="H85">
        <v>3</v>
      </c>
      <c r="I85" t="s">
        <v>295</v>
      </c>
      <c r="J85" t="s">
        <v>296</v>
      </c>
      <c r="K85" t="s">
        <v>297</v>
      </c>
      <c r="L85">
        <v>1346</v>
      </c>
      <c r="N85">
        <v>1009</v>
      </c>
      <c r="O85" t="s">
        <v>261</v>
      </c>
      <c r="P85" t="s">
        <v>261</v>
      </c>
      <c r="Q85">
        <v>1</v>
      </c>
      <c r="X85">
        <v>120</v>
      </c>
      <c r="Y85">
        <v>43.69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 t="s">
        <v>3</v>
      </c>
      <c r="AG85">
        <v>120</v>
      </c>
      <c r="AH85">
        <v>2</v>
      </c>
      <c r="AI85">
        <v>41858172</v>
      </c>
      <c r="AJ85">
        <v>97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>
      <c r="A86">
        <f>ROW(Source!A223)</f>
        <v>223</v>
      </c>
      <c r="B86">
        <v>41858178</v>
      </c>
      <c r="C86">
        <v>41858175</v>
      </c>
      <c r="D86">
        <v>38786840</v>
      </c>
      <c r="E86">
        <v>27</v>
      </c>
      <c r="F86">
        <v>1</v>
      </c>
      <c r="G86">
        <v>27</v>
      </c>
      <c r="H86">
        <v>1</v>
      </c>
      <c r="I86" t="s">
        <v>247</v>
      </c>
      <c r="J86" t="s">
        <v>3</v>
      </c>
      <c r="K86" t="s">
        <v>248</v>
      </c>
      <c r="L86">
        <v>1191</v>
      </c>
      <c r="N86">
        <v>1013</v>
      </c>
      <c r="O86" t="s">
        <v>249</v>
      </c>
      <c r="P86" t="s">
        <v>249</v>
      </c>
      <c r="Q86">
        <v>1</v>
      </c>
      <c r="X86">
        <v>0.85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1</v>
      </c>
      <c r="AF86" t="s">
        <v>221</v>
      </c>
      <c r="AG86">
        <v>2.5499999999999998</v>
      </c>
      <c r="AH86">
        <v>2</v>
      </c>
      <c r="AI86">
        <v>41858176</v>
      </c>
      <c r="AJ86">
        <v>98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>
      <c r="A87">
        <f>ROW(Source!A223)</f>
        <v>223</v>
      </c>
      <c r="B87">
        <v>41858179</v>
      </c>
      <c r="C87">
        <v>41858175</v>
      </c>
      <c r="D87">
        <v>38803651</v>
      </c>
      <c r="E87">
        <v>1</v>
      </c>
      <c r="F87">
        <v>1</v>
      </c>
      <c r="G87">
        <v>27</v>
      </c>
      <c r="H87">
        <v>3</v>
      </c>
      <c r="I87" t="s">
        <v>295</v>
      </c>
      <c r="J87" t="s">
        <v>296</v>
      </c>
      <c r="K87" t="s">
        <v>297</v>
      </c>
      <c r="L87">
        <v>1346</v>
      </c>
      <c r="N87">
        <v>1009</v>
      </c>
      <c r="O87" t="s">
        <v>261</v>
      </c>
      <c r="P87" t="s">
        <v>261</v>
      </c>
      <c r="Q87">
        <v>1</v>
      </c>
      <c r="X87">
        <v>60</v>
      </c>
      <c r="Y87">
        <v>43.69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 t="s">
        <v>221</v>
      </c>
      <c r="AG87">
        <v>180</v>
      </c>
      <c r="AH87">
        <v>2</v>
      </c>
      <c r="AI87">
        <v>41858177</v>
      </c>
      <c r="AJ87">
        <v>99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>
      <c r="A88">
        <f>ROW(Source!A224)</f>
        <v>224</v>
      </c>
      <c r="B88">
        <v>41858192</v>
      </c>
      <c r="C88">
        <v>41858180</v>
      </c>
      <c r="D88">
        <v>38786840</v>
      </c>
      <c r="E88">
        <v>27</v>
      </c>
      <c r="F88">
        <v>1</v>
      </c>
      <c r="G88">
        <v>27</v>
      </c>
      <c r="H88">
        <v>1</v>
      </c>
      <c r="I88" t="s">
        <v>247</v>
      </c>
      <c r="J88" t="s">
        <v>3</v>
      </c>
      <c r="K88" t="s">
        <v>248</v>
      </c>
      <c r="L88">
        <v>1191</v>
      </c>
      <c r="N88">
        <v>1013</v>
      </c>
      <c r="O88" t="s">
        <v>249</v>
      </c>
      <c r="P88" t="s">
        <v>249</v>
      </c>
      <c r="Q88">
        <v>1</v>
      </c>
      <c r="X88">
        <v>124.37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 t="s">
        <v>3</v>
      </c>
      <c r="AG88">
        <v>124.37</v>
      </c>
      <c r="AH88">
        <v>2</v>
      </c>
      <c r="AI88">
        <v>41858181</v>
      </c>
      <c r="AJ88">
        <v>100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>
      <c r="A89">
        <f>ROW(Source!A224)</f>
        <v>224</v>
      </c>
      <c r="B89">
        <v>41858193</v>
      </c>
      <c r="C89">
        <v>41858180</v>
      </c>
      <c r="D89">
        <v>38799817</v>
      </c>
      <c r="E89">
        <v>1</v>
      </c>
      <c r="F89">
        <v>1</v>
      </c>
      <c r="G89">
        <v>27</v>
      </c>
      <c r="H89">
        <v>2</v>
      </c>
      <c r="I89" t="s">
        <v>298</v>
      </c>
      <c r="J89" t="s">
        <v>299</v>
      </c>
      <c r="K89" t="s">
        <v>300</v>
      </c>
      <c r="L89">
        <v>1368</v>
      </c>
      <c r="N89">
        <v>1011</v>
      </c>
      <c r="O89" t="s">
        <v>253</v>
      </c>
      <c r="P89" t="s">
        <v>253</v>
      </c>
      <c r="Q89">
        <v>1</v>
      </c>
      <c r="X89">
        <v>1.1000000000000001</v>
      </c>
      <c r="Y89">
        <v>0</v>
      </c>
      <c r="Z89">
        <v>641.88</v>
      </c>
      <c r="AA89">
        <v>413.66</v>
      </c>
      <c r="AB89">
        <v>0</v>
      </c>
      <c r="AC89">
        <v>0</v>
      </c>
      <c r="AD89">
        <v>1</v>
      </c>
      <c r="AE89">
        <v>0</v>
      </c>
      <c r="AF89" t="s">
        <v>3</v>
      </c>
      <c r="AG89">
        <v>1.1000000000000001</v>
      </c>
      <c r="AH89">
        <v>2</v>
      </c>
      <c r="AI89">
        <v>41858182</v>
      </c>
      <c r="AJ89">
        <v>101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>
      <c r="A90">
        <f>ROW(Source!A224)</f>
        <v>224</v>
      </c>
      <c r="B90">
        <v>41858194</v>
      </c>
      <c r="C90">
        <v>41858180</v>
      </c>
      <c r="D90">
        <v>38799852</v>
      </c>
      <c r="E90">
        <v>1</v>
      </c>
      <c r="F90">
        <v>1</v>
      </c>
      <c r="G90">
        <v>27</v>
      </c>
      <c r="H90">
        <v>2</v>
      </c>
      <c r="I90" t="s">
        <v>301</v>
      </c>
      <c r="J90" t="s">
        <v>302</v>
      </c>
      <c r="K90" t="s">
        <v>303</v>
      </c>
      <c r="L90">
        <v>1368</v>
      </c>
      <c r="N90">
        <v>1011</v>
      </c>
      <c r="O90" t="s">
        <v>253</v>
      </c>
      <c r="P90" t="s">
        <v>253</v>
      </c>
      <c r="Q90">
        <v>1</v>
      </c>
      <c r="X90">
        <v>7.12</v>
      </c>
      <c r="Y90">
        <v>0</v>
      </c>
      <c r="Z90">
        <v>7.97</v>
      </c>
      <c r="AA90">
        <v>1.87</v>
      </c>
      <c r="AB90">
        <v>0</v>
      </c>
      <c r="AC90">
        <v>0</v>
      </c>
      <c r="AD90">
        <v>1</v>
      </c>
      <c r="AE90">
        <v>0</v>
      </c>
      <c r="AF90" t="s">
        <v>3</v>
      </c>
      <c r="AG90">
        <v>7.12</v>
      </c>
      <c r="AH90">
        <v>2</v>
      </c>
      <c r="AI90">
        <v>41858183</v>
      </c>
      <c r="AJ90">
        <v>102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>
      <c r="A91">
        <f>ROW(Source!A224)</f>
        <v>224</v>
      </c>
      <c r="B91">
        <v>41858195</v>
      </c>
      <c r="C91">
        <v>41858180</v>
      </c>
      <c r="D91">
        <v>38800826</v>
      </c>
      <c r="E91">
        <v>1</v>
      </c>
      <c r="F91">
        <v>1</v>
      </c>
      <c r="G91">
        <v>27</v>
      </c>
      <c r="H91">
        <v>3</v>
      </c>
      <c r="I91" t="s">
        <v>304</v>
      </c>
      <c r="J91" t="s">
        <v>305</v>
      </c>
      <c r="K91" t="s">
        <v>306</v>
      </c>
      <c r="L91">
        <v>1348</v>
      </c>
      <c r="N91">
        <v>1009</v>
      </c>
      <c r="O91" t="s">
        <v>307</v>
      </c>
      <c r="P91" t="s">
        <v>307</v>
      </c>
      <c r="Q91">
        <v>1000</v>
      </c>
      <c r="X91">
        <v>0.11</v>
      </c>
      <c r="Y91">
        <v>53313.54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 t="s">
        <v>3</v>
      </c>
      <c r="AG91">
        <v>0.11</v>
      </c>
      <c r="AH91">
        <v>2</v>
      </c>
      <c r="AI91">
        <v>41858184</v>
      </c>
      <c r="AJ91">
        <v>103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>
      <c r="A92">
        <f>ROW(Source!A224)</f>
        <v>224</v>
      </c>
      <c r="B92">
        <v>41858196</v>
      </c>
      <c r="C92">
        <v>41858180</v>
      </c>
      <c r="D92">
        <v>38801166</v>
      </c>
      <c r="E92">
        <v>1</v>
      </c>
      <c r="F92">
        <v>1</v>
      </c>
      <c r="G92">
        <v>27</v>
      </c>
      <c r="H92">
        <v>3</v>
      </c>
      <c r="I92" t="s">
        <v>308</v>
      </c>
      <c r="J92" t="s">
        <v>309</v>
      </c>
      <c r="K92" t="s">
        <v>310</v>
      </c>
      <c r="L92">
        <v>1339</v>
      </c>
      <c r="N92">
        <v>1007</v>
      </c>
      <c r="O92" t="s">
        <v>257</v>
      </c>
      <c r="P92" t="s">
        <v>257</v>
      </c>
      <c r="Q92">
        <v>1</v>
      </c>
      <c r="X92">
        <v>3.4</v>
      </c>
      <c r="Y92">
        <v>590.78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 t="s">
        <v>3</v>
      </c>
      <c r="AG92">
        <v>3.4</v>
      </c>
      <c r="AH92">
        <v>2</v>
      </c>
      <c r="AI92">
        <v>41858185</v>
      </c>
      <c r="AJ92">
        <v>104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>
      <c r="A93">
        <f>ROW(Source!A224)</f>
        <v>224</v>
      </c>
      <c r="B93">
        <v>41858197</v>
      </c>
      <c r="C93">
        <v>41858180</v>
      </c>
      <c r="D93">
        <v>38801184</v>
      </c>
      <c r="E93">
        <v>1</v>
      </c>
      <c r="F93">
        <v>1</v>
      </c>
      <c r="G93">
        <v>27</v>
      </c>
      <c r="H93">
        <v>3</v>
      </c>
      <c r="I93" t="s">
        <v>311</v>
      </c>
      <c r="J93" t="s">
        <v>312</v>
      </c>
      <c r="K93" t="s">
        <v>313</v>
      </c>
      <c r="L93">
        <v>1339</v>
      </c>
      <c r="N93">
        <v>1007</v>
      </c>
      <c r="O93" t="s">
        <v>257</v>
      </c>
      <c r="P93" t="s">
        <v>257</v>
      </c>
      <c r="Q93">
        <v>1</v>
      </c>
      <c r="X93">
        <v>3.4</v>
      </c>
      <c r="Y93">
        <v>1436.5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 t="s">
        <v>3</v>
      </c>
      <c r="AG93">
        <v>3.4</v>
      </c>
      <c r="AH93">
        <v>2</v>
      </c>
      <c r="AI93">
        <v>41858186</v>
      </c>
      <c r="AJ93">
        <v>105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>
      <c r="A94">
        <f>ROW(Source!A224)</f>
        <v>224</v>
      </c>
      <c r="B94">
        <v>41858198</v>
      </c>
      <c r="C94">
        <v>41858180</v>
      </c>
      <c r="D94">
        <v>38801216</v>
      </c>
      <c r="E94">
        <v>1</v>
      </c>
      <c r="F94">
        <v>1</v>
      </c>
      <c r="G94">
        <v>27</v>
      </c>
      <c r="H94">
        <v>3</v>
      </c>
      <c r="I94" t="s">
        <v>314</v>
      </c>
      <c r="J94" t="s">
        <v>315</v>
      </c>
      <c r="K94" t="s">
        <v>316</v>
      </c>
      <c r="L94">
        <v>1348</v>
      </c>
      <c r="N94">
        <v>1009</v>
      </c>
      <c r="O94" t="s">
        <v>307</v>
      </c>
      <c r="P94" t="s">
        <v>307</v>
      </c>
      <c r="Q94">
        <v>1000</v>
      </c>
      <c r="X94">
        <v>1.46</v>
      </c>
      <c r="Y94">
        <v>9548.1200000000008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 t="s">
        <v>3</v>
      </c>
      <c r="AG94">
        <v>1.46</v>
      </c>
      <c r="AH94">
        <v>2</v>
      </c>
      <c r="AI94">
        <v>41858187</v>
      </c>
      <c r="AJ94">
        <v>106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>
      <c r="A95">
        <f>ROW(Source!A224)</f>
        <v>224</v>
      </c>
      <c r="B95">
        <v>41858199</v>
      </c>
      <c r="C95">
        <v>41858180</v>
      </c>
      <c r="D95">
        <v>38801217</v>
      </c>
      <c r="E95">
        <v>1</v>
      </c>
      <c r="F95">
        <v>1</v>
      </c>
      <c r="G95">
        <v>27</v>
      </c>
      <c r="H95">
        <v>3</v>
      </c>
      <c r="I95" t="s">
        <v>317</v>
      </c>
      <c r="J95" t="s">
        <v>318</v>
      </c>
      <c r="K95" t="s">
        <v>319</v>
      </c>
      <c r="L95">
        <v>1327</v>
      </c>
      <c r="N95">
        <v>1005</v>
      </c>
      <c r="O95" t="s">
        <v>291</v>
      </c>
      <c r="P95" t="s">
        <v>291</v>
      </c>
      <c r="Q95">
        <v>1</v>
      </c>
      <c r="X95">
        <v>10</v>
      </c>
      <c r="Y95">
        <v>4659.1099999999997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 t="s">
        <v>3</v>
      </c>
      <c r="AG95">
        <v>10</v>
      </c>
      <c r="AH95">
        <v>2</v>
      </c>
      <c r="AI95">
        <v>41858188</v>
      </c>
      <c r="AJ95">
        <v>107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>
      <c r="A96">
        <f>ROW(Source!A224)</f>
        <v>224</v>
      </c>
      <c r="B96">
        <v>41858200</v>
      </c>
      <c r="C96">
        <v>41858180</v>
      </c>
      <c r="D96">
        <v>38800114</v>
      </c>
      <c r="E96">
        <v>1</v>
      </c>
      <c r="F96">
        <v>1</v>
      </c>
      <c r="G96">
        <v>27</v>
      </c>
      <c r="H96">
        <v>3</v>
      </c>
      <c r="I96" t="s">
        <v>320</v>
      </c>
      <c r="J96" t="s">
        <v>321</v>
      </c>
      <c r="K96" t="s">
        <v>322</v>
      </c>
      <c r="L96">
        <v>1348</v>
      </c>
      <c r="N96">
        <v>1009</v>
      </c>
      <c r="O96" t="s">
        <v>307</v>
      </c>
      <c r="P96" t="s">
        <v>307</v>
      </c>
      <c r="Q96">
        <v>1000</v>
      </c>
      <c r="X96">
        <v>1.3</v>
      </c>
      <c r="Y96">
        <v>4207.5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 t="s">
        <v>3</v>
      </c>
      <c r="AG96">
        <v>1.3</v>
      </c>
      <c r="AH96">
        <v>2</v>
      </c>
      <c r="AI96">
        <v>41858189</v>
      </c>
      <c r="AJ96">
        <v>108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>
      <c r="A97">
        <f>ROW(Source!A224)</f>
        <v>224</v>
      </c>
      <c r="B97">
        <v>41858201</v>
      </c>
      <c r="C97">
        <v>41858180</v>
      </c>
      <c r="D97">
        <v>38801911</v>
      </c>
      <c r="E97">
        <v>1</v>
      </c>
      <c r="F97">
        <v>1</v>
      </c>
      <c r="G97">
        <v>27</v>
      </c>
      <c r="H97">
        <v>3</v>
      </c>
      <c r="I97" t="s">
        <v>262</v>
      </c>
      <c r="J97" t="s">
        <v>263</v>
      </c>
      <c r="K97" t="s">
        <v>264</v>
      </c>
      <c r="L97">
        <v>1339</v>
      </c>
      <c r="N97">
        <v>1007</v>
      </c>
      <c r="O97" t="s">
        <v>257</v>
      </c>
      <c r="P97" t="s">
        <v>257</v>
      </c>
      <c r="Q97">
        <v>1</v>
      </c>
      <c r="X97">
        <v>1</v>
      </c>
      <c r="Y97">
        <v>35.25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 t="s">
        <v>3</v>
      </c>
      <c r="AG97">
        <v>1</v>
      </c>
      <c r="AH97">
        <v>2</v>
      </c>
      <c r="AI97">
        <v>41858190</v>
      </c>
      <c r="AJ97">
        <v>109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>
      <c r="A98">
        <f>ROW(Source!A224)</f>
        <v>224</v>
      </c>
      <c r="B98">
        <v>41858202</v>
      </c>
      <c r="C98">
        <v>41858180</v>
      </c>
      <c r="D98">
        <v>38803130</v>
      </c>
      <c r="E98">
        <v>1</v>
      </c>
      <c r="F98">
        <v>1</v>
      </c>
      <c r="G98">
        <v>27</v>
      </c>
      <c r="H98">
        <v>3</v>
      </c>
      <c r="I98" t="s">
        <v>323</v>
      </c>
      <c r="J98" t="s">
        <v>324</v>
      </c>
      <c r="K98" t="s">
        <v>325</v>
      </c>
      <c r="L98">
        <v>1348</v>
      </c>
      <c r="N98">
        <v>1009</v>
      </c>
      <c r="O98" t="s">
        <v>307</v>
      </c>
      <c r="P98" t="s">
        <v>307</v>
      </c>
      <c r="Q98">
        <v>1000</v>
      </c>
      <c r="X98">
        <v>0.03</v>
      </c>
      <c r="Y98">
        <v>36434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 t="s">
        <v>3</v>
      </c>
      <c r="AG98">
        <v>0.03</v>
      </c>
      <c r="AH98">
        <v>2</v>
      </c>
      <c r="AI98">
        <v>41858191</v>
      </c>
      <c r="AJ98">
        <v>110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>
      <c r="A99">
        <f>ROW(Source!A262)</f>
        <v>262</v>
      </c>
      <c r="B99">
        <v>41858208</v>
      </c>
      <c r="C99">
        <v>41858203</v>
      </c>
      <c r="D99">
        <v>38786840</v>
      </c>
      <c r="E99">
        <v>27</v>
      </c>
      <c r="F99">
        <v>1</v>
      </c>
      <c r="G99">
        <v>27</v>
      </c>
      <c r="H99">
        <v>1</v>
      </c>
      <c r="I99" t="s">
        <v>247</v>
      </c>
      <c r="J99" t="s">
        <v>3</v>
      </c>
      <c r="K99" t="s">
        <v>248</v>
      </c>
      <c r="L99">
        <v>1191</v>
      </c>
      <c r="N99">
        <v>1013</v>
      </c>
      <c r="O99" t="s">
        <v>249</v>
      </c>
      <c r="P99" t="s">
        <v>249</v>
      </c>
      <c r="Q99">
        <v>1</v>
      </c>
      <c r="X99">
        <v>30.8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1</v>
      </c>
      <c r="AF99" t="s">
        <v>3</v>
      </c>
      <c r="AG99">
        <v>30.8</v>
      </c>
      <c r="AH99">
        <v>2</v>
      </c>
      <c r="AI99">
        <v>41858204</v>
      </c>
      <c r="AJ99">
        <v>111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>
      <c r="A100">
        <f>ROW(Source!A262)</f>
        <v>262</v>
      </c>
      <c r="B100">
        <v>41858209</v>
      </c>
      <c r="C100">
        <v>41858203</v>
      </c>
      <c r="D100">
        <v>38799611</v>
      </c>
      <c r="E100">
        <v>1</v>
      </c>
      <c r="F100">
        <v>1</v>
      </c>
      <c r="G100">
        <v>27</v>
      </c>
      <c r="H100">
        <v>2</v>
      </c>
      <c r="I100" t="s">
        <v>326</v>
      </c>
      <c r="J100" t="s">
        <v>327</v>
      </c>
      <c r="K100" t="s">
        <v>328</v>
      </c>
      <c r="L100">
        <v>1368</v>
      </c>
      <c r="N100">
        <v>1011</v>
      </c>
      <c r="O100" t="s">
        <v>253</v>
      </c>
      <c r="P100" t="s">
        <v>253</v>
      </c>
      <c r="Q100">
        <v>1</v>
      </c>
      <c r="X100">
        <v>0.06</v>
      </c>
      <c r="Y100">
        <v>0</v>
      </c>
      <c r="Z100">
        <v>20.7</v>
      </c>
      <c r="AA100">
        <v>9.74</v>
      </c>
      <c r="AB100">
        <v>0</v>
      </c>
      <c r="AC100">
        <v>0</v>
      </c>
      <c r="AD100">
        <v>1</v>
      </c>
      <c r="AE100">
        <v>0</v>
      </c>
      <c r="AF100" t="s">
        <v>3</v>
      </c>
      <c r="AG100">
        <v>0.06</v>
      </c>
      <c r="AH100">
        <v>2</v>
      </c>
      <c r="AI100">
        <v>41858205</v>
      </c>
      <c r="AJ100">
        <v>112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>
      <c r="A101">
        <f>ROW(Source!A262)</f>
        <v>262</v>
      </c>
      <c r="B101">
        <v>41858210</v>
      </c>
      <c r="C101">
        <v>41858203</v>
      </c>
      <c r="D101">
        <v>38799061</v>
      </c>
      <c r="E101">
        <v>1</v>
      </c>
      <c r="F101">
        <v>1</v>
      </c>
      <c r="G101">
        <v>27</v>
      </c>
      <c r="H101">
        <v>2</v>
      </c>
      <c r="I101" t="s">
        <v>274</v>
      </c>
      <c r="J101" t="s">
        <v>275</v>
      </c>
      <c r="K101" t="s">
        <v>276</v>
      </c>
      <c r="L101">
        <v>1368</v>
      </c>
      <c r="N101">
        <v>1011</v>
      </c>
      <c r="O101" t="s">
        <v>253</v>
      </c>
      <c r="P101" t="s">
        <v>253</v>
      </c>
      <c r="Q101">
        <v>1</v>
      </c>
      <c r="X101">
        <v>0.06</v>
      </c>
      <c r="Y101">
        <v>0</v>
      </c>
      <c r="Z101">
        <v>991.89</v>
      </c>
      <c r="AA101">
        <v>360.79</v>
      </c>
      <c r="AB101">
        <v>0</v>
      </c>
      <c r="AC101">
        <v>0</v>
      </c>
      <c r="AD101">
        <v>1</v>
      </c>
      <c r="AE101">
        <v>0</v>
      </c>
      <c r="AF101" t="s">
        <v>3</v>
      </c>
      <c r="AG101">
        <v>0.06</v>
      </c>
      <c r="AH101">
        <v>2</v>
      </c>
      <c r="AI101">
        <v>41858206</v>
      </c>
      <c r="AJ101">
        <v>113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>
      <c r="A102">
        <f>ROW(Source!A262)</f>
        <v>262</v>
      </c>
      <c r="B102">
        <v>41858211</v>
      </c>
      <c r="C102">
        <v>41858203</v>
      </c>
      <c r="D102">
        <v>38803640</v>
      </c>
      <c r="E102">
        <v>1</v>
      </c>
      <c r="F102">
        <v>1</v>
      </c>
      <c r="G102">
        <v>27</v>
      </c>
      <c r="H102">
        <v>3</v>
      </c>
      <c r="I102" t="s">
        <v>254</v>
      </c>
      <c r="J102" t="s">
        <v>280</v>
      </c>
      <c r="K102" t="s">
        <v>256</v>
      </c>
      <c r="L102">
        <v>1339</v>
      </c>
      <c r="N102">
        <v>1007</v>
      </c>
      <c r="O102" t="s">
        <v>257</v>
      </c>
      <c r="P102" t="s">
        <v>257</v>
      </c>
      <c r="Q102">
        <v>1</v>
      </c>
      <c r="X102">
        <v>15</v>
      </c>
      <c r="Y102">
        <v>753.67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 t="s">
        <v>3</v>
      </c>
      <c r="AG102">
        <v>15</v>
      </c>
      <c r="AH102">
        <v>2</v>
      </c>
      <c r="AI102">
        <v>41858207</v>
      </c>
      <c r="AJ102">
        <v>114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>
      <c r="A103">
        <f>ROW(Source!A263)</f>
        <v>263</v>
      </c>
      <c r="B103">
        <v>41858215</v>
      </c>
      <c r="C103">
        <v>41858212</v>
      </c>
      <c r="D103">
        <v>38786840</v>
      </c>
      <c r="E103">
        <v>27</v>
      </c>
      <c r="F103">
        <v>1</v>
      </c>
      <c r="G103">
        <v>27</v>
      </c>
      <c r="H103">
        <v>1</v>
      </c>
      <c r="I103" t="s">
        <v>247</v>
      </c>
      <c r="J103" t="s">
        <v>3</v>
      </c>
      <c r="K103" t="s">
        <v>248</v>
      </c>
      <c r="L103">
        <v>1191</v>
      </c>
      <c r="N103">
        <v>1013</v>
      </c>
      <c r="O103" t="s">
        <v>249</v>
      </c>
      <c r="P103" t="s">
        <v>249</v>
      </c>
      <c r="Q103">
        <v>1</v>
      </c>
      <c r="X103">
        <v>46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1</v>
      </c>
      <c r="AF103" t="s">
        <v>3</v>
      </c>
      <c r="AG103">
        <v>46</v>
      </c>
      <c r="AH103">
        <v>2</v>
      </c>
      <c r="AI103">
        <v>41858213</v>
      </c>
      <c r="AJ103">
        <v>115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>
      <c r="A104">
        <f>ROW(Source!A263)</f>
        <v>263</v>
      </c>
      <c r="B104">
        <v>41858216</v>
      </c>
      <c r="C104">
        <v>41858212</v>
      </c>
      <c r="D104">
        <v>38803640</v>
      </c>
      <c r="E104">
        <v>1</v>
      </c>
      <c r="F104">
        <v>1</v>
      </c>
      <c r="G104">
        <v>27</v>
      </c>
      <c r="H104">
        <v>3</v>
      </c>
      <c r="I104" t="s">
        <v>254</v>
      </c>
      <c r="J104" t="s">
        <v>280</v>
      </c>
      <c r="K104" t="s">
        <v>256</v>
      </c>
      <c r="L104">
        <v>1339</v>
      </c>
      <c r="N104">
        <v>1007</v>
      </c>
      <c r="O104" t="s">
        <v>257</v>
      </c>
      <c r="P104" t="s">
        <v>257</v>
      </c>
      <c r="Q104">
        <v>1</v>
      </c>
      <c r="X104">
        <v>15</v>
      </c>
      <c r="Y104">
        <v>753.67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 t="s">
        <v>3</v>
      </c>
      <c r="AG104">
        <v>15</v>
      </c>
      <c r="AH104">
        <v>2</v>
      </c>
      <c r="AI104">
        <v>41858214</v>
      </c>
      <c r="AJ104">
        <v>116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>
      <c r="A105">
        <f>ROW(Source!A264)</f>
        <v>264</v>
      </c>
      <c r="B105">
        <v>41858220</v>
      </c>
      <c r="C105">
        <v>41858217</v>
      </c>
      <c r="D105">
        <v>38786840</v>
      </c>
      <c r="E105">
        <v>27</v>
      </c>
      <c r="F105">
        <v>1</v>
      </c>
      <c r="G105">
        <v>27</v>
      </c>
      <c r="H105">
        <v>1</v>
      </c>
      <c r="I105" t="s">
        <v>247</v>
      </c>
      <c r="J105" t="s">
        <v>3</v>
      </c>
      <c r="K105" t="s">
        <v>248</v>
      </c>
      <c r="L105">
        <v>1191</v>
      </c>
      <c r="N105">
        <v>1013</v>
      </c>
      <c r="O105" t="s">
        <v>249</v>
      </c>
      <c r="P105" t="s">
        <v>249</v>
      </c>
      <c r="Q105">
        <v>1</v>
      </c>
      <c r="X105">
        <v>6.29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 t="s">
        <v>3</v>
      </c>
      <c r="AG105">
        <v>6.29</v>
      </c>
      <c r="AH105">
        <v>2</v>
      </c>
      <c r="AI105">
        <v>41858218</v>
      </c>
      <c r="AJ105">
        <v>117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>
      <c r="A106">
        <f>ROW(Source!A264)</f>
        <v>264</v>
      </c>
      <c r="B106">
        <v>41858221</v>
      </c>
      <c r="C106">
        <v>41858217</v>
      </c>
      <c r="D106">
        <v>38803640</v>
      </c>
      <c r="E106">
        <v>1</v>
      </c>
      <c r="F106">
        <v>1</v>
      </c>
      <c r="G106">
        <v>27</v>
      </c>
      <c r="H106">
        <v>3</v>
      </c>
      <c r="I106" t="s">
        <v>254</v>
      </c>
      <c r="J106" t="s">
        <v>280</v>
      </c>
      <c r="K106" t="s">
        <v>256</v>
      </c>
      <c r="L106">
        <v>1339</v>
      </c>
      <c r="N106">
        <v>1007</v>
      </c>
      <c r="O106" t="s">
        <v>257</v>
      </c>
      <c r="P106" t="s">
        <v>257</v>
      </c>
      <c r="Q106">
        <v>1</v>
      </c>
      <c r="X106">
        <v>5</v>
      </c>
      <c r="Y106">
        <v>753.67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 t="s">
        <v>3</v>
      </c>
      <c r="AG106">
        <v>5</v>
      </c>
      <c r="AH106">
        <v>2</v>
      </c>
      <c r="AI106">
        <v>41858219</v>
      </c>
      <c r="AJ106">
        <v>118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>
      <c r="A107">
        <f>ROW(Source!A265)</f>
        <v>265</v>
      </c>
      <c r="B107">
        <v>41858226</v>
      </c>
      <c r="C107">
        <v>41858222</v>
      </c>
      <c r="D107">
        <v>38786840</v>
      </c>
      <c r="E107">
        <v>27</v>
      </c>
      <c r="F107">
        <v>1</v>
      </c>
      <c r="G107">
        <v>27</v>
      </c>
      <c r="H107">
        <v>1</v>
      </c>
      <c r="I107" t="s">
        <v>247</v>
      </c>
      <c r="J107" t="s">
        <v>3</v>
      </c>
      <c r="K107" t="s">
        <v>248</v>
      </c>
      <c r="L107">
        <v>1191</v>
      </c>
      <c r="N107">
        <v>1013</v>
      </c>
      <c r="O107" t="s">
        <v>249</v>
      </c>
      <c r="P107" t="s">
        <v>249</v>
      </c>
      <c r="Q107">
        <v>1</v>
      </c>
      <c r="X107">
        <v>6.04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1</v>
      </c>
      <c r="AF107" t="s">
        <v>3</v>
      </c>
      <c r="AG107">
        <v>6.04</v>
      </c>
      <c r="AH107">
        <v>2</v>
      </c>
      <c r="AI107">
        <v>41858223</v>
      </c>
      <c r="AJ107">
        <v>119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>
      <c r="A108">
        <f>ROW(Source!A265)</f>
        <v>265</v>
      </c>
      <c r="B108">
        <v>41858227</v>
      </c>
      <c r="C108">
        <v>41858222</v>
      </c>
      <c r="D108">
        <v>38801911</v>
      </c>
      <c r="E108">
        <v>1</v>
      </c>
      <c r="F108">
        <v>1</v>
      </c>
      <c r="G108">
        <v>27</v>
      </c>
      <c r="H108">
        <v>3</v>
      </c>
      <c r="I108" t="s">
        <v>262</v>
      </c>
      <c r="J108" t="s">
        <v>263</v>
      </c>
      <c r="K108" t="s">
        <v>264</v>
      </c>
      <c r="L108">
        <v>1339</v>
      </c>
      <c r="N108">
        <v>1007</v>
      </c>
      <c r="O108" t="s">
        <v>257</v>
      </c>
      <c r="P108" t="s">
        <v>257</v>
      </c>
      <c r="Q108">
        <v>1</v>
      </c>
      <c r="X108">
        <v>10</v>
      </c>
      <c r="Y108">
        <v>35.25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 t="s">
        <v>3</v>
      </c>
      <c r="AG108">
        <v>10</v>
      </c>
      <c r="AH108">
        <v>2</v>
      </c>
      <c r="AI108">
        <v>41858224</v>
      </c>
      <c r="AJ108">
        <v>120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>
      <c r="A109">
        <f>ROW(Source!A265)</f>
        <v>265</v>
      </c>
      <c r="B109">
        <v>41858228</v>
      </c>
      <c r="C109">
        <v>41858222</v>
      </c>
      <c r="D109">
        <v>38803645</v>
      </c>
      <c r="E109">
        <v>1</v>
      </c>
      <c r="F109">
        <v>1</v>
      </c>
      <c r="G109">
        <v>27</v>
      </c>
      <c r="H109">
        <v>3</v>
      </c>
      <c r="I109" t="s">
        <v>329</v>
      </c>
      <c r="J109" t="s">
        <v>330</v>
      </c>
      <c r="K109" t="s">
        <v>331</v>
      </c>
      <c r="L109">
        <v>1346</v>
      </c>
      <c r="N109">
        <v>1009</v>
      </c>
      <c r="O109" t="s">
        <v>261</v>
      </c>
      <c r="P109" t="s">
        <v>261</v>
      </c>
      <c r="Q109">
        <v>1</v>
      </c>
      <c r="X109">
        <v>4</v>
      </c>
      <c r="Y109">
        <v>303.08999999999997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 t="s">
        <v>3</v>
      </c>
      <c r="AG109">
        <v>4</v>
      </c>
      <c r="AH109">
        <v>2</v>
      </c>
      <c r="AI109">
        <v>41858225</v>
      </c>
      <c r="AJ109">
        <v>121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Смета СН-2012 по гл. 1-5</vt:lpstr>
      <vt:lpstr>Дефектная ведомость</vt:lpstr>
      <vt:lpstr>Ведомость объемов работ</vt:lpstr>
      <vt:lpstr>RV_DATA</vt:lpstr>
      <vt:lpstr>Расчет стоимости ресурсов</vt:lpstr>
      <vt:lpstr>Source</vt:lpstr>
      <vt:lpstr>SourceObSm</vt:lpstr>
      <vt:lpstr>SmtRes</vt:lpstr>
      <vt:lpstr>EtalonRes</vt:lpstr>
      <vt:lpstr>'Ведомость объемов работ'!Заголовки_для_печати</vt:lpstr>
      <vt:lpstr>'Дефектная ведомость'!Заголовки_для_печати</vt:lpstr>
      <vt:lpstr>'Расчет стоимости ресурсов'!Заголовки_для_печати</vt:lpstr>
      <vt:lpstr>'Смета СН-2012 по гл. 1-5'!Заголовки_для_печати</vt:lpstr>
      <vt:lpstr>'Ведомость объемов работ'!Область_печати</vt:lpstr>
      <vt:lpstr>'Дефектная ведомость'!Область_печати</vt:lpstr>
      <vt:lpstr>'Расчет стоимости ресурсов'!Область_печати</vt:lpstr>
      <vt:lpstr>'Смета СН-2012 по гл. 1-5'!Область_печати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2021-07-28T11:54:44Z</dcterms:created>
  <dcterms:modified xsi:type="dcterms:W3CDTF">2021-08-10T07:40:42Z</dcterms:modified>
</cp:coreProperties>
</file>