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la\Dropbox\A_IDB_trust\docs_propuesta\"/>
    </mc:Choice>
  </mc:AlternateContent>
  <xr:revisionPtr revIDLastSave="0" documentId="13_ncr:1_{A666333E-B123-4ED9-8F34-877DDC7CC35B}" xr6:coauthVersionLast="47" xr6:coauthVersionMax="47" xr10:uidLastSave="{00000000-0000-0000-0000-000000000000}"/>
  <bookViews>
    <workbookView xWindow="28680" yWindow="-5490" windowWidth="29040" windowHeight="15990" tabRatio="884" activeTab="2" xr2:uid="{00000000-000D-0000-FFFF-FFFF00000000}"/>
  </bookViews>
  <sheets>
    <sheet name="Table 1" sheetId="12" r:id="rId1"/>
    <sheet name="Table 2" sheetId="13" r:id="rId2"/>
    <sheet name="Tables 3and 4" sheetId="7" r:id="rId3"/>
    <sheet name="Table 5" sheetId="3" r:id="rId4"/>
    <sheet name="Table 6def" sheetId="16" r:id="rId5"/>
    <sheet name="Table 7 power" sheetId="9" r:id="rId6"/>
    <sheet name="Table 8 procedures" sheetId="11" r:id="rId7"/>
    <sheet name="game" sheetId="17" r:id="rId8"/>
    <sheet name="bogota stats" sheetId="10" r:id="rId9"/>
    <sheet name="data" sheetId="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7" l="1"/>
  <c r="A11" i="17"/>
  <c r="B10" i="17"/>
  <c r="C11" i="17" s="1"/>
  <c r="D6" i="17"/>
  <c r="C7" i="17" s="1"/>
  <c r="C8" i="17" s="1"/>
  <c r="C9" i="17" s="1"/>
  <c r="B6" i="17"/>
  <c r="D3" i="17"/>
  <c r="C3" i="17"/>
  <c r="B3" i="17"/>
  <c r="D15" i="9"/>
  <c r="E15" i="9"/>
  <c r="F15" i="9"/>
  <c r="G15" i="9"/>
  <c r="H15" i="9"/>
  <c r="I15" i="9"/>
  <c r="J15" i="9"/>
  <c r="D12" i="9"/>
  <c r="D13" i="9" s="1"/>
  <c r="C15" i="9"/>
  <c r="B15" i="9"/>
  <c r="B12" i="9"/>
  <c r="F12" i="9"/>
  <c r="F13" i="9" s="1"/>
  <c r="G12" i="9"/>
  <c r="G13" i="9" s="1"/>
  <c r="B36" i="9"/>
  <c r="E39" i="9" s="1"/>
  <c r="B12" i="17" l="1"/>
  <c r="B13" i="17" s="1"/>
  <c r="C39" i="9"/>
  <c r="E31" i="9" l="1"/>
  <c r="C31" i="9"/>
  <c r="B23" i="9"/>
  <c r="C10" i="16" l="1"/>
  <c r="M9" i="16"/>
  <c r="M8" i="16"/>
  <c r="M7" i="16"/>
  <c r="M6" i="16"/>
  <c r="D5" i="13" l="1"/>
  <c r="E5" i="13"/>
  <c r="C5" i="13"/>
  <c r="G6" i="7" l="1"/>
  <c r="G5" i="7"/>
  <c r="G4" i="7"/>
  <c r="E5" i="7"/>
  <c r="E4" i="7"/>
  <c r="I7" i="7"/>
  <c r="R8" i="7"/>
  <c r="B34" i="10"/>
  <c r="B33" i="10"/>
  <c r="E10" i="7" l="1"/>
  <c r="I6" i="7" l="1"/>
  <c r="I4" i="7"/>
  <c r="C9" i="7"/>
  <c r="C6" i="7" l="1"/>
  <c r="C7" i="7"/>
  <c r="C8" i="7"/>
  <c r="C5" i="7"/>
  <c r="C4" i="7"/>
  <c r="I5" i="7" l="1"/>
  <c r="I8" i="7" s="1"/>
  <c r="B13" i="9" l="1"/>
  <c r="E12" i="9"/>
  <c r="E13" i="9" s="1"/>
  <c r="H12" i="9"/>
  <c r="H13" i="9" s="1"/>
  <c r="I12" i="9"/>
  <c r="I13" i="9" s="1"/>
  <c r="J12" i="9"/>
  <c r="J13" i="9" s="1"/>
  <c r="C12" i="9"/>
  <c r="C13" i="9" s="1"/>
  <c r="G10" i="7" l="1"/>
  <c r="F4" i="2"/>
  <c r="F30" i="2" s="1"/>
  <c r="G30" i="2" s="1"/>
  <c r="E28" i="2"/>
  <c r="E29" i="2" s="1"/>
  <c r="D26" i="2"/>
  <c r="E26" i="2" s="1"/>
  <c r="F25" i="2"/>
  <c r="F26" i="2" s="1"/>
  <c r="G26" i="2" s="1"/>
  <c r="F29" i="2" l="1"/>
  <c r="G29" i="2" s="1"/>
  <c r="B24" i="2"/>
  <c r="I10" i="7"/>
</calcChain>
</file>

<file path=xl/sharedStrings.xml><?xml version="1.0" encoding="utf-8"?>
<sst xmlns="http://schemas.openxmlformats.org/spreadsheetml/2006/main" count="340" uniqueCount="210">
  <si>
    <t>Games</t>
  </si>
  <si>
    <t xml:space="preserve">Table 1. Decisions in the DG </t>
  </si>
  <si>
    <t>Table 2. Summary of the sessions</t>
  </si>
  <si>
    <t>DG</t>
  </si>
  <si>
    <t>TG</t>
  </si>
  <si>
    <t>IDG</t>
  </si>
  <si>
    <t>Total observations</t>
  </si>
  <si>
    <t xml:space="preserve">Player 1 </t>
  </si>
  <si>
    <t>Player 2</t>
  </si>
  <si>
    <t>Number of decisions</t>
  </si>
  <si>
    <t>Players involved in the game</t>
  </si>
  <si>
    <t>1,2</t>
  </si>
  <si>
    <t>1,2,3</t>
  </si>
  <si>
    <t>Maximum social efficiency US$</t>
  </si>
  <si>
    <t>Altruism</t>
  </si>
  <si>
    <t>Trust</t>
  </si>
  <si>
    <t>Prediction for the offers by player 1, assuming self-regarding maximizing players</t>
  </si>
  <si>
    <t>Total</t>
  </si>
  <si>
    <t>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</si>
  <si>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</si>
  <si>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</si>
  <si>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</si>
  <si>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</si>
  <si>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</si>
  <si>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</si>
  <si>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</si>
  <si>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</si>
  <si>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</si>
  <si>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</si>
  <si>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</si>
  <si>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</si>
  <si>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</si>
  <si>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</si>
  <si>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</si>
  <si>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</si>
  <si>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</si>
  <si>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</si>
  <si>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</si>
  <si>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</si>
  <si>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SES</t>
  </si>
  <si>
    <t>Other-regarding preference</t>
  </si>
  <si>
    <t>Fairness</t>
  </si>
  <si>
    <t>https://www.eltiempo.com/bogota/cuantos-venezolanos-hay-en-bogota-356600</t>
  </si>
  <si>
    <t>https://www.elespectador.com/colombia2020/pais/el-96-de-los-excombatientes-de-las-farc-le-apuestan-al-emprendimiento-articulo-857878</t>
  </si>
  <si>
    <t>http://www.reincorporacion.gov.co/es/agencia/Documentos%20de%20ARN%20en%20Cifras/ARN%20en%20cifras%20corte%20septiembre%202019.pdf</t>
  </si>
  <si>
    <t>n</t>
  </si>
  <si>
    <t>Groups</t>
  </si>
  <si>
    <t>Poorest</t>
  </si>
  <si>
    <t>Other</t>
  </si>
  <si>
    <t>Ex-combatants</t>
  </si>
  <si>
    <t>%</t>
  </si>
  <si>
    <t>Table 3. Representative Sample Main Characteristics (Percentage)</t>
  </si>
  <si>
    <t>Source: DANE (2018), Migration Office (2019), ARN (2019). Note: SES = socioeconomic status</t>
  </si>
  <si>
    <t>Table 4. Number of Participants by group characteristics</t>
  </si>
  <si>
    <t>Sex</t>
  </si>
  <si>
    <t>Male</t>
  </si>
  <si>
    <t>Female</t>
  </si>
  <si>
    <t>Age</t>
  </si>
  <si>
    <t>18-34</t>
  </si>
  <si>
    <t>35-49</t>
  </si>
  <si>
    <t>50+</t>
  </si>
  <si>
    <t>S1</t>
  </si>
  <si>
    <t>S2</t>
  </si>
  <si>
    <t>SE</t>
  </si>
  <si>
    <t>X</t>
  </si>
  <si>
    <t>C12</t>
  </si>
  <si>
    <t>Treatment</t>
  </si>
  <si>
    <t>TE</t>
  </si>
  <si>
    <t>Y</t>
  </si>
  <si>
    <t>C</t>
  </si>
  <si>
    <t>Payment</t>
  </si>
  <si>
    <t>Recruitment
S0</t>
  </si>
  <si>
    <t>Phase</t>
  </si>
  <si>
    <t>Power calculations</t>
  </si>
  <si>
    <t>Experiment</t>
  </si>
  <si>
    <t>Trust Game - Cardenas et al (2008)</t>
  </si>
  <si>
    <t>Average sent</t>
  </si>
  <si>
    <t>Standard deviation</t>
  </si>
  <si>
    <t>Statistical power</t>
  </si>
  <si>
    <t>Significance level</t>
  </si>
  <si>
    <t>Effect of X of a standard deviation</t>
  </si>
  <si>
    <t>needed sample size per treatment arm</t>
  </si>
  <si>
    <t>Bogota</t>
  </si>
  <si>
    <t>Margin of error %</t>
  </si>
  <si>
    <t>Sample size</t>
  </si>
  <si>
    <t>Summary</t>
  </si>
  <si>
    <t>Size</t>
  </si>
  <si>
    <t>Confidence Level</t>
  </si>
  <si>
    <t>Men</t>
  </si>
  <si>
    <t>Women</t>
  </si>
  <si>
    <t>Necessary Sample Size = (Z-score)^2 * StdDev*(1-StdDev) / (margin of error)^2</t>
  </si>
  <si>
    <t>18-19</t>
  </si>
  <si>
    <t>Population size Dane, 2018</t>
  </si>
  <si>
    <t>DANE (2018)</t>
  </si>
  <si>
    <t>data 2018</t>
  </si>
  <si>
    <t>Age and sex 2018</t>
  </si>
  <si>
    <t>70+</t>
  </si>
  <si>
    <t>total</t>
  </si>
  <si>
    <t>From Secretaria de Planeacion</t>
  </si>
  <si>
    <t>data 2017</t>
  </si>
  <si>
    <t>Value increased</t>
  </si>
  <si>
    <t>mean for bogota</t>
  </si>
  <si>
    <t>sd for bogota</t>
  </si>
  <si>
    <t>SE*</t>
  </si>
  <si>
    <t>Pre-session fieldwork</t>
  </si>
  <si>
    <t>Visit to Jesuit Refugee Service (JRS) office in Bogota, interviews and video production.</t>
  </si>
  <si>
    <t>Matching decisions</t>
  </si>
  <si>
    <t>Stage</t>
  </si>
  <si>
    <t>Activity</t>
  </si>
  <si>
    <t>Day 1</t>
  </si>
  <si>
    <t>Day 2</t>
  </si>
  <si>
    <t>Day 3</t>
  </si>
  <si>
    <t>Day 4</t>
  </si>
  <si>
    <t>Payment to citizens (C12)</t>
  </si>
  <si>
    <t>Table 8.</t>
  </si>
  <si>
    <t>Task*</t>
  </si>
  <si>
    <t>Poor</t>
  </si>
  <si>
    <t>Player 1 (sender)</t>
  </si>
  <si>
    <t>Treatment video, treatment survey or control video</t>
  </si>
  <si>
    <t>TM</t>
  </si>
  <si>
    <t>Displaced</t>
  </si>
  <si>
    <t>-</t>
  </si>
  <si>
    <t>Visit to ex combatants office and  collect experimental decisions and survey’s responses with 4 excombatants</t>
  </si>
  <si>
    <t>Change: we are not including video after games</t>
  </si>
  <si>
    <t>Changes</t>
  </si>
  <si>
    <t xml:space="preserve">Video before the games only. </t>
  </si>
  <si>
    <t>Ramdoly assign the decisions</t>
  </si>
  <si>
    <t>Visit to JRS office and collect experimental decisions and survey’s responses with 43 Venezuelan Migrants and 43 Internally displaced migrants.</t>
  </si>
  <si>
    <t>See table 9. Recruitment, S0+SE, Treatment, Games, S2,  SE*, show up fee payment</t>
  </si>
  <si>
    <t>Payment to migrants (Venezuelan and internally displaced) and excombatants</t>
  </si>
  <si>
    <t>Venezuelan migrants</t>
  </si>
  <si>
    <t>Internally Displaced</t>
  </si>
  <si>
    <t>SE: effecto trat heterogeneo mayor, comparabilidad con Gian estudio</t>
  </si>
  <si>
    <t xml:space="preserve">Pregunta hipotetica en la encuesta final, ask to the participans, bequti </t>
  </si>
  <si>
    <t>AER Experimenter dd effect</t>
  </si>
  <si>
    <t xml:space="preserve">Note: ; SES = socioeconomic status; DG = Dictator game. </t>
  </si>
  <si>
    <t>Any citizen from the sample of participants</t>
  </si>
  <si>
    <t>SES low = SES 1, 2, 3</t>
  </si>
  <si>
    <t>SES high = SES 4,5,6</t>
  </si>
  <si>
    <t>SES low, low education level, from Bogota</t>
  </si>
  <si>
    <t>SES low, low educaton level, internally displaced person</t>
  </si>
  <si>
    <t>Education level low = Secondary incomplete or lower</t>
  </si>
  <si>
    <t>Education level low = Secondary complete or higher</t>
  </si>
  <si>
    <t>Procedence (Bogota, internally displaced, excombatant, venezuela)</t>
  </si>
  <si>
    <t>2 levels of SES</t>
  </si>
  <si>
    <t>2 levels of Education</t>
  </si>
  <si>
    <t>Source: Author's compilation, Note: US$1=COL$3319 (11/04/2019, www.oanda.com). DG=Dictator game; TG=Trust game;  IDG = income distribution game.</t>
  </si>
  <si>
    <t>We eliminate the UG because it does not answer our main research question</t>
  </si>
  <si>
    <t>The order of the games changes. The order is determined by the level of complexity</t>
  </si>
  <si>
    <t xml:space="preserve">to avoid deception, we don’t tell them the probability of receiving payment. Only one decision in one game will be paid. </t>
  </si>
  <si>
    <t>support to policies</t>
  </si>
  <si>
    <t>Observations</t>
  </si>
  <si>
    <t>Task after the games</t>
  </si>
  <si>
    <t>Note: C12=Control (poor (C1) or no poor (C2)); TE=Video Excombatant; TM=Video Venezuelan migrant; SE=Survey on empathy, S1: Survey socioeconomic characteristics, C= control video, Games (DG=Dictator game,TG=Trust Game, TRG=Income Distribution Game, S2: survey on trust measures, SE*: adapted empathy survey. Task*: task on generosity.</t>
  </si>
  <si>
    <t>OPTION 1: within subjects (excombatant vs displaced vs migrant)</t>
  </si>
  <si>
    <t>Variable</t>
  </si>
  <si>
    <t>Obs</t>
  </si>
  <si>
    <t>Mean</t>
  </si>
  <si>
    <t>Std. Err.</t>
  </si>
  <si>
    <t>Std. Dev.</t>
  </si>
  <si>
    <t>[95% Conf.</t>
  </si>
  <si>
    <t>Interval]</t>
  </si>
  <si>
    <t>Discrimina Cardenas et al 2006</t>
  </si>
  <si>
    <t>LATAM cardenas et al 2008</t>
  </si>
  <si>
    <t>Bogliacino et al 2017</t>
  </si>
  <si>
    <t>combined</t>
  </si>
  <si>
    <t>Gallego Polania 2020 all</t>
  </si>
  <si>
    <t>Gallego Polania 2020 bta</t>
  </si>
  <si>
    <t>alpha</t>
  </si>
  <si>
    <t>power</t>
  </si>
  <si>
    <t>N</t>
  </si>
  <si>
    <t>N1</t>
  </si>
  <si>
    <t>N2</t>
  </si>
  <si>
    <t>delta</t>
  </si>
  <si>
    <t>m1</t>
  </si>
  <si>
    <t>m2</t>
  </si>
  <si>
    <t>sd</t>
  </si>
  <si>
    <t>Phase 2 bog, round 1</t>
  </si>
  <si>
    <t>ENB, bog, round 1</t>
  </si>
  <si>
    <t>50mil</t>
  </si>
  <si>
    <t>average</t>
  </si>
  <si>
    <t>40mil</t>
  </si>
  <si>
    <t>30mil</t>
  </si>
  <si>
    <t>The minimum detectable standardized difference given the requested power and sample size is delta,</t>
  </si>
  <si>
    <t>The default significance level is already set to our desired value of 0.05, so we leave it</t>
  </si>
  <si>
    <t>NA</t>
  </si>
  <si>
    <t>Cardenas et al 2008</t>
  </si>
  <si>
    <t>Cardenas et al 2006</t>
  </si>
  <si>
    <t>Gallego Polania 2020</t>
  </si>
  <si>
    <t>Average</t>
  </si>
  <si>
    <t>Bogota D.C non-student samples</t>
  </si>
  <si>
    <t>d0</t>
  </si>
  <si>
    <t>da</t>
  </si>
  <si>
    <t>ma1</t>
  </si>
  <si>
    <t>ma2</t>
  </si>
  <si>
    <t>sd_d</t>
  </si>
  <si>
    <t>corr</t>
  </si>
  <si>
    <t>SES low, low educaton level, Ex-combatant</t>
  </si>
  <si>
    <t>SES low, low educaton level, Venezuelan migrant</t>
  </si>
  <si>
    <t>Effect size (delta)</t>
  </si>
  <si>
    <t>Total sample (control + 3 treatments)</t>
  </si>
  <si>
    <t>Note: We assume the mean of percentage sent by the sender in the Trust game of 36.7% and the sample standard deviation of 30.8%. Values with a statistical power of 80% and significance level of 5% and that a two-sided test will be used.</t>
  </si>
  <si>
    <t>unchanged. We then specify a null mean of</t>
  </si>
  <si>
    <t>.367, an alternative mean of .483, and a standard deviation of .308</t>
  </si>
  <si>
    <t>The minimum detectable standardized difference given the requested power (.8) and sample size (175) is 0.08,</t>
  </si>
  <si>
    <t>which corresponds to an average of roughly .45 for the experimental sample.</t>
  </si>
  <si>
    <t>H2: treatment affects trust</t>
  </si>
  <si>
    <t>H1: behavior is differente between citizens and excombatants/migrants</t>
  </si>
  <si>
    <t>Note: For a sample size of 700 participants. Using the information in Table 3, among controls, 43 participants will be refugees and 4 participants will be excombatants. They will be Player 2 for all possible interactions with controls. SES = socioeconomic status</t>
  </si>
  <si>
    <t>Empathy measures after the games. The SE can changes behavior in the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</si>
</sst>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%"/>
    <numFmt numFmtId="166" formatCode="0.0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i/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.5"/>
      <color theme="1"/>
      <name val="NimbusRomNo9L-Regu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16" fontId="0" fillId="0" borderId="0" xfId="0" applyNumberFormat="1"/>
    <xf numFmtId="0" fontId="7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164" fontId="0" fillId="0" borderId="0" xfId="0" applyNumberFormat="1"/>
    <xf numFmtId="0" fontId="5" fillId="0" borderId="0" xfId="2"/>
    <xf numFmtId="165" fontId="0" fillId="0" borderId="0" xfId="1" applyNumberFormat="1" applyFont="1"/>
    <xf numFmtId="0" fontId="1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16" fillId="0" borderId="12" xfId="0" applyFont="1" applyBorder="1" applyAlignment="1">
      <alignment vertical="center"/>
    </xf>
    <xf numFmtId="0" fontId="14" fillId="0" borderId="12" xfId="0" applyFont="1" applyBorder="1" applyAlignment="1"/>
    <xf numFmtId="0" fontId="14" fillId="0" borderId="14" xfId="0" applyFont="1" applyBorder="1" applyAlignment="1"/>
    <xf numFmtId="0" fontId="14" fillId="0" borderId="16" xfId="0" applyFont="1" applyBorder="1" applyAlignment="1"/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/>
    <xf numFmtId="0" fontId="6" fillId="0" borderId="12" xfId="0" applyFont="1" applyBorder="1" applyAlignment="1">
      <alignment horizontal="right"/>
    </xf>
    <xf numFmtId="0" fontId="14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9" fontId="6" fillId="0" borderId="12" xfId="0" applyNumberFormat="1" applyFont="1" applyBorder="1" applyAlignment="1">
      <alignment horizontal="right"/>
    </xf>
    <xf numFmtId="0" fontId="17" fillId="0" borderId="12" xfId="0" applyFont="1" applyBorder="1" applyAlignment="1"/>
    <xf numFmtId="0" fontId="14" fillId="0" borderId="13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6" fillId="0" borderId="18" xfId="0" applyFont="1" applyBorder="1" applyAlignment="1"/>
    <xf numFmtId="0" fontId="18" fillId="3" borderId="12" xfId="0" applyFont="1" applyFill="1" applyBorder="1" applyAlignment="1">
      <alignment horizontal="right"/>
    </xf>
    <xf numFmtId="0" fontId="17" fillId="4" borderId="12" xfId="0" applyFont="1" applyFill="1" applyBorder="1" applyAlignment="1">
      <alignment horizontal="right"/>
    </xf>
    <xf numFmtId="0" fontId="19" fillId="4" borderId="14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14" fillId="4" borderId="12" xfId="0" applyFont="1" applyFill="1" applyBorder="1" applyAlignment="1">
      <alignment horizontal="right"/>
    </xf>
    <xf numFmtId="0" fontId="19" fillId="0" borderId="18" xfId="0" applyFont="1" applyBorder="1" applyAlignment="1"/>
    <xf numFmtId="3" fontId="19" fillId="0" borderId="12" xfId="0" applyNumberFormat="1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6" fillId="4" borderId="12" xfId="0" applyFont="1" applyFill="1" applyBorder="1" applyAlignment="1"/>
    <xf numFmtId="0" fontId="17" fillId="0" borderId="13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9" xfId="0" applyFont="1" applyBorder="1" applyAlignment="1"/>
    <xf numFmtId="3" fontId="19" fillId="0" borderId="13" xfId="0" applyNumberFormat="1" applyFont="1" applyBorder="1" applyAlignment="1">
      <alignment horizontal="right"/>
    </xf>
    <xf numFmtId="0" fontId="19" fillId="0" borderId="13" xfId="0" applyFont="1" applyBorder="1" applyAlignment="1">
      <alignment horizontal="right"/>
    </xf>
    <xf numFmtId="0" fontId="17" fillId="0" borderId="13" xfId="0" applyFont="1" applyBorder="1" applyAlignment="1">
      <alignment horizontal="right"/>
    </xf>
    <xf numFmtId="0" fontId="17" fillId="0" borderId="15" xfId="0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6" fillId="0" borderId="13" xfId="0" applyNumberFormat="1" applyFont="1" applyBorder="1" applyAlignment="1">
      <alignment horizontal="right"/>
    </xf>
    <xf numFmtId="0" fontId="7" fillId="0" borderId="0" xfId="0" applyFont="1" applyBorder="1" applyAlignment="1"/>
    <xf numFmtId="0" fontId="15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7" fillId="2" borderId="0" xfId="0" applyFont="1" applyFill="1" applyBorder="1" applyAlignment="1"/>
    <xf numFmtId="0" fontId="15" fillId="0" borderId="0" xfId="0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2" fontId="15" fillId="0" borderId="6" xfId="0" applyNumberFormat="1" applyFont="1" applyBorder="1" applyAlignment="1">
      <alignment horizontal="right"/>
    </xf>
    <xf numFmtId="167" fontId="3" fillId="0" borderId="6" xfId="0" applyNumberFormat="1" applyFont="1" applyBorder="1" applyAlignment="1">
      <alignment horizontal="right"/>
    </xf>
    <xf numFmtId="0" fontId="3" fillId="2" borderId="0" xfId="0" applyFont="1" applyFill="1" applyBorder="1" applyAlignment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9" xfId="0" applyFont="1" applyBorder="1" applyAlignment="1"/>
    <xf numFmtId="0" fontId="3" fillId="0" borderId="10" xfId="0" applyFont="1" applyBorder="1" applyAlignment="1"/>
    <xf numFmtId="0" fontId="3" fillId="2" borderId="10" xfId="0" applyFont="1" applyFill="1" applyBorder="1" applyAlignment="1"/>
    <xf numFmtId="2" fontId="3" fillId="0" borderId="0" xfId="0" applyNumberFormat="1" applyFont="1" applyBorder="1"/>
    <xf numFmtId="0" fontId="3" fillId="2" borderId="11" xfId="0" applyFont="1" applyFill="1" applyBorder="1" applyAlignment="1"/>
    <xf numFmtId="0" fontId="3" fillId="0" borderId="7" xfId="0" applyFont="1" applyBorder="1"/>
    <xf numFmtId="3" fontId="3" fillId="0" borderId="0" xfId="0" applyNumberFormat="1" applyFont="1" applyBorder="1" applyAlignment="1"/>
    <xf numFmtId="3" fontId="3" fillId="0" borderId="0" xfId="0" applyNumberFormat="1" applyFont="1"/>
    <xf numFmtId="3" fontId="3" fillId="0" borderId="0" xfId="0" applyNumberFormat="1" applyFont="1" applyBorder="1"/>
    <xf numFmtId="0" fontId="15" fillId="0" borderId="0" xfId="0" applyFont="1" applyBorder="1"/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/>
    <xf numFmtId="0" fontId="8" fillId="5" borderId="0" xfId="0" applyFont="1" applyFill="1" applyBorder="1"/>
    <xf numFmtId="0" fontId="8" fillId="5" borderId="1" xfId="0" applyFont="1" applyFill="1" applyBorder="1"/>
    <xf numFmtId="0" fontId="9" fillId="5" borderId="21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0" fillId="5" borderId="0" xfId="0" applyFill="1"/>
    <xf numFmtId="0" fontId="12" fillId="5" borderId="0" xfId="0" applyFont="1" applyFill="1"/>
    <xf numFmtId="0" fontId="2" fillId="5" borderId="0" xfId="0" applyFont="1" applyFill="1"/>
    <xf numFmtId="0" fontId="8" fillId="5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top" wrapText="1"/>
    </xf>
    <xf numFmtId="0" fontId="21" fillId="5" borderId="21" xfId="0" applyFont="1" applyFill="1" applyBorder="1"/>
    <xf numFmtId="0" fontId="21" fillId="5" borderId="2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6" xfId="0" applyFont="1" applyFill="1" applyBorder="1" applyAlignment="1">
      <alignment horizontal="center" vertical="center"/>
    </xf>
    <xf numFmtId="2" fontId="15" fillId="5" borderId="0" xfId="0" applyNumberFormat="1" applyFont="1" applyFill="1" applyBorder="1" applyAlignment="1">
      <alignment horizontal="right"/>
    </xf>
    <xf numFmtId="2" fontId="3" fillId="5" borderId="0" xfId="0" applyNumberFormat="1" applyFont="1" applyFill="1" applyBorder="1" applyAlignment="1">
      <alignment horizontal="right"/>
    </xf>
    <xf numFmtId="167" fontId="3" fillId="5" borderId="0" xfId="0" applyNumberFormat="1" applyFont="1" applyFill="1" applyBorder="1" applyAlignment="1">
      <alignment horizontal="right"/>
    </xf>
    <xf numFmtId="0" fontId="3" fillId="5" borderId="0" xfId="0" applyFont="1" applyFill="1" applyBorder="1" applyAlignment="1"/>
    <xf numFmtId="0" fontId="3" fillId="5" borderId="0" xfId="0" applyFont="1" applyFill="1" applyBorder="1"/>
    <xf numFmtId="0" fontId="7" fillId="5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right"/>
    </xf>
    <xf numFmtId="0" fontId="3" fillId="5" borderId="10" xfId="0" applyFont="1" applyFill="1" applyBorder="1"/>
    <xf numFmtId="0" fontId="3" fillId="5" borderId="6" xfId="0" applyFont="1" applyFill="1" applyBorder="1"/>
    <xf numFmtId="0" fontId="3" fillId="5" borderId="1" xfId="0" applyFont="1" applyFill="1" applyBorder="1"/>
    <xf numFmtId="0" fontId="3" fillId="5" borderId="11" xfId="0" applyFont="1" applyFill="1" applyBorder="1"/>
    <xf numFmtId="0" fontId="3" fillId="5" borderId="7" xfId="0" applyFont="1" applyFill="1" applyBorder="1"/>
    <xf numFmtId="0" fontId="3" fillId="5" borderId="0" xfId="0" applyFont="1" applyFill="1" applyBorder="1" applyAlignment="1">
      <alignment horizontal="right" wrapText="1"/>
    </xf>
    <xf numFmtId="1" fontId="3" fillId="5" borderId="0" xfId="0" applyNumberFormat="1" applyFont="1" applyFill="1" applyBorder="1" applyAlignment="1">
      <alignment horizontal="right" wrapText="1"/>
    </xf>
    <xf numFmtId="0" fontId="3" fillId="5" borderId="10" xfId="0" applyFont="1" applyFill="1" applyBorder="1" applyAlignment="1">
      <alignment horizontal="left" wrapText="1"/>
    </xf>
    <xf numFmtId="1" fontId="3" fillId="5" borderId="6" xfId="0" applyNumberFormat="1" applyFont="1" applyFill="1" applyBorder="1" applyAlignment="1">
      <alignment horizontal="center" wrapText="1"/>
    </xf>
    <xf numFmtId="166" fontId="3" fillId="5" borderId="10" xfId="0" applyNumberFormat="1" applyFont="1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/>
    </xf>
    <xf numFmtId="1" fontId="3" fillId="5" borderId="7" xfId="0" applyNumberFormat="1" applyFont="1" applyFill="1" applyBorder="1" applyAlignment="1">
      <alignment horizontal="center"/>
    </xf>
    <xf numFmtId="0" fontId="3" fillId="5" borderId="0" xfId="0" applyFont="1" applyFill="1"/>
    <xf numFmtId="0" fontId="15" fillId="5" borderId="21" xfId="0" applyFont="1" applyFill="1" applyBorder="1" applyAlignment="1">
      <alignment horizontal="center" wrapText="1"/>
    </xf>
    <xf numFmtId="0" fontId="15" fillId="5" borderId="23" xfId="0" applyFont="1" applyFill="1" applyBorder="1" applyAlignment="1">
      <alignment horizontal="center" wrapText="1"/>
    </xf>
    <xf numFmtId="0" fontId="15" fillId="5" borderId="24" xfId="0" applyFont="1" applyFill="1" applyBorder="1" applyAlignment="1">
      <alignment horizontal="center" wrapText="1"/>
    </xf>
    <xf numFmtId="0" fontId="15" fillId="5" borderId="21" xfId="0" applyFont="1" applyFill="1" applyBorder="1" applyAlignment="1">
      <alignment horizontal="center"/>
    </xf>
    <xf numFmtId="0" fontId="15" fillId="5" borderId="3" xfId="0" applyFont="1" applyFill="1" applyBorder="1"/>
    <xf numFmtId="0" fontId="15" fillId="5" borderId="22" xfId="0" applyFont="1" applyFill="1" applyBorder="1"/>
    <xf numFmtId="0" fontId="15" fillId="5" borderId="1" xfId="0" applyFont="1" applyFill="1" applyBorder="1"/>
    <xf numFmtId="0" fontId="15" fillId="5" borderId="3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right"/>
    </xf>
    <xf numFmtId="0" fontId="15" fillId="5" borderId="21" xfId="0" applyFont="1" applyFill="1" applyBorder="1" applyAlignment="1">
      <alignment wrapText="1"/>
    </xf>
    <xf numFmtId="0" fontId="15" fillId="5" borderId="21" xfId="0" applyFont="1" applyFill="1" applyBorder="1"/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/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justify" vertical="center"/>
    </xf>
    <xf numFmtId="0" fontId="20" fillId="5" borderId="0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justify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justify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wrapText="1"/>
    </xf>
    <xf numFmtId="0" fontId="23" fillId="0" borderId="0" xfId="0" applyFont="1"/>
    <xf numFmtId="0" fontId="24" fillId="0" borderId="0" xfId="0" applyFont="1" applyBorder="1"/>
    <xf numFmtId="0" fontId="25" fillId="0" borderId="0" xfId="0" applyFont="1"/>
    <xf numFmtId="0" fontId="26" fillId="0" borderId="0" xfId="0" applyFont="1"/>
    <xf numFmtId="0" fontId="8" fillId="5" borderId="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vertical="top" wrapText="1"/>
    </xf>
    <xf numFmtId="0" fontId="16" fillId="0" borderId="0" xfId="0" applyFont="1"/>
    <xf numFmtId="2" fontId="6" fillId="0" borderId="12" xfId="0" applyNumberFormat="1" applyFont="1" applyBorder="1" applyAlignment="1"/>
    <xf numFmtId="166" fontId="6" fillId="0" borderId="12" xfId="0" applyNumberFormat="1" applyFont="1" applyBorder="1" applyAlignment="1"/>
    <xf numFmtId="0" fontId="3" fillId="5" borderId="10" xfId="0" applyFont="1" applyFill="1" applyBorder="1" applyAlignment="1">
      <alignment wrapText="1"/>
    </xf>
    <xf numFmtId="1" fontId="3" fillId="5" borderId="0" xfId="0" applyNumberFormat="1" applyFont="1" applyFill="1" applyBorder="1" applyAlignment="1">
      <alignment vertical="center"/>
    </xf>
    <xf numFmtId="0" fontId="1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/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Border="1"/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/>
    <xf numFmtId="0" fontId="27" fillId="0" borderId="0" xfId="0" applyFont="1" applyAlignment="1">
      <alignment vertical="center"/>
    </xf>
    <xf numFmtId="0" fontId="15" fillId="0" borderId="0" xfId="0" applyFont="1"/>
    <xf numFmtId="0" fontId="26" fillId="5" borderId="1" xfId="0" applyFont="1" applyFill="1" applyBorder="1" applyAlignment="1">
      <alignment horizontal="center" vertical="center"/>
    </xf>
    <xf numFmtId="0" fontId="12" fillId="0" borderId="0" xfId="0" applyFont="1"/>
    <xf numFmtId="0" fontId="12" fillId="5" borderId="0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left" vertical="top" wrapText="1"/>
    </xf>
    <xf numFmtId="0" fontId="12" fillId="8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1" fontId="3" fillId="0" borderId="0" xfId="0" applyNumberFormat="1" applyFont="1" applyBorder="1"/>
    <xf numFmtId="0" fontId="28" fillId="0" borderId="0" xfId="0" applyFont="1" applyAlignment="1">
      <alignment vertical="center"/>
    </xf>
    <xf numFmtId="0" fontId="28" fillId="0" borderId="0" xfId="0" applyFont="1"/>
    <xf numFmtId="167" fontId="3" fillId="0" borderId="0" xfId="0" applyNumberFormat="1" applyFont="1" applyBorder="1"/>
    <xf numFmtId="4" fontId="3" fillId="0" borderId="0" xfId="0" applyNumberFormat="1" applyFont="1" applyBorder="1"/>
    <xf numFmtId="0" fontId="3" fillId="6" borderId="0" xfId="0" applyFont="1" applyFill="1" applyBorder="1"/>
    <xf numFmtId="0" fontId="3" fillId="6" borderId="0" xfId="0" applyFont="1" applyFill="1" applyBorder="1" applyAlignment="1"/>
    <xf numFmtId="0" fontId="11" fillId="5" borderId="0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20" fillId="5" borderId="2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incorporacion.gov.co/es/agencia/Documentos%20de%20ARN%20en%20Cifras/ARN%20en%20cifras%20corte%20septiembre%202019.pdf" TargetMode="External"/><Relationship Id="rId2" Type="http://schemas.openxmlformats.org/officeDocument/2006/relationships/hyperlink" Target="https://www.elespectador.com/colombia2020/pais/el-96-de-los-excombatientes-de-las-farc-le-apuestan-al-emprendimiento-articulo-857878" TargetMode="External"/><Relationship Id="rId1" Type="http://schemas.openxmlformats.org/officeDocument/2006/relationships/hyperlink" Target="https://www.eltiempo.com/bogota/cuantos-venezolanos-hay-en-bogota-356600" TargetMode="External"/><Relationship Id="rId4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73AC-C36F-4D44-89C8-8CBFB90803F2}">
  <dimension ref="A2:N25"/>
  <sheetViews>
    <sheetView zoomScale="140" zoomScaleNormal="140" workbookViewId="0">
      <selection activeCell="C10" sqref="C10"/>
    </sheetView>
  </sheetViews>
  <sheetFormatPr defaultColWidth="8.81640625" defaultRowHeight="14.5"/>
  <cols>
    <col min="2" max="2" width="14.6328125" customWidth="1"/>
    <col min="3" max="3" width="49.90625" customWidth="1"/>
    <col min="5" max="5" width="33" customWidth="1"/>
    <col min="6" max="6" width="7.1796875" bestFit="1" customWidth="1"/>
    <col min="7" max="7" width="9.36328125" bestFit="1" customWidth="1"/>
    <col min="8" max="8" width="4.81640625" bestFit="1" customWidth="1"/>
    <col min="9" max="9" width="7.1796875" bestFit="1" customWidth="1"/>
    <col min="10" max="10" width="5.453125" customWidth="1"/>
    <col min="11" max="12" width="6.453125" customWidth="1"/>
    <col min="13" max="13" width="5.453125" customWidth="1"/>
    <col min="14" max="14" width="6" customWidth="1"/>
    <col min="15" max="15" width="4.6328125" bestFit="1" customWidth="1"/>
    <col min="16" max="16" width="13.453125" customWidth="1"/>
    <col min="17" max="17" width="4.6328125" bestFit="1" customWidth="1"/>
    <col min="18" max="18" width="6" bestFit="1" customWidth="1"/>
    <col min="19" max="19" width="4.6328125" bestFit="1" customWidth="1"/>
    <col min="20" max="20" width="13.1796875" bestFit="1" customWidth="1"/>
    <col min="21" max="21" width="5.36328125" bestFit="1" customWidth="1"/>
  </cols>
  <sheetData>
    <row r="2" spans="1:14" ht="15.5">
      <c r="B2" s="5" t="s">
        <v>1</v>
      </c>
      <c r="C2" s="2"/>
      <c r="D2" s="2"/>
      <c r="F2" s="143"/>
    </row>
    <row r="3" spans="1:14" ht="29" customHeight="1" thickBot="1">
      <c r="A3" s="83"/>
      <c r="B3" s="81" t="s">
        <v>7</v>
      </c>
      <c r="C3" s="82" t="s">
        <v>8</v>
      </c>
      <c r="D3" s="82" t="s">
        <v>9</v>
      </c>
    </row>
    <row r="4" spans="1:14" ht="15" thickTop="1">
      <c r="A4" s="83"/>
      <c r="B4" s="184" t="s">
        <v>136</v>
      </c>
      <c r="C4" s="79" t="s">
        <v>139</v>
      </c>
      <c r="D4" s="187">
        <v>4</v>
      </c>
    </row>
    <row r="5" spans="1:14" ht="14.5" customHeight="1">
      <c r="A5" s="83"/>
      <c r="B5" s="184"/>
      <c r="C5" s="79" t="s">
        <v>140</v>
      </c>
      <c r="D5" s="188"/>
    </row>
    <row r="6" spans="1:14" ht="14.5" customHeight="1">
      <c r="A6" s="83"/>
      <c r="B6" s="184"/>
      <c r="C6" s="79" t="s">
        <v>197</v>
      </c>
      <c r="D6" s="188"/>
    </row>
    <row r="7" spans="1:14" ht="14.5" customHeight="1">
      <c r="A7" s="83"/>
      <c r="B7" s="171"/>
      <c r="C7" s="80" t="s">
        <v>198</v>
      </c>
      <c r="D7" s="189"/>
    </row>
    <row r="8" spans="1:14">
      <c r="B8" s="185" t="s">
        <v>135</v>
      </c>
      <c r="C8" s="185"/>
      <c r="D8" s="185"/>
      <c r="J8" s="1"/>
      <c r="K8" s="1"/>
      <c r="L8" s="1"/>
      <c r="M8" s="1"/>
    </row>
    <row r="9" spans="1:14">
      <c r="B9" s="186"/>
      <c r="C9" s="186"/>
      <c r="D9" s="186"/>
      <c r="J9" s="1"/>
      <c r="K9" s="1"/>
      <c r="L9" s="1"/>
      <c r="M9" s="1"/>
    </row>
    <row r="10" spans="1:14">
      <c r="B10" t="s">
        <v>144</v>
      </c>
      <c r="C10" t="s">
        <v>137</v>
      </c>
      <c r="K10" s="1"/>
      <c r="L10" s="1"/>
      <c r="M10" s="1"/>
      <c r="N10" s="1"/>
    </row>
    <row r="11" spans="1:14">
      <c r="C11" t="s">
        <v>138</v>
      </c>
      <c r="K11" s="1"/>
      <c r="L11" s="1"/>
      <c r="M11" s="1"/>
      <c r="N11" s="1"/>
    </row>
    <row r="12" spans="1:14">
      <c r="B12" t="s">
        <v>145</v>
      </c>
      <c r="C12" t="s">
        <v>141</v>
      </c>
      <c r="K12" s="1"/>
      <c r="L12" s="1"/>
      <c r="M12" s="1"/>
      <c r="N12" s="1"/>
    </row>
    <row r="13" spans="1:14">
      <c r="C13" t="s">
        <v>142</v>
      </c>
      <c r="K13" s="1"/>
      <c r="L13" s="1"/>
      <c r="M13" s="1"/>
      <c r="N13" s="1"/>
    </row>
    <row r="14" spans="1:14">
      <c r="C14" t="s">
        <v>143</v>
      </c>
      <c r="K14" s="1"/>
      <c r="L14" s="1"/>
      <c r="M14" s="1"/>
      <c r="N14" s="1"/>
    </row>
    <row r="25" spans="10:14">
      <c r="J25" s="1"/>
      <c r="K25" s="1"/>
      <c r="L25" s="1"/>
      <c r="M25" s="1"/>
      <c r="N25" s="1"/>
    </row>
  </sheetData>
  <mergeCells count="3">
    <mergeCell ref="B4:B6"/>
    <mergeCell ref="B8:D9"/>
    <mergeCell ref="D4:D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0"/>
  <sheetViews>
    <sheetView workbookViewId="0">
      <selection activeCell="D14" sqref="D14"/>
    </sheetView>
  </sheetViews>
  <sheetFormatPr defaultColWidth="8.81640625" defaultRowHeight="14.5"/>
  <cols>
    <col min="4" max="4" width="9.453125" bestFit="1" customWidth="1"/>
  </cols>
  <sheetData>
    <row r="1" spans="1:6">
      <c r="A1">
        <v>1</v>
      </c>
      <c r="B1" s="3">
        <v>211128</v>
      </c>
      <c r="C1" s="3">
        <v>201017</v>
      </c>
      <c r="D1" s="3">
        <v>412145</v>
      </c>
      <c r="E1" t="s">
        <v>18</v>
      </c>
    </row>
    <row r="2" spans="1:6">
      <c r="A2">
        <v>2</v>
      </c>
      <c r="B2" s="3">
        <v>228123</v>
      </c>
      <c r="C2" s="3">
        <v>219872</v>
      </c>
      <c r="D2" s="3">
        <v>447995</v>
      </c>
      <c r="E2" s="4" t="s">
        <v>19</v>
      </c>
    </row>
    <row r="3" spans="1:6">
      <c r="A3">
        <v>3</v>
      </c>
      <c r="B3" s="3">
        <v>241423</v>
      </c>
      <c r="C3" s="3">
        <v>232387</v>
      </c>
      <c r="D3" s="3">
        <v>473810</v>
      </c>
      <c r="E3" s="4" t="s">
        <v>20</v>
      </c>
    </row>
    <row r="4" spans="1:6">
      <c r="A4">
        <v>4</v>
      </c>
      <c r="B4" s="3">
        <v>279911</v>
      </c>
      <c r="C4" s="3">
        <v>275796</v>
      </c>
      <c r="D4" s="3">
        <v>555707</v>
      </c>
      <c r="E4" t="s">
        <v>21</v>
      </c>
      <c r="F4" s="3">
        <f>SUM(D4:D14)</f>
        <v>5438131</v>
      </c>
    </row>
    <row r="5" spans="1:6">
      <c r="A5">
        <v>5</v>
      </c>
      <c r="B5" s="3">
        <v>346803</v>
      </c>
      <c r="C5" s="3">
        <v>349905</v>
      </c>
      <c r="D5" s="3">
        <v>696708</v>
      </c>
      <c r="E5" t="s">
        <v>22</v>
      </c>
    </row>
    <row r="6" spans="1:6">
      <c r="A6">
        <v>6</v>
      </c>
      <c r="B6" s="3">
        <v>337916</v>
      </c>
      <c r="C6" s="3">
        <v>341717</v>
      </c>
      <c r="D6" s="3">
        <v>679633</v>
      </c>
      <c r="E6" t="s">
        <v>23</v>
      </c>
    </row>
    <row r="7" spans="1:6">
      <c r="A7">
        <v>7</v>
      </c>
      <c r="B7" s="3">
        <v>301163</v>
      </c>
      <c r="C7" s="3">
        <v>307390</v>
      </c>
      <c r="D7" s="3">
        <v>608553</v>
      </c>
      <c r="E7" t="s">
        <v>24</v>
      </c>
    </row>
    <row r="8" spans="1:6">
      <c r="A8">
        <v>8</v>
      </c>
      <c r="B8" s="3">
        <v>277944</v>
      </c>
      <c r="C8" s="3">
        <v>296670</v>
      </c>
      <c r="D8" s="3">
        <v>574614</v>
      </c>
      <c r="E8" t="s">
        <v>25</v>
      </c>
    </row>
    <row r="9" spans="1:6">
      <c r="A9">
        <v>9</v>
      </c>
      <c r="B9" s="3">
        <v>224362</v>
      </c>
      <c r="C9" s="3">
        <v>255432</v>
      </c>
      <c r="D9" s="3">
        <v>479794</v>
      </c>
      <c r="E9" t="s">
        <v>26</v>
      </c>
    </row>
    <row r="10" spans="1:6">
      <c r="A10">
        <v>10</v>
      </c>
      <c r="B10" s="3">
        <v>207297</v>
      </c>
      <c r="C10" s="3">
        <v>245853</v>
      </c>
      <c r="D10" s="3">
        <v>453150</v>
      </c>
      <c r="E10" t="s">
        <v>27</v>
      </c>
    </row>
    <row r="11" spans="1:6">
      <c r="A11">
        <v>11</v>
      </c>
      <c r="B11" s="3">
        <v>203920</v>
      </c>
      <c r="C11" s="3">
        <v>248675</v>
      </c>
      <c r="D11" s="3">
        <v>452595</v>
      </c>
      <c r="E11" t="s">
        <v>28</v>
      </c>
    </row>
    <row r="12" spans="1:6">
      <c r="A12">
        <v>12</v>
      </c>
      <c r="B12" s="3">
        <v>177520</v>
      </c>
      <c r="C12" s="3">
        <v>222457</v>
      </c>
      <c r="D12" s="3">
        <v>399977</v>
      </c>
      <c r="E12" t="s">
        <v>29</v>
      </c>
    </row>
    <row r="13" spans="1:6">
      <c r="A13">
        <v>13</v>
      </c>
      <c r="B13" s="3">
        <v>135470</v>
      </c>
      <c r="C13" s="3">
        <v>175006</v>
      </c>
      <c r="D13" s="3">
        <v>310476</v>
      </c>
      <c r="E13" t="s">
        <v>30</v>
      </c>
    </row>
    <row r="14" spans="1:6">
      <c r="A14">
        <v>14</v>
      </c>
      <c r="B14" s="3">
        <v>97586</v>
      </c>
      <c r="C14" s="3">
        <v>129338</v>
      </c>
      <c r="D14" s="3">
        <v>226924</v>
      </c>
      <c r="E14" t="s">
        <v>31</v>
      </c>
    </row>
    <row r="15" spans="1:6">
      <c r="A15">
        <v>15</v>
      </c>
      <c r="B15" s="3">
        <v>66859</v>
      </c>
      <c r="C15" s="3">
        <v>91784</v>
      </c>
      <c r="D15" s="3">
        <v>158643</v>
      </c>
      <c r="E15" t="s">
        <v>32</v>
      </c>
    </row>
    <row r="16" spans="1:6">
      <c r="A16">
        <v>16</v>
      </c>
      <c r="B16" s="3">
        <v>45668</v>
      </c>
      <c r="C16" s="3">
        <v>66404</v>
      </c>
      <c r="D16" s="3">
        <v>112072</v>
      </c>
      <c r="E16" t="s">
        <v>33</v>
      </c>
    </row>
    <row r="17" spans="1:7">
      <c r="A17">
        <v>17</v>
      </c>
      <c r="B17" s="3">
        <v>28049</v>
      </c>
      <c r="C17" s="3">
        <v>46044</v>
      </c>
      <c r="D17" s="3">
        <v>74093</v>
      </c>
      <c r="E17" t="s">
        <v>34</v>
      </c>
    </row>
    <row r="18" spans="1:7">
      <c r="A18">
        <v>18</v>
      </c>
      <c r="B18" s="3">
        <v>14921</v>
      </c>
      <c r="C18" s="3">
        <v>26745</v>
      </c>
      <c r="D18" s="3">
        <v>41666</v>
      </c>
      <c r="E18" t="s">
        <v>35</v>
      </c>
    </row>
    <row r="19" spans="1:7">
      <c r="A19">
        <v>19</v>
      </c>
      <c r="B19" s="3">
        <v>5324</v>
      </c>
      <c r="C19" s="3">
        <v>11193</v>
      </c>
      <c r="D19" s="3">
        <v>16517</v>
      </c>
      <c r="E19" t="s">
        <v>36</v>
      </c>
    </row>
    <row r="20" spans="1:7">
      <c r="A20">
        <v>20</v>
      </c>
      <c r="B20" s="3">
        <v>1347</v>
      </c>
      <c r="C20" s="3">
        <v>3118</v>
      </c>
      <c r="D20" s="3">
        <v>4465</v>
      </c>
      <c r="E20" t="s">
        <v>37</v>
      </c>
    </row>
    <row r="21" spans="1:7">
      <c r="A21">
        <v>21</v>
      </c>
      <c r="B21">
        <v>852</v>
      </c>
      <c r="C21" s="3">
        <v>1080</v>
      </c>
      <c r="D21" s="3">
        <v>1932</v>
      </c>
      <c r="E21" t="s">
        <v>38</v>
      </c>
    </row>
    <row r="23" spans="1:7">
      <c r="A23" t="s">
        <v>17</v>
      </c>
      <c r="B23" s="3">
        <v>3433586</v>
      </c>
      <c r="C23" s="3">
        <v>3747883</v>
      </c>
      <c r="D23" s="3">
        <v>7181469</v>
      </c>
    </row>
    <row r="24" spans="1:7">
      <c r="B24" s="3">
        <f>SUM(B1:B21)</f>
        <v>3433586</v>
      </c>
      <c r="F24">
        <v>1641000</v>
      </c>
    </row>
    <row r="25" spans="1:7">
      <c r="D25" s="3">
        <v>278511</v>
      </c>
      <c r="F25">
        <f>F24*0.109</f>
        <v>178869</v>
      </c>
      <c r="G25" s="9" t="s">
        <v>42</v>
      </c>
    </row>
    <row r="26" spans="1:7">
      <c r="D26" s="8">
        <f>D25/D23</f>
        <v>3.878189824393867E-2</v>
      </c>
      <c r="E26">
        <f>D26*500</f>
        <v>19.390949121969335</v>
      </c>
      <c r="F26">
        <f>F25/D23</f>
        <v>2.4907021112254332E-2</v>
      </c>
      <c r="G26">
        <f>F26*500</f>
        <v>12.453510556127165</v>
      </c>
    </row>
    <row r="27" spans="1:7">
      <c r="E27">
        <v>13194</v>
      </c>
      <c r="G27" s="9" t="s">
        <v>43</v>
      </c>
    </row>
    <row r="28" spans="1:7">
      <c r="E28">
        <f>E27-2935</f>
        <v>10259</v>
      </c>
      <c r="G28" s="9" t="s">
        <v>44</v>
      </c>
    </row>
    <row r="29" spans="1:7">
      <c r="E29">
        <f>E28/5</f>
        <v>2051.8000000000002</v>
      </c>
      <c r="F29">
        <f>E29/F4</f>
        <v>3.7729874473417432E-4</v>
      </c>
      <c r="G29">
        <f>500*F29</f>
        <v>0.18864937236708715</v>
      </c>
    </row>
    <row r="30" spans="1:7">
      <c r="E30">
        <v>3662</v>
      </c>
      <c r="F30" s="10">
        <f>E30/F4</f>
        <v>6.7339311980531551E-4</v>
      </c>
      <c r="G30">
        <f>500*F30</f>
        <v>0.33669655990265773</v>
      </c>
    </row>
  </sheetData>
  <hyperlinks>
    <hyperlink ref="G25" r:id="rId1" xr:uid="{00000000-0004-0000-0900-000000000000}"/>
    <hyperlink ref="G27" r:id="rId2" xr:uid="{00000000-0004-0000-0900-000001000000}"/>
    <hyperlink ref="G28" r:id="rId3" xr:uid="{00000000-0004-0000-0900-000002000000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12B-2CE1-4FA5-849A-92B86EBE215F}">
  <dimension ref="A1:G12"/>
  <sheetViews>
    <sheetView zoomScale="130" zoomScaleNormal="130" workbookViewId="0">
      <selection activeCell="G4" sqref="G4:G7"/>
    </sheetView>
  </sheetViews>
  <sheetFormatPr defaultColWidth="8.81640625" defaultRowHeight="14.5"/>
  <cols>
    <col min="2" max="2" width="33.453125" customWidth="1"/>
  </cols>
  <sheetData>
    <row r="1" spans="1:7">
      <c r="A1" s="83"/>
      <c r="B1" s="83"/>
      <c r="C1" s="83"/>
      <c r="D1" s="83"/>
      <c r="E1" s="83"/>
      <c r="F1" s="83"/>
      <c r="G1" t="s">
        <v>147</v>
      </c>
    </row>
    <row r="2" spans="1:7">
      <c r="A2" s="83"/>
      <c r="B2" s="84" t="s">
        <v>2</v>
      </c>
      <c r="C2" s="85"/>
      <c r="D2" s="85"/>
      <c r="E2" s="85"/>
      <c r="F2" s="83"/>
      <c r="G2" t="s">
        <v>148</v>
      </c>
    </row>
    <row r="3" spans="1:7" ht="15" thickBot="1">
      <c r="A3" s="83"/>
      <c r="B3" s="88" t="s">
        <v>0</v>
      </c>
      <c r="C3" s="89" t="s">
        <v>3</v>
      </c>
      <c r="D3" s="89" t="s">
        <v>5</v>
      </c>
      <c r="E3" s="89" t="s">
        <v>4</v>
      </c>
      <c r="F3" s="83"/>
    </row>
    <row r="4" spans="1:7" ht="15" thickTop="1">
      <c r="A4" s="83"/>
      <c r="B4" s="79" t="s">
        <v>40</v>
      </c>
      <c r="C4" s="79" t="s">
        <v>14</v>
      </c>
      <c r="D4" s="86" t="s">
        <v>41</v>
      </c>
      <c r="E4" s="147" t="s">
        <v>15</v>
      </c>
      <c r="F4" s="83"/>
    </row>
    <row r="5" spans="1:7">
      <c r="A5" s="83"/>
      <c r="B5" s="79" t="s">
        <v>6</v>
      </c>
      <c r="C5" s="86">
        <f>3*'Tables 3and 4'!$C$10</f>
        <v>2100</v>
      </c>
      <c r="D5" s="86">
        <f>3*'Tables 3and 4'!$C$10*2</f>
        <v>4200</v>
      </c>
      <c r="E5" s="86">
        <f>3*'Tables 3and 4'!$C$10*2</f>
        <v>4200</v>
      </c>
      <c r="F5" s="83"/>
    </row>
    <row r="6" spans="1:7">
      <c r="A6" s="83"/>
      <c r="B6" s="79" t="s">
        <v>10</v>
      </c>
      <c r="C6" s="86" t="s">
        <v>11</v>
      </c>
      <c r="D6" s="86" t="s">
        <v>12</v>
      </c>
      <c r="E6" s="86" t="s">
        <v>11</v>
      </c>
      <c r="F6" s="83"/>
    </row>
    <row r="7" spans="1:7">
      <c r="A7" s="83"/>
      <c r="B7" s="79" t="s">
        <v>13</v>
      </c>
      <c r="C7" s="86">
        <v>10</v>
      </c>
      <c r="D7" s="86">
        <v>10</v>
      </c>
      <c r="E7" s="86">
        <v>12</v>
      </c>
      <c r="F7" s="83"/>
    </row>
    <row r="8" spans="1:7" ht="26">
      <c r="A8" s="83"/>
      <c r="B8" s="87" t="s">
        <v>16</v>
      </c>
      <c r="C8" s="148">
        <v>0</v>
      </c>
      <c r="D8" s="148">
        <v>0</v>
      </c>
      <c r="E8" s="148">
        <v>0</v>
      </c>
      <c r="F8" s="83"/>
    </row>
    <row r="9" spans="1:7">
      <c r="A9" s="83"/>
      <c r="B9" s="190" t="s">
        <v>146</v>
      </c>
      <c r="C9" s="190"/>
      <c r="D9" s="190"/>
      <c r="E9" s="190"/>
      <c r="F9" s="83"/>
    </row>
    <row r="10" spans="1:7">
      <c r="A10" s="83"/>
      <c r="B10" s="191"/>
      <c r="C10" s="191"/>
      <c r="D10" s="191"/>
      <c r="E10" s="191"/>
      <c r="F10" s="83"/>
    </row>
    <row r="11" spans="1:7">
      <c r="A11" s="83"/>
      <c r="B11" s="191"/>
      <c r="C11" s="191"/>
      <c r="D11" s="191"/>
      <c r="E11" s="191"/>
      <c r="F11" s="83"/>
    </row>
    <row r="12" spans="1:7">
      <c r="A12" s="83"/>
      <c r="B12" s="83"/>
      <c r="C12" s="83"/>
      <c r="D12" s="83"/>
      <c r="E12" s="83"/>
      <c r="F12" s="83"/>
    </row>
  </sheetData>
  <mergeCells count="1">
    <mergeCell ref="B9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9"/>
  <sheetViews>
    <sheetView tabSelected="1" zoomScale="160" zoomScaleNormal="160" workbookViewId="0">
      <selection activeCell="B15" sqref="B15"/>
    </sheetView>
  </sheetViews>
  <sheetFormatPr defaultColWidth="8.6328125" defaultRowHeight="15.5"/>
  <cols>
    <col min="1" max="1" width="5.6328125" style="2" customWidth="1"/>
    <col min="2" max="2" width="6.453125" style="2" customWidth="1"/>
    <col min="3" max="3" width="4.7265625" style="2" bestFit="1" customWidth="1"/>
    <col min="4" max="4" width="7.1796875" style="2" bestFit="1" customWidth="1"/>
    <col min="5" max="5" width="4.7265625" style="2" bestFit="1" customWidth="1"/>
    <col min="6" max="6" width="6.6328125" style="2" bestFit="1" customWidth="1"/>
    <col min="7" max="7" width="4.7265625" style="2" bestFit="1" customWidth="1"/>
    <col min="8" max="8" width="20.81640625" style="2" customWidth="1"/>
    <col min="9" max="9" width="4.7265625" style="2" bestFit="1" customWidth="1"/>
    <col min="10" max="10" width="8.6328125" style="2"/>
    <col min="11" max="11" width="6.453125" style="2" customWidth="1"/>
    <col min="12" max="12" width="5.1796875" style="2" bestFit="1" customWidth="1"/>
    <col min="13" max="13" width="7.1796875" style="2" bestFit="1" customWidth="1"/>
    <col min="14" max="14" width="7.453125" style="2" customWidth="1"/>
    <col min="15" max="15" width="5.90625" style="2" bestFit="1" customWidth="1"/>
    <col min="16" max="16" width="7.81640625" style="2" customWidth="1"/>
    <col min="17" max="17" width="19.453125" style="2" bestFit="1" customWidth="1"/>
    <col min="18" max="18" width="7.81640625" style="2" customWidth="1"/>
    <col min="19" max="16384" width="8.6328125" style="2"/>
  </cols>
  <sheetData>
    <row r="1" spans="2:18">
      <c r="B1" s="145"/>
    </row>
    <row r="2" spans="2:18">
      <c r="B2" s="76" t="s">
        <v>53</v>
      </c>
      <c r="C2" s="65"/>
      <c r="D2" s="65"/>
      <c r="E2" s="65"/>
      <c r="K2" s="166" t="s">
        <v>51</v>
      </c>
    </row>
    <row r="3" spans="2:18" ht="16" thickBot="1">
      <c r="B3" s="124" t="s">
        <v>39</v>
      </c>
      <c r="C3" s="114" t="s">
        <v>45</v>
      </c>
      <c r="D3" s="115" t="s">
        <v>54</v>
      </c>
      <c r="E3" s="116" t="s">
        <v>45</v>
      </c>
      <c r="F3" s="115" t="s">
        <v>57</v>
      </c>
      <c r="G3" s="116" t="s">
        <v>45</v>
      </c>
      <c r="H3" s="125" t="s">
        <v>46</v>
      </c>
      <c r="I3" s="117" t="s">
        <v>45</v>
      </c>
      <c r="K3" s="118" t="s">
        <v>39</v>
      </c>
      <c r="L3" s="121" t="s">
        <v>50</v>
      </c>
      <c r="M3" s="119" t="s">
        <v>54</v>
      </c>
      <c r="N3" s="122" t="s">
        <v>50</v>
      </c>
      <c r="O3" s="118" t="s">
        <v>57</v>
      </c>
      <c r="P3" s="122" t="s">
        <v>50</v>
      </c>
      <c r="Q3" s="118" t="s">
        <v>46</v>
      </c>
      <c r="R3" s="121" t="s">
        <v>50</v>
      </c>
    </row>
    <row r="4" spans="2:18" ht="16" thickTop="1">
      <c r="B4" s="104">
        <v>1</v>
      </c>
      <c r="C4" s="105">
        <f>C10*L4/100</f>
        <v>63</v>
      </c>
      <c r="D4" s="106" t="s">
        <v>55</v>
      </c>
      <c r="E4" s="107">
        <f>N4/100*$C$10</f>
        <v>334.59999999999997</v>
      </c>
      <c r="F4" s="108" t="s">
        <v>58</v>
      </c>
      <c r="G4" s="107">
        <f>P4*$C$10/100</f>
        <v>284.2</v>
      </c>
      <c r="H4" s="96" t="s">
        <v>130</v>
      </c>
      <c r="I4" s="123">
        <f>C10*R4/100</f>
        <v>33.6</v>
      </c>
      <c r="K4" s="96">
        <v>1</v>
      </c>
      <c r="L4" s="96">
        <v>9</v>
      </c>
      <c r="M4" s="99" t="s">
        <v>55</v>
      </c>
      <c r="N4" s="100">
        <v>47.8</v>
      </c>
      <c r="O4" s="96" t="s">
        <v>58</v>
      </c>
      <c r="P4" s="100">
        <v>40.6</v>
      </c>
      <c r="Q4" s="96" t="s">
        <v>130</v>
      </c>
      <c r="R4" s="96">
        <v>4.8</v>
      </c>
    </row>
    <row r="5" spans="2:18">
      <c r="B5" s="104">
        <v>2</v>
      </c>
      <c r="C5" s="105">
        <f>$C$10*L5/100</f>
        <v>289.8</v>
      </c>
      <c r="D5" s="106" t="s">
        <v>56</v>
      </c>
      <c r="E5" s="107">
        <f>N5/100*$C$10</f>
        <v>365.40000000000003</v>
      </c>
      <c r="F5" s="109" t="s">
        <v>59</v>
      </c>
      <c r="G5" s="107">
        <f>P5*$C$10/100</f>
        <v>193.9</v>
      </c>
      <c r="H5" s="96" t="s">
        <v>116</v>
      </c>
      <c r="I5" s="123">
        <f>C4+C5</f>
        <v>352.8</v>
      </c>
      <c r="K5" s="96">
        <v>2</v>
      </c>
      <c r="L5" s="96">
        <v>41.4</v>
      </c>
      <c r="M5" s="99" t="s">
        <v>56</v>
      </c>
      <c r="N5" s="100">
        <v>52.2</v>
      </c>
      <c r="O5" s="96" t="s">
        <v>59</v>
      </c>
      <c r="P5" s="100">
        <v>27.7</v>
      </c>
      <c r="Q5" s="96" t="s">
        <v>47</v>
      </c>
      <c r="R5" s="96">
        <v>50.4</v>
      </c>
    </row>
    <row r="6" spans="2:18" ht="15.5" customHeight="1">
      <c r="B6" s="104">
        <v>3</v>
      </c>
      <c r="C6" s="105">
        <f t="shared" ref="C6:C8" si="0">$C$10*L6/100</f>
        <v>249.2</v>
      </c>
      <c r="D6" s="109"/>
      <c r="E6" s="110"/>
      <c r="F6" s="109" t="s">
        <v>60</v>
      </c>
      <c r="G6" s="107">
        <f>P6*$C$10/100</f>
        <v>221.9</v>
      </c>
      <c r="H6" s="153" t="s">
        <v>49</v>
      </c>
      <c r="I6" s="154">
        <f>0.004*C10</f>
        <v>2.8000000000000003</v>
      </c>
      <c r="K6" s="96">
        <v>3</v>
      </c>
      <c r="L6" s="96">
        <v>35.6</v>
      </c>
      <c r="M6" s="99"/>
      <c r="N6" s="100"/>
      <c r="O6" s="96" t="s">
        <v>60</v>
      </c>
      <c r="P6" s="100">
        <v>31.7</v>
      </c>
      <c r="Q6" s="96" t="s">
        <v>49</v>
      </c>
      <c r="R6" s="96">
        <v>0.4</v>
      </c>
    </row>
    <row r="7" spans="2:18">
      <c r="B7" s="104">
        <v>4</v>
      </c>
      <c r="C7" s="105">
        <f t="shared" si="0"/>
        <v>65.8</v>
      </c>
      <c r="D7" s="109"/>
      <c r="E7" s="110"/>
      <c r="F7" s="109"/>
      <c r="G7" s="110"/>
      <c r="H7" s="2" t="s">
        <v>131</v>
      </c>
      <c r="I7" s="123">
        <f>C10*R7/100</f>
        <v>33.6</v>
      </c>
      <c r="K7" s="96">
        <v>4</v>
      </c>
      <c r="L7" s="96">
        <v>9.4</v>
      </c>
      <c r="M7" s="99"/>
      <c r="N7" s="100"/>
      <c r="O7" s="96"/>
      <c r="P7" s="100"/>
      <c r="Q7" s="2" t="s">
        <v>131</v>
      </c>
      <c r="R7" s="2">
        <v>4.8</v>
      </c>
    </row>
    <row r="8" spans="2:18">
      <c r="B8" s="104">
        <v>5</v>
      </c>
      <c r="C8" s="105">
        <f t="shared" si="0"/>
        <v>21</v>
      </c>
      <c r="D8" s="109"/>
      <c r="E8" s="110"/>
      <c r="F8" s="109"/>
      <c r="G8" s="110"/>
      <c r="H8" s="96" t="s">
        <v>48</v>
      </c>
      <c r="I8" s="123">
        <f>C10-SUM(I4:I7)</f>
        <v>277.19999999999993</v>
      </c>
      <c r="K8" s="96">
        <v>5</v>
      </c>
      <c r="L8" s="96">
        <v>3</v>
      </c>
      <c r="M8" s="99"/>
      <c r="N8" s="100"/>
      <c r="O8" s="96"/>
      <c r="P8" s="100"/>
      <c r="Q8" s="96" t="s">
        <v>48</v>
      </c>
      <c r="R8" s="96">
        <f>R10-SUM(R4:R7)</f>
        <v>39.600000000000009</v>
      </c>
    </row>
    <row r="9" spans="2:18">
      <c r="B9" s="104">
        <v>6</v>
      </c>
      <c r="C9" s="105">
        <f>$C$10*L9/100</f>
        <v>11.2</v>
      </c>
      <c r="D9" s="109"/>
      <c r="E9" s="110"/>
      <c r="F9" s="109"/>
      <c r="G9" s="110"/>
      <c r="K9" s="96">
        <v>6</v>
      </c>
      <c r="L9" s="96">
        <v>1.6</v>
      </c>
      <c r="M9" s="99"/>
      <c r="N9" s="100"/>
      <c r="O9" s="96"/>
      <c r="P9" s="100"/>
      <c r="Q9" s="96"/>
      <c r="R9" s="96"/>
    </row>
    <row r="10" spans="2:18">
      <c r="B10" s="101" t="s">
        <v>17</v>
      </c>
      <c r="C10" s="101">
        <v>700</v>
      </c>
      <c r="D10" s="111"/>
      <c r="E10" s="112">
        <f>SUM(E4:E5)</f>
        <v>700</v>
      </c>
      <c r="F10" s="111"/>
      <c r="G10" s="112">
        <f>SUM(G4:G6)</f>
        <v>700</v>
      </c>
      <c r="H10" s="101"/>
      <c r="I10" s="101">
        <f>SUM(I4:I8)</f>
        <v>700</v>
      </c>
      <c r="K10" s="120" t="s">
        <v>17</v>
      </c>
      <c r="L10" s="101">
        <v>100</v>
      </c>
      <c r="M10" s="102"/>
      <c r="N10" s="103">
        <v>100</v>
      </c>
      <c r="O10" s="101"/>
      <c r="P10" s="103">
        <v>100</v>
      </c>
      <c r="Q10" s="101"/>
      <c r="R10" s="101">
        <v>100</v>
      </c>
    </row>
    <row r="11" spans="2:18" ht="14.5" customHeight="1">
      <c r="B11" s="192" t="s">
        <v>208</v>
      </c>
      <c r="C11" s="192"/>
      <c r="D11" s="192"/>
      <c r="E11" s="192"/>
      <c r="F11" s="192"/>
      <c r="G11" s="192"/>
      <c r="H11" s="192"/>
      <c r="I11" s="192"/>
      <c r="K11" s="96" t="s">
        <v>52</v>
      </c>
    </row>
    <row r="12" spans="2:18">
      <c r="B12" s="193"/>
      <c r="C12" s="193"/>
      <c r="D12" s="193"/>
      <c r="E12" s="193"/>
      <c r="F12" s="193"/>
      <c r="G12" s="193"/>
      <c r="H12" s="193"/>
      <c r="I12" s="193"/>
    </row>
    <row r="13" spans="2:18">
      <c r="B13" s="193"/>
      <c r="C13" s="193"/>
      <c r="D13" s="193"/>
      <c r="E13" s="193"/>
      <c r="F13" s="193"/>
      <c r="G13" s="193"/>
      <c r="H13" s="193"/>
      <c r="I13" s="193"/>
    </row>
    <row r="14" spans="2:18">
      <c r="B14" s="193"/>
      <c r="C14" s="193"/>
      <c r="D14" s="193"/>
      <c r="E14" s="193"/>
      <c r="F14" s="193"/>
      <c r="G14" s="193"/>
      <c r="H14" s="193"/>
      <c r="I14" s="193"/>
      <c r="Q14" s="2">
        <f>2021-18</f>
        <v>2003</v>
      </c>
    </row>
    <row r="15" spans="2:18">
      <c r="B15" s="149"/>
      <c r="C15" s="149"/>
      <c r="D15" s="149"/>
      <c r="E15" s="149"/>
      <c r="F15" s="149"/>
      <c r="G15" s="149"/>
      <c r="H15" s="149"/>
      <c r="I15" s="149"/>
    </row>
    <row r="16" spans="2:18">
      <c r="B16" t="s">
        <v>149</v>
      </c>
      <c r="C16" s="113"/>
      <c r="D16" s="113"/>
      <c r="E16" s="113"/>
      <c r="F16" s="113"/>
      <c r="G16" s="113"/>
      <c r="H16" s="113"/>
      <c r="I16" s="113"/>
    </row>
    <row r="17" spans="2:9">
      <c r="B17" t="s">
        <v>132</v>
      </c>
      <c r="C17" s="113"/>
      <c r="D17" s="113"/>
      <c r="E17" s="113"/>
      <c r="F17" s="113"/>
      <c r="G17" s="113"/>
      <c r="H17" s="113"/>
      <c r="I17" s="113"/>
    </row>
    <row r="18" spans="2:9">
      <c r="B18" s="165" t="s">
        <v>133</v>
      </c>
    </row>
    <row r="19" spans="2:9">
      <c r="B19" s="165" t="s">
        <v>134</v>
      </c>
    </row>
  </sheetData>
  <mergeCells count="1">
    <mergeCell ref="B11:I1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zoomScale="120" zoomScaleNormal="120" workbookViewId="0">
      <selection activeCell="G7" sqref="G7"/>
    </sheetView>
  </sheetViews>
  <sheetFormatPr defaultColWidth="8.6328125" defaultRowHeight="13"/>
  <cols>
    <col min="1" max="1" width="2.81640625" style="6" customWidth="1"/>
    <col min="2" max="2" width="8.6328125" style="6"/>
    <col min="3" max="3" width="10.36328125" style="6" customWidth="1"/>
    <col min="4" max="4" width="5.1796875" style="6" customWidth="1"/>
    <col min="5" max="5" width="6.1796875" style="6" customWidth="1"/>
    <col min="6" max="6" width="12.81640625" style="6" customWidth="1"/>
    <col min="7" max="7" width="16.6328125" style="6" customWidth="1"/>
    <col min="8" max="8" width="6.81640625" style="6" customWidth="1"/>
    <col min="9" max="9" width="8.6328125" style="6" customWidth="1"/>
    <col min="10" max="16384" width="8.6328125" style="6"/>
  </cols>
  <sheetData>
    <row r="1" spans="1:12">
      <c r="K1" s="144"/>
      <c r="L1" s="6" t="s">
        <v>123</v>
      </c>
    </row>
    <row r="3" spans="1:12" ht="65">
      <c r="A3" s="7"/>
      <c r="B3" s="137" t="s">
        <v>72</v>
      </c>
      <c r="C3" s="142" t="s">
        <v>71</v>
      </c>
      <c r="D3" s="138" t="s">
        <v>61</v>
      </c>
      <c r="E3" s="138" t="s">
        <v>63</v>
      </c>
      <c r="F3" s="140" t="s">
        <v>118</v>
      </c>
      <c r="G3" s="139" t="s">
        <v>0</v>
      </c>
      <c r="H3" s="140" t="s">
        <v>62</v>
      </c>
      <c r="I3" s="139" t="s">
        <v>63</v>
      </c>
      <c r="J3" s="141" t="s">
        <v>70</v>
      </c>
    </row>
    <row r="4" spans="1:12" ht="15.5">
      <c r="A4" s="11"/>
      <c r="D4" s="14"/>
      <c r="E4" s="14"/>
      <c r="F4" s="14"/>
      <c r="G4" s="14"/>
      <c r="H4" s="165" t="s">
        <v>133</v>
      </c>
      <c r="I4" s="14"/>
      <c r="J4" s="14"/>
      <c r="K4" s="14"/>
    </row>
    <row r="5" spans="1:12" ht="15.5">
      <c r="A5" s="12"/>
      <c r="H5" s="165" t="s">
        <v>134</v>
      </c>
    </row>
    <row r="6" spans="1:12" ht="15.5">
      <c r="A6" s="13"/>
      <c r="B6" s="2"/>
      <c r="C6" t="s">
        <v>132</v>
      </c>
    </row>
    <row r="7" spans="1:12" ht="15.5">
      <c r="A7" s="13"/>
      <c r="B7" s="2"/>
    </row>
    <row r="8" spans="1:12" ht="15.5">
      <c r="A8" s="13"/>
      <c r="B8" s="2"/>
    </row>
    <row r="9" spans="1:12">
      <c r="A9" s="13"/>
    </row>
    <row r="10" spans="1:12">
      <c r="A10" s="13"/>
    </row>
    <row r="11" spans="1:12">
      <c r="A11" s="13"/>
    </row>
    <row r="12" spans="1:12">
      <c r="A12" s="13"/>
    </row>
    <row r="13" spans="1:12">
      <c r="A13" s="13"/>
    </row>
    <row r="14" spans="1:12">
      <c r="A1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A839-36AC-4CCC-84C2-6B60E1023EB4}">
  <dimension ref="B1:AJ16"/>
  <sheetViews>
    <sheetView zoomScale="93" zoomScaleNormal="93" workbookViewId="0">
      <selection activeCell="B2" sqref="B2:M15"/>
    </sheetView>
  </sheetViews>
  <sheetFormatPr defaultColWidth="8.6328125" defaultRowHeight="14"/>
  <cols>
    <col min="1" max="3" width="8.6328125" style="1"/>
    <col min="4" max="4" width="2.90625" style="1" bestFit="1" customWidth="1"/>
    <col min="5" max="5" width="9.90625" style="1" bestFit="1" customWidth="1"/>
    <col min="6" max="6" width="5.36328125" style="1" customWidth="1"/>
    <col min="7" max="7" width="9.90625" style="1" bestFit="1" customWidth="1"/>
    <col min="8" max="15" width="5.36328125" style="1" customWidth="1"/>
    <col min="16" max="16" width="10.453125" style="1" customWidth="1"/>
    <col min="17" max="17" width="7.81640625" style="1" customWidth="1"/>
    <col min="18" max="18" width="3.08984375" style="1" bestFit="1" customWidth="1"/>
    <col min="19" max="19" width="7.81640625" style="1" customWidth="1"/>
    <col min="20" max="20" width="3.90625" style="1" bestFit="1" customWidth="1"/>
    <col min="21" max="21" width="4.6328125" style="1" bestFit="1" customWidth="1"/>
    <col min="22" max="22" width="3.7265625" style="1" bestFit="1" customWidth="1"/>
    <col min="23" max="23" width="3.453125" style="1" bestFit="1" customWidth="1"/>
    <col min="24" max="24" width="6.1796875" style="1" bestFit="1" customWidth="1"/>
    <col min="25" max="25" width="3.08984375" style="1" bestFit="1" customWidth="1"/>
    <col min="26" max="26" width="4.453125" style="1" bestFit="1" customWidth="1"/>
    <col min="27" max="27" width="5.453125" style="1" bestFit="1" customWidth="1"/>
    <col min="28" max="35" width="8.6328125" style="1"/>
    <col min="36" max="36" width="10.453125" style="146" customWidth="1"/>
    <col min="37" max="16384" width="8.6328125" style="1"/>
  </cols>
  <sheetData>
    <row r="1" spans="2:36">
      <c r="B1" s="168" t="s">
        <v>154</v>
      </c>
    </row>
    <row r="2" spans="2:36">
      <c r="B2" s="85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90"/>
      <c r="P2" s="85" t="s">
        <v>151</v>
      </c>
      <c r="Q2" s="85"/>
      <c r="AJ2" s="146" t="s">
        <v>124</v>
      </c>
    </row>
    <row r="3" spans="2:36">
      <c r="B3" s="197" t="s">
        <v>117</v>
      </c>
      <c r="C3" s="200" t="s">
        <v>45</v>
      </c>
      <c r="F3" s="207" t="s">
        <v>9</v>
      </c>
      <c r="G3" s="206"/>
      <c r="H3" s="206"/>
      <c r="I3" s="206"/>
      <c r="J3" s="206"/>
      <c r="K3" s="206"/>
      <c r="L3" s="206"/>
      <c r="M3" s="203" t="s">
        <v>17</v>
      </c>
      <c r="P3" s="146">
        <v>1</v>
      </c>
      <c r="Q3" s="1" t="s">
        <v>125</v>
      </c>
      <c r="AJ3" s="1"/>
    </row>
    <row r="4" spans="2:36">
      <c r="B4" s="198"/>
      <c r="C4" s="201"/>
      <c r="D4" s="77"/>
      <c r="E4" s="77"/>
      <c r="F4" s="206" t="s">
        <v>0</v>
      </c>
      <c r="G4" s="206"/>
      <c r="H4" s="206"/>
      <c r="I4" s="169"/>
      <c r="J4" s="77"/>
      <c r="K4" s="77"/>
      <c r="M4" s="204"/>
      <c r="P4" s="146">
        <v>3</v>
      </c>
      <c r="Q4" s="1" t="s">
        <v>126</v>
      </c>
      <c r="AJ4" s="1"/>
    </row>
    <row r="5" spans="2:36">
      <c r="B5" s="199"/>
      <c r="C5" s="202"/>
      <c r="D5" s="158" t="s">
        <v>61</v>
      </c>
      <c r="E5" s="170" t="s">
        <v>66</v>
      </c>
      <c r="F5" s="170" t="s">
        <v>3</v>
      </c>
      <c r="G5" s="170" t="s">
        <v>5</v>
      </c>
      <c r="H5" s="170" t="s">
        <v>4</v>
      </c>
      <c r="I5" s="167" t="s">
        <v>63</v>
      </c>
      <c r="J5" s="167" t="s">
        <v>115</v>
      </c>
      <c r="K5" s="170" t="s">
        <v>62</v>
      </c>
      <c r="L5" s="170" t="s">
        <v>103</v>
      </c>
      <c r="M5" s="205"/>
      <c r="P5" s="146">
        <v>4</v>
      </c>
      <c r="Q5" s="1" t="s">
        <v>209</v>
      </c>
      <c r="AJ5" s="1"/>
    </row>
    <row r="6" spans="2:36">
      <c r="B6" s="195" t="s">
        <v>65</v>
      </c>
      <c r="C6" s="91">
        <v>175</v>
      </c>
      <c r="D6" s="163" t="s">
        <v>68</v>
      </c>
      <c r="E6" s="172" t="s">
        <v>121</v>
      </c>
      <c r="F6" s="163">
        <v>4</v>
      </c>
      <c r="G6" s="163">
        <v>4</v>
      </c>
      <c r="H6" s="163">
        <v>4</v>
      </c>
      <c r="I6" s="163" t="s">
        <v>68</v>
      </c>
      <c r="J6" s="163" t="s">
        <v>68</v>
      </c>
      <c r="K6" s="163" t="s">
        <v>68</v>
      </c>
      <c r="L6" s="163" t="s">
        <v>68</v>
      </c>
      <c r="M6" s="164">
        <f>1+SUM(F6:L6)</f>
        <v>13</v>
      </c>
      <c r="P6" s="146">
        <v>5</v>
      </c>
      <c r="Q6" s="1" t="s">
        <v>152</v>
      </c>
      <c r="S6" s="1" t="s">
        <v>150</v>
      </c>
      <c r="AJ6" s="1"/>
    </row>
    <row r="7" spans="2:36">
      <c r="B7" s="196"/>
      <c r="C7" s="91">
        <v>175</v>
      </c>
      <c r="D7" s="163" t="s">
        <v>68</v>
      </c>
      <c r="E7" s="172" t="s">
        <v>69</v>
      </c>
      <c r="F7" s="163">
        <v>4</v>
      </c>
      <c r="G7" s="163">
        <v>4</v>
      </c>
      <c r="H7" s="163">
        <v>4</v>
      </c>
      <c r="I7" s="163" t="s">
        <v>68</v>
      </c>
      <c r="J7" s="163" t="s">
        <v>68</v>
      </c>
      <c r="K7" s="163" t="s">
        <v>68</v>
      </c>
      <c r="L7" s="163" t="s">
        <v>68</v>
      </c>
      <c r="M7" s="164">
        <f>1+SUM(F7:L7)</f>
        <v>13</v>
      </c>
      <c r="P7" s="146"/>
      <c r="AJ7" s="1"/>
    </row>
    <row r="8" spans="2:36">
      <c r="B8" s="196"/>
      <c r="C8" s="91">
        <v>175</v>
      </c>
      <c r="D8" s="159" t="s">
        <v>68</v>
      </c>
      <c r="E8" s="173" t="s">
        <v>67</v>
      </c>
      <c r="F8" s="159">
        <v>4</v>
      </c>
      <c r="G8" s="159">
        <v>4</v>
      </c>
      <c r="H8" s="159">
        <v>4</v>
      </c>
      <c r="I8" s="159" t="s">
        <v>68</v>
      </c>
      <c r="J8" s="159" t="s">
        <v>68</v>
      </c>
      <c r="K8" s="159" t="s">
        <v>68</v>
      </c>
      <c r="L8" s="159" t="s">
        <v>68</v>
      </c>
      <c r="M8" s="160">
        <f>1+SUM(F8:L8)</f>
        <v>13</v>
      </c>
      <c r="P8" s="146"/>
      <c r="AJ8" s="1"/>
    </row>
    <row r="9" spans="2:36">
      <c r="B9" s="196"/>
      <c r="C9" s="91">
        <v>175</v>
      </c>
      <c r="D9" s="161" t="s">
        <v>68</v>
      </c>
      <c r="E9" s="174" t="s">
        <v>119</v>
      </c>
      <c r="F9" s="161">
        <v>4</v>
      </c>
      <c r="G9" s="161">
        <v>4</v>
      </c>
      <c r="H9" s="161">
        <v>4</v>
      </c>
      <c r="I9" s="161" t="s">
        <v>68</v>
      </c>
      <c r="J9" s="161" t="s">
        <v>68</v>
      </c>
      <c r="K9" s="161" t="s">
        <v>68</v>
      </c>
      <c r="L9" s="161" t="s">
        <v>68</v>
      </c>
      <c r="M9" s="162">
        <f>1+SUM(F9:L9)</f>
        <v>13</v>
      </c>
      <c r="P9" s="146"/>
      <c r="AJ9" s="1"/>
    </row>
    <row r="10" spans="2:36">
      <c r="B10" s="155" t="s">
        <v>17</v>
      </c>
      <c r="C10" s="155">
        <f>SUM(C6:C9)</f>
        <v>700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7"/>
      <c r="AJ10" s="1"/>
    </row>
    <row r="11" spans="2:36" ht="14" customHeight="1">
      <c r="B11" s="194" t="s">
        <v>153</v>
      </c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75"/>
      <c r="O11" s="85"/>
    </row>
    <row r="12" spans="2:36"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76"/>
      <c r="O12" s="85"/>
      <c r="Q12" s="85"/>
    </row>
    <row r="13" spans="2:36"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76"/>
      <c r="O13" s="85"/>
      <c r="Q13" s="85"/>
    </row>
    <row r="14" spans="2:36"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76"/>
      <c r="O14" s="85"/>
      <c r="Q14" s="85"/>
    </row>
    <row r="15" spans="2:36"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76"/>
      <c r="O15" s="85"/>
      <c r="Q15" s="85"/>
    </row>
    <row r="16" spans="2:36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Q16" s="85"/>
    </row>
  </sheetData>
  <mergeCells count="7">
    <mergeCell ref="B11:M15"/>
    <mergeCell ref="B6:B9"/>
    <mergeCell ref="B3:B5"/>
    <mergeCell ref="C3:C5"/>
    <mergeCell ref="M3:M5"/>
    <mergeCell ref="F4:H4"/>
    <mergeCell ref="F3:L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000"/>
  <sheetViews>
    <sheetView topLeftCell="A8" zoomScale="90" zoomScaleNormal="90" workbookViewId="0">
      <selection activeCell="E15" sqref="E15"/>
    </sheetView>
  </sheetViews>
  <sheetFormatPr defaultColWidth="9.1796875" defaultRowHeight="15.5"/>
  <cols>
    <col min="1" max="1" width="41.36328125" style="65" bestFit="1" customWidth="1"/>
    <col min="2" max="10" width="7" style="65" customWidth="1"/>
    <col min="11" max="11" width="9.1796875" style="65"/>
    <col min="12" max="12" width="18.81640625" style="65" customWidth="1"/>
    <col min="13" max="16384" width="9.1796875" style="65"/>
  </cols>
  <sheetData>
    <row r="1" spans="1:28">
      <c r="L1" s="65" t="s">
        <v>206</v>
      </c>
    </row>
    <row r="2" spans="1:28">
      <c r="A2" s="53" t="s">
        <v>73</v>
      </c>
      <c r="B2" s="55"/>
      <c r="C2" s="55"/>
      <c r="D2" s="55"/>
      <c r="E2" s="55"/>
      <c r="F2" s="55"/>
      <c r="G2" s="64"/>
      <c r="H2" s="55"/>
      <c r="I2" s="55"/>
      <c r="J2" s="55"/>
      <c r="K2" s="95"/>
      <c r="L2" s="65" t="s">
        <v>168</v>
      </c>
      <c r="M2" s="65" t="s">
        <v>169</v>
      </c>
      <c r="N2" s="65" t="s">
        <v>170</v>
      </c>
      <c r="O2" s="65" t="s">
        <v>171</v>
      </c>
      <c r="P2" s="65" t="s">
        <v>172</v>
      </c>
      <c r="Q2" s="65" t="s">
        <v>173</v>
      </c>
      <c r="R2" s="65" t="s">
        <v>174</v>
      </c>
      <c r="S2" s="65" t="s">
        <v>175</v>
      </c>
      <c r="T2" s="65" t="s">
        <v>176</v>
      </c>
      <c r="V2" s="55"/>
      <c r="W2" s="55"/>
      <c r="X2" s="55"/>
      <c r="Y2" s="55"/>
      <c r="Z2" s="55"/>
      <c r="AA2" s="55"/>
      <c r="AB2" s="55"/>
    </row>
    <row r="3" spans="1:28">
      <c r="A3" s="54" t="s">
        <v>74</v>
      </c>
      <c r="B3" s="66" t="s">
        <v>75</v>
      </c>
      <c r="C3" s="55"/>
      <c r="D3" s="55"/>
      <c r="E3" s="55"/>
      <c r="F3" s="55"/>
      <c r="G3" s="55"/>
      <c r="H3" s="55"/>
      <c r="I3" s="55"/>
      <c r="J3" s="55"/>
      <c r="K3" s="95"/>
      <c r="U3" s="178" t="s">
        <v>204</v>
      </c>
      <c r="V3" s="55"/>
      <c r="W3" s="55"/>
      <c r="X3" s="55"/>
      <c r="Y3" s="55"/>
      <c r="Z3" s="55"/>
      <c r="AA3" s="55"/>
      <c r="AB3" s="55"/>
    </row>
    <row r="4" spans="1:28">
      <c r="A4" s="54" t="s">
        <v>64</v>
      </c>
      <c r="B4" s="55" t="s">
        <v>50</v>
      </c>
      <c r="D4" s="55"/>
      <c r="E4" s="55"/>
      <c r="F4" s="55"/>
      <c r="G4" s="55"/>
      <c r="H4" s="55"/>
      <c r="I4" s="55"/>
      <c r="J4" s="55"/>
      <c r="K4" s="95"/>
      <c r="L4" s="65">
        <v>0.05</v>
      </c>
      <c r="M4" s="65">
        <v>0.8</v>
      </c>
      <c r="N4" s="65">
        <v>200</v>
      </c>
      <c r="O4" s="65">
        <v>100</v>
      </c>
      <c r="P4" s="65">
        <v>100</v>
      </c>
      <c r="Q4" s="65">
        <v>0.1087</v>
      </c>
      <c r="R4" s="65">
        <v>0.36699999999999999</v>
      </c>
      <c r="S4" s="65">
        <v>0.47570000000000001</v>
      </c>
      <c r="T4" s="65">
        <v>0.308</v>
      </c>
      <c r="U4" s="178" t="s">
        <v>205</v>
      </c>
      <c r="V4" s="55"/>
      <c r="W4" s="55"/>
      <c r="X4" s="55"/>
      <c r="Y4" s="55"/>
      <c r="Z4" s="55"/>
      <c r="AA4" s="55"/>
      <c r="AB4" s="55"/>
    </row>
    <row r="5" spans="1:28">
      <c r="A5" s="54" t="s">
        <v>76</v>
      </c>
      <c r="B5" s="56">
        <v>0.36699999999999999</v>
      </c>
      <c r="C5" s="65" t="s">
        <v>101</v>
      </c>
      <c r="D5" s="55"/>
      <c r="E5" s="55"/>
      <c r="F5" s="55"/>
      <c r="G5" s="56"/>
      <c r="H5" s="55"/>
      <c r="I5" s="55"/>
      <c r="J5" s="55"/>
      <c r="K5" s="95"/>
      <c r="L5" s="65">
        <v>0.05</v>
      </c>
      <c r="M5" s="65">
        <v>0.8</v>
      </c>
      <c r="N5" s="65">
        <v>250</v>
      </c>
      <c r="O5" s="65">
        <v>125</v>
      </c>
      <c r="P5" s="65">
        <v>125</v>
      </c>
      <c r="Q5" s="65">
        <v>9.7140000000000004E-2</v>
      </c>
      <c r="R5" s="65">
        <v>0.36699999999999999</v>
      </c>
      <c r="S5" s="65">
        <v>0.46410000000000001</v>
      </c>
      <c r="T5" s="65">
        <v>0.308</v>
      </c>
      <c r="U5" s="179" t="s">
        <v>183</v>
      </c>
      <c r="V5" s="55"/>
      <c r="W5" s="55"/>
      <c r="X5" s="55"/>
      <c r="Y5" s="55"/>
      <c r="Z5" s="55"/>
      <c r="AA5" s="55"/>
      <c r="AB5" s="55"/>
    </row>
    <row r="6" spans="1:28">
      <c r="A6" s="54" t="s">
        <v>77</v>
      </c>
      <c r="B6" s="56">
        <v>0.308</v>
      </c>
      <c r="C6" s="65" t="s">
        <v>102</v>
      </c>
      <c r="D6" s="55"/>
      <c r="E6" s="55"/>
      <c r="F6" s="55"/>
      <c r="G6" s="56"/>
      <c r="H6" s="55"/>
      <c r="I6" s="55"/>
      <c r="J6" s="55"/>
      <c r="K6" s="95"/>
      <c r="L6" s="65">
        <v>0.05</v>
      </c>
      <c r="M6" s="65">
        <v>0.8</v>
      </c>
      <c r="N6" s="65">
        <v>300</v>
      </c>
      <c r="O6" s="65">
        <v>150</v>
      </c>
      <c r="P6" s="65">
        <v>150</v>
      </c>
      <c r="Q6" s="65">
        <v>8.863E-2</v>
      </c>
      <c r="R6" s="65">
        <v>0.36699999999999999</v>
      </c>
      <c r="S6" s="65">
        <v>0.4556</v>
      </c>
      <c r="T6" s="65">
        <v>0.308</v>
      </c>
      <c r="U6" s="55"/>
      <c r="V6" s="55"/>
      <c r="W6" s="55"/>
      <c r="X6" s="55"/>
      <c r="Y6" s="55"/>
      <c r="Z6" s="55"/>
      <c r="AA6" s="55"/>
      <c r="AB6" s="55"/>
    </row>
    <row r="7" spans="1:28">
      <c r="A7" s="57" t="s">
        <v>78</v>
      </c>
      <c r="B7" s="56">
        <v>0.8</v>
      </c>
      <c r="C7" s="55"/>
      <c r="D7" s="55"/>
      <c r="E7" s="55"/>
      <c r="F7" s="55"/>
      <c r="G7" s="55"/>
      <c r="H7" s="55"/>
      <c r="I7" s="55"/>
      <c r="J7" s="55"/>
      <c r="K7" s="95"/>
      <c r="L7" s="65">
        <v>0.05</v>
      </c>
      <c r="M7" s="65">
        <v>0.8</v>
      </c>
      <c r="N7" s="65">
        <v>350</v>
      </c>
      <c r="O7" s="65">
        <v>175</v>
      </c>
      <c r="P7" s="65">
        <v>175</v>
      </c>
      <c r="Q7" s="182">
        <v>8.2030000000000006E-2</v>
      </c>
      <c r="R7" s="65">
        <v>0.36699999999999999</v>
      </c>
      <c r="S7" s="65">
        <v>0.44900000000000001</v>
      </c>
      <c r="T7" s="65">
        <v>0.308</v>
      </c>
      <c r="U7" s="55" t="s">
        <v>184</v>
      </c>
      <c r="V7" s="55"/>
      <c r="W7" s="55"/>
      <c r="X7" s="55"/>
      <c r="Y7" s="55"/>
      <c r="Z7" s="55"/>
      <c r="AA7" s="55"/>
      <c r="AB7" s="55"/>
    </row>
    <row r="8" spans="1:28">
      <c r="A8" s="57" t="s">
        <v>79</v>
      </c>
      <c r="B8" s="56">
        <v>0.05</v>
      </c>
      <c r="C8" s="55"/>
      <c r="D8" s="55"/>
      <c r="E8" s="55"/>
      <c r="F8" s="55"/>
      <c r="G8" s="55"/>
      <c r="H8" s="55"/>
      <c r="I8" s="55"/>
      <c r="J8" s="55"/>
      <c r="K8" s="97"/>
      <c r="L8" s="65">
        <v>0.05</v>
      </c>
      <c r="M8" s="65">
        <v>0.8</v>
      </c>
      <c r="N8" s="65">
        <v>400</v>
      </c>
      <c r="O8" s="65">
        <v>200</v>
      </c>
      <c r="P8" s="65">
        <v>200</v>
      </c>
      <c r="Q8" s="65">
        <v>7.671E-2</v>
      </c>
      <c r="R8" s="65">
        <v>0.36699999999999999</v>
      </c>
      <c r="S8" s="65">
        <v>0.44369999999999998</v>
      </c>
      <c r="T8" s="65">
        <v>0.308</v>
      </c>
      <c r="U8" s="55" t="s">
        <v>202</v>
      </c>
      <c r="V8" s="55"/>
      <c r="W8" s="55"/>
      <c r="X8" s="55"/>
      <c r="Y8" s="55"/>
      <c r="Z8" s="55"/>
      <c r="AA8" s="55"/>
      <c r="AB8" s="55"/>
    </row>
    <row r="9" spans="1:28">
      <c r="A9" s="55"/>
      <c r="B9" s="64"/>
      <c r="C9" s="55"/>
      <c r="D9" s="55"/>
      <c r="E9" s="55"/>
      <c r="F9" s="55"/>
      <c r="G9" s="55"/>
      <c r="H9" s="55"/>
      <c r="I9" s="55"/>
      <c r="J9" s="55"/>
      <c r="K9" s="98"/>
      <c r="L9" s="65">
        <v>0.05</v>
      </c>
      <c r="M9" s="65">
        <v>0.8</v>
      </c>
      <c r="N9" s="65">
        <v>450</v>
      </c>
      <c r="O9" s="65">
        <v>225</v>
      </c>
      <c r="P9" s="65">
        <v>225</v>
      </c>
      <c r="Q9" s="65">
        <v>7.2309999999999999E-2</v>
      </c>
      <c r="R9" s="65">
        <v>0.36699999999999999</v>
      </c>
      <c r="S9" s="65">
        <v>0.43930000000000002</v>
      </c>
      <c r="T9" s="65">
        <v>0.308</v>
      </c>
      <c r="U9" s="55" t="s">
        <v>203</v>
      </c>
      <c r="V9" s="55"/>
      <c r="W9" s="55"/>
      <c r="X9" s="55"/>
      <c r="Y9" s="55"/>
      <c r="Z9" s="55"/>
      <c r="AA9" s="55"/>
      <c r="AB9" s="55"/>
    </row>
    <row r="10" spans="1:28">
      <c r="A10" s="67"/>
      <c r="B10" s="208" t="s">
        <v>80</v>
      </c>
      <c r="C10" s="208"/>
      <c r="D10" s="208"/>
      <c r="E10" s="208"/>
      <c r="F10" s="208"/>
      <c r="G10" s="208"/>
      <c r="H10" s="208"/>
      <c r="I10" s="208"/>
      <c r="J10" s="55"/>
      <c r="K10" s="92"/>
      <c r="L10" s="65">
        <v>0.05</v>
      </c>
      <c r="M10" s="65">
        <v>0.8</v>
      </c>
      <c r="N10" s="65">
        <v>500</v>
      </c>
      <c r="O10" s="65">
        <v>250</v>
      </c>
      <c r="P10" s="65">
        <v>250</v>
      </c>
      <c r="Q10" s="65">
        <v>6.8589999999999998E-2</v>
      </c>
      <c r="R10" s="65">
        <v>0.36699999999999999</v>
      </c>
      <c r="S10" s="65">
        <v>0.43559999999999999</v>
      </c>
      <c r="T10" s="65">
        <v>0.308</v>
      </c>
      <c r="U10" s="55"/>
      <c r="V10" s="55"/>
      <c r="W10" s="55"/>
      <c r="X10" s="55"/>
      <c r="Y10" s="55"/>
      <c r="Z10" s="55"/>
      <c r="AA10" s="55"/>
      <c r="AB10" s="55"/>
    </row>
    <row r="11" spans="1:28">
      <c r="A11" s="68" t="s">
        <v>64</v>
      </c>
      <c r="B11" s="58">
        <v>0.05</v>
      </c>
      <c r="C11" s="58">
        <v>0.1</v>
      </c>
      <c r="D11" s="76">
        <v>0.2</v>
      </c>
      <c r="E11" s="58">
        <v>0.25</v>
      </c>
      <c r="F11" s="76">
        <v>0.3</v>
      </c>
      <c r="G11" s="76">
        <v>0.4</v>
      </c>
      <c r="H11" s="58">
        <v>0.5</v>
      </c>
      <c r="I11" s="58">
        <v>0.75</v>
      </c>
      <c r="J11" s="61">
        <v>1</v>
      </c>
      <c r="K11" s="94"/>
      <c r="U11" s="55"/>
      <c r="V11" s="55"/>
      <c r="W11" s="55"/>
      <c r="X11" s="55"/>
      <c r="Y11" s="55"/>
      <c r="Z11" s="55"/>
      <c r="AA11" s="55"/>
      <c r="AB11" s="55"/>
    </row>
    <row r="12" spans="1:28">
      <c r="A12" s="69" t="s">
        <v>199</v>
      </c>
      <c r="B12" s="59">
        <f t="shared" ref="B12:J12" si="0">B11*$B$6</f>
        <v>1.54E-2</v>
      </c>
      <c r="C12" s="59">
        <f t="shared" si="0"/>
        <v>3.0800000000000001E-2</v>
      </c>
      <c r="D12" s="59">
        <f t="shared" si="0"/>
        <v>6.1600000000000002E-2</v>
      </c>
      <c r="E12" s="59">
        <f t="shared" si="0"/>
        <v>7.6999999999999999E-2</v>
      </c>
      <c r="F12" s="59">
        <f t="shared" si="0"/>
        <v>9.2399999999999996E-2</v>
      </c>
      <c r="G12" s="59">
        <f t="shared" si="0"/>
        <v>0.1232</v>
      </c>
      <c r="H12" s="59">
        <f t="shared" si="0"/>
        <v>0.154</v>
      </c>
      <c r="I12" s="59">
        <f t="shared" si="0"/>
        <v>0.23099999999999998</v>
      </c>
      <c r="J12" s="62">
        <f t="shared" si="0"/>
        <v>0.308</v>
      </c>
      <c r="K12" s="93"/>
      <c r="U12" s="55"/>
      <c r="V12" s="55"/>
      <c r="W12" s="55"/>
      <c r="X12" s="55"/>
      <c r="Y12" s="55"/>
      <c r="Z12" s="55"/>
      <c r="AA12" s="55"/>
      <c r="AB12" s="55"/>
    </row>
    <row r="13" spans="1:28">
      <c r="A13" s="69" t="s">
        <v>100</v>
      </c>
      <c r="B13" s="60">
        <f t="shared" ref="B13:J13" si="1">B12+$B$5</f>
        <v>0.38240000000000002</v>
      </c>
      <c r="C13" s="60">
        <f t="shared" si="1"/>
        <v>0.39779999999999999</v>
      </c>
      <c r="D13" s="60">
        <f t="shared" si="1"/>
        <v>0.42859999999999998</v>
      </c>
      <c r="E13" s="60">
        <f t="shared" si="1"/>
        <v>0.44400000000000001</v>
      </c>
      <c r="F13" s="60">
        <f t="shared" si="1"/>
        <v>0.45939999999999998</v>
      </c>
      <c r="G13" s="60">
        <f t="shared" si="1"/>
        <v>0.49019999999999997</v>
      </c>
      <c r="H13" s="60">
        <f t="shared" si="1"/>
        <v>0.52100000000000002</v>
      </c>
      <c r="I13" s="60">
        <f t="shared" si="1"/>
        <v>0.59799999999999998</v>
      </c>
      <c r="J13" s="63">
        <f t="shared" si="1"/>
        <v>0.67500000000000004</v>
      </c>
      <c r="K13" s="83"/>
      <c r="L13" s="65" t="s">
        <v>168</v>
      </c>
      <c r="M13" s="65" t="s">
        <v>169</v>
      </c>
      <c r="N13" s="65" t="s">
        <v>170</v>
      </c>
      <c r="O13" s="65" t="s">
        <v>171</v>
      </c>
      <c r="P13" s="65" t="s">
        <v>172</v>
      </c>
      <c r="Q13" s="65" t="s">
        <v>173</v>
      </c>
      <c r="R13" s="65" t="s">
        <v>174</v>
      </c>
      <c r="S13" s="65" t="s">
        <v>175</v>
      </c>
      <c r="T13" s="65" t="s">
        <v>176</v>
      </c>
      <c r="U13" s="55"/>
      <c r="V13" s="55"/>
      <c r="W13" s="55"/>
      <c r="X13" s="55"/>
      <c r="Y13" s="55"/>
      <c r="Z13" s="55"/>
      <c r="AA13" s="55"/>
      <c r="AB13" s="55"/>
    </row>
    <row r="14" spans="1:28">
      <c r="A14" s="71" t="s">
        <v>81</v>
      </c>
      <c r="B14" s="73">
        <v>5215</v>
      </c>
      <c r="C14" s="73">
        <v>1222</v>
      </c>
      <c r="D14" s="65">
        <v>306</v>
      </c>
      <c r="E14" s="55">
        <v>199</v>
      </c>
      <c r="F14" s="55">
        <v>140</v>
      </c>
      <c r="G14" s="55">
        <v>79</v>
      </c>
      <c r="H14" s="55">
        <v>51</v>
      </c>
      <c r="I14" s="55">
        <v>23</v>
      </c>
      <c r="J14" s="72">
        <v>17</v>
      </c>
      <c r="K14" s="96"/>
      <c r="U14" s="55"/>
      <c r="V14" s="55"/>
      <c r="W14" s="55"/>
      <c r="X14" s="55"/>
      <c r="Y14" s="55"/>
      <c r="Z14" s="55"/>
      <c r="AA14" s="55"/>
      <c r="AB14" s="55"/>
    </row>
    <row r="15" spans="1:28">
      <c r="A15" s="55" t="s">
        <v>200</v>
      </c>
      <c r="B15" s="55">
        <f>B14*4</f>
        <v>20860</v>
      </c>
      <c r="C15" s="55">
        <f t="shared" ref="C15" si="2">C14*4</f>
        <v>4888</v>
      </c>
      <c r="D15" s="55">
        <f t="shared" ref="D15" si="3">D14*4</f>
        <v>1224</v>
      </c>
      <c r="E15" s="55">
        <f t="shared" ref="E15" si="4">E14*4</f>
        <v>796</v>
      </c>
      <c r="F15" s="55">
        <f t="shared" ref="F15" si="5">F14*4</f>
        <v>560</v>
      </c>
      <c r="G15" s="55">
        <f t="shared" ref="G15" si="6">G14*4</f>
        <v>316</v>
      </c>
      <c r="H15" s="55">
        <f t="shared" ref="H15" si="7">H14*4</f>
        <v>204</v>
      </c>
      <c r="I15" s="55">
        <f t="shared" ref="I15" si="8">I14*4</f>
        <v>92</v>
      </c>
      <c r="J15" s="55">
        <f t="shared" ref="J15" si="9">J14*4</f>
        <v>68</v>
      </c>
      <c r="K15" s="96"/>
      <c r="L15" s="65">
        <v>0.05</v>
      </c>
      <c r="M15" s="65">
        <v>0.8</v>
      </c>
      <c r="N15" s="65">
        <v>200</v>
      </c>
      <c r="O15" s="65">
        <v>100</v>
      </c>
      <c r="P15" s="65">
        <v>100</v>
      </c>
      <c r="Q15" s="65">
        <v>9.5269999999999994E-2</v>
      </c>
      <c r="R15" s="65">
        <v>0.49</v>
      </c>
      <c r="S15" s="65">
        <v>0.58530000000000004</v>
      </c>
      <c r="T15" s="65">
        <v>0.27</v>
      </c>
      <c r="U15" s="55"/>
      <c r="V15" s="55"/>
      <c r="W15" s="55"/>
      <c r="X15" s="55"/>
      <c r="Y15" s="55"/>
      <c r="Z15" s="55"/>
      <c r="AA15" s="55"/>
      <c r="AB15" s="55"/>
    </row>
    <row r="16" spans="1:28" ht="15.5" customHeight="1">
      <c r="A16" s="209" t="s">
        <v>201</v>
      </c>
      <c r="B16" s="210"/>
      <c r="C16" s="210"/>
      <c r="D16" s="210"/>
      <c r="E16" s="210"/>
      <c r="F16" s="210"/>
      <c r="G16" s="210"/>
      <c r="H16" s="210"/>
      <c r="I16" s="210"/>
      <c r="J16" s="210"/>
      <c r="K16" s="96"/>
      <c r="L16" s="65">
        <v>0.05</v>
      </c>
      <c r="M16" s="65">
        <v>0.8</v>
      </c>
      <c r="N16" s="65">
        <v>250</v>
      </c>
      <c r="O16" s="65">
        <v>125</v>
      </c>
      <c r="P16" s="65">
        <v>125</v>
      </c>
      <c r="Q16" s="65">
        <v>8.5150000000000003E-2</v>
      </c>
      <c r="R16" s="65">
        <v>0.49</v>
      </c>
      <c r="S16" s="65">
        <v>0.57520000000000004</v>
      </c>
      <c r="T16" s="65">
        <v>0.27</v>
      </c>
      <c r="U16" s="55"/>
      <c r="V16" s="55"/>
      <c r="W16" s="55"/>
      <c r="X16" s="55"/>
      <c r="Y16" s="55"/>
      <c r="Z16" s="55"/>
      <c r="AA16" s="55"/>
      <c r="AB16" s="55"/>
    </row>
    <row r="17" spans="1:28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96"/>
      <c r="L17" s="65">
        <v>0.05</v>
      </c>
      <c r="M17" s="65">
        <v>0.8</v>
      </c>
      <c r="N17" s="65">
        <v>300</v>
      </c>
      <c r="O17" s="65">
        <v>150</v>
      </c>
      <c r="P17" s="65">
        <v>150</v>
      </c>
      <c r="Q17" s="65">
        <v>7.7700000000000005E-2</v>
      </c>
      <c r="R17" s="65">
        <v>0.49</v>
      </c>
      <c r="S17" s="65">
        <v>0.56769999999999998</v>
      </c>
      <c r="T17" s="65">
        <v>0.27</v>
      </c>
      <c r="U17" s="55"/>
      <c r="V17" s="55"/>
      <c r="W17" s="55"/>
      <c r="X17" s="55"/>
      <c r="Y17" s="55"/>
      <c r="Z17" s="55"/>
      <c r="AA17" s="55"/>
      <c r="AB17" s="55"/>
    </row>
    <row r="18" spans="1:28">
      <c r="A18" s="209"/>
      <c r="B18" s="210"/>
      <c r="C18" s="210"/>
      <c r="D18" s="210"/>
      <c r="E18" s="210"/>
      <c r="F18" s="210"/>
      <c r="G18" s="210"/>
      <c r="H18" s="210"/>
      <c r="I18" s="210"/>
      <c r="J18" s="210"/>
      <c r="K18" s="96"/>
      <c r="L18" s="65">
        <v>0.05</v>
      </c>
      <c r="M18" s="65">
        <v>0.8</v>
      </c>
      <c r="N18" s="65">
        <v>350</v>
      </c>
      <c r="O18" s="65">
        <v>175</v>
      </c>
      <c r="P18" s="65">
        <v>175</v>
      </c>
      <c r="Q18" s="182">
        <v>7.1910000000000002E-2</v>
      </c>
      <c r="R18" s="65">
        <v>0.49</v>
      </c>
      <c r="S18" s="65">
        <v>0.56189999999999996</v>
      </c>
      <c r="T18" s="65">
        <v>0.27</v>
      </c>
      <c r="U18" s="55"/>
      <c r="V18" s="55"/>
      <c r="W18" s="55"/>
      <c r="X18" s="55"/>
      <c r="Y18" s="55"/>
      <c r="Z18" s="55"/>
      <c r="AA18" s="55"/>
      <c r="AB18" s="55"/>
    </row>
    <row r="19" spans="1:28">
      <c r="L19" s="65">
        <v>0.05</v>
      </c>
      <c r="M19" s="65">
        <v>0.8</v>
      </c>
      <c r="N19" s="65">
        <v>400</v>
      </c>
      <c r="O19" s="65">
        <v>200</v>
      </c>
      <c r="P19" s="65">
        <v>200</v>
      </c>
      <c r="Q19" s="65">
        <v>6.7250000000000004E-2</v>
      </c>
      <c r="R19" s="65">
        <v>0.49</v>
      </c>
      <c r="S19" s="65">
        <v>0.55720000000000003</v>
      </c>
      <c r="T19" s="65">
        <v>0.27</v>
      </c>
      <c r="U19" s="55"/>
      <c r="V19" s="55"/>
      <c r="W19" s="55"/>
      <c r="X19" s="55"/>
      <c r="Y19" s="55"/>
      <c r="Z19" s="55"/>
      <c r="AA19" s="55"/>
      <c r="AB19" s="55"/>
    </row>
    <row r="20" spans="1:28">
      <c r="A20" s="76" t="s">
        <v>155</v>
      </c>
      <c r="B20" s="76" t="s">
        <v>156</v>
      </c>
      <c r="C20" s="76" t="s">
        <v>157</v>
      </c>
      <c r="D20" s="76" t="s">
        <v>158</v>
      </c>
      <c r="E20" s="76" t="s">
        <v>159</v>
      </c>
      <c r="F20" s="76" t="s">
        <v>160</v>
      </c>
      <c r="G20" s="76" t="s">
        <v>161</v>
      </c>
      <c r="L20" s="65">
        <v>0.05</v>
      </c>
      <c r="M20" s="65">
        <v>0.8</v>
      </c>
      <c r="N20" s="65">
        <v>450</v>
      </c>
      <c r="O20" s="65">
        <v>225</v>
      </c>
      <c r="P20" s="65">
        <v>225</v>
      </c>
      <c r="Q20" s="65">
        <v>6.3390000000000002E-2</v>
      </c>
      <c r="R20" s="65">
        <v>0.49</v>
      </c>
      <c r="S20" s="65">
        <v>0.5534</v>
      </c>
      <c r="T20" s="65">
        <v>0.27</v>
      </c>
      <c r="U20" s="55"/>
      <c r="V20" s="55"/>
      <c r="W20" s="55"/>
      <c r="X20" s="55"/>
      <c r="Y20" s="55"/>
      <c r="Z20" s="55"/>
      <c r="AA20" s="55"/>
      <c r="AB20" s="55"/>
    </row>
    <row r="21" spans="1:28">
      <c r="H21" s="75"/>
      <c r="I21" s="75"/>
      <c r="L21" s="65">
        <v>0.05</v>
      </c>
      <c r="M21" s="65">
        <v>0.8</v>
      </c>
      <c r="N21" s="65">
        <v>500</v>
      </c>
      <c r="O21" s="65">
        <v>250</v>
      </c>
      <c r="P21" s="65">
        <v>250</v>
      </c>
      <c r="Q21" s="65">
        <v>6.0130000000000003E-2</v>
      </c>
      <c r="R21" s="65">
        <v>0.49</v>
      </c>
      <c r="S21" s="65">
        <v>0.55010000000000003</v>
      </c>
      <c r="T21" s="65">
        <v>0.27</v>
      </c>
      <c r="U21" s="55"/>
      <c r="V21" s="55"/>
      <c r="W21" s="55"/>
      <c r="X21" s="55"/>
      <c r="Y21" s="55"/>
      <c r="Z21" s="55"/>
      <c r="AA21" s="55"/>
      <c r="AB21" s="55"/>
    </row>
    <row r="22" spans="1:28">
      <c r="A22" s="65" t="s">
        <v>163</v>
      </c>
      <c r="B22" s="65">
        <v>276</v>
      </c>
      <c r="C22" s="65">
        <v>0.3668478</v>
      </c>
      <c r="D22" s="65">
        <v>1.8568399999999999E-2</v>
      </c>
      <c r="E22" s="65">
        <v>0.30848110000000001</v>
      </c>
      <c r="F22" s="65">
        <v>0.33029360000000002</v>
      </c>
      <c r="G22" s="65">
        <v>0.40340209999999999</v>
      </c>
      <c r="H22" s="75"/>
      <c r="I22" s="181"/>
      <c r="U22" s="55"/>
      <c r="V22" s="55"/>
      <c r="W22" s="55"/>
      <c r="X22" s="55"/>
      <c r="Y22" s="55"/>
      <c r="Z22" s="55"/>
      <c r="AA22" s="55"/>
      <c r="AB22" s="55"/>
    </row>
    <row r="23" spans="1:28">
      <c r="A23" s="65" t="s">
        <v>164</v>
      </c>
      <c r="B23" s="177">
        <f>1055*0.38</f>
        <v>400.9</v>
      </c>
      <c r="C23" s="65">
        <v>0.43070000000000003</v>
      </c>
      <c r="E23" s="70">
        <v>0.2104</v>
      </c>
      <c r="F23" s="75"/>
      <c r="G23" s="75"/>
      <c r="I23" s="70"/>
      <c r="L23" s="55" t="s">
        <v>207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>
      <c r="A24" s="65" t="s">
        <v>162</v>
      </c>
      <c r="B24" s="65">
        <v>678</v>
      </c>
      <c r="C24" s="65">
        <v>0.6633481</v>
      </c>
      <c r="D24" s="65">
        <v>1.0831E-2</v>
      </c>
      <c r="E24" s="70">
        <v>0.28202339999999998</v>
      </c>
      <c r="F24" s="65">
        <v>0.64208160000000003</v>
      </c>
      <c r="G24" s="65">
        <v>0.68461459999999996</v>
      </c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spans="1:28">
      <c r="A25" s="65" t="s">
        <v>166</v>
      </c>
      <c r="B25" s="75">
        <v>1560</v>
      </c>
      <c r="C25" s="65">
        <v>0.51773499999999995</v>
      </c>
      <c r="D25" s="65">
        <v>6.9230999999999997E-3</v>
      </c>
      <c r="E25" s="70">
        <v>0.27343919999999999</v>
      </c>
      <c r="F25" s="65">
        <v>0.50415549999999998</v>
      </c>
      <c r="G25" s="65">
        <v>0.53131459999999997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spans="1:28">
      <c r="A26" s="65" t="s">
        <v>177</v>
      </c>
      <c r="B26" s="65">
        <v>104</v>
      </c>
      <c r="C26" s="65">
        <v>0.53525639999999997</v>
      </c>
      <c r="D26" s="70">
        <v>2.6817899999999999E-2</v>
      </c>
      <c r="E26" s="65">
        <v>0.27348980000000001</v>
      </c>
      <c r="F26" s="65">
        <v>0.48206949999999998</v>
      </c>
      <c r="G26" s="65">
        <v>0.58844339999999995</v>
      </c>
      <c r="K26" s="55"/>
      <c r="L26" s="65" t="s">
        <v>168</v>
      </c>
      <c r="M26" s="55" t="s">
        <v>169</v>
      </c>
      <c r="N26" s="55" t="s">
        <v>170</v>
      </c>
      <c r="O26" s="55" t="s">
        <v>173</v>
      </c>
      <c r="P26" s="55" t="s">
        <v>191</v>
      </c>
      <c r="Q26" s="55" t="s">
        <v>192</v>
      </c>
      <c r="R26" s="55" t="s">
        <v>193</v>
      </c>
      <c r="S26" s="55" t="s">
        <v>194</v>
      </c>
      <c r="T26" s="55" t="s">
        <v>195</v>
      </c>
      <c r="U26" s="55" t="s">
        <v>176</v>
      </c>
      <c r="V26" s="55" t="s">
        <v>196</v>
      </c>
      <c r="W26" s="55"/>
      <c r="X26" s="55"/>
      <c r="Y26" s="55"/>
      <c r="Z26" s="55"/>
      <c r="AA26" s="55"/>
    </row>
    <row r="27" spans="1:28">
      <c r="A27" s="65" t="s">
        <v>165</v>
      </c>
      <c r="B27" s="65">
        <v>208</v>
      </c>
      <c r="C27" s="65">
        <v>0.51121799999999995</v>
      </c>
      <c r="D27" s="65">
        <v>1.6944899999999999E-2</v>
      </c>
      <c r="E27" s="70">
        <v>0.2443834</v>
      </c>
      <c r="F27" s="65">
        <v>0.47781119999999999</v>
      </c>
      <c r="G27" s="65">
        <v>0.54462469999999996</v>
      </c>
      <c r="M27" s="55"/>
      <c r="N27" s="183"/>
      <c r="O27" s="183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spans="1:28">
      <c r="A28" s="65" t="s">
        <v>178</v>
      </c>
      <c r="B28" s="65">
        <v>100</v>
      </c>
      <c r="C28" s="65">
        <v>0.48666670000000001</v>
      </c>
      <c r="D28" s="65">
        <v>2.3171600000000001E-2</v>
      </c>
      <c r="E28" s="70">
        <v>0.23171639999999999</v>
      </c>
      <c r="F28" s="65">
        <v>0.4406891</v>
      </c>
      <c r="G28" s="65">
        <v>0.53264420000000001</v>
      </c>
      <c r="L28" s="65">
        <v>0.05</v>
      </c>
      <c r="M28" s="55">
        <v>0.8</v>
      </c>
      <c r="N28" s="183">
        <v>175</v>
      </c>
      <c r="O28" s="183">
        <v>0.18870000000000001</v>
      </c>
      <c r="P28" s="55">
        <v>0</v>
      </c>
      <c r="Q28" s="183">
        <v>7.578E-2</v>
      </c>
      <c r="R28" s="55">
        <v>0.36699999999999999</v>
      </c>
      <c r="S28" s="55">
        <v>0.44280000000000003</v>
      </c>
      <c r="T28" s="55">
        <v>0.40160000000000001</v>
      </c>
      <c r="U28" s="55">
        <v>0.308</v>
      </c>
      <c r="V28" s="55">
        <v>0.15</v>
      </c>
      <c r="W28" s="55"/>
      <c r="X28" s="55"/>
      <c r="Y28" s="55"/>
      <c r="Z28" s="55"/>
      <c r="AA28" s="55"/>
      <c r="AB28" s="55"/>
    </row>
    <row r="29" spans="1:28">
      <c r="A29" s="65" t="s">
        <v>165</v>
      </c>
      <c r="B29" s="65">
        <v>204</v>
      </c>
      <c r="C29" s="65">
        <v>0.5114379</v>
      </c>
      <c r="D29" s="65">
        <v>1.78129E-2</v>
      </c>
      <c r="E29" s="70">
        <v>0.2544189</v>
      </c>
      <c r="F29" s="65">
        <v>0.47631590000000001</v>
      </c>
      <c r="G29" s="65">
        <v>0.54655989999999999</v>
      </c>
      <c r="I29" s="70"/>
      <c r="L29" s="65">
        <v>0.05</v>
      </c>
      <c r="M29" s="65">
        <v>0.8</v>
      </c>
      <c r="N29" s="182">
        <v>175</v>
      </c>
      <c r="O29" s="182">
        <v>0.18870000000000001</v>
      </c>
      <c r="P29" s="55">
        <v>0</v>
      </c>
      <c r="Q29" s="183">
        <v>6.3670000000000004E-2</v>
      </c>
      <c r="R29" s="55">
        <v>0.36699999999999999</v>
      </c>
      <c r="S29" s="55">
        <v>0.43070000000000003</v>
      </c>
      <c r="T29" s="55">
        <v>0.33739999999999998</v>
      </c>
      <c r="U29" s="55">
        <v>0.308</v>
      </c>
      <c r="V29" s="55">
        <v>0.4</v>
      </c>
      <c r="W29" s="55"/>
      <c r="X29" s="55"/>
      <c r="Y29" s="55"/>
      <c r="Z29" s="55"/>
      <c r="AA29" s="55"/>
      <c r="AB29" s="55"/>
    </row>
    <row r="30" spans="1:28">
      <c r="A30" s="65" t="s">
        <v>167</v>
      </c>
      <c r="B30" s="65">
        <v>312</v>
      </c>
      <c r="C30" s="65">
        <v>0.51923079999999999</v>
      </c>
      <c r="D30" s="65">
        <v>1.4395099999999999E-2</v>
      </c>
      <c r="E30" s="70">
        <v>0.25426799999999999</v>
      </c>
      <c r="F30" s="65">
        <v>0.49090669999999997</v>
      </c>
      <c r="G30" s="65">
        <v>0.54755489999999996</v>
      </c>
      <c r="L30" s="65">
        <v>0.05</v>
      </c>
      <c r="M30" s="65">
        <v>0.8</v>
      </c>
      <c r="N30" s="65">
        <v>200</v>
      </c>
      <c r="O30" s="65">
        <v>0.1764</v>
      </c>
      <c r="P30" s="55">
        <v>0</v>
      </c>
      <c r="Q30" s="55">
        <v>7.0849999999999996E-2</v>
      </c>
      <c r="R30" s="55">
        <v>0.36699999999999999</v>
      </c>
      <c r="S30" s="55">
        <v>0.43780000000000002</v>
      </c>
      <c r="T30" s="55">
        <v>0.40160000000000001</v>
      </c>
      <c r="U30" s="55">
        <v>0.308</v>
      </c>
      <c r="V30" s="55">
        <v>0.15</v>
      </c>
      <c r="W30" s="55"/>
      <c r="X30" s="55"/>
      <c r="Y30" s="55"/>
      <c r="Z30" s="55"/>
      <c r="AA30" s="55"/>
      <c r="AB30" s="55"/>
    </row>
    <row r="31" spans="1:28">
      <c r="C31" s="70">
        <f>AVERAGE(C22:C25)</f>
        <v>0.49465772500000005</v>
      </c>
      <c r="D31" s="70"/>
      <c r="E31" s="70">
        <f>AVERAGE(E22:E25)</f>
        <v>0.268585925</v>
      </c>
      <c r="L31" s="65">
        <v>0.05</v>
      </c>
      <c r="M31" s="65">
        <v>0.8</v>
      </c>
      <c r="N31" s="65">
        <v>200</v>
      </c>
      <c r="O31" s="65">
        <v>0.1764</v>
      </c>
      <c r="P31" s="55">
        <v>0</v>
      </c>
      <c r="Q31" s="55">
        <v>5.9520000000000003E-2</v>
      </c>
      <c r="R31" s="55">
        <v>0.36699999999999999</v>
      </c>
      <c r="S31" s="55">
        <v>0.42649999999999999</v>
      </c>
      <c r="T31" s="55">
        <v>0.33739999999999998</v>
      </c>
      <c r="U31" s="55">
        <v>0.308</v>
      </c>
      <c r="V31" s="55">
        <v>0.4</v>
      </c>
      <c r="W31" s="55"/>
      <c r="X31" s="55"/>
      <c r="Y31" s="55"/>
      <c r="Z31" s="55"/>
      <c r="AA31" s="55"/>
      <c r="AB31" s="55"/>
    </row>
    <row r="32" spans="1:28">
      <c r="L32" s="65">
        <v>0.05</v>
      </c>
      <c r="M32" s="65">
        <v>0.8</v>
      </c>
      <c r="N32" s="65">
        <v>225</v>
      </c>
      <c r="O32" s="65">
        <v>0.1663</v>
      </c>
      <c r="P32" s="55">
        <v>0</v>
      </c>
      <c r="Q32" s="55">
        <v>6.6769999999999996E-2</v>
      </c>
      <c r="R32" s="55">
        <v>0.36699999999999999</v>
      </c>
      <c r="S32" s="55">
        <v>0.43380000000000002</v>
      </c>
      <c r="T32" s="55">
        <v>0.40160000000000001</v>
      </c>
      <c r="U32" s="55">
        <v>0.308</v>
      </c>
      <c r="V32" s="55">
        <v>0.15</v>
      </c>
      <c r="W32" s="55"/>
      <c r="X32" s="55"/>
      <c r="Y32" s="55"/>
      <c r="Z32" s="55"/>
      <c r="AA32" s="55"/>
      <c r="AB32" s="55"/>
    </row>
    <row r="33" spans="1:28">
      <c r="A33" s="76"/>
      <c r="B33" s="76"/>
      <c r="C33" s="76"/>
      <c r="D33" s="76"/>
      <c r="E33" s="76"/>
      <c r="F33" s="76"/>
      <c r="G33" s="76"/>
      <c r="L33" s="65">
        <v>0.05</v>
      </c>
      <c r="M33" s="65">
        <v>0.8</v>
      </c>
      <c r="N33" s="65">
        <v>225</v>
      </c>
      <c r="O33" s="65">
        <v>0.1663</v>
      </c>
      <c r="P33" s="55">
        <v>0</v>
      </c>
      <c r="Q33" s="55">
        <v>5.6099999999999997E-2</v>
      </c>
      <c r="R33" s="55">
        <v>0.36699999999999999</v>
      </c>
      <c r="S33" s="55">
        <v>0.42309999999999998</v>
      </c>
      <c r="T33" s="55">
        <v>0.33739999999999998</v>
      </c>
      <c r="U33" s="55">
        <v>0.308</v>
      </c>
      <c r="V33" s="55">
        <v>0.4</v>
      </c>
      <c r="W33" s="55"/>
      <c r="X33" s="55"/>
      <c r="Y33" s="55"/>
      <c r="Z33" s="55"/>
      <c r="AA33" s="55"/>
      <c r="AB33" s="55"/>
    </row>
    <row r="34" spans="1:28">
      <c r="A34" s="76" t="s">
        <v>190</v>
      </c>
      <c r="B34" s="76" t="s">
        <v>156</v>
      </c>
      <c r="C34" s="76" t="s">
        <v>157</v>
      </c>
      <c r="D34" s="76" t="s">
        <v>158</v>
      </c>
      <c r="E34" s="76" t="s">
        <v>159</v>
      </c>
      <c r="L34" s="65">
        <v>0.05</v>
      </c>
      <c r="M34" s="65">
        <v>0.8</v>
      </c>
      <c r="N34" s="65">
        <v>250</v>
      </c>
      <c r="O34" s="65">
        <v>0.15770000000000001</v>
      </c>
      <c r="P34" s="55">
        <v>0</v>
      </c>
      <c r="Q34" s="55">
        <v>6.3320000000000001E-2</v>
      </c>
      <c r="R34" s="55">
        <v>0.36699999999999999</v>
      </c>
      <c r="S34" s="55">
        <v>0.43030000000000002</v>
      </c>
      <c r="T34" s="55">
        <v>0.40160000000000001</v>
      </c>
      <c r="U34" s="55">
        <v>0.308</v>
      </c>
      <c r="V34" s="55">
        <v>0.15</v>
      </c>
      <c r="W34" s="55"/>
      <c r="X34" s="55"/>
      <c r="Y34" s="55"/>
      <c r="Z34" s="55"/>
      <c r="AA34" s="55"/>
      <c r="AB34" s="55"/>
    </row>
    <row r="35" spans="1:28">
      <c r="A35" s="65" t="s">
        <v>186</v>
      </c>
      <c r="B35" s="65">
        <v>276</v>
      </c>
      <c r="C35" s="65">
        <v>0.3668478</v>
      </c>
      <c r="D35" s="65">
        <v>1.8568399999999999E-2</v>
      </c>
      <c r="E35" s="65">
        <v>0.30848110000000001</v>
      </c>
      <c r="L35" s="65">
        <v>0.05</v>
      </c>
      <c r="M35" s="65">
        <v>0.8</v>
      </c>
      <c r="N35" s="65">
        <v>250</v>
      </c>
      <c r="O35" s="65">
        <v>0.15770000000000001</v>
      </c>
      <c r="P35" s="55">
        <v>0</v>
      </c>
      <c r="Q35" s="55">
        <v>5.3199999999999997E-2</v>
      </c>
      <c r="R35" s="55">
        <v>0.36699999999999999</v>
      </c>
      <c r="S35" s="55">
        <v>0.42020000000000002</v>
      </c>
      <c r="T35" s="55">
        <v>0.33739999999999998</v>
      </c>
      <c r="U35" s="55">
        <v>0.308</v>
      </c>
      <c r="V35" s="55">
        <v>0.4</v>
      </c>
      <c r="W35" s="55"/>
      <c r="X35" s="55"/>
      <c r="Y35" s="55"/>
      <c r="Z35" s="55"/>
      <c r="AA35" s="55"/>
      <c r="AB35" s="55"/>
    </row>
    <row r="36" spans="1:28">
      <c r="A36" s="65" t="s">
        <v>164</v>
      </c>
      <c r="B36" s="177">
        <f>1055*0.38</f>
        <v>400.9</v>
      </c>
      <c r="C36" s="65">
        <v>0.43070000000000003</v>
      </c>
      <c r="D36" s="65" t="s">
        <v>185</v>
      </c>
      <c r="E36" s="180">
        <v>0.2104</v>
      </c>
      <c r="F36" s="75"/>
      <c r="G36" s="75"/>
      <c r="L36" s="65">
        <v>0.05</v>
      </c>
      <c r="M36" s="65">
        <v>0.8</v>
      </c>
      <c r="N36" s="65">
        <v>275</v>
      </c>
      <c r="O36" s="65">
        <v>0.15029999999999999</v>
      </c>
      <c r="P36" s="55">
        <v>0</v>
      </c>
      <c r="Q36" s="55">
        <v>6.0359999999999997E-2</v>
      </c>
      <c r="R36" s="55">
        <v>0.36699999999999999</v>
      </c>
      <c r="S36" s="55">
        <v>0.4274</v>
      </c>
      <c r="T36" s="55">
        <v>0.40160000000000001</v>
      </c>
      <c r="U36" s="55">
        <v>0.308</v>
      </c>
      <c r="V36" s="55">
        <v>0.15</v>
      </c>
      <c r="W36" s="55"/>
      <c r="X36" s="55"/>
      <c r="Y36" s="55"/>
      <c r="Z36" s="55"/>
      <c r="AA36" s="55"/>
      <c r="AB36" s="55"/>
    </row>
    <row r="37" spans="1:28">
      <c r="A37" s="65" t="s">
        <v>187</v>
      </c>
      <c r="B37" s="65">
        <v>678</v>
      </c>
      <c r="C37" s="65">
        <v>0.6633481</v>
      </c>
      <c r="D37" s="65">
        <v>1.0831E-2</v>
      </c>
      <c r="E37" s="180">
        <v>0.28202339999999998</v>
      </c>
      <c r="K37" s="180"/>
      <c r="L37" s="65">
        <v>0.05</v>
      </c>
      <c r="M37" s="65">
        <v>0.8</v>
      </c>
      <c r="N37" s="65">
        <v>275</v>
      </c>
      <c r="O37" s="65">
        <v>0.15029999999999999</v>
      </c>
      <c r="P37" s="55">
        <v>0</v>
      </c>
      <c r="Q37" s="55">
        <v>5.0709999999999998E-2</v>
      </c>
      <c r="R37" s="55">
        <v>0.36699999999999999</v>
      </c>
      <c r="S37" s="55">
        <v>0.41770000000000002</v>
      </c>
      <c r="T37" s="55">
        <v>0.33739999999999998</v>
      </c>
      <c r="U37" s="55">
        <v>0.308</v>
      </c>
      <c r="V37" s="55">
        <v>0.4</v>
      </c>
      <c r="W37" s="55"/>
      <c r="X37" s="55"/>
      <c r="Y37" s="55"/>
      <c r="Z37" s="55"/>
      <c r="AA37" s="55"/>
      <c r="AB37" s="55"/>
    </row>
    <row r="38" spans="1:28">
      <c r="A38" s="65" t="s">
        <v>188</v>
      </c>
      <c r="B38" s="65">
        <v>312</v>
      </c>
      <c r="C38" s="65">
        <v>0.51923079999999999</v>
      </c>
      <c r="D38" s="65">
        <v>1.4395099999999999E-2</v>
      </c>
      <c r="E38" s="180">
        <v>0.25426799999999999</v>
      </c>
      <c r="K38" s="180"/>
      <c r="L38" s="55">
        <v>0.05</v>
      </c>
      <c r="M38" s="55">
        <v>0.8</v>
      </c>
      <c r="N38" s="55">
        <v>300</v>
      </c>
      <c r="O38" s="55">
        <v>0.1439</v>
      </c>
      <c r="P38" s="55">
        <v>0</v>
      </c>
      <c r="Q38" s="55">
        <v>5.7779999999999998E-2</v>
      </c>
      <c r="R38" s="55">
        <v>0.36699999999999999</v>
      </c>
      <c r="S38" s="55">
        <v>0.42480000000000001</v>
      </c>
      <c r="T38" s="55">
        <v>0.40160000000000001</v>
      </c>
      <c r="U38" s="55">
        <v>0.308</v>
      </c>
      <c r="V38" s="55">
        <v>0.15</v>
      </c>
      <c r="W38" s="55"/>
      <c r="X38" s="55"/>
      <c r="Y38" s="55"/>
      <c r="Z38" s="55"/>
      <c r="AA38" s="55"/>
      <c r="AB38" s="55"/>
    </row>
    <row r="39" spans="1:28">
      <c r="A39" s="76" t="s">
        <v>189</v>
      </c>
      <c r="C39" s="65">
        <f>(C35*B35+C36*B36+C37*B37+C38*B38)/SUM(B35:B38)</f>
        <v>0.53132620085188065</v>
      </c>
      <c r="E39" s="65">
        <f>(E35*B35+E36*B36+E37*B37+E38*B38)/SUM(B35:B38)</f>
        <v>0.26398321722958784</v>
      </c>
      <c r="K39" s="180"/>
      <c r="L39" s="65">
        <v>0.05</v>
      </c>
      <c r="M39" s="55">
        <v>0.8</v>
      </c>
      <c r="N39" s="55">
        <v>300</v>
      </c>
      <c r="O39" s="55">
        <v>0.1439</v>
      </c>
      <c r="P39" s="55">
        <v>0</v>
      </c>
      <c r="Q39" s="55">
        <v>4.8550000000000003E-2</v>
      </c>
      <c r="R39" s="55">
        <v>0.36699999999999999</v>
      </c>
      <c r="S39" s="55">
        <v>0.41549999999999998</v>
      </c>
      <c r="T39" s="55">
        <v>0.33739999999999998</v>
      </c>
      <c r="U39" s="55">
        <v>0.308</v>
      </c>
      <c r="V39" s="55">
        <v>0.4</v>
      </c>
      <c r="W39" s="55"/>
      <c r="X39" s="55"/>
      <c r="Y39" s="55"/>
      <c r="Z39" s="55"/>
      <c r="AA39" s="55"/>
      <c r="AB39" s="55"/>
    </row>
    <row r="40" spans="1:28">
      <c r="K40" s="180"/>
      <c r="L40" s="65">
        <v>0.05</v>
      </c>
      <c r="M40" s="55">
        <v>0.8</v>
      </c>
      <c r="N40" s="55">
        <v>325</v>
      </c>
      <c r="O40" s="55">
        <v>0.13819999999999999</v>
      </c>
      <c r="P40" s="55">
        <v>0</v>
      </c>
      <c r="Q40" s="55">
        <v>5.5500000000000001E-2</v>
      </c>
      <c r="R40" s="55">
        <v>0.36699999999999999</v>
      </c>
      <c r="S40" s="55">
        <v>0.42249999999999999</v>
      </c>
      <c r="T40" s="55">
        <v>0.40160000000000001</v>
      </c>
      <c r="U40" s="55">
        <v>0.308</v>
      </c>
      <c r="V40" s="55">
        <v>0.15</v>
      </c>
      <c r="W40" s="55"/>
      <c r="X40" s="55"/>
      <c r="Y40" s="55"/>
      <c r="Z40" s="55"/>
      <c r="AA40" s="55"/>
      <c r="AB40" s="55"/>
    </row>
    <row r="41" spans="1:28">
      <c r="I41" s="180"/>
      <c r="L41" s="65">
        <v>0.05</v>
      </c>
      <c r="M41" s="55">
        <v>0.8</v>
      </c>
      <c r="N41" s="55">
        <v>325</v>
      </c>
      <c r="O41" s="55">
        <v>0.13819999999999999</v>
      </c>
      <c r="P41" s="55">
        <v>0</v>
      </c>
      <c r="Q41" s="55">
        <v>4.6629999999999998E-2</v>
      </c>
      <c r="R41" s="55">
        <v>0.36699999999999999</v>
      </c>
      <c r="S41" s="55">
        <v>0.41360000000000002</v>
      </c>
      <c r="T41" s="55">
        <v>0.33739999999999998</v>
      </c>
      <c r="U41" s="55">
        <v>0.308</v>
      </c>
      <c r="V41" s="55">
        <v>0.4</v>
      </c>
      <c r="W41" s="55"/>
      <c r="X41" s="55"/>
      <c r="Y41" s="55"/>
      <c r="Z41" s="55"/>
      <c r="AA41" s="55"/>
      <c r="AB41" s="55"/>
    </row>
    <row r="42" spans="1:28">
      <c r="L42" s="55">
        <v>0.05</v>
      </c>
      <c r="M42" s="55">
        <v>0.8</v>
      </c>
      <c r="N42" s="183">
        <v>350</v>
      </c>
      <c r="O42" s="183">
        <v>0.13320000000000001</v>
      </c>
      <c r="P42" s="55">
        <v>0</v>
      </c>
      <c r="Q42" s="183">
        <v>5.348E-2</v>
      </c>
      <c r="R42" s="55">
        <v>0.36699999999999999</v>
      </c>
      <c r="S42" s="55">
        <v>0.42049999999999998</v>
      </c>
      <c r="T42" s="55">
        <v>0.40160000000000001</v>
      </c>
      <c r="U42" s="55">
        <v>0.308</v>
      </c>
      <c r="V42" s="55">
        <v>0.15</v>
      </c>
      <c r="W42" s="55"/>
      <c r="X42" s="55"/>
      <c r="Y42" s="55"/>
      <c r="Z42" s="55"/>
      <c r="AA42" s="55"/>
      <c r="AB42" s="55"/>
    </row>
    <row r="43" spans="1:28">
      <c r="L43" s="55">
        <v>0.05</v>
      </c>
      <c r="M43" s="55">
        <v>0.8</v>
      </c>
      <c r="N43" s="183">
        <v>350</v>
      </c>
      <c r="O43" s="183">
        <v>0.13320000000000001</v>
      </c>
      <c r="P43" s="55">
        <v>0</v>
      </c>
      <c r="Q43" s="183">
        <v>4.4929999999999998E-2</v>
      </c>
      <c r="R43" s="55">
        <v>0.36699999999999999</v>
      </c>
      <c r="S43" s="55">
        <v>0.41189999999999999</v>
      </c>
      <c r="T43" s="55">
        <v>0.33739999999999998</v>
      </c>
      <c r="U43" s="55">
        <v>0.308</v>
      </c>
      <c r="V43" s="55">
        <v>0.4</v>
      </c>
      <c r="W43" s="55"/>
      <c r="X43" s="55"/>
      <c r="Y43" s="55"/>
      <c r="Z43" s="55"/>
      <c r="AA43" s="55"/>
      <c r="AB43" s="55"/>
    </row>
    <row r="44" spans="1:28"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spans="1:28">
      <c r="L45" s="55" t="s">
        <v>168</v>
      </c>
      <c r="M45" s="55" t="s">
        <v>169</v>
      </c>
      <c r="N45" s="55" t="s">
        <v>170</v>
      </c>
      <c r="O45" s="55" t="s">
        <v>173</v>
      </c>
      <c r="P45" s="55" t="s">
        <v>191</v>
      </c>
      <c r="Q45" s="55" t="s">
        <v>192</v>
      </c>
      <c r="R45" s="55" t="s">
        <v>193</v>
      </c>
      <c r="S45" s="55" t="s">
        <v>194</v>
      </c>
      <c r="T45" s="55" t="s">
        <v>195</v>
      </c>
      <c r="U45" s="55" t="s">
        <v>176</v>
      </c>
      <c r="V45" s="55" t="s">
        <v>196</v>
      </c>
      <c r="W45" s="55"/>
      <c r="X45" s="55"/>
      <c r="Y45" s="55"/>
      <c r="Z45" s="55"/>
      <c r="AA45" s="55"/>
      <c r="AB45" s="55"/>
    </row>
    <row r="46" spans="1:28"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spans="1:28">
      <c r="L47" s="55">
        <v>0.05</v>
      </c>
      <c r="M47" s="55">
        <v>0.8</v>
      </c>
      <c r="N47" s="183">
        <v>175</v>
      </c>
      <c r="O47" s="183">
        <v>0.18870000000000001</v>
      </c>
      <c r="P47" s="55">
        <v>0</v>
      </c>
      <c r="Q47" s="183">
        <v>6.6430000000000003E-2</v>
      </c>
      <c r="R47" s="55">
        <v>0.49</v>
      </c>
      <c r="S47" s="55">
        <v>0.55640000000000001</v>
      </c>
      <c r="T47" s="55">
        <v>0.35199999999999998</v>
      </c>
      <c r="U47" s="55">
        <v>0.27</v>
      </c>
      <c r="V47" s="55">
        <v>0.15</v>
      </c>
      <c r="W47" s="55"/>
      <c r="X47" s="55"/>
      <c r="Y47" s="55"/>
      <c r="Z47" s="55"/>
      <c r="AA47" s="55"/>
      <c r="AB47" s="55"/>
    </row>
    <row r="48" spans="1:28">
      <c r="L48" s="55">
        <v>0.05</v>
      </c>
      <c r="M48" s="55">
        <v>0.8</v>
      </c>
      <c r="N48" s="183">
        <v>175</v>
      </c>
      <c r="O48" s="183">
        <v>0.18870000000000001</v>
      </c>
      <c r="P48" s="55">
        <v>0</v>
      </c>
      <c r="Q48" s="183">
        <v>5.5809999999999998E-2</v>
      </c>
      <c r="R48" s="55">
        <v>0.49</v>
      </c>
      <c r="S48" s="55">
        <v>0.54579999999999995</v>
      </c>
      <c r="T48" s="55">
        <v>0.29580000000000001</v>
      </c>
      <c r="U48" s="55">
        <v>0.27</v>
      </c>
      <c r="V48" s="55">
        <v>0.4</v>
      </c>
      <c r="W48" s="55"/>
      <c r="X48" s="55"/>
      <c r="Y48" s="55"/>
      <c r="Z48" s="55"/>
      <c r="AA48" s="55"/>
      <c r="AB48" s="55"/>
    </row>
    <row r="49" spans="12:28">
      <c r="L49" s="55">
        <v>0.05</v>
      </c>
      <c r="M49" s="55">
        <v>0.8</v>
      </c>
      <c r="N49" s="55">
        <v>200</v>
      </c>
      <c r="O49" s="55">
        <v>0.1764</v>
      </c>
      <c r="P49" s="55">
        <v>0</v>
      </c>
      <c r="Q49" s="55">
        <v>6.2109999999999999E-2</v>
      </c>
      <c r="R49" s="55">
        <v>0.49</v>
      </c>
      <c r="S49" s="55">
        <v>0.55210000000000004</v>
      </c>
      <c r="T49" s="55">
        <v>0.35199999999999998</v>
      </c>
      <c r="U49" s="55">
        <v>0.27</v>
      </c>
      <c r="V49" s="55">
        <v>0.15</v>
      </c>
      <c r="W49" s="55"/>
      <c r="X49" s="55"/>
      <c r="Y49" s="55"/>
      <c r="Z49" s="55"/>
      <c r="AA49" s="55"/>
      <c r="AB49" s="55"/>
    </row>
    <row r="50" spans="12:28">
      <c r="L50" s="55">
        <v>0.05</v>
      </c>
      <c r="M50" s="55">
        <v>0.8</v>
      </c>
      <c r="N50" s="55">
        <v>200</v>
      </c>
      <c r="O50" s="55">
        <v>0.1764</v>
      </c>
      <c r="P50" s="55">
        <v>0</v>
      </c>
      <c r="Q50" s="55">
        <v>5.2179999999999997E-2</v>
      </c>
      <c r="R50" s="55">
        <v>0.49</v>
      </c>
      <c r="S50" s="55">
        <v>0.54220000000000002</v>
      </c>
      <c r="T50" s="55">
        <v>0.29580000000000001</v>
      </c>
      <c r="U50" s="55">
        <v>0.27</v>
      </c>
      <c r="V50" s="55">
        <v>0.4</v>
      </c>
      <c r="W50" s="55"/>
      <c r="X50" s="55"/>
      <c r="Y50" s="55"/>
      <c r="Z50" s="55"/>
      <c r="AA50" s="55"/>
      <c r="AB50" s="55"/>
    </row>
    <row r="51" spans="12:28">
      <c r="L51" s="55">
        <v>0.05</v>
      </c>
      <c r="M51" s="55">
        <v>0.8</v>
      </c>
      <c r="N51" s="55">
        <v>225</v>
      </c>
      <c r="O51" s="55">
        <v>0.1663</v>
      </c>
      <c r="P51" s="55">
        <v>0</v>
      </c>
      <c r="Q51" s="55">
        <v>5.8529999999999999E-2</v>
      </c>
      <c r="R51" s="55">
        <v>0.49</v>
      </c>
      <c r="S51" s="55">
        <v>0.54849999999999999</v>
      </c>
      <c r="T51" s="55">
        <v>0.35199999999999998</v>
      </c>
      <c r="U51" s="55">
        <v>0.27</v>
      </c>
      <c r="V51" s="55">
        <v>0.15</v>
      </c>
      <c r="W51" s="55"/>
      <c r="X51" s="55"/>
      <c r="Y51" s="55"/>
      <c r="Z51" s="55"/>
      <c r="AA51" s="55"/>
      <c r="AB51" s="55"/>
    </row>
    <row r="52" spans="12:28">
      <c r="L52" s="55">
        <v>0.05</v>
      </c>
      <c r="M52" s="55">
        <v>0.8</v>
      </c>
      <c r="N52" s="55">
        <v>225</v>
      </c>
      <c r="O52" s="55">
        <v>0.1663</v>
      </c>
      <c r="P52" s="55">
        <v>0</v>
      </c>
      <c r="Q52" s="55">
        <v>4.9180000000000001E-2</v>
      </c>
      <c r="R52" s="55">
        <v>0.49</v>
      </c>
      <c r="S52" s="55">
        <v>0.53920000000000001</v>
      </c>
      <c r="T52" s="55">
        <v>0.29580000000000001</v>
      </c>
      <c r="U52" s="55">
        <v>0.27</v>
      </c>
      <c r="V52" s="55">
        <v>0.4</v>
      </c>
      <c r="W52" s="55"/>
      <c r="X52" s="55"/>
      <c r="Y52" s="55"/>
      <c r="Z52" s="55"/>
      <c r="AA52" s="55"/>
      <c r="AB52" s="55"/>
    </row>
    <row r="53" spans="12:28">
      <c r="L53" s="55">
        <v>0.05</v>
      </c>
      <c r="M53" s="55">
        <v>0.8</v>
      </c>
      <c r="N53" s="55">
        <v>250</v>
      </c>
      <c r="O53" s="55">
        <v>0.15770000000000001</v>
      </c>
      <c r="P53" s="55">
        <v>0</v>
      </c>
      <c r="Q53" s="55">
        <v>5.5509999999999997E-2</v>
      </c>
      <c r="R53" s="55">
        <v>0.49</v>
      </c>
      <c r="S53" s="55">
        <v>0.54549999999999998</v>
      </c>
      <c r="T53" s="55">
        <v>0.35199999999999998</v>
      </c>
      <c r="U53" s="55">
        <v>0.27</v>
      </c>
      <c r="V53" s="55">
        <v>0.15</v>
      </c>
      <c r="W53" s="55"/>
      <c r="X53" s="55"/>
      <c r="Y53" s="55"/>
      <c r="Z53" s="55"/>
      <c r="AA53" s="55"/>
      <c r="AB53" s="55"/>
    </row>
    <row r="54" spans="12:28">
      <c r="L54" s="55">
        <v>0.05</v>
      </c>
      <c r="M54" s="55">
        <v>0.8</v>
      </c>
      <c r="N54" s="55">
        <v>250</v>
      </c>
      <c r="O54" s="55">
        <v>0.15770000000000001</v>
      </c>
      <c r="P54" s="55">
        <v>0</v>
      </c>
      <c r="Q54" s="55">
        <v>4.6640000000000001E-2</v>
      </c>
      <c r="R54" s="55">
        <v>0.49</v>
      </c>
      <c r="S54" s="55">
        <v>0.53659999999999997</v>
      </c>
      <c r="T54" s="55">
        <v>0.29580000000000001</v>
      </c>
      <c r="U54" s="55">
        <v>0.27</v>
      </c>
      <c r="V54" s="55">
        <v>0.4</v>
      </c>
      <c r="W54" s="55"/>
      <c r="X54" s="55"/>
      <c r="Y54" s="55"/>
      <c r="Z54" s="55"/>
      <c r="AA54" s="55"/>
      <c r="AB54" s="55"/>
    </row>
    <row r="55" spans="12:28">
      <c r="L55" s="55">
        <v>0.05</v>
      </c>
      <c r="M55" s="55">
        <v>0.8</v>
      </c>
      <c r="N55" s="55">
        <v>275</v>
      </c>
      <c r="O55" s="55">
        <v>0.15029999999999999</v>
      </c>
      <c r="P55" s="55">
        <v>0</v>
      </c>
      <c r="Q55" s="55">
        <v>5.2920000000000002E-2</v>
      </c>
      <c r="R55" s="55">
        <v>0.49</v>
      </c>
      <c r="S55" s="55">
        <v>0.54290000000000005</v>
      </c>
      <c r="T55" s="55">
        <v>0.35199999999999998</v>
      </c>
      <c r="U55" s="55">
        <v>0.27</v>
      </c>
      <c r="V55" s="55">
        <v>0.15</v>
      </c>
      <c r="W55" s="55"/>
      <c r="X55" s="55"/>
      <c r="Y55" s="55"/>
      <c r="Z55" s="55"/>
      <c r="AA55" s="55"/>
      <c r="AB55" s="55"/>
    </row>
    <row r="56" spans="12:28">
      <c r="L56" s="65">
        <v>0.05</v>
      </c>
      <c r="M56" s="55">
        <v>0.8</v>
      </c>
      <c r="N56" s="55">
        <v>275</v>
      </c>
      <c r="O56" s="55">
        <v>0.15029999999999999</v>
      </c>
      <c r="P56" s="55">
        <v>0</v>
      </c>
      <c r="Q56" s="55">
        <v>4.446E-2</v>
      </c>
      <c r="R56" s="55">
        <v>0.49</v>
      </c>
      <c r="S56" s="55">
        <v>0.53449999999999998</v>
      </c>
      <c r="T56" s="55">
        <v>0.29580000000000001</v>
      </c>
      <c r="U56" s="55">
        <v>0.27</v>
      </c>
      <c r="V56" s="55">
        <v>0.4</v>
      </c>
      <c r="W56" s="55"/>
      <c r="X56" s="55"/>
      <c r="Y56" s="55"/>
      <c r="Z56" s="55"/>
      <c r="AA56" s="55"/>
      <c r="AB56" s="55"/>
    </row>
    <row r="57" spans="12:28">
      <c r="L57" s="65">
        <v>0.05</v>
      </c>
      <c r="M57" s="55">
        <v>0.8</v>
      </c>
      <c r="N57" s="55">
        <v>300</v>
      </c>
      <c r="O57" s="55">
        <v>0.1439</v>
      </c>
      <c r="P57" s="55">
        <v>0</v>
      </c>
      <c r="Q57" s="55">
        <v>5.0650000000000001E-2</v>
      </c>
      <c r="R57" s="55">
        <v>0.49</v>
      </c>
      <c r="S57" s="55">
        <v>0.54069999999999996</v>
      </c>
      <c r="T57" s="55">
        <v>0.35199999999999998</v>
      </c>
      <c r="U57" s="55">
        <v>0.27</v>
      </c>
      <c r="V57" s="55">
        <v>0.15</v>
      </c>
      <c r="W57" s="55"/>
      <c r="X57" s="55"/>
      <c r="Y57" s="55"/>
      <c r="Z57" s="55"/>
      <c r="AA57" s="55"/>
      <c r="AB57" s="55"/>
    </row>
    <row r="58" spans="12:28">
      <c r="L58" s="55">
        <v>0.05</v>
      </c>
      <c r="M58" s="55">
        <v>0.8</v>
      </c>
      <c r="N58" s="55">
        <v>300</v>
      </c>
      <c r="O58" s="55">
        <v>0.1439</v>
      </c>
      <c r="P58" s="55">
        <v>0</v>
      </c>
      <c r="Q58" s="55">
        <v>4.2560000000000001E-2</v>
      </c>
      <c r="R58" s="55">
        <v>0.49</v>
      </c>
      <c r="S58" s="55">
        <v>0.53259999999999996</v>
      </c>
      <c r="T58" s="55">
        <v>0.29580000000000001</v>
      </c>
      <c r="U58" s="55">
        <v>0.27</v>
      </c>
      <c r="V58" s="55">
        <v>0.4</v>
      </c>
      <c r="W58" s="55"/>
      <c r="X58" s="55"/>
      <c r="Y58" s="55"/>
      <c r="Z58" s="55"/>
      <c r="AA58" s="55"/>
      <c r="AB58" s="55"/>
    </row>
    <row r="59" spans="12:28">
      <c r="L59" s="55">
        <v>0.05</v>
      </c>
      <c r="M59" s="55">
        <v>0.8</v>
      </c>
      <c r="N59" s="55">
        <v>325</v>
      </c>
      <c r="O59" s="55">
        <v>0.13819999999999999</v>
      </c>
      <c r="P59" s="55">
        <v>0</v>
      </c>
      <c r="Q59" s="55">
        <v>4.8660000000000002E-2</v>
      </c>
      <c r="R59" s="55">
        <v>0.49</v>
      </c>
      <c r="S59" s="55">
        <v>0.53869999999999996</v>
      </c>
      <c r="T59" s="55">
        <v>0.35199999999999998</v>
      </c>
      <c r="U59" s="55">
        <v>0.27</v>
      </c>
      <c r="V59" s="55">
        <v>0.15</v>
      </c>
      <c r="W59" s="55"/>
      <c r="X59" s="55"/>
      <c r="Y59" s="55"/>
      <c r="Z59" s="55"/>
      <c r="AA59" s="55"/>
      <c r="AB59" s="55"/>
    </row>
    <row r="60" spans="12:28">
      <c r="L60" s="55">
        <v>0.05</v>
      </c>
      <c r="M60" s="55">
        <v>0.8</v>
      </c>
      <c r="N60" s="55">
        <v>325</v>
      </c>
      <c r="O60" s="55">
        <v>0.13819999999999999</v>
      </c>
      <c r="P60" s="55">
        <v>0</v>
      </c>
      <c r="Q60" s="55">
        <v>4.088E-2</v>
      </c>
      <c r="R60" s="55">
        <v>0.49</v>
      </c>
      <c r="S60" s="55">
        <v>0.53090000000000004</v>
      </c>
      <c r="T60" s="55">
        <v>0.29580000000000001</v>
      </c>
      <c r="U60" s="55">
        <v>0.27</v>
      </c>
      <c r="V60" s="55">
        <v>0.4</v>
      </c>
      <c r="W60" s="55"/>
      <c r="X60" s="55"/>
      <c r="Y60" s="55"/>
      <c r="Z60" s="55"/>
      <c r="AA60" s="55"/>
      <c r="AB60" s="55"/>
    </row>
    <row r="61" spans="12:28">
      <c r="L61" s="55">
        <v>0.05</v>
      </c>
      <c r="M61" s="55">
        <v>0.8</v>
      </c>
      <c r="N61" s="183">
        <v>350</v>
      </c>
      <c r="O61" s="183">
        <v>0.13320000000000001</v>
      </c>
      <c r="P61" s="55">
        <v>0</v>
      </c>
      <c r="Q61" s="183">
        <v>4.6879999999999998E-2</v>
      </c>
      <c r="R61" s="55">
        <v>0.49</v>
      </c>
      <c r="S61" s="55">
        <v>0.53690000000000004</v>
      </c>
      <c r="T61" s="55">
        <v>0.35199999999999998</v>
      </c>
      <c r="U61" s="55">
        <v>0.27</v>
      </c>
      <c r="V61" s="55">
        <v>0.15</v>
      </c>
      <c r="W61" s="55"/>
      <c r="X61" s="55"/>
      <c r="Y61" s="55"/>
      <c r="Z61" s="55"/>
      <c r="AA61" s="55"/>
      <c r="AB61" s="55"/>
    </row>
    <row r="62" spans="12:28">
      <c r="L62" s="55">
        <v>0.05</v>
      </c>
      <c r="M62" s="55">
        <v>0.8</v>
      </c>
      <c r="N62" s="183">
        <v>350</v>
      </c>
      <c r="O62" s="183">
        <v>0.13320000000000001</v>
      </c>
      <c r="P62" s="55">
        <v>0</v>
      </c>
      <c r="Q62" s="183">
        <v>3.9390000000000001E-2</v>
      </c>
      <c r="R62" s="55">
        <v>0.49</v>
      </c>
      <c r="S62" s="55">
        <v>0.52939999999999998</v>
      </c>
      <c r="T62" s="55">
        <v>0.29580000000000001</v>
      </c>
      <c r="U62" s="55">
        <v>0.27</v>
      </c>
      <c r="V62" s="55">
        <v>0.4</v>
      </c>
      <c r="W62" s="55"/>
      <c r="X62" s="55"/>
      <c r="Y62" s="55"/>
      <c r="Z62" s="55"/>
      <c r="AA62" s="55"/>
      <c r="AB62" s="55"/>
    </row>
    <row r="63" spans="12:28"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2:28"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2:28"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2:28"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2:28"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2:28"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2:28"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2:28"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2:28"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2:28"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2:28"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2:28"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2:28"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2:28"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2:28"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2:28"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2:28"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2:28"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2:28"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2:28"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2:28"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2:28"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2:28"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2:28"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2:28"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2:28"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2:28"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2:28"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2:28"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2:28"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2:28"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2:28"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2:28"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2:28"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2:28"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2:28"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2:28"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2:28"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2:28"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2:28"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2:28"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2:28"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2:28"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spans="12:28"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spans="12:28"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spans="12:28"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spans="12:28"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spans="12:28"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spans="12:28"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spans="12:28"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spans="12:28"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spans="12:28"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spans="12:28"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spans="12:28"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spans="12:28"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spans="12:28"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spans="12:28"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spans="12:28"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spans="12:28"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spans="12:28"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spans="12:28"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spans="12:28"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spans="12:28"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spans="12:28"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spans="12:28"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spans="12:28"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spans="12:28"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spans="12:28"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spans="12:28"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spans="12:28"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spans="12:28"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spans="12:28"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spans="12:28"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spans="12:28"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spans="12:28"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spans="12:28"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spans="12:28"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spans="12:28"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spans="12:28"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spans="12:28"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spans="12:28"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spans="12:28"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spans="12:28"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spans="12:28"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spans="12:28"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spans="12:28"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spans="12:28"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spans="12:28"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spans="12:28"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spans="12:28"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spans="12:28"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spans="12:28"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spans="12:28"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spans="12:28"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spans="12:28"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spans="12:28"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spans="12:28"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spans="12:28"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spans="12:28"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spans="12:28"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spans="12:28"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spans="12:28"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spans="12:28"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spans="12:28"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spans="12:28"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spans="12:28"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spans="12:28"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spans="12:28"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spans="12:28"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spans="12:28"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spans="12:28"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spans="12:28"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spans="12:28"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spans="12:28"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spans="12:28"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spans="12:28"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spans="12:28"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spans="12:28"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spans="12:28"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spans="12:28"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spans="12:28"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spans="12:28"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spans="12:28"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spans="12:28"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spans="12:28"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spans="12:28"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spans="12:28"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spans="12:28"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spans="12:28"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spans="12:28"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spans="12:28"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spans="12:28"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spans="12:28"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spans="12:28"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spans="12:28"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spans="12:28"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spans="12:28"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spans="12:28"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  <row r="201" spans="12:28"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</row>
    <row r="202" spans="12:28"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</row>
    <row r="203" spans="12:28"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</row>
    <row r="204" spans="12:28"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 spans="12:28"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 spans="12:28"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 spans="12:28"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 spans="12:28"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 spans="12:28"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 spans="12:28"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2:28"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 spans="12:28"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 spans="12:28"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 spans="12:28"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 spans="12:28"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 spans="12:28"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 spans="12:28"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 spans="12:28"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 spans="12:28"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 spans="12:28"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 spans="12:28"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 spans="12:28"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 spans="12:28"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 spans="12:28"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 spans="12:28"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 spans="12:28"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 spans="12:28"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 spans="12:28"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 spans="12:28"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2:28"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 spans="12:28"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 spans="12:28"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 spans="12:28"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 spans="12:28"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 spans="12:28"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 spans="12:28"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 spans="12:28"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 spans="12:28"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 spans="12:28"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 spans="12:28"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 spans="12:28"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 spans="12:28"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 spans="12:28"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2:28"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 spans="12:28"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 spans="12:28"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 spans="12:28"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 spans="12:28"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 spans="12:28"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 spans="12:28"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 spans="12:28"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 spans="12:28"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 spans="12:28"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 spans="12:28"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 spans="12:28"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 spans="12:28"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 spans="12:28"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 spans="12:28"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 spans="12:28"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 spans="12:28"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 spans="12:28"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 spans="12:28"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 spans="12:28"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 spans="12:28"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 spans="12:28"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 spans="12:28"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 spans="12:28"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 spans="12:28"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 spans="12:28"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 spans="12:28"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 spans="12:28"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 spans="12:28"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 spans="12:28"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 spans="12:28"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 spans="12:28"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 spans="12:28"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 spans="12:28"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 spans="12:28"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 spans="12:28"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 spans="12:28"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 spans="12:28"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 spans="12:28"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 spans="12:28"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 spans="12:28"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 spans="12:28"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 spans="12:28"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 spans="12:28"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 spans="12:28"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 spans="12:28"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 spans="12:28"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 spans="12:28"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 spans="12:28"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 spans="12:28"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 spans="12:28"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 spans="12:28"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 spans="12:28"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 spans="12:28"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 spans="12:28"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 spans="12:28"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 spans="12:28"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 spans="12:28"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 spans="12:28"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 spans="12:28"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 spans="12:28"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 spans="12:28"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 spans="12:28"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 spans="12:28"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 spans="12:28"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 spans="12:28"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 spans="12:28"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 spans="12:28"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 spans="12:28"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 spans="12:28"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 spans="12:28"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 spans="12:28"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 spans="12:28"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 spans="12:28"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 spans="12:28"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 spans="12:28"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 spans="12:28"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 spans="12:28"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 spans="12:28"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 spans="12:28"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 spans="12:28"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 spans="12:28"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 spans="12:28"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 spans="12:28"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 spans="12:28"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 spans="12:28"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 spans="12:28"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 spans="12:28"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 spans="12:28"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 spans="12:28"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 spans="12:28"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 spans="12:28"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 spans="12:28"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 spans="12:28"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 spans="12:28"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 spans="12:28"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 spans="12:28"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 spans="12:28"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 spans="12:28"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 spans="12:28"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 spans="12:28"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 spans="12:28"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 spans="12:28"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 spans="12:28"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 spans="12:28"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 spans="12:28"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 spans="12:28"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 spans="12:28"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 spans="12:28"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 spans="12:28"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 spans="12:28"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 spans="12:28"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 spans="12:28"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 spans="12:28"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 spans="12:28"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 spans="12:28"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 spans="12:28"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 spans="12:28"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spans="12:28"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 spans="12:28"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 spans="12:28"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 spans="12:28"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 spans="12:28"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 spans="12:28"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 spans="12:28"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 spans="12:28"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 spans="12:28"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 spans="12:28"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 spans="12:28"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 spans="12:28"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 spans="12:28"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 spans="12:28"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 spans="12:28"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 spans="12:28"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spans="12:28"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spans="12:28"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spans="12:28"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spans="12:28"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spans="12:28"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 spans="12:28"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 spans="12:28"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 spans="12:28"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 spans="12:28"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 spans="12:28"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 spans="12:28"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 spans="12:28"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 spans="12:28"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 spans="12:28"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 spans="12:28"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 spans="12:28"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 spans="12:28"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 spans="12:28"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 spans="12:28"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 spans="12:28"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 spans="12:28"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 spans="12:28"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 spans="12:28"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 spans="12:28"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 spans="12:28"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 spans="12:28"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 spans="12:28"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 spans="12:28"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 spans="12:28"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 spans="12:28"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 spans="12:28"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 spans="12:28"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 spans="12:28"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 spans="12:28"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 spans="12:28"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 spans="12:28"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 spans="12:28"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 spans="12:28"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 spans="12:28"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 spans="12:28"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 spans="12:28"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 spans="12:28"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 spans="12:28"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 spans="12:28"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 spans="12:28"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 spans="12:28"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 spans="12:28"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 spans="12:28"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 spans="12:28"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 spans="12:28"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 spans="12:28"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 spans="12:28"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 spans="12:28"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 spans="12:28"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 spans="12:28"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 spans="12:28"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 spans="12:28"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 spans="12:28"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 spans="12:28"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 spans="12:28"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 spans="12:28"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 spans="12:28"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 spans="12:28"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 spans="12:28"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 spans="12:28"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 spans="12:28"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 spans="12:28"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 spans="12:28"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 spans="12:28"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 spans="12:28"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 spans="12:28"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 spans="12:28"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 spans="12:28"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 spans="12:28"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 spans="12:28"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 spans="12:28"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 spans="12:28"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 spans="12:28"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 spans="12:28"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 spans="12:28"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 spans="12:28"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 spans="12:28"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 spans="12:28"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 spans="12:28"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 spans="12:28"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 spans="12:28"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 spans="12:28"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 spans="12:28"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 spans="12:28"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 spans="12:28"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 spans="12:28"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 spans="12:28"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 spans="12:28"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 spans="12:28"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 spans="12:28"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 spans="12:28"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 spans="12:28"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 spans="12:28"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 spans="12:28"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 spans="12:28"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 spans="12:28"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 spans="12:28"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 spans="12:28"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 spans="12:28"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 spans="12:28"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 spans="12:28"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 spans="12:28"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 spans="12:28"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 spans="12:28"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 spans="12:28"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 spans="12:28"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 spans="12:28"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 spans="12:28"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 spans="12:28"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 spans="12:28"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 spans="12:28"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 spans="12:28"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 spans="12:28"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 spans="12:28"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 spans="12:28"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 spans="12:28"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 spans="12:28"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 spans="12:28"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 spans="12:28"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 spans="12:28"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 spans="12:28"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 spans="12:28"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 spans="12:28"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 spans="12:28"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 spans="12:28"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 spans="12:28"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 spans="12:28"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 spans="12:28"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 spans="12:28"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 spans="12:28"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 spans="12:28"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 spans="12:28"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 spans="12:28"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 spans="12:28"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 spans="12:28"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 spans="12:28"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 spans="12:28"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 spans="12:28"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 spans="12:28"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 spans="12:28"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 spans="12:28"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 spans="12:28"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 spans="12:28"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 spans="12:28"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 spans="12:28"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 spans="12:28"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 spans="12:28"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 spans="12:28"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 spans="12:28"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 spans="12:28"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 spans="12:28"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 spans="12:28"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 spans="12:28"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 spans="12:28"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 spans="12:28"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 spans="12:28"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 spans="12:28"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 spans="12:28"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 spans="12:28"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 spans="12:28"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 spans="12:28"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 spans="12:28"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 spans="12:28"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 spans="12:28"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 spans="12:28"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 spans="12:28"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 spans="12:28"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 spans="12:28"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 spans="12:28"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 spans="12:28"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 spans="12:28"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 spans="12:28"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 spans="12:28"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 spans="12:28"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 spans="12:28"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 spans="12:28"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 spans="12:28"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 spans="12:28"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 spans="12:28"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 spans="12:28"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 spans="12:28"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 spans="12:28"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 spans="12:28"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 spans="12:28"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 spans="12:28"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 spans="12:28"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 spans="12:28"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 spans="12:28"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 spans="12:28"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 spans="12:28"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 spans="12:28"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 spans="12:28"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 spans="12:28"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 spans="12:28"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 spans="12:28"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 spans="12:28"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 spans="12:28"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 spans="12:28"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 spans="12:28"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 spans="12:28"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 spans="12:28"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 spans="12:28"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 spans="12:28"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 spans="12:28"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 spans="12:28"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 spans="12:28"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 spans="12:28"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 spans="12:28"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 spans="12:28"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 spans="12:28"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 spans="12:28"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 spans="12:28"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 spans="12:28"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 spans="12:28"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 spans="12:28"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 spans="12:28"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 spans="12:28"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 spans="12:28"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 spans="12:28"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 spans="12:28"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 spans="12:28"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 spans="12:28"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 spans="12:28"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 spans="12:28"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 spans="12:28"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 spans="12:28"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 spans="12:28"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 spans="12:28"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 spans="12:28"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 spans="12:28"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 spans="12:28"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 spans="12:28"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 spans="12:28"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 spans="12:28"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 spans="12:28"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 spans="12:28"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 spans="12:28"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 spans="12:28"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 spans="12:28"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 spans="12:28"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 spans="12:28"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 spans="12:28"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 spans="12:28"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 spans="12:28"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 spans="12:28"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 spans="12:28"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 spans="12:28"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 spans="12:28"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 spans="12:28"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 spans="12:28"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 spans="12:28"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 spans="12:28"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 spans="12:28"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 spans="12:28"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 spans="12:28"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 spans="12:28"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 spans="12:28"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 spans="12:28"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 spans="12:28"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 spans="12:28"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 spans="12:28"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 spans="12:28"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 spans="12:28"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 spans="12:28"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 spans="12:28"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 spans="12:28"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 spans="12:28"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 spans="12:28"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 spans="12:28"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 spans="12:28"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 spans="12:28"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 spans="12:28"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 spans="12:28"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 spans="12:28"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 spans="12:28"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 spans="12:28"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 spans="12:28"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 spans="12:28"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 spans="12:28"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 spans="12:28"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 spans="12:28"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 spans="12:28"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 spans="12:28"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 spans="12:28"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 spans="12:28"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 spans="12:28"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 spans="12:28"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 spans="12:28"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 spans="12:28"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 spans="12:28"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 spans="12:28"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 spans="12:28"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 spans="12:28"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 spans="12:28"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 spans="12:28"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 spans="12:28"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 spans="12:28"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 spans="12:28"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 spans="12:28"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 spans="12:28"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 spans="12:28"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 spans="12:28"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 spans="12:28"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 spans="12:28"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 spans="12:28"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 spans="12:28"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 spans="12:28"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 spans="12:28"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 spans="12:28"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 spans="12:28"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 spans="12:28"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 spans="12:28"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 spans="12:28"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 spans="12:28"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 spans="12:28"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 spans="12:28"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 spans="12:28"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 spans="12:28"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 spans="12:28"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 spans="12:28"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 spans="12:28"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 spans="12:28"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 spans="12:28"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 spans="12:28"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 spans="12:28"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 spans="12:28"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 spans="12:28"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 spans="12:28"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 spans="12:28"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 spans="12:28"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 spans="12:28"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 spans="12:28"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 spans="12:28"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 spans="12:28"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 spans="12:28"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 spans="12:28"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 spans="12:28"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 spans="12:28"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 spans="12:28"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 spans="12:28"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 spans="12:28"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 spans="12:28"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 spans="12:28"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 spans="12:28"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 spans="12:28"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 spans="12:28"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 spans="12:28"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 spans="12:28"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 spans="12:28"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 spans="12:28"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 spans="12:28"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 spans="12:28"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 spans="12:28"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 spans="12:28"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 spans="12:28"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 spans="12:28"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 spans="12:28"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 spans="12:28"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 spans="12:28"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 spans="12:28"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 spans="12:28"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 spans="12:28"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 spans="12:28"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 spans="12:28"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 spans="12:28"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 spans="12:28"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 spans="12:28"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 spans="12:28"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 spans="12:28"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 spans="12:28"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 spans="12:28"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 spans="12:28"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 spans="12:28"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 spans="12:28"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 spans="12:28"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 spans="12:28"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 spans="12:28"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 spans="12:28"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 spans="12:28"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 spans="12:28"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 spans="12:28"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 spans="12:28"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 spans="12:28"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 spans="12:28"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 spans="12:28"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 spans="12:28"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 spans="12:28"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 spans="12:28"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 spans="12:28"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 spans="12:28"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 spans="12:28"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 spans="12:28"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 spans="12:28"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 spans="12:28"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 spans="12:28"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 spans="12:28"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 spans="12:28"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 spans="12:28"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 spans="12:28"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 spans="12:28"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 spans="12:28"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 spans="12:28"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 spans="12:28"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 spans="12:28"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 spans="12:28"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 spans="12:28"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 spans="12:28"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 spans="12:28"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 spans="12:28"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 spans="12:28"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 spans="12:28"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 spans="12:28"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 spans="12:28"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 spans="12:28"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 spans="12:28"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 spans="12:28"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 spans="12:28"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 spans="12:28"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 spans="12:28"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 spans="12:28"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 spans="12:28"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 spans="12:28"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 spans="12:28"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 spans="12:28"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 spans="12:28"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 spans="12:28"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 spans="12:28"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 spans="12:28"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 spans="12:28"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 spans="12:28"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 spans="12:28"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 spans="12:28"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 spans="12:28"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 spans="12:28"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 spans="12:28"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 spans="12:28"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 spans="12:28"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 spans="12:28"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 spans="12:28"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 spans="12:28"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 spans="12:28"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 spans="12:28"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 spans="12:28"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 spans="12:28"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 spans="12:28"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 spans="12:28"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 spans="12:28"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 spans="12:28"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 spans="12:28"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 spans="12:28"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 spans="12:28"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 spans="12:28"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 spans="12:28"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 spans="12:28"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 spans="12:28"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 spans="12:28"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 spans="12:28"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 spans="12:28"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 spans="12:28"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 spans="12:28"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 spans="12:28"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 spans="12:28"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 spans="12:28"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 spans="12:28"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 spans="12:28"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 spans="12:28"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 spans="12:28"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 spans="12:28"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 spans="12:28"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 spans="12:28"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 spans="12:28"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 spans="12:28"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 spans="12:28"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 spans="12:28"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 spans="12:28"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 spans="12:28"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 spans="12:28"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 spans="12:28"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 spans="12:28"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 spans="12:28"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 spans="12:28"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 spans="12:28"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 spans="12:28"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 spans="12:28"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 spans="12:28"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 spans="12:28"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 spans="12:28"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 spans="12:28"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 spans="12:28"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 spans="12:28"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 spans="12:28"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 spans="12:28"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 spans="12:28"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 spans="12:28"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 spans="12:28"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 spans="12:28"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 spans="12:28"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 spans="12:28"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 spans="12:28"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 spans="12:28"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 spans="12:28"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 spans="12:28"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 spans="12:28"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 spans="12:28"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 spans="12:28"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 spans="12:28"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 spans="12:28"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 spans="12:28"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 spans="12:28"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 spans="12:28"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 spans="12:28"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 spans="12:28"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 spans="12:28"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 spans="12:28"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 spans="12:28"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 spans="12:28"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 spans="12:28"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 spans="12:28"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 spans="12:28"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 spans="12:28"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 spans="12:28"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 spans="12:28"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 spans="12:28"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 spans="12:28"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 spans="12:28"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 spans="12:28"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 spans="12:28"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 spans="12:28"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 spans="12:28"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 spans="12:28"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 spans="12:28"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 spans="12:28"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 spans="12:28"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 spans="12:28"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 spans="12:28"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 spans="12:28"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 spans="12:28"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 spans="12:28"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 spans="12:28"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 spans="12:28"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 spans="12:28"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 spans="12:28"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 spans="12:28"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 spans="12:28"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 spans="12:28"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 spans="12:28"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 spans="12:28"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 spans="12:28"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 spans="12:28"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 spans="12:28"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 spans="12:28"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 spans="12:28"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 spans="12:28"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 spans="12:28"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 spans="12:28"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 spans="12:28"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 spans="12:28"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 spans="12:28"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 spans="12:28"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 spans="12:28"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 spans="12:28"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 spans="12:28"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 spans="12:28"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 spans="12:28"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 spans="12:28"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 spans="12:28"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 spans="12:28"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 spans="12:28"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 spans="12:28"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 spans="12:28"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 spans="12:28"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 spans="12:28"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 spans="12:28"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 spans="12:28"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 spans="12:28"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 spans="12:28"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 spans="12:28"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 spans="12:28"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 spans="12:28"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 spans="12:28"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 spans="12:28"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 spans="12:28"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 spans="12:28"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 spans="12:28"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 spans="12:28"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 spans="12:28"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 spans="12:28"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 spans="12:28"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 spans="12:28"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 spans="12:28"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 spans="12:28"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 spans="12:28"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 spans="12:28"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 spans="12:28"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 spans="12:28"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 spans="12:28"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 spans="12:28"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 spans="12:28"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 spans="12:28"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 spans="12:28"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 spans="12:28"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 spans="12:28"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 spans="12:28"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 spans="12:28"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 spans="12:28"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 spans="12:28"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 spans="12:28"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 spans="12:28"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 spans="12:28">
      <c r="Y991" s="55"/>
      <c r="Z991" s="55"/>
      <c r="AA991" s="55"/>
      <c r="AB991" s="55"/>
    </row>
    <row r="992" spans="12:28">
      <c r="Y992" s="55"/>
      <c r="Z992" s="55"/>
      <c r="AA992" s="55"/>
      <c r="AB992" s="55"/>
    </row>
    <row r="993" spans="25:28">
      <c r="Y993" s="55"/>
      <c r="Z993" s="55"/>
      <c r="AA993" s="55"/>
      <c r="AB993" s="55"/>
    </row>
    <row r="994" spans="25:28">
      <c r="Y994" s="55"/>
      <c r="Z994" s="55"/>
      <c r="AA994" s="55"/>
      <c r="AB994" s="55"/>
    </row>
    <row r="995" spans="25:28">
      <c r="Y995" s="55"/>
      <c r="Z995" s="55"/>
      <c r="AA995" s="55"/>
      <c r="AB995" s="55"/>
    </row>
    <row r="996" spans="25:28">
      <c r="Y996" s="55"/>
      <c r="Z996" s="55"/>
      <c r="AA996" s="55"/>
      <c r="AB996" s="55"/>
    </row>
    <row r="997" spans="25:28">
      <c r="Y997" s="55"/>
      <c r="Z997" s="55"/>
      <c r="AA997" s="55"/>
      <c r="AB997" s="55"/>
    </row>
    <row r="998" spans="25:28">
      <c r="Y998" s="55"/>
      <c r="Z998" s="55"/>
      <c r="AA998" s="55"/>
      <c r="AB998" s="55"/>
    </row>
    <row r="999" spans="25:28">
      <c r="Y999" s="55"/>
      <c r="Z999" s="55"/>
      <c r="AA999" s="55"/>
      <c r="AB999" s="55"/>
    </row>
    <row r="1000" spans="25:28">
      <c r="Y1000" s="55"/>
      <c r="Z1000" s="55"/>
      <c r="AA1000" s="55"/>
      <c r="AB1000" s="55"/>
    </row>
  </sheetData>
  <mergeCells count="2">
    <mergeCell ref="B10:I10"/>
    <mergeCell ref="A16:J1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21FA-8140-42E9-83A4-B032D29ECADC}">
  <dimension ref="B2:C10"/>
  <sheetViews>
    <sheetView workbookViewId="0">
      <selection activeCell="C11" sqref="C11"/>
    </sheetView>
  </sheetViews>
  <sheetFormatPr defaultColWidth="8.6328125" defaultRowHeight="14"/>
  <cols>
    <col min="1" max="1" width="8.6328125" style="1"/>
    <col min="2" max="2" width="11.81640625" style="1" customWidth="1"/>
    <col min="3" max="3" width="70.453125" style="1" customWidth="1"/>
    <col min="4" max="16384" width="8.6328125" style="1"/>
  </cols>
  <sheetData>
    <row r="2" spans="2:3">
      <c r="B2" s="1" t="s">
        <v>114</v>
      </c>
    </row>
    <row r="3" spans="2:3">
      <c r="B3" s="126" t="s">
        <v>107</v>
      </c>
      <c r="C3" s="127" t="s">
        <v>108</v>
      </c>
    </row>
    <row r="4" spans="2:3" ht="31">
      <c r="B4" s="133" t="s">
        <v>104</v>
      </c>
      <c r="C4" s="134" t="s">
        <v>105</v>
      </c>
    </row>
    <row r="5" spans="2:3" ht="31">
      <c r="B5" s="135" t="s">
        <v>109</v>
      </c>
      <c r="C5" s="134" t="s">
        <v>127</v>
      </c>
    </row>
    <row r="6" spans="2:3" ht="31">
      <c r="B6" s="128" t="s">
        <v>110</v>
      </c>
      <c r="C6" s="129" t="s">
        <v>122</v>
      </c>
    </row>
    <row r="7" spans="2:3" ht="15.5">
      <c r="B7" s="211" t="s">
        <v>111</v>
      </c>
      <c r="C7" s="136" t="s">
        <v>128</v>
      </c>
    </row>
    <row r="8" spans="2:3" ht="15.5">
      <c r="B8" s="212"/>
      <c r="C8" s="130" t="s">
        <v>106</v>
      </c>
    </row>
    <row r="9" spans="2:3" ht="15.5">
      <c r="B9" s="213"/>
      <c r="C9" s="132" t="s">
        <v>113</v>
      </c>
    </row>
    <row r="10" spans="2:3" ht="15.5">
      <c r="B10" s="131" t="s">
        <v>112</v>
      </c>
      <c r="C10" s="132" t="s">
        <v>129</v>
      </c>
    </row>
  </sheetData>
  <mergeCells count="1">
    <mergeCell ref="B7:B9"/>
  </mergeCells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90F4-B6D6-4B47-A9AF-3760C66A8E8B}">
  <dimension ref="A1:I14"/>
  <sheetViews>
    <sheetView workbookViewId="0">
      <selection sqref="A1:I14"/>
    </sheetView>
  </sheetViews>
  <sheetFormatPr defaultRowHeight="14.5"/>
  <sheetData>
    <row r="1" spans="1:9" ht="15.5">
      <c r="A1" s="55">
        <v>22</v>
      </c>
      <c r="B1" s="55">
        <v>15</v>
      </c>
      <c r="C1" s="55"/>
      <c r="D1" s="55">
        <v>10</v>
      </c>
      <c r="E1" s="55"/>
      <c r="F1" s="55"/>
      <c r="G1" s="55"/>
      <c r="H1" s="55"/>
      <c r="I1" s="73"/>
    </row>
    <row r="2" spans="1:9" ht="15.5">
      <c r="A2" s="55"/>
      <c r="B2" s="55">
        <v>1500</v>
      </c>
      <c r="C2" s="55">
        <v>2000</v>
      </c>
      <c r="D2" s="55">
        <v>3000</v>
      </c>
      <c r="E2" s="55"/>
      <c r="F2" s="55"/>
      <c r="G2" s="55"/>
      <c r="H2" s="55"/>
      <c r="I2" s="55"/>
    </row>
    <row r="3" spans="1:9" ht="15.5">
      <c r="A3" s="55"/>
      <c r="B3" s="55">
        <f>B2*B1</f>
        <v>22500</v>
      </c>
      <c r="C3" s="55">
        <f>C2*B1</f>
        <v>30000</v>
      </c>
      <c r="D3" s="55">
        <f>D2*D1</f>
        <v>30000</v>
      </c>
      <c r="E3" s="55"/>
      <c r="F3" s="55"/>
      <c r="G3" s="55"/>
      <c r="H3" s="55"/>
      <c r="I3" s="55"/>
    </row>
    <row r="4" spans="1:9" ht="15.5">
      <c r="A4" s="55"/>
      <c r="B4" s="55"/>
      <c r="C4" s="55"/>
      <c r="D4" s="55"/>
      <c r="E4" s="65"/>
      <c r="F4" s="65"/>
      <c r="G4" s="65"/>
      <c r="H4" s="65"/>
      <c r="I4" s="55"/>
    </row>
    <row r="5" spans="1:9" ht="15.5">
      <c r="A5" s="55"/>
      <c r="B5" s="55">
        <v>10</v>
      </c>
      <c r="C5" s="55">
        <v>0.53</v>
      </c>
      <c r="D5" s="55">
        <v>10</v>
      </c>
      <c r="E5" s="65"/>
      <c r="F5" s="65"/>
      <c r="G5" s="65"/>
      <c r="H5" s="65"/>
      <c r="I5" s="55"/>
    </row>
    <row r="6" spans="1:9" ht="15.5">
      <c r="A6" s="55"/>
      <c r="B6" s="55">
        <f>B5-(B5*C5)</f>
        <v>4.6999999999999993</v>
      </c>
      <c r="C6" s="55"/>
      <c r="D6" s="55">
        <f>D5+(C5*B5*3)</f>
        <v>25.900000000000002</v>
      </c>
      <c r="E6" s="65"/>
      <c r="F6" s="65"/>
      <c r="G6" s="65"/>
      <c r="H6" s="65"/>
      <c r="I6" s="2"/>
    </row>
    <row r="7" spans="1:9" ht="15.5">
      <c r="A7" s="55"/>
      <c r="B7" s="55"/>
      <c r="C7" s="55">
        <f>B6+D6</f>
        <v>30.6</v>
      </c>
      <c r="D7" s="55"/>
      <c r="E7" s="65"/>
      <c r="F7" s="65"/>
      <c r="G7" s="65"/>
      <c r="H7" s="65"/>
      <c r="I7" s="2"/>
    </row>
    <row r="8" spans="1:9" ht="15.5">
      <c r="A8" s="55"/>
      <c r="B8" s="55"/>
      <c r="C8" s="55">
        <f>C7/2</f>
        <v>15.3</v>
      </c>
      <c r="D8" s="55"/>
      <c r="E8" s="2"/>
      <c r="F8" s="2"/>
      <c r="G8" s="74"/>
      <c r="H8" s="74"/>
      <c r="I8" s="2"/>
    </row>
    <row r="9" spans="1:9" ht="15.5">
      <c r="A9" s="55"/>
      <c r="B9" s="55"/>
      <c r="C9" s="55">
        <f>C8*D2</f>
        <v>45900</v>
      </c>
      <c r="D9" s="55"/>
      <c r="E9" s="2"/>
      <c r="F9" s="2"/>
      <c r="G9" s="74"/>
      <c r="H9" s="74" t="s">
        <v>180</v>
      </c>
      <c r="I9" s="74"/>
    </row>
    <row r="10" spans="1:9" ht="15.5">
      <c r="A10" s="55">
        <v>30</v>
      </c>
      <c r="B10" s="55">
        <f>'Table 7 power'!C26</f>
        <v>0.53525639999999997</v>
      </c>
      <c r="C10" s="55">
        <v>30</v>
      </c>
      <c r="D10" s="2"/>
      <c r="E10" s="2"/>
      <c r="F10" s="2"/>
      <c r="G10" s="74" t="s">
        <v>179</v>
      </c>
      <c r="H10" s="74">
        <v>74</v>
      </c>
      <c r="I10" s="74">
        <v>79</v>
      </c>
    </row>
    <row r="11" spans="1:9" ht="15.5">
      <c r="A11" s="55">
        <f>A10-(A10*'Table 7 power'!C28)</f>
        <v>15.399998999999999</v>
      </c>
      <c r="B11" s="55"/>
      <c r="C11" s="55">
        <f>C10+B10*A10*3</f>
        <v>78.173075999999995</v>
      </c>
      <c r="D11" s="2"/>
      <c r="E11" s="2"/>
      <c r="F11" s="2"/>
      <c r="G11" s="2" t="s">
        <v>181</v>
      </c>
      <c r="H11" s="2">
        <v>59</v>
      </c>
      <c r="I11" s="2">
        <v>62</v>
      </c>
    </row>
    <row r="12" spans="1:9" ht="15.5">
      <c r="A12" s="55"/>
      <c r="B12" s="55">
        <f>A11+C11</f>
        <v>93.573074999999989</v>
      </c>
      <c r="C12" s="55"/>
      <c r="D12" s="2"/>
      <c r="E12" s="2"/>
      <c r="F12" s="2"/>
      <c r="G12" s="2" t="s">
        <v>182</v>
      </c>
      <c r="H12" s="65">
        <v>45</v>
      </c>
      <c r="I12" s="2">
        <v>47</v>
      </c>
    </row>
    <row r="13" spans="1:9" ht="15.5">
      <c r="A13" s="55"/>
      <c r="B13" s="55">
        <f>B12/2</f>
        <v>46.786537499999994</v>
      </c>
      <c r="C13" s="55"/>
      <c r="D13" s="2"/>
      <c r="E13" s="2"/>
      <c r="F13" s="2"/>
      <c r="G13" s="2"/>
      <c r="H13" s="2"/>
      <c r="I13" s="2"/>
    </row>
    <row r="14" spans="1:9" ht="15.5">
      <c r="A14" s="55"/>
      <c r="B14" s="55"/>
      <c r="C14" s="55"/>
      <c r="D14" s="2"/>
      <c r="E14" s="2"/>
      <c r="F14" s="2"/>
      <c r="G14" s="2"/>
      <c r="H14" s="2"/>
      <c r="I1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4"/>
  <sheetViews>
    <sheetView topLeftCell="A18" workbookViewId="0">
      <selection activeCell="B34" sqref="B34"/>
    </sheetView>
  </sheetViews>
  <sheetFormatPr defaultColWidth="8.81640625" defaultRowHeight="14.5"/>
  <sheetData>
    <row r="1" spans="1:26" ht="15" thickBot="1">
      <c r="A1" s="21" t="s">
        <v>82</v>
      </c>
      <c r="B1" s="21" t="s">
        <v>83</v>
      </c>
      <c r="C1" s="21" t="s">
        <v>84</v>
      </c>
      <c r="D1" s="16"/>
      <c r="E1" s="16"/>
      <c r="F1" s="16"/>
      <c r="G1" s="16"/>
      <c r="H1" s="16"/>
      <c r="I1" s="16"/>
      <c r="J1" s="16"/>
      <c r="K1" s="16"/>
      <c r="L1" s="16"/>
      <c r="M1" s="22" t="s">
        <v>85</v>
      </c>
      <c r="N1" s="23" t="s">
        <v>86</v>
      </c>
      <c r="O1" s="24">
        <v>500</v>
      </c>
      <c r="P1" s="25"/>
      <c r="Q1" s="23" t="s">
        <v>39</v>
      </c>
      <c r="R1" s="25"/>
      <c r="S1" s="16"/>
      <c r="T1" s="16"/>
      <c r="U1" s="16"/>
      <c r="V1" s="16"/>
      <c r="W1" s="16"/>
      <c r="X1" s="16"/>
      <c r="Y1" s="16"/>
      <c r="Z1" s="16"/>
    </row>
    <row r="2" spans="1:26" ht="15" thickBot="1">
      <c r="A2" s="21" t="s">
        <v>87</v>
      </c>
      <c r="B2" s="26">
        <v>4</v>
      </c>
      <c r="C2" s="26">
        <v>600</v>
      </c>
      <c r="D2" s="16"/>
      <c r="E2" s="16"/>
      <c r="F2" s="16"/>
      <c r="G2" s="16"/>
      <c r="H2" s="16"/>
      <c r="I2" s="16"/>
      <c r="J2" s="16"/>
      <c r="K2" s="16"/>
      <c r="L2" s="16"/>
      <c r="M2" s="18"/>
      <c r="N2" s="16"/>
      <c r="O2" s="21" t="s">
        <v>88</v>
      </c>
      <c r="P2" s="22" t="s">
        <v>89</v>
      </c>
      <c r="Q2" s="27">
        <v>1</v>
      </c>
      <c r="R2" s="28">
        <v>46</v>
      </c>
      <c r="S2" s="16"/>
      <c r="T2" s="16"/>
      <c r="U2" s="16"/>
      <c r="V2" s="16"/>
      <c r="W2" s="16"/>
      <c r="X2" s="16"/>
      <c r="Y2" s="16"/>
      <c r="Z2" s="16"/>
    </row>
    <row r="3" spans="1:26" ht="15" thickBot="1">
      <c r="A3" s="29">
        <v>0.95</v>
      </c>
      <c r="B3" s="26">
        <v>4.5</v>
      </c>
      <c r="C3" s="26">
        <v>474</v>
      </c>
      <c r="D3" s="20" t="s">
        <v>90</v>
      </c>
      <c r="E3" s="16"/>
      <c r="F3" s="16"/>
      <c r="G3" s="16"/>
      <c r="H3" s="16"/>
      <c r="I3" s="16"/>
      <c r="J3" s="16"/>
      <c r="K3" s="16"/>
      <c r="L3" s="16"/>
      <c r="M3" s="18"/>
      <c r="N3" s="21" t="s">
        <v>57</v>
      </c>
      <c r="O3" s="26">
        <v>239</v>
      </c>
      <c r="P3" s="28">
        <v>261</v>
      </c>
      <c r="Q3" s="27">
        <v>2</v>
      </c>
      <c r="R3" s="28">
        <v>207</v>
      </c>
      <c r="S3" s="16"/>
      <c r="T3" s="16"/>
      <c r="U3" s="16"/>
      <c r="V3" s="16"/>
      <c r="W3" s="16"/>
      <c r="X3" s="16"/>
      <c r="Y3" s="16"/>
      <c r="Z3" s="16"/>
    </row>
    <row r="4" spans="1:26" ht="15" thickBot="1">
      <c r="A4" s="16"/>
      <c r="B4" s="26">
        <v>5</v>
      </c>
      <c r="C4" s="26">
        <v>384</v>
      </c>
      <c r="D4" s="16"/>
      <c r="E4" s="16"/>
      <c r="F4" s="16"/>
      <c r="G4" s="16"/>
      <c r="H4" s="16"/>
      <c r="I4" s="16"/>
      <c r="J4" s="16"/>
      <c r="K4" s="16"/>
      <c r="L4" s="16"/>
      <c r="M4" s="18"/>
      <c r="N4" s="30" t="s">
        <v>91</v>
      </c>
      <c r="O4" s="26">
        <v>10</v>
      </c>
      <c r="P4" s="28">
        <v>10</v>
      </c>
      <c r="Q4" s="27">
        <v>3</v>
      </c>
      <c r="R4" s="28">
        <v>178</v>
      </c>
      <c r="S4" s="16" t="s">
        <v>58</v>
      </c>
      <c r="T4" s="26">
        <v>203</v>
      </c>
      <c r="U4" s="26">
        <v>0.40600000000000003</v>
      </c>
      <c r="V4" s="16"/>
      <c r="W4" s="16"/>
      <c r="X4" s="16"/>
      <c r="Y4" s="16"/>
      <c r="Z4" s="16"/>
    </row>
    <row r="5" spans="1:26" ht="15" thickBot="1">
      <c r="A5" s="21" t="s">
        <v>92</v>
      </c>
      <c r="B5" s="26">
        <v>6</v>
      </c>
      <c r="C5" s="26">
        <v>267</v>
      </c>
      <c r="D5" s="16"/>
      <c r="E5" s="16"/>
      <c r="F5" s="16"/>
      <c r="G5" s="16"/>
      <c r="H5" s="16"/>
      <c r="I5" s="16"/>
      <c r="J5" s="16"/>
      <c r="K5" s="16"/>
      <c r="L5" s="16"/>
      <c r="M5" s="18"/>
      <c r="N5" s="30" t="s">
        <v>22</v>
      </c>
      <c r="O5" s="26">
        <v>32</v>
      </c>
      <c r="P5" s="28">
        <v>32</v>
      </c>
      <c r="Q5" s="27">
        <v>4</v>
      </c>
      <c r="R5" s="28">
        <v>47</v>
      </c>
      <c r="S5" s="16" t="s">
        <v>59</v>
      </c>
      <c r="T5" s="26">
        <v>139</v>
      </c>
      <c r="U5" s="26">
        <v>0.27700000000000002</v>
      </c>
      <c r="V5" s="16"/>
      <c r="W5" s="16"/>
      <c r="X5" s="16"/>
      <c r="Y5" s="16"/>
      <c r="Z5" s="16"/>
    </row>
    <row r="6" spans="1:26" ht="15" thickBot="1">
      <c r="A6" s="26">
        <v>7181469</v>
      </c>
      <c r="B6" s="26">
        <v>7</v>
      </c>
      <c r="C6" s="26">
        <v>196</v>
      </c>
      <c r="D6" s="16"/>
      <c r="E6" s="16"/>
      <c r="F6" s="16"/>
      <c r="G6" s="16"/>
      <c r="H6" s="16"/>
      <c r="I6" s="16"/>
      <c r="J6" s="16"/>
      <c r="K6" s="16"/>
      <c r="L6" s="16"/>
      <c r="M6" s="18"/>
      <c r="N6" s="30" t="s">
        <v>23</v>
      </c>
      <c r="O6" s="26">
        <v>31</v>
      </c>
      <c r="P6" s="28">
        <v>31</v>
      </c>
      <c r="Q6" s="27">
        <v>5</v>
      </c>
      <c r="R6" s="28">
        <v>15</v>
      </c>
      <c r="S6" s="16" t="s">
        <v>60</v>
      </c>
      <c r="T6" s="26">
        <v>158</v>
      </c>
      <c r="U6" s="26">
        <v>0.317</v>
      </c>
      <c r="V6" s="16"/>
      <c r="W6" s="16"/>
      <c r="X6" s="16"/>
      <c r="Y6" s="16"/>
      <c r="Z6" s="16"/>
    </row>
    <row r="7" spans="1:26" ht="15" thickBot="1">
      <c r="A7" s="16"/>
      <c r="B7" s="26">
        <v>8</v>
      </c>
      <c r="C7" s="27">
        <v>150</v>
      </c>
      <c r="D7" s="16"/>
      <c r="E7" s="16"/>
      <c r="F7" s="16"/>
      <c r="G7" s="16"/>
      <c r="H7" s="16"/>
      <c r="I7" s="16"/>
      <c r="J7" s="16"/>
      <c r="K7" s="16"/>
      <c r="L7" s="16"/>
      <c r="M7" s="18"/>
      <c r="N7" s="30" t="s">
        <v>24</v>
      </c>
      <c r="O7" s="26">
        <v>28</v>
      </c>
      <c r="P7" s="28">
        <v>28</v>
      </c>
      <c r="Q7" s="31">
        <v>6</v>
      </c>
      <c r="R7" s="32">
        <v>8</v>
      </c>
      <c r="S7" s="16"/>
      <c r="T7" s="26">
        <v>500</v>
      </c>
      <c r="U7" s="16"/>
      <c r="V7" s="16"/>
      <c r="W7" s="16"/>
      <c r="X7" s="16"/>
      <c r="Y7" s="16"/>
      <c r="Z7" s="16"/>
    </row>
    <row r="8" spans="1:26" ht="15" thickBot="1">
      <c r="A8" s="16"/>
      <c r="B8" s="26">
        <v>8.8000000000000007</v>
      </c>
      <c r="C8" s="27">
        <v>124</v>
      </c>
      <c r="D8" s="16"/>
      <c r="E8" s="16"/>
      <c r="F8" s="16"/>
      <c r="G8" s="16"/>
      <c r="H8" s="16"/>
      <c r="I8" s="16"/>
      <c r="J8" s="16"/>
      <c r="K8" s="16"/>
      <c r="L8" s="16"/>
      <c r="M8" s="18"/>
      <c r="N8" s="30" t="s">
        <v>25</v>
      </c>
      <c r="O8" s="26">
        <v>26</v>
      </c>
      <c r="P8" s="26">
        <v>27</v>
      </c>
      <c r="Q8" s="16"/>
      <c r="R8" s="18"/>
      <c r="S8" s="16"/>
      <c r="T8" s="16"/>
      <c r="U8" s="16"/>
      <c r="V8" s="16"/>
      <c r="W8" s="16"/>
      <c r="X8" s="16"/>
      <c r="Y8" s="16"/>
      <c r="Z8" s="16"/>
    </row>
    <row r="9" spans="1:26" ht="15" thickBot="1">
      <c r="A9" s="16"/>
      <c r="B9" s="26">
        <v>9</v>
      </c>
      <c r="C9" s="27">
        <v>119</v>
      </c>
      <c r="D9" s="16"/>
      <c r="E9" s="16"/>
      <c r="F9" s="16"/>
      <c r="G9" s="16"/>
      <c r="H9" s="16"/>
      <c r="I9" s="16"/>
      <c r="J9" s="16"/>
      <c r="K9" s="16"/>
      <c r="L9" s="16"/>
      <c r="M9" s="18"/>
      <c r="N9" s="30" t="s">
        <v>26</v>
      </c>
      <c r="O9" s="26">
        <v>21</v>
      </c>
      <c r="P9" s="26">
        <v>23</v>
      </c>
      <c r="Q9" s="16"/>
      <c r="R9" s="18"/>
      <c r="S9" s="16"/>
      <c r="T9" s="16"/>
      <c r="U9" s="16"/>
      <c r="V9" s="16"/>
      <c r="W9" s="16"/>
      <c r="X9" s="16"/>
      <c r="Y9" s="16"/>
      <c r="Z9" s="16"/>
    </row>
    <row r="10" spans="1:26" ht="15" thickBot="1">
      <c r="A10" s="16"/>
      <c r="B10" s="26">
        <v>10</v>
      </c>
      <c r="C10" s="26">
        <v>96</v>
      </c>
      <c r="D10" s="16"/>
      <c r="E10" s="16"/>
      <c r="F10" s="16"/>
      <c r="G10" s="16"/>
      <c r="H10" s="16"/>
      <c r="I10" s="16"/>
      <c r="J10" s="16"/>
      <c r="K10" s="16"/>
      <c r="L10" s="16"/>
      <c r="M10" s="18"/>
      <c r="N10" s="30" t="s">
        <v>27</v>
      </c>
      <c r="O10" s="26">
        <v>19</v>
      </c>
      <c r="P10" s="26">
        <v>23</v>
      </c>
      <c r="Q10" s="16"/>
      <c r="R10" s="18"/>
      <c r="S10" s="16"/>
      <c r="T10" s="16"/>
      <c r="U10" s="16"/>
      <c r="V10" s="16"/>
      <c r="W10" s="16"/>
      <c r="X10" s="16"/>
      <c r="Y10" s="16"/>
      <c r="Z10" s="16"/>
    </row>
    <row r="11" spans="1:26" ht="15" thickBo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/>
      <c r="N11" s="30" t="s">
        <v>28</v>
      </c>
      <c r="O11" s="26">
        <v>19</v>
      </c>
      <c r="P11" s="26">
        <v>23</v>
      </c>
      <c r="Q11" s="16"/>
      <c r="R11" s="18"/>
      <c r="S11" s="16"/>
      <c r="T11" s="16"/>
      <c r="U11" s="16"/>
      <c r="V11" s="16"/>
      <c r="W11" s="16"/>
      <c r="X11" s="16"/>
      <c r="Y11" s="16"/>
      <c r="Z11" s="16"/>
    </row>
    <row r="12" spans="1:26" ht="16" thickBot="1">
      <c r="A12" s="33" t="s">
        <v>93</v>
      </c>
      <c r="B12" s="16"/>
      <c r="C12" s="16"/>
      <c r="D12" s="16"/>
      <c r="E12" s="16" t="s">
        <v>86</v>
      </c>
      <c r="F12" s="34">
        <v>500</v>
      </c>
      <c r="G12" s="18"/>
      <c r="H12" s="16" t="s">
        <v>39</v>
      </c>
      <c r="I12" s="16" t="s">
        <v>94</v>
      </c>
      <c r="J12" s="16" t="s">
        <v>50</v>
      </c>
      <c r="K12" s="16"/>
      <c r="L12" s="16"/>
      <c r="M12" s="18"/>
      <c r="N12" s="30" t="s">
        <v>29</v>
      </c>
      <c r="O12" s="26">
        <v>16</v>
      </c>
      <c r="P12" s="26">
        <v>20</v>
      </c>
      <c r="Q12" s="16"/>
      <c r="R12" s="18"/>
      <c r="S12" s="16"/>
      <c r="T12" s="16"/>
      <c r="U12" s="16"/>
      <c r="V12" s="16"/>
      <c r="W12" s="16"/>
      <c r="X12" s="16"/>
      <c r="Y12" s="16"/>
      <c r="Z12" s="16"/>
    </row>
    <row r="13" spans="1:26" ht="15" thickBot="1">
      <c r="A13" s="33" t="s">
        <v>95</v>
      </c>
      <c r="B13" s="16" t="s">
        <v>55</v>
      </c>
      <c r="C13" s="16" t="s">
        <v>56</v>
      </c>
      <c r="D13" s="16" t="s">
        <v>55</v>
      </c>
      <c r="E13" s="16" t="s">
        <v>56</v>
      </c>
      <c r="F13" s="35">
        <v>239</v>
      </c>
      <c r="G13" s="36">
        <v>261</v>
      </c>
      <c r="H13" s="26">
        <v>1</v>
      </c>
      <c r="I13" s="37">
        <v>656798.00560000003</v>
      </c>
      <c r="J13" s="37">
        <v>0.09</v>
      </c>
      <c r="K13" s="38">
        <v>46</v>
      </c>
      <c r="L13" s="38">
        <v>253</v>
      </c>
      <c r="M13" s="18"/>
      <c r="N13" s="30" t="s">
        <v>30</v>
      </c>
      <c r="O13" s="26">
        <v>13</v>
      </c>
      <c r="P13" s="26">
        <v>16</v>
      </c>
      <c r="Q13" s="16"/>
      <c r="R13" s="18"/>
      <c r="S13" s="16"/>
      <c r="T13" s="16"/>
      <c r="U13" s="16"/>
      <c r="V13" s="16"/>
      <c r="W13" s="16"/>
      <c r="X13" s="16"/>
      <c r="Y13" s="16"/>
      <c r="Z13" s="16"/>
    </row>
    <row r="14" spans="1:26" ht="15" thickBot="1">
      <c r="A14" s="39" t="s">
        <v>21</v>
      </c>
      <c r="B14" s="40">
        <v>279911</v>
      </c>
      <c r="C14" s="40">
        <v>275796</v>
      </c>
      <c r="D14" s="41">
        <v>0.1081</v>
      </c>
      <c r="E14" s="41">
        <v>9.6799999999999997E-2</v>
      </c>
      <c r="F14" s="41">
        <v>10</v>
      </c>
      <c r="G14" s="42">
        <v>10</v>
      </c>
      <c r="H14" s="26">
        <v>2</v>
      </c>
      <c r="I14" s="37">
        <v>2970638.2790000001</v>
      </c>
      <c r="J14" s="37">
        <v>0.41</v>
      </c>
      <c r="K14" s="38">
        <v>207</v>
      </c>
      <c r="L14" s="43"/>
      <c r="M14" s="18"/>
      <c r="N14" s="30" t="s">
        <v>31</v>
      </c>
      <c r="O14" s="26">
        <v>9</v>
      </c>
      <c r="P14" s="26">
        <v>12</v>
      </c>
      <c r="Q14" s="16"/>
      <c r="R14" s="18"/>
      <c r="S14" s="16"/>
      <c r="T14" s="16"/>
      <c r="U14" s="16"/>
      <c r="V14" s="16"/>
      <c r="W14" s="16"/>
      <c r="X14" s="16"/>
      <c r="Y14" s="16"/>
      <c r="Z14" s="16"/>
    </row>
    <row r="15" spans="1:26" ht="15" thickBot="1">
      <c r="A15" s="39" t="s">
        <v>22</v>
      </c>
      <c r="B15" s="40">
        <v>346803</v>
      </c>
      <c r="C15" s="40">
        <v>349905</v>
      </c>
      <c r="D15" s="41">
        <v>0.13389999999999999</v>
      </c>
      <c r="E15" s="41">
        <v>0.12280000000000001</v>
      </c>
      <c r="F15" s="41">
        <v>32</v>
      </c>
      <c r="G15" s="42">
        <v>32</v>
      </c>
      <c r="H15" s="26">
        <v>3</v>
      </c>
      <c r="I15" s="26">
        <v>2551196.068</v>
      </c>
      <c r="J15" s="26">
        <v>0.36</v>
      </c>
      <c r="K15" s="27">
        <v>178</v>
      </c>
      <c r="L15" s="18"/>
      <c r="M15" s="18"/>
      <c r="N15" s="44" t="s">
        <v>96</v>
      </c>
      <c r="O15" s="45">
        <v>16</v>
      </c>
      <c r="P15" s="45">
        <v>15</v>
      </c>
      <c r="Q15" s="17"/>
      <c r="R15" s="19"/>
      <c r="S15" s="16"/>
      <c r="T15" s="16"/>
      <c r="U15" s="16"/>
      <c r="V15" s="16"/>
      <c r="W15" s="16"/>
      <c r="X15" s="16"/>
      <c r="Y15" s="16"/>
      <c r="Z15" s="16"/>
    </row>
    <row r="16" spans="1:26" ht="15" thickBot="1">
      <c r="A16" s="39" t="s">
        <v>23</v>
      </c>
      <c r="B16" s="40">
        <v>337916</v>
      </c>
      <c r="C16" s="40">
        <v>341717</v>
      </c>
      <c r="D16" s="41">
        <v>0.1305</v>
      </c>
      <c r="E16" s="41">
        <v>0.12</v>
      </c>
      <c r="F16" s="41">
        <v>31</v>
      </c>
      <c r="G16" s="42">
        <v>31</v>
      </c>
      <c r="H16" s="26">
        <v>4</v>
      </c>
      <c r="I16" s="26">
        <v>676593.50049999997</v>
      </c>
      <c r="J16" s="26">
        <v>0.09</v>
      </c>
      <c r="K16" s="27">
        <v>47</v>
      </c>
      <c r="L16" s="18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thickBot="1">
      <c r="A17" s="39" t="s">
        <v>24</v>
      </c>
      <c r="B17" s="40">
        <v>301163</v>
      </c>
      <c r="C17" s="40">
        <v>307390</v>
      </c>
      <c r="D17" s="41">
        <v>0.1163</v>
      </c>
      <c r="E17" s="41">
        <v>0.1079</v>
      </c>
      <c r="F17" s="41">
        <v>28</v>
      </c>
      <c r="G17" s="42">
        <v>28</v>
      </c>
      <c r="H17" s="26">
        <v>5</v>
      </c>
      <c r="I17" s="26">
        <v>214755.4546</v>
      </c>
      <c r="J17" s="26">
        <v>0.03</v>
      </c>
      <c r="K17" s="27">
        <v>15</v>
      </c>
      <c r="L17" s="18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thickBot="1">
      <c r="A18" s="39" t="s">
        <v>25</v>
      </c>
      <c r="B18" s="40">
        <v>277944</v>
      </c>
      <c r="C18" s="40">
        <v>296670</v>
      </c>
      <c r="D18" s="41">
        <v>0.10730000000000001</v>
      </c>
      <c r="E18" s="41">
        <v>0.1042</v>
      </c>
      <c r="F18" s="41">
        <v>26</v>
      </c>
      <c r="G18" s="42">
        <v>27</v>
      </c>
      <c r="H18" s="26">
        <v>6</v>
      </c>
      <c r="I18" s="26">
        <v>111487.69160000001</v>
      </c>
      <c r="J18" s="26">
        <v>0.02</v>
      </c>
      <c r="K18" s="27">
        <v>8</v>
      </c>
      <c r="L18" s="18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thickBot="1">
      <c r="A19" s="39" t="s">
        <v>26</v>
      </c>
      <c r="B19" s="40">
        <v>224362</v>
      </c>
      <c r="C19" s="40">
        <v>255432</v>
      </c>
      <c r="D19" s="41">
        <v>8.6599999999999996E-2</v>
      </c>
      <c r="E19" s="41">
        <v>8.9700000000000002E-2</v>
      </c>
      <c r="F19" s="41">
        <v>21</v>
      </c>
      <c r="G19" s="42">
        <v>23</v>
      </c>
      <c r="H19" s="17" t="s">
        <v>97</v>
      </c>
      <c r="I19" s="45">
        <v>7181469</v>
      </c>
      <c r="J19" s="45">
        <v>1</v>
      </c>
      <c r="K19" s="31">
        <v>500</v>
      </c>
      <c r="L19" s="1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thickBot="1">
      <c r="A20" s="39" t="s">
        <v>27</v>
      </c>
      <c r="B20" s="40">
        <v>207297</v>
      </c>
      <c r="C20" s="40">
        <v>245853</v>
      </c>
      <c r="D20" s="41">
        <v>0.08</v>
      </c>
      <c r="E20" s="41">
        <v>8.6300000000000002E-2</v>
      </c>
      <c r="F20" s="41">
        <v>19</v>
      </c>
      <c r="G20" s="42">
        <v>23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thickBot="1">
      <c r="A21" s="39" t="s">
        <v>28</v>
      </c>
      <c r="B21" s="40">
        <v>203920</v>
      </c>
      <c r="C21" s="40">
        <v>248675</v>
      </c>
      <c r="D21" s="41">
        <v>7.8700000000000006E-2</v>
      </c>
      <c r="E21" s="41">
        <v>8.7300000000000003E-2</v>
      </c>
      <c r="F21" s="41">
        <v>19</v>
      </c>
      <c r="G21" s="42">
        <v>23</v>
      </c>
      <c r="H21" s="15" t="s">
        <v>98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" thickBot="1">
      <c r="A22" s="39" t="s">
        <v>29</v>
      </c>
      <c r="B22" s="40">
        <v>177520</v>
      </c>
      <c r="C22" s="40">
        <v>222457</v>
      </c>
      <c r="D22" s="41">
        <v>6.8500000000000005E-2</v>
      </c>
      <c r="E22" s="41">
        <v>7.8100000000000003E-2</v>
      </c>
      <c r="F22" s="41">
        <v>16</v>
      </c>
      <c r="G22" s="42">
        <v>20</v>
      </c>
      <c r="H22" s="16" t="s">
        <v>39</v>
      </c>
      <c r="I22" s="16" t="s">
        <v>99</v>
      </c>
      <c r="J22" s="16" t="s">
        <v>50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" thickBot="1">
      <c r="A23" s="39" t="s">
        <v>30</v>
      </c>
      <c r="B23" s="40">
        <v>135470</v>
      </c>
      <c r="C23" s="40">
        <v>175006</v>
      </c>
      <c r="D23" s="41">
        <v>5.2299999999999999E-2</v>
      </c>
      <c r="E23" s="41">
        <v>6.1400000000000003E-2</v>
      </c>
      <c r="F23" s="41">
        <v>13</v>
      </c>
      <c r="G23" s="42">
        <v>16</v>
      </c>
      <c r="H23" s="26">
        <v>1</v>
      </c>
      <c r="I23" s="37">
        <v>735748</v>
      </c>
      <c r="J23" s="37">
        <v>0.09</v>
      </c>
      <c r="K23" s="37">
        <v>46</v>
      </c>
      <c r="L23" s="37">
        <v>253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" thickBot="1">
      <c r="A24" s="39" t="s">
        <v>31</v>
      </c>
      <c r="B24" s="40">
        <v>97586</v>
      </c>
      <c r="C24" s="40">
        <v>129338</v>
      </c>
      <c r="D24" s="41">
        <v>3.7699999999999997E-2</v>
      </c>
      <c r="E24" s="41">
        <v>4.5400000000000003E-2</v>
      </c>
      <c r="F24" s="41">
        <v>9</v>
      </c>
      <c r="G24" s="42">
        <v>12</v>
      </c>
      <c r="H24" s="26">
        <v>2</v>
      </c>
      <c r="I24" s="37">
        <v>3327722</v>
      </c>
      <c r="J24" s="37">
        <v>0.41</v>
      </c>
      <c r="K24" s="37">
        <v>207</v>
      </c>
      <c r="L24" s="43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" thickBot="1">
      <c r="A25" s="39" t="s">
        <v>96</v>
      </c>
      <c r="B25" s="16"/>
      <c r="C25" s="16"/>
      <c r="D25" s="16"/>
      <c r="E25" s="16"/>
      <c r="F25" s="26">
        <v>16</v>
      </c>
      <c r="G25" s="28">
        <v>15</v>
      </c>
      <c r="H25" s="26">
        <v>3</v>
      </c>
      <c r="I25" s="26">
        <v>2857861</v>
      </c>
      <c r="J25" s="26">
        <v>0.36</v>
      </c>
      <c r="K25" s="26">
        <v>178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" thickBot="1">
      <c r="A26" s="46"/>
      <c r="B26" s="47">
        <v>2589892</v>
      </c>
      <c r="C26" s="47">
        <v>2848239</v>
      </c>
      <c r="D26" s="48">
        <v>1</v>
      </c>
      <c r="E26" s="48">
        <v>1</v>
      </c>
      <c r="F26" s="49">
        <v>239</v>
      </c>
      <c r="G26" s="50">
        <v>261</v>
      </c>
      <c r="H26" s="26">
        <v>4</v>
      </c>
      <c r="I26" s="26">
        <v>757923</v>
      </c>
      <c r="J26" s="26">
        <v>0.09</v>
      </c>
      <c r="K26" s="26">
        <v>47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thickBot="1">
      <c r="A27" s="33" t="s">
        <v>54</v>
      </c>
      <c r="B27" s="16"/>
      <c r="C27" s="18"/>
      <c r="D27" s="16"/>
      <c r="E27" s="16"/>
      <c r="F27" s="16"/>
      <c r="G27" s="16"/>
      <c r="H27" s="26">
        <v>5</v>
      </c>
      <c r="I27" s="26">
        <v>240570</v>
      </c>
      <c r="J27" s="26">
        <v>0.03</v>
      </c>
      <c r="K27" s="26">
        <v>15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" thickBot="1">
      <c r="A28" s="33" t="s">
        <v>55</v>
      </c>
      <c r="B28" s="51">
        <v>3433586</v>
      </c>
      <c r="C28" s="28">
        <v>47.81</v>
      </c>
      <c r="D28" s="16"/>
      <c r="E28" s="16"/>
      <c r="F28" s="16"/>
      <c r="G28" s="16"/>
      <c r="H28" s="26">
        <v>6</v>
      </c>
      <c r="I28" s="26">
        <v>124889</v>
      </c>
      <c r="J28" s="26">
        <v>0.02</v>
      </c>
      <c r="K28" s="26">
        <v>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" thickBot="1">
      <c r="A29" s="33" t="s">
        <v>56</v>
      </c>
      <c r="B29" s="51">
        <v>3747883</v>
      </c>
      <c r="C29" s="28">
        <v>52.19</v>
      </c>
      <c r="D29" s="16"/>
      <c r="E29" s="16"/>
      <c r="F29" s="16"/>
      <c r="G29" s="16"/>
      <c r="H29" s="16" t="s">
        <v>97</v>
      </c>
      <c r="I29" s="26">
        <v>8044713</v>
      </c>
      <c r="J29" s="26">
        <v>1</v>
      </c>
      <c r="K29" s="26">
        <v>500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" thickBot="1">
      <c r="A30" s="46"/>
      <c r="B30" s="52">
        <v>7181469</v>
      </c>
      <c r="C30" s="19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" thickBo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thickBot="1">
      <c r="A32" s="16" t="s">
        <v>120</v>
      </c>
      <c r="B32" s="150">
        <v>347294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thickBot="1">
      <c r="A33" s="16"/>
      <c r="B33" s="151">
        <f>B32/B30</f>
        <v>4.8359743668043402E-2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thickBot="1">
      <c r="A34" s="16"/>
      <c r="B34" s="152">
        <f>B33*100</f>
        <v>4.83597436680434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thickBo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thickBo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thickBo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" thickBo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" thickBo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" thickBo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" thickBo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" thickBo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" thickBo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" thickBo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" thickBo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" thickBo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" thickBo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thickBo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" thickBo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" thickBo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thickBo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thickBo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" thickBo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" thickBo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" thickBo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" thickBo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" thickBo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" thickBo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thickBo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" thickBo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" thickBo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" thickBo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" thickBo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" thickBo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" thickBo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" thickBo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" thickBo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" thickBo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" thickBo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" thickBo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" thickBo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" thickBo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" thickBo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" thickBo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" thickBo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" thickBo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" thickBo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" thickBo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thickBo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" thickBo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" thickBo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" thickBo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" thickBo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" thickBo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" thickBo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" thickBo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thickBo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" thickBo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" thickBo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" thickBo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" thickBo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" thickBo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" thickBo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thickBo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" thickBo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" thickBo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" thickBo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" thickBo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" thickBo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" thickBo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" thickBo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" thickBo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" thickBo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" thickBo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" thickBo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" thickBo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" thickBo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" thickBo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" thickBo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" thickBo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" thickBo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" thickBo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" thickBo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" thickBo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" thickBo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" thickBo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" thickBo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" thickBo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" thickBo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" thickBo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" thickBo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" thickBo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" thickBo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" thickBo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" thickBo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" thickBo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thickBo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" thickBo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" thickBo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" thickBo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" thickBo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" thickBo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" thickBo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" thickBo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" thickBo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" thickBo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" thickBo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" thickBo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" thickBo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" thickBo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" thickBo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" thickBo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" thickBo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" thickBo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" thickBo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" thickBo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" thickBo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" thickBo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" thickBo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" thickBo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" thickBo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" thickBo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" thickBo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" thickBo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" thickBo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" thickBo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" thickBo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" thickBo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" thickBo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" thickBo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" thickBo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" thickBo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" thickBo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" thickBo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" thickBo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" thickBo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" thickBo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" thickBo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" thickBo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" thickBo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" thickBo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" thickBo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" thickBo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" thickBo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" thickBo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" thickBo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" thickBo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" thickBo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" thickBo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" thickBo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" thickBo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" thickBo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" thickBo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" thickBo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" thickBo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" thickBo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" thickBo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" thickBo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" thickBo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" thickBo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" thickBo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" thickBo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" thickBo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" thickBo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" thickBo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" thickBo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" thickBo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" thickBo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" thickBo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" thickBo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" thickBo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" thickBo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" thickBo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" thickBo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" thickBo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" thickBo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" thickBo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" thickBo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" thickBo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" thickBo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" thickBo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" thickBo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" thickBo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" thickBo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" thickBo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" thickBo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" thickBo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" thickBo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" thickBo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" thickBo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" thickBo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" thickBo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" thickBo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" thickBo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" thickBo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" thickBo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" thickBo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" thickBo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" thickBo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" thickBo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" thickBo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" thickBo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" thickBo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" thickBo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" thickBo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" thickBo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" thickBo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" thickBo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" thickBo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" thickBo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" thickBo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" thickBo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" thickBo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" thickBo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" thickBo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" thickBo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" thickBo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" thickBo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" thickBo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" thickBo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" thickBo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" thickBo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" thickBo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" thickBo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" thickBo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" thickBo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" thickBo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" thickBo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" thickBo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" thickBo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" thickBo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" thickBo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" thickBo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" thickBo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" thickBo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" thickBo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" thickBo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" thickBo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" thickBo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" thickBo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" thickBo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" thickBo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" thickBo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" thickBo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" thickBo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" thickBo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" thickBo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" thickBo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" thickBo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" thickBo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" thickBo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" thickBo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" thickBo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" thickBo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" thickBo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" thickBo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" thickBo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" thickBo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" thickBo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" thickBo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" thickBo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" thickBo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" thickBo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" thickBo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" thickBo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" thickBo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" thickBo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" thickBo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" thickBo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" thickBo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" thickBo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" thickBo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" thickBo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" thickBo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" thickBo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" thickBo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" thickBo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" thickBo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" thickBo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" thickBo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" thickBo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" thickBo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" thickBo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" thickBo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" thickBo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" thickBo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" thickBo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" thickBo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" thickBo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" thickBo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" thickBo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" thickBo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" thickBo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" thickBo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" thickBo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" thickBo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" thickBo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" thickBo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" thickBo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" thickBo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" thickBo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" thickBo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" thickBo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" thickBo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" thickBo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" thickBo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" thickBo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" thickBo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" thickBo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" thickBo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" thickBo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" thickBo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" thickBo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" thickBo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" thickBo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" thickBo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" thickBo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" thickBo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" thickBo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" thickBo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" thickBo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" thickBo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" thickBo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" thickBo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" thickBo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" thickBo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" thickBo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" thickBo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" thickBo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" thickBo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" thickBo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" thickBo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" thickBo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" thickBo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" thickBo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" thickBo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" thickBo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" thickBo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" thickBo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" thickBo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" thickBo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" thickBo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" thickBo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" thickBo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" thickBo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" thickBo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" thickBo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" thickBo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" thickBo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" thickBo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" thickBo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" thickBo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" thickBo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" thickBo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" thickBo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" thickBo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" thickBo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" thickBo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" thickBo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" thickBo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" thickBo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" thickBo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" thickBo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" thickBo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" thickBo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" thickBo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" thickBo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" thickBo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" thickBo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" thickBo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" thickBo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" thickBo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" thickBo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" thickBo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" thickBo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" thickBo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" thickBo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" thickBo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" thickBo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" thickBo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" thickBo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" thickBo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" thickBo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" thickBo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" thickBo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" thickBo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" thickBo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" thickBo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" thickBo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" thickBo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" thickBo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" thickBo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" thickBo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" thickBo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" thickBo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" thickBo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" thickBo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" thickBo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" thickBo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" thickBo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" thickBo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" thickBo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" thickBo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" thickBo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" thickBo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" thickBo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" thickBo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" thickBo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" thickBo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" thickBo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" thickBo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" thickBo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" thickBo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" thickBo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" thickBo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" thickBo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" thickBo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" thickBo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" thickBo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" thickBo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" thickBo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" thickBo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" thickBo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" thickBo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" thickBo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" thickBo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" thickBo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" thickBo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" thickBo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" thickBo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" thickBo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" thickBo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" thickBo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" thickBo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" thickBo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" thickBo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" thickBo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" thickBo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" thickBo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" thickBo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" thickBo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" thickBo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" thickBo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" thickBo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" thickBo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" thickBo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" thickBo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" thickBo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" thickBo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" thickBo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" thickBo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" thickBo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" thickBo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" thickBo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" thickBo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" thickBo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" thickBo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" thickBo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" thickBo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" thickBo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" thickBo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" thickBo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" thickBo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" thickBo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" thickBo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" thickBo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" thickBo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" thickBo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" thickBo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" thickBo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" thickBo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" thickBo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" thickBo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" thickBo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" thickBo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" thickBo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" thickBo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" thickBo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" thickBo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" thickBo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" thickBo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" thickBo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" thickBo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" thickBo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" thickBo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" thickBo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" thickBo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" thickBo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" thickBo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" thickBo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" thickBo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" thickBo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" thickBo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" thickBo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" thickBo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" thickBo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" thickBo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" thickBo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" thickBo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" thickBo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" thickBo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" thickBo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" thickBo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" thickBo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" thickBo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" thickBo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" thickBo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" thickBo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" thickBo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" thickBo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" thickBo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" thickBo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" thickBo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" thickBo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" thickBo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" thickBo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" thickBo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" thickBo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" thickBo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" thickBo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" thickBo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" thickBo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" thickBo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" thickBo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" thickBo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" thickBo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" thickBo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" thickBo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" thickBo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" thickBo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" thickBo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" thickBo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" thickBo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" thickBo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" thickBo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" thickBo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" thickBo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" thickBo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" thickBo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" thickBo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" thickBo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" thickBo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" thickBo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" thickBo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" thickBo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" thickBo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" thickBo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" thickBo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" thickBo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" thickBo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" thickBo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" thickBo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" thickBo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" thickBo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" thickBo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" thickBo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" thickBo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" thickBo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" thickBo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" thickBo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" thickBo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" thickBo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" thickBo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" thickBo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" thickBo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" thickBo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" thickBo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" thickBo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" thickBo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" thickBo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" thickBo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" thickBo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" thickBo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" thickBo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" thickBo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" thickBo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" thickBo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" thickBo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" thickBo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" thickBo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" thickBo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" thickBo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" thickBo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" thickBo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" thickBo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" thickBo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" thickBo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" thickBo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" thickBo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" thickBo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" thickBo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" thickBo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" thickBo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" thickBo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" thickBo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" thickBo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" thickBo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" thickBo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" thickBo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" thickBo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" thickBo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" thickBo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" thickBo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" thickBo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" thickBo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" thickBo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" thickBo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" thickBo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" thickBo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" thickBo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" thickBo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" thickBo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" thickBo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" thickBo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" thickBo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" thickBo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" thickBo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" thickBo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" thickBo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" thickBo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" thickBo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" thickBo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" thickBo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" thickBo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" thickBo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" thickBo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" thickBo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" thickBo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" thickBo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" thickBo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" thickBo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" thickBo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" thickBo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" thickBo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" thickBo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" thickBo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" thickBo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" thickBo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" thickBo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" thickBo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" thickBo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" thickBo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" thickBo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" thickBo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" thickBo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" thickBo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" thickBo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" thickBo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" thickBo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" thickBo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" thickBo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" thickBo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" thickBo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" thickBo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" thickBo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" thickBo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" thickBo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" thickBo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" thickBo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" thickBo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" thickBo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" thickBo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" thickBo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" thickBo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" thickBo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" thickBo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" thickBo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" thickBo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" thickBo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" thickBo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" thickBo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" thickBo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" thickBo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" thickBo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" thickBo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" thickBo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" thickBo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" thickBo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" thickBo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" thickBo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" thickBo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" thickBo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" thickBo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" thickBo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" thickBo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" thickBo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" thickBo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" thickBo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" thickBo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" thickBo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" thickBo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" thickBo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" thickBo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" thickBo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" thickBo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" thickBo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" thickBo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" thickBo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" thickBo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" thickBo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" thickBo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" thickBo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" thickBo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" thickBo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" thickBo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" thickBo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" thickBo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" thickBo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" thickBo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" thickBo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" thickBo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" thickBo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" thickBo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" thickBo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" thickBo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" thickBo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" thickBo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" thickBo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" thickBo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" thickBo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" thickBo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" thickBo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" thickBo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" thickBo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" thickBo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" thickBo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" thickBo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" thickBo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" thickBo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" thickBo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" thickBo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" thickBo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" thickBo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" thickBo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" thickBo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" thickBo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" thickBo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" thickBo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" thickBo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" thickBo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" thickBo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" thickBo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" thickBo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" thickBo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" thickBo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" thickBo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" thickBo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" thickBo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" thickBo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" thickBo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" thickBo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" thickBo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" thickBo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" thickBo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" thickBo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" thickBo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" thickBo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" thickBo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" thickBo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" thickBo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" thickBo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" thickBo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" thickBo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" thickBo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" thickBo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" thickBo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" thickBo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" thickBo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" thickBo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" thickBo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" thickBo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" thickBo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" thickBo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" thickBo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" thickBo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" thickBo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" thickBo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" thickBo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" thickBo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" thickBo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" thickBo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" thickBo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" thickBo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" thickBo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" thickBo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" thickBo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" thickBo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" thickBo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" thickBo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" thickBo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" thickBo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" thickBo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" thickBo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" thickBo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" thickBo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" thickBo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" thickBo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" thickBo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" thickBo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" thickBo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" thickBo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" thickBo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" thickBo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" thickBo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" thickBo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" thickBo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" thickBo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" thickBo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" thickBo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" thickBo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" thickBo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" thickBo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" thickBo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" thickBo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" thickBo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" thickBo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" thickBo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" thickBo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" thickBo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" thickBo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" thickBo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" thickBo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" thickBo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" thickBo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" thickBo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" thickBo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" thickBo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" thickBo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" thickBo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" thickBo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" thickBo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" thickBo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" thickBo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" thickBo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" thickBo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" thickBo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" thickBo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" thickBo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" thickBo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" thickBo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" thickBo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" thickBo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" thickBo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" thickBo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" thickBo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" thickBo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" thickBo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" thickBo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" thickBo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" thickBo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" thickBo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" thickBo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" thickBo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" thickBo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" thickBo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" thickBo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" thickBo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" thickBo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" thickBo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" thickBo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" thickBo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" thickBo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" thickBo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" thickBo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" thickBo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" thickBo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" thickBo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" thickBo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" thickBo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" thickBo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" thickBo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" thickBo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" thickBo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" thickBo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" thickBo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" thickBo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" thickBo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" thickBo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" thickBo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" thickBo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" thickBo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" thickBo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" thickBo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" thickBo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" thickBo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" thickBo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" thickBo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" thickBo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" thickBo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" thickBo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" thickBo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" thickBo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" thickBo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" thickBo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" thickBo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" thickBo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" thickBo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" thickBo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" thickBo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" thickBo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" thickBo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" thickBo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" thickBo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" thickBo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" thickBo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" thickBo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" thickBo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" thickBo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" thickBo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" thickBo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" thickBo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" thickBo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" thickBo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" thickBo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" thickBo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" thickBo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" thickBo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" thickBo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" thickBo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" thickBo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" thickBo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" thickBo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" thickBo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" thickBo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" thickBo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" thickBo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" thickBo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" thickBo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" thickBo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" thickBo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" thickBo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" thickBo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" thickBo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" thickBo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" thickBo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" thickBo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" thickBo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" thickBo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" thickBo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" thickBo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" thickBo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" thickBo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" thickBo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" thickBo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" thickBo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" thickBo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" thickBo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" thickBo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" thickBo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" thickBo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" thickBo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" thickBo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" thickBo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" thickBo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" thickBo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" thickBo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" thickBo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" thickBo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" thickBo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" thickBo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" thickBo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" thickBo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" thickBo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" thickBo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" thickBo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" thickBo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5" thickBot="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5" thickBot="1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5" thickBot="1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ht="15" thickBot="1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Table 2</vt:lpstr>
      <vt:lpstr>Tables 3and 4</vt:lpstr>
      <vt:lpstr>Table 5</vt:lpstr>
      <vt:lpstr>Table 6def</vt:lpstr>
      <vt:lpstr>Table 7 power</vt:lpstr>
      <vt:lpstr>Table 8 procedures</vt:lpstr>
      <vt:lpstr>game</vt:lpstr>
      <vt:lpstr>bogota stats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Polania</dc:creator>
  <cp:lastModifiedBy>Sandra Polania</cp:lastModifiedBy>
  <dcterms:created xsi:type="dcterms:W3CDTF">2019-10-24T19:48:45Z</dcterms:created>
  <dcterms:modified xsi:type="dcterms:W3CDTF">2021-10-28T20:19:42Z</dcterms:modified>
</cp:coreProperties>
</file>