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enny\Dropbox\2.PYTHON_PROJECTS\SPORTS_DATABASES\Maturity_calculator\"/>
    </mc:Choice>
  </mc:AlternateContent>
  <xr:revisionPtr revIDLastSave="0" documentId="8_{36515EC6-F733-4639-9C5A-82FDBA76D9E5}" xr6:coauthVersionLast="47" xr6:coauthVersionMax="47" xr10:uidLastSave="{00000000-0000-0000-0000-000000000000}"/>
  <bookViews>
    <workbookView xWindow="-108" yWindow="-108" windowWidth="23256" windowHeight="13896" activeTab="2" xr2:uid="{BC4799F9-AB88-40B1-B89E-B82F546EA4D8}"/>
  </bookViews>
  <sheets>
    <sheet name="Input" sheetId="6" r:id="rId1"/>
    <sheet name="Errors" sheetId="8" r:id="rId2"/>
    <sheet name="SA" sheetId="3" r:id="rId3"/>
    <sheet name="Metric coefficients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" i="6" l="1"/>
  <c r="J2" i="6"/>
  <c r="H2" i="6"/>
  <c r="V64" i="6"/>
  <c r="U64" i="6"/>
  <c r="R64" i="6"/>
  <c r="S64" i="6" s="1"/>
  <c r="T64" i="6" s="1"/>
  <c r="W64" i="6" a="1"/>
  <c r="W64" i="6" s="1"/>
  <c r="X64" i="6"/>
  <c r="P64" i="6"/>
  <c r="P65" i="6"/>
  <c r="P66" i="6"/>
  <c r="P67" i="6"/>
  <c r="P68" i="6"/>
  <c r="P69" i="6"/>
  <c r="O64" i="6"/>
  <c r="N64" i="6"/>
  <c r="N65" i="6"/>
  <c r="N66" i="6"/>
  <c r="N67" i="6"/>
  <c r="N68" i="6"/>
  <c r="N69" i="6"/>
  <c r="N70" i="6"/>
  <c r="L64" i="6"/>
  <c r="L65" i="6"/>
  <c r="L66" i="6"/>
  <c r="L67" i="6"/>
  <c r="L68" i="6"/>
  <c r="L69" i="6"/>
  <c r="L70" i="6"/>
  <c r="K64" i="6"/>
  <c r="K65" i="6"/>
  <c r="K66" i="6"/>
  <c r="K67" i="6"/>
  <c r="K68" i="6"/>
  <c r="K69" i="6"/>
  <c r="K70" i="6"/>
  <c r="J64" i="6"/>
  <c r="J65" i="6"/>
  <c r="J66" i="6"/>
  <c r="J67" i="6"/>
  <c r="J68" i="6"/>
  <c r="J69" i="6"/>
  <c r="H64" i="6"/>
  <c r="H65" i="6"/>
  <c r="H66" i="6"/>
  <c r="H67" i="6"/>
  <c r="H68" i="6"/>
  <c r="H69" i="6"/>
  <c r="H70" i="6"/>
  <c r="F64" i="6"/>
  <c r="F65" i="6"/>
  <c r="F66" i="6"/>
  <c r="F67" i="6"/>
  <c r="F68" i="6"/>
  <c r="F69" i="6"/>
  <c r="F70" i="6"/>
  <c r="E64" i="6"/>
  <c r="E2" i="6"/>
  <c r="F2" i="6" s="1"/>
  <c r="X2" i="6" s="1"/>
  <c r="E3" i="6"/>
  <c r="F3" i="6" s="1"/>
  <c r="E4" i="6"/>
  <c r="F4" i="6" s="1"/>
  <c r="E5" i="6"/>
  <c r="F5" i="6" s="1"/>
  <c r="E6" i="6"/>
  <c r="F6" i="6" s="1"/>
  <c r="E7" i="6"/>
  <c r="F7" i="6" s="1"/>
  <c r="J7" i="6" s="1"/>
  <c r="E8" i="6"/>
  <c r="F8" i="6" s="1"/>
  <c r="L8" i="6" s="1"/>
  <c r="E9" i="6"/>
  <c r="F9" i="6" s="1"/>
  <c r="V9" i="6" s="1"/>
  <c r="E10" i="6"/>
  <c r="F10" i="6" s="1"/>
  <c r="V10" i="6" s="1"/>
  <c r="E11" i="6"/>
  <c r="F11" i="6" s="1"/>
  <c r="V11" i="6" s="1"/>
  <c r="E12" i="6"/>
  <c r="F12" i="6" s="1"/>
  <c r="V12" i="6" s="1"/>
  <c r="E13" i="6"/>
  <c r="E14" i="6"/>
  <c r="F14" i="6" s="1"/>
  <c r="E15" i="6"/>
  <c r="F15" i="6" s="1"/>
  <c r="E16" i="6"/>
  <c r="F16" i="6" s="1"/>
  <c r="E17" i="6"/>
  <c r="F17" i="6" s="1"/>
  <c r="E18" i="6"/>
  <c r="F18" i="6" s="1"/>
  <c r="L18" i="6" s="1"/>
  <c r="E19" i="6"/>
  <c r="F19" i="6" s="1"/>
  <c r="E20" i="6"/>
  <c r="F20" i="6" s="1"/>
  <c r="E21" i="6"/>
  <c r="F21" i="6" s="1"/>
  <c r="X21" i="6" s="1"/>
  <c r="E22" i="6"/>
  <c r="F22" i="6" s="1"/>
  <c r="L22" i="6" s="1"/>
  <c r="E23" i="6"/>
  <c r="F23" i="6" s="1"/>
  <c r="L23" i="6" s="1"/>
  <c r="E24" i="6"/>
  <c r="F24" i="6" s="1"/>
  <c r="L24" i="6" s="1"/>
  <c r="E25" i="6"/>
  <c r="F25" i="6" s="1"/>
  <c r="E26" i="6"/>
  <c r="F26" i="6" s="1"/>
  <c r="E27" i="6"/>
  <c r="F27" i="6" s="1"/>
  <c r="V27" i="6" s="1"/>
  <c r="E28" i="6"/>
  <c r="F28" i="6" s="1"/>
  <c r="V28" i="6" s="1"/>
  <c r="E29" i="6"/>
  <c r="F29" i="6" s="1"/>
  <c r="V29" i="6" s="1"/>
  <c r="E30" i="6"/>
  <c r="F30" i="6" s="1"/>
  <c r="X30" i="6" s="1"/>
  <c r="E31" i="6"/>
  <c r="F31" i="6" s="1"/>
  <c r="E32" i="6"/>
  <c r="F32" i="6" s="1"/>
  <c r="E33" i="6"/>
  <c r="F33" i="6" s="1"/>
  <c r="E34" i="6"/>
  <c r="F34" i="6" s="1"/>
  <c r="E35" i="6"/>
  <c r="F35" i="6" s="1"/>
  <c r="X35" i="6" s="1"/>
  <c r="E36" i="6"/>
  <c r="F36" i="6" s="1"/>
  <c r="L36" i="6" s="1"/>
  <c r="E37" i="6"/>
  <c r="F37" i="6" s="1"/>
  <c r="J37" i="6" s="1"/>
  <c r="E38" i="6"/>
  <c r="F38" i="6" s="1"/>
  <c r="V38" i="6" s="1"/>
  <c r="E39" i="6"/>
  <c r="F39" i="6" s="1"/>
  <c r="E40" i="6"/>
  <c r="F40" i="6" s="1"/>
  <c r="E41" i="6"/>
  <c r="E42" i="6"/>
  <c r="E43" i="6"/>
  <c r="E44" i="6"/>
  <c r="E45" i="6"/>
  <c r="F45" i="6" s="1"/>
  <c r="E46" i="6"/>
  <c r="F46" i="6" s="1"/>
  <c r="E47" i="6"/>
  <c r="F47" i="6" s="1"/>
  <c r="E48" i="6"/>
  <c r="F48" i="6" s="1"/>
  <c r="E49" i="6"/>
  <c r="F49" i="6" s="1"/>
  <c r="J49" i="6" s="1"/>
  <c r="E50" i="6"/>
  <c r="F50" i="6" s="1"/>
  <c r="L50" i="6" s="1"/>
  <c r="E51" i="6"/>
  <c r="F51" i="6" s="1"/>
  <c r="L51" i="6" s="1"/>
  <c r="E52" i="6"/>
  <c r="F52" i="6" s="1"/>
  <c r="X52" i="6" s="1"/>
  <c r="E53" i="6"/>
  <c r="F53" i="6" s="1"/>
  <c r="E54" i="6"/>
  <c r="F54" i="6" s="1"/>
  <c r="E55" i="6"/>
  <c r="F55" i="6" s="1"/>
  <c r="V55" i="6" s="1"/>
  <c r="E56" i="6"/>
  <c r="F56" i="6" s="1"/>
  <c r="V56" i="6" s="1"/>
  <c r="E57" i="6"/>
  <c r="F57" i="6" s="1"/>
  <c r="V57" i="6" s="1"/>
  <c r="E58" i="6"/>
  <c r="F58" i="6" s="1"/>
  <c r="X58" i="6" s="1"/>
  <c r="E59" i="6"/>
  <c r="F59" i="6" s="1"/>
  <c r="E60" i="6"/>
  <c r="F60" i="6" s="1"/>
  <c r="L60" i="6" s="1"/>
  <c r="E61" i="6"/>
  <c r="F61" i="6" s="1"/>
  <c r="L61" i="6" s="1"/>
  <c r="E62" i="6"/>
  <c r="F62" i="6" s="1"/>
  <c r="X62" i="6" s="1"/>
  <c r="E63" i="6"/>
  <c r="F63" i="6" s="1"/>
  <c r="J63" i="6" s="1"/>
  <c r="X7" i="6"/>
  <c r="X8" i="6"/>
  <c r="X9" i="6"/>
  <c r="X10" i="6"/>
  <c r="X56" i="6"/>
  <c r="X57" i="6"/>
  <c r="T47" i="6"/>
  <c r="T54" i="6"/>
  <c r="T55" i="6"/>
  <c r="S5" i="6"/>
  <c r="T5" i="6" s="1"/>
  <c r="S6" i="6"/>
  <c r="T6" i="6" s="1"/>
  <c r="S7" i="6"/>
  <c r="T7" i="6" s="1"/>
  <c r="S9" i="6"/>
  <c r="T9" i="6" s="1"/>
  <c r="S10" i="6"/>
  <c r="T10" i="6" s="1"/>
  <c r="S33" i="6"/>
  <c r="T33" i="6" s="1"/>
  <c r="S37" i="6"/>
  <c r="T37" i="6" s="1"/>
  <c r="S38" i="6"/>
  <c r="T38" i="6" s="1"/>
  <c r="S42" i="6"/>
  <c r="T42" i="6" s="1"/>
  <c r="S43" i="6"/>
  <c r="T43" i="6" s="1"/>
  <c r="S44" i="6"/>
  <c r="T44" i="6" s="1"/>
  <c r="S47" i="6"/>
  <c r="S61" i="6"/>
  <c r="T61" i="6" s="1"/>
  <c r="R2" i="6"/>
  <c r="S2" i="6" s="1"/>
  <c r="T2" i="6" s="1"/>
  <c r="R3" i="6"/>
  <c r="S3" i="6" s="1"/>
  <c r="T3" i="6" s="1"/>
  <c r="R4" i="6"/>
  <c r="S4" i="6" s="1"/>
  <c r="T4" i="6" s="1"/>
  <c r="R5" i="6"/>
  <c r="R6" i="6"/>
  <c r="R7" i="6"/>
  <c r="R8" i="6"/>
  <c r="S8" i="6" s="1"/>
  <c r="T8" i="6" s="1"/>
  <c r="R9" i="6"/>
  <c r="R10" i="6"/>
  <c r="R11" i="6"/>
  <c r="S11" i="6" s="1"/>
  <c r="T11" i="6" s="1"/>
  <c r="R12" i="6"/>
  <c r="S12" i="6" s="1"/>
  <c r="T12" i="6" s="1"/>
  <c r="R13" i="6"/>
  <c r="S13" i="6" s="1"/>
  <c r="T13" i="6" s="1"/>
  <c r="R14" i="6"/>
  <c r="S14" i="6" s="1"/>
  <c r="T14" i="6" s="1"/>
  <c r="R15" i="6"/>
  <c r="S15" i="6" s="1"/>
  <c r="T15" i="6" s="1"/>
  <c r="R16" i="6"/>
  <c r="S16" i="6" s="1"/>
  <c r="T16" i="6" s="1"/>
  <c r="R17" i="6"/>
  <c r="S17" i="6" s="1"/>
  <c r="T17" i="6" s="1"/>
  <c r="R18" i="6"/>
  <c r="S18" i="6" s="1"/>
  <c r="T18" i="6" s="1"/>
  <c r="R19" i="6"/>
  <c r="S19" i="6" s="1"/>
  <c r="T19" i="6" s="1"/>
  <c r="R20" i="6"/>
  <c r="S20" i="6" s="1"/>
  <c r="T20" i="6" s="1"/>
  <c r="R21" i="6"/>
  <c r="S21" i="6" s="1"/>
  <c r="T21" i="6" s="1"/>
  <c r="R22" i="6"/>
  <c r="S22" i="6" s="1"/>
  <c r="T22" i="6" s="1"/>
  <c r="R23" i="6"/>
  <c r="S23" i="6" s="1"/>
  <c r="T23" i="6" s="1"/>
  <c r="R24" i="6"/>
  <c r="S24" i="6" s="1"/>
  <c r="T24" i="6" s="1"/>
  <c r="R25" i="6"/>
  <c r="S25" i="6" s="1"/>
  <c r="T25" i="6" s="1"/>
  <c r="R26" i="6"/>
  <c r="S26" i="6" s="1"/>
  <c r="T26" i="6" s="1"/>
  <c r="R27" i="6"/>
  <c r="S27" i="6" s="1"/>
  <c r="T27" i="6" s="1"/>
  <c r="R28" i="6"/>
  <c r="S28" i="6" s="1"/>
  <c r="T28" i="6" s="1"/>
  <c r="R29" i="6"/>
  <c r="S29" i="6" s="1"/>
  <c r="T29" i="6" s="1"/>
  <c r="U29" i="6" s="1"/>
  <c r="W29" i="6" s="1" a="1"/>
  <c r="W29" i="6" s="1"/>
  <c r="R30" i="6"/>
  <c r="S30" i="6" s="1"/>
  <c r="T30" i="6" s="1"/>
  <c r="R31" i="6"/>
  <c r="S31" i="6" s="1"/>
  <c r="T31" i="6" s="1"/>
  <c r="R32" i="6"/>
  <c r="S32" i="6" s="1"/>
  <c r="T32" i="6" s="1"/>
  <c r="R33" i="6"/>
  <c r="R34" i="6"/>
  <c r="S34" i="6" s="1"/>
  <c r="T34" i="6" s="1"/>
  <c r="R35" i="6"/>
  <c r="S35" i="6" s="1"/>
  <c r="T35" i="6" s="1"/>
  <c r="R36" i="6"/>
  <c r="S36" i="6" s="1"/>
  <c r="T36" i="6" s="1"/>
  <c r="R37" i="6"/>
  <c r="R38" i="6"/>
  <c r="R39" i="6"/>
  <c r="S39" i="6" s="1"/>
  <c r="T39" i="6" s="1"/>
  <c r="R40" i="6"/>
  <c r="S40" i="6" s="1"/>
  <c r="T40" i="6" s="1"/>
  <c r="R41" i="6"/>
  <c r="S41" i="6" s="1"/>
  <c r="T41" i="6" s="1"/>
  <c r="R42" i="6"/>
  <c r="R43" i="6"/>
  <c r="R44" i="6"/>
  <c r="R45" i="6"/>
  <c r="S45" i="6" s="1"/>
  <c r="T45" i="6" s="1"/>
  <c r="R46" i="6"/>
  <c r="S46" i="6" s="1"/>
  <c r="T46" i="6" s="1"/>
  <c r="R47" i="6"/>
  <c r="R48" i="6"/>
  <c r="S48" i="6" s="1"/>
  <c r="T48" i="6" s="1"/>
  <c r="R49" i="6"/>
  <c r="S49" i="6" s="1"/>
  <c r="T49" i="6" s="1"/>
  <c r="R50" i="6"/>
  <c r="S50" i="6" s="1"/>
  <c r="T50" i="6" s="1"/>
  <c r="R51" i="6"/>
  <c r="S51" i="6" s="1"/>
  <c r="T51" i="6" s="1"/>
  <c r="R52" i="6"/>
  <c r="S52" i="6" s="1"/>
  <c r="T52" i="6" s="1"/>
  <c r="R53" i="6"/>
  <c r="S53" i="6" s="1"/>
  <c r="T53" i="6" s="1"/>
  <c r="R54" i="6"/>
  <c r="S54" i="6" s="1"/>
  <c r="R55" i="6"/>
  <c r="S55" i="6" s="1"/>
  <c r="R56" i="6"/>
  <c r="S56" i="6" s="1"/>
  <c r="T56" i="6" s="1"/>
  <c r="R57" i="6"/>
  <c r="S57" i="6" s="1"/>
  <c r="T57" i="6" s="1"/>
  <c r="R58" i="6"/>
  <c r="S58" i="6" s="1"/>
  <c r="T58" i="6" s="1"/>
  <c r="R59" i="6"/>
  <c r="S59" i="6" s="1"/>
  <c r="T59" i="6" s="1"/>
  <c r="R60" i="6"/>
  <c r="S60" i="6" s="1"/>
  <c r="T60" i="6" s="1"/>
  <c r="R61" i="6"/>
  <c r="R62" i="6"/>
  <c r="S62" i="6" s="1"/>
  <c r="T62" i="6" s="1"/>
  <c r="R63" i="6"/>
  <c r="S63" i="6" s="1"/>
  <c r="T63" i="6" s="1"/>
  <c r="P51" i="6"/>
  <c r="P52" i="6"/>
  <c r="P53" i="6"/>
  <c r="O2" i="6"/>
  <c r="P2" i="6" s="1"/>
  <c r="O6" i="6"/>
  <c r="P6" i="6" s="1"/>
  <c r="U6" i="6" s="1"/>
  <c r="W6" i="6" s="1" a="1"/>
  <c r="W6" i="6" s="1"/>
  <c r="O15" i="6"/>
  <c r="P15" i="6" s="1"/>
  <c r="O20" i="6"/>
  <c r="P20" i="6" s="1"/>
  <c r="O21" i="6"/>
  <c r="P21" i="6" s="1"/>
  <c r="O22" i="6"/>
  <c r="P22" i="6" s="1"/>
  <c r="O29" i="6"/>
  <c r="P29" i="6" s="1"/>
  <c r="O34" i="6"/>
  <c r="P34" i="6" s="1"/>
  <c r="O43" i="6"/>
  <c r="P43" i="6" s="1"/>
  <c r="O48" i="6"/>
  <c r="P48" i="6" s="1"/>
  <c r="O49" i="6"/>
  <c r="P49" i="6" s="1"/>
  <c r="O50" i="6"/>
  <c r="P50" i="6" s="1"/>
  <c r="O57" i="6"/>
  <c r="P57" i="6" s="1"/>
  <c r="O62" i="6"/>
  <c r="P62" i="6" s="1"/>
  <c r="N2" i="6"/>
  <c r="N3" i="6"/>
  <c r="O3" i="6" s="1"/>
  <c r="P3" i="6" s="1"/>
  <c r="N4" i="6"/>
  <c r="O4" i="6" s="1"/>
  <c r="P4" i="6" s="1"/>
  <c r="N5" i="6"/>
  <c r="O5" i="6" s="1"/>
  <c r="P5" i="6" s="1"/>
  <c r="N6" i="6"/>
  <c r="N7" i="6"/>
  <c r="O7" i="6" s="1"/>
  <c r="P7" i="6" s="1"/>
  <c r="N8" i="6"/>
  <c r="O8" i="6" s="1"/>
  <c r="P8" i="6" s="1"/>
  <c r="N9" i="6"/>
  <c r="O9" i="6" s="1"/>
  <c r="P9" i="6" s="1"/>
  <c r="U9" i="6" s="1"/>
  <c r="W9" i="6" s="1" a="1"/>
  <c r="W9" i="6" s="1"/>
  <c r="N10" i="6"/>
  <c r="O10" i="6" s="1"/>
  <c r="P10" i="6" s="1"/>
  <c r="N11" i="6"/>
  <c r="O11" i="6" s="1"/>
  <c r="P11" i="6" s="1"/>
  <c r="N12" i="6"/>
  <c r="O12" i="6" s="1"/>
  <c r="P12" i="6" s="1"/>
  <c r="N13" i="6"/>
  <c r="O13" i="6" s="1"/>
  <c r="P13" i="6" s="1"/>
  <c r="N14" i="6"/>
  <c r="O14" i="6" s="1"/>
  <c r="P14" i="6" s="1"/>
  <c r="N15" i="6"/>
  <c r="N16" i="6"/>
  <c r="O16" i="6" s="1"/>
  <c r="P16" i="6" s="1"/>
  <c r="N17" i="6"/>
  <c r="O17" i="6" s="1"/>
  <c r="P17" i="6" s="1"/>
  <c r="N18" i="6"/>
  <c r="O18" i="6" s="1"/>
  <c r="P18" i="6" s="1"/>
  <c r="N19" i="6"/>
  <c r="O19" i="6" s="1"/>
  <c r="P19" i="6" s="1"/>
  <c r="N20" i="6"/>
  <c r="N21" i="6"/>
  <c r="N22" i="6"/>
  <c r="N23" i="6"/>
  <c r="O23" i="6" s="1"/>
  <c r="P23" i="6" s="1"/>
  <c r="N24" i="6"/>
  <c r="O24" i="6" s="1"/>
  <c r="P24" i="6" s="1"/>
  <c r="N25" i="6"/>
  <c r="O25" i="6" s="1"/>
  <c r="P25" i="6" s="1"/>
  <c r="U25" i="6" s="1"/>
  <c r="W25" i="6" s="1" a="1"/>
  <c r="W25" i="6" s="1"/>
  <c r="N26" i="6"/>
  <c r="O26" i="6" s="1"/>
  <c r="P26" i="6" s="1"/>
  <c r="N27" i="6"/>
  <c r="O27" i="6" s="1"/>
  <c r="P27" i="6" s="1"/>
  <c r="N28" i="6"/>
  <c r="O28" i="6" s="1"/>
  <c r="P28" i="6" s="1"/>
  <c r="N29" i="6"/>
  <c r="N30" i="6"/>
  <c r="O30" i="6" s="1"/>
  <c r="P30" i="6" s="1"/>
  <c r="N31" i="6"/>
  <c r="O31" i="6" s="1"/>
  <c r="P31" i="6" s="1"/>
  <c r="N32" i="6"/>
  <c r="O32" i="6" s="1"/>
  <c r="P32" i="6" s="1"/>
  <c r="N33" i="6"/>
  <c r="O33" i="6" s="1"/>
  <c r="P33" i="6" s="1"/>
  <c r="N34" i="6"/>
  <c r="N35" i="6"/>
  <c r="O35" i="6" s="1"/>
  <c r="P35" i="6" s="1"/>
  <c r="N36" i="6"/>
  <c r="O36" i="6" s="1"/>
  <c r="P36" i="6" s="1"/>
  <c r="N37" i="6"/>
  <c r="O37" i="6" s="1"/>
  <c r="P37" i="6" s="1"/>
  <c r="N38" i="6"/>
  <c r="O38" i="6" s="1"/>
  <c r="P38" i="6" s="1"/>
  <c r="N39" i="6"/>
  <c r="O39" i="6" s="1"/>
  <c r="P39" i="6" s="1"/>
  <c r="N40" i="6"/>
  <c r="O40" i="6" s="1"/>
  <c r="P40" i="6" s="1"/>
  <c r="N41" i="6"/>
  <c r="O41" i="6" s="1"/>
  <c r="P41" i="6" s="1"/>
  <c r="N42" i="6"/>
  <c r="O42" i="6" s="1"/>
  <c r="P42" i="6" s="1"/>
  <c r="N43" i="6"/>
  <c r="N44" i="6"/>
  <c r="O44" i="6" s="1"/>
  <c r="P44" i="6" s="1"/>
  <c r="N45" i="6"/>
  <c r="O45" i="6" s="1"/>
  <c r="P45" i="6" s="1"/>
  <c r="N46" i="6"/>
  <c r="O46" i="6" s="1"/>
  <c r="P46" i="6" s="1"/>
  <c r="N47" i="6"/>
  <c r="O47" i="6" s="1"/>
  <c r="P47" i="6" s="1"/>
  <c r="N48" i="6"/>
  <c r="N49" i="6"/>
  <c r="N50" i="6"/>
  <c r="N51" i="6"/>
  <c r="O51" i="6" s="1"/>
  <c r="N52" i="6"/>
  <c r="O52" i="6" s="1"/>
  <c r="N53" i="6"/>
  <c r="O53" i="6" s="1"/>
  <c r="N54" i="6"/>
  <c r="O54" i="6" s="1"/>
  <c r="P54" i="6" s="1"/>
  <c r="N55" i="6"/>
  <c r="O55" i="6" s="1"/>
  <c r="P55" i="6" s="1"/>
  <c r="N56" i="6"/>
  <c r="O56" i="6" s="1"/>
  <c r="P56" i="6" s="1"/>
  <c r="N57" i="6"/>
  <c r="N58" i="6"/>
  <c r="O58" i="6" s="1"/>
  <c r="P58" i="6" s="1"/>
  <c r="N59" i="6"/>
  <c r="O59" i="6" s="1"/>
  <c r="P59" i="6" s="1"/>
  <c r="N60" i="6"/>
  <c r="O60" i="6" s="1"/>
  <c r="P60" i="6" s="1"/>
  <c r="N61" i="6"/>
  <c r="O61" i="6" s="1"/>
  <c r="P61" i="6" s="1"/>
  <c r="N62" i="6"/>
  <c r="N63" i="6"/>
  <c r="O63" i="6" s="1"/>
  <c r="P63" i="6" s="1"/>
  <c r="L13" i="6"/>
  <c r="L27" i="6"/>
  <c r="L28" i="6"/>
  <c r="L29" i="6"/>
  <c r="L55" i="6"/>
  <c r="K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J21" i="6"/>
  <c r="J22" i="6"/>
  <c r="J23" i="6"/>
  <c r="J24" i="6"/>
  <c r="J35" i="6"/>
  <c r="J55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F13" i="6"/>
  <c r="V13" i="6" s="1"/>
  <c r="F41" i="6"/>
  <c r="X41" i="6" s="1"/>
  <c r="F42" i="6"/>
  <c r="X42" i="6" s="1"/>
  <c r="F43" i="6"/>
  <c r="J43" i="6" s="1"/>
  <c r="F44" i="6"/>
  <c r="X44" i="6" s="1"/>
  <c r="Y64" i="6" l="1"/>
  <c r="AH64" i="6" s="1"/>
  <c r="Z64" i="6"/>
  <c r="AG64" i="6"/>
  <c r="AF64" i="6"/>
  <c r="U14" i="6"/>
  <c r="W14" i="6" s="1" a="1"/>
  <c r="W14" i="6" s="1"/>
  <c r="U28" i="6"/>
  <c r="W28" i="6" s="1" a="1"/>
  <c r="W28" i="6" s="1"/>
  <c r="U57" i="6"/>
  <c r="W57" i="6" s="1" a="1"/>
  <c r="W57" i="6" s="1"/>
  <c r="L9" i="6"/>
  <c r="X51" i="6"/>
  <c r="Y51" i="6" s="1"/>
  <c r="AG51" i="6" s="1"/>
  <c r="V52" i="6"/>
  <c r="J13" i="6"/>
  <c r="V51" i="6"/>
  <c r="L10" i="6"/>
  <c r="J56" i="6"/>
  <c r="X49" i="6"/>
  <c r="V50" i="6"/>
  <c r="X50" i="6"/>
  <c r="L56" i="6"/>
  <c r="Y56" i="6" s="1"/>
  <c r="AF56" i="6" s="1"/>
  <c r="X13" i="6"/>
  <c r="V2" i="6"/>
  <c r="U62" i="6"/>
  <c r="W62" i="6" s="1" a="1"/>
  <c r="W62" i="6" s="1"/>
  <c r="U34" i="6"/>
  <c r="W34" i="6" s="1" a="1"/>
  <c r="W34" i="6" s="1"/>
  <c r="U2" i="6"/>
  <c r="W2" i="6" s="1" a="1"/>
  <c r="W2" i="6" s="1"/>
  <c r="U56" i="6"/>
  <c r="W56" i="6" s="1" a="1"/>
  <c r="W56" i="6" s="1"/>
  <c r="U42" i="6"/>
  <c r="W42" i="6" s="1" a="1"/>
  <c r="W42" i="6" s="1"/>
  <c r="U36" i="6"/>
  <c r="W36" i="6" s="1" a="1"/>
  <c r="W36" i="6" s="1"/>
  <c r="U41" i="6"/>
  <c r="W41" i="6" s="1" a="1"/>
  <c r="W41" i="6" s="1"/>
  <c r="U13" i="6"/>
  <c r="W13" i="6" s="1" a="1"/>
  <c r="W13" i="6" s="1"/>
  <c r="U40" i="6"/>
  <c r="W40" i="6" s="1" a="1"/>
  <c r="W40" i="6" s="1"/>
  <c r="U12" i="6"/>
  <c r="W12" i="6" s="1" a="1"/>
  <c r="W12" i="6" s="1"/>
  <c r="U24" i="6"/>
  <c r="W24" i="6" s="1" a="1"/>
  <c r="W24" i="6" s="1"/>
  <c r="U39" i="6"/>
  <c r="W39" i="6" s="1" a="1"/>
  <c r="W39" i="6" s="1"/>
  <c r="U11" i="6"/>
  <c r="W11" i="6" s="1" a="1"/>
  <c r="W11" i="6" s="1"/>
  <c r="U8" i="6"/>
  <c r="W8" i="6" s="1" a="1"/>
  <c r="W8" i="6" s="1"/>
  <c r="U23" i="6"/>
  <c r="W23" i="6" s="1" a="1"/>
  <c r="W23" i="6" s="1"/>
  <c r="U38" i="6"/>
  <c r="W38" i="6" s="1" a="1"/>
  <c r="W38" i="6" s="1"/>
  <c r="U10" i="6"/>
  <c r="W10" i="6" s="1" a="1"/>
  <c r="W10" i="6" s="1"/>
  <c r="U63" i="6"/>
  <c r="W63" i="6" s="1" a="1"/>
  <c r="W63" i="6" s="1"/>
  <c r="U35" i="6"/>
  <c r="W35" i="6" s="1" a="1"/>
  <c r="W35" i="6" s="1"/>
  <c r="U7" i="6"/>
  <c r="W7" i="6" s="1" a="1"/>
  <c r="W7" i="6" s="1"/>
  <c r="U3" i="6"/>
  <c r="W3" i="6" s="1" a="1"/>
  <c r="W3" i="6" s="1"/>
  <c r="U55" i="6"/>
  <c r="W55" i="6" s="1" a="1"/>
  <c r="W55" i="6" s="1"/>
  <c r="U27" i="6"/>
  <c r="W27" i="6" s="1" a="1"/>
  <c r="W27" i="6" s="1"/>
  <c r="U61" i="6"/>
  <c r="W61" i="6" s="1" a="1"/>
  <c r="W61" i="6" s="1"/>
  <c r="U47" i="6"/>
  <c r="W47" i="6" s="1" a="1"/>
  <c r="W47" i="6" s="1"/>
  <c r="U33" i="6"/>
  <c r="W33" i="6" s="1" a="1"/>
  <c r="W33" i="6" s="1"/>
  <c r="U19" i="6"/>
  <c r="W19" i="6" s="1" a="1"/>
  <c r="W19" i="6" s="1"/>
  <c r="U5" i="6"/>
  <c r="W5" i="6" s="1" a="1"/>
  <c r="W5" i="6" s="1"/>
  <c r="U54" i="6"/>
  <c r="W54" i="6" s="1" a="1"/>
  <c r="W54" i="6" s="1"/>
  <c r="U26" i="6"/>
  <c r="W26" i="6" s="1" a="1"/>
  <c r="W26" i="6" s="1"/>
  <c r="U60" i="6"/>
  <c r="W60" i="6" s="1" a="1"/>
  <c r="W60" i="6" s="1"/>
  <c r="U46" i="6"/>
  <c r="W46" i="6" s="1" a="1"/>
  <c r="W46" i="6" s="1"/>
  <c r="U32" i="6"/>
  <c r="W32" i="6" s="1" a="1"/>
  <c r="W32" i="6" s="1"/>
  <c r="U18" i="6"/>
  <c r="W18" i="6" s="1" a="1"/>
  <c r="W18" i="6" s="1"/>
  <c r="U4" i="6"/>
  <c r="W4" i="6" s="1" a="1"/>
  <c r="W4" i="6" s="1"/>
  <c r="U50" i="6"/>
  <c r="W50" i="6" s="1" a="1"/>
  <c r="W50" i="6" s="1"/>
  <c r="U22" i="6"/>
  <c r="W22" i="6" s="1" a="1"/>
  <c r="W22" i="6" s="1"/>
  <c r="U53" i="6"/>
  <c r="W53" i="6" s="1" a="1"/>
  <c r="W53" i="6" s="1"/>
  <c r="U59" i="6"/>
  <c r="W59" i="6" s="1" a="1"/>
  <c r="W59" i="6" s="1"/>
  <c r="U45" i="6"/>
  <c r="W45" i="6" s="1" a="1"/>
  <c r="W45" i="6" s="1"/>
  <c r="U31" i="6"/>
  <c r="W31" i="6" s="1" a="1"/>
  <c r="W31" i="6" s="1"/>
  <c r="U17" i="6"/>
  <c r="W17" i="6" s="1" a="1"/>
  <c r="W17" i="6" s="1"/>
  <c r="U49" i="6"/>
  <c r="W49" i="6" s="1" a="1"/>
  <c r="W49" i="6" s="1"/>
  <c r="U21" i="6"/>
  <c r="W21" i="6" s="1" a="1"/>
  <c r="W21" i="6" s="1"/>
  <c r="U52" i="6"/>
  <c r="W52" i="6" s="1" a="1"/>
  <c r="W52" i="6" s="1"/>
  <c r="U58" i="6"/>
  <c r="W58" i="6" s="1" a="1"/>
  <c r="W58" i="6" s="1"/>
  <c r="U44" i="6"/>
  <c r="W44" i="6" s="1" a="1"/>
  <c r="W44" i="6" s="1"/>
  <c r="U30" i="6"/>
  <c r="W30" i="6" s="1" a="1"/>
  <c r="W30" i="6" s="1"/>
  <c r="U16" i="6"/>
  <c r="W16" i="6" s="1" a="1"/>
  <c r="W16" i="6" s="1"/>
  <c r="U48" i="6"/>
  <c r="W48" i="6" s="1" a="1"/>
  <c r="W48" i="6" s="1"/>
  <c r="U20" i="6"/>
  <c r="W20" i="6" s="1" a="1"/>
  <c r="W20" i="6" s="1"/>
  <c r="U51" i="6"/>
  <c r="W51" i="6" s="1" a="1"/>
  <c r="W51" i="6" s="1"/>
  <c r="U43" i="6"/>
  <c r="W43" i="6" s="1" a="1"/>
  <c r="W43" i="6" s="1"/>
  <c r="U15" i="6"/>
  <c r="W15" i="6" s="1" a="1"/>
  <c r="W15" i="6" s="1"/>
  <c r="U37" i="6"/>
  <c r="W37" i="6" s="1" a="1"/>
  <c r="W37" i="6" s="1"/>
  <c r="V53" i="6"/>
  <c r="J53" i="6"/>
  <c r="X53" i="6"/>
  <c r="L53" i="6"/>
  <c r="V39" i="6"/>
  <c r="J39" i="6"/>
  <c r="X39" i="6"/>
  <c r="J25" i="6"/>
  <c r="L25" i="6"/>
  <c r="V25" i="6"/>
  <c r="V54" i="6"/>
  <c r="X54" i="6"/>
  <c r="L54" i="6"/>
  <c r="J54" i="6"/>
  <c r="V40" i="6"/>
  <c r="J40" i="6"/>
  <c r="X40" i="6"/>
  <c r="J26" i="6"/>
  <c r="L26" i="6"/>
  <c r="V26" i="6"/>
  <c r="J52" i="6"/>
  <c r="L52" i="6"/>
  <c r="J51" i="6"/>
  <c r="V37" i="6"/>
  <c r="J50" i="6"/>
  <c r="Y50" i="6" s="1"/>
  <c r="L38" i="6"/>
  <c r="X38" i="6"/>
  <c r="V36" i="6"/>
  <c r="J10" i="6"/>
  <c r="L37" i="6"/>
  <c r="X63" i="6"/>
  <c r="X37" i="6"/>
  <c r="J42" i="6"/>
  <c r="J9" i="6"/>
  <c r="Y9" i="6" s="1"/>
  <c r="Z9" i="6" s="1"/>
  <c r="X36" i="6"/>
  <c r="J41" i="6"/>
  <c r="J8" i="6"/>
  <c r="V24" i="6"/>
  <c r="X24" i="6"/>
  <c r="V23" i="6"/>
  <c r="X55" i="6"/>
  <c r="X23" i="6"/>
  <c r="V22" i="6"/>
  <c r="J58" i="6"/>
  <c r="J38" i="6"/>
  <c r="L58" i="6"/>
  <c r="X22" i="6"/>
  <c r="J57" i="6"/>
  <c r="L57" i="6"/>
  <c r="J36" i="6"/>
  <c r="L14" i="6"/>
  <c r="V14" i="6"/>
  <c r="J14" i="6"/>
  <c r="X14" i="6"/>
  <c r="Y14" i="6" s="1"/>
  <c r="AF14" i="6" s="1"/>
  <c r="V59" i="6"/>
  <c r="J59" i="6"/>
  <c r="X59" i="6"/>
  <c r="L59" i="6"/>
  <c r="V45" i="6"/>
  <c r="J45" i="6"/>
  <c r="X45" i="6"/>
  <c r="L45" i="6"/>
  <c r="V31" i="6"/>
  <c r="J31" i="6"/>
  <c r="X31" i="6"/>
  <c r="L31" i="6"/>
  <c r="V17" i="6"/>
  <c r="J17" i="6"/>
  <c r="X17" i="6"/>
  <c r="L17" i="6"/>
  <c r="X16" i="6"/>
  <c r="L16" i="6"/>
  <c r="V16" i="6"/>
  <c r="J16" i="6"/>
  <c r="L15" i="6"/>
  <c r="V15" i="6"/>
  <c r="J15" i="6"/>
  <c r="X15" i="6"/>
  <c r="X27" i="6"/>
  <c r="V62" i="6"/>
  <c r="J62" i="6"/>
  <c r="V48" i="6"/>
  <c r="J48" i="6"/>
  <c r="V34" i="6"/>
  <c r="J34" i="6"/>
  <c r="V20" i="6"/>
  <c r="J20" i="6"/>
  <c r="V6" i="6"/>
  <c r="J6" i="6"/>
  <c r="X6" i="6"/>
  <c r="L44" i="6"/>
  <c r="L12" i="6"/>
  <c r="Y57" i="6"/>
  <c r="AF57" i="6" s="1"/>
  <c r="V61" i="6"/>
  <c r="J61" i="6"/>
  <c r="X61" i="6"/>
  <c r="V47" i="6"/>
  <c r="J47" i="6"/>
  <c r="X47" i="6"/>
  <c r="V33" i="6"/>
  <c r="J33" i="6"/>
  <c r="X33" i="6"/>
  <c r="V19" i="6"/>
  <c r="J19" i="6"/>
  <c r="X19" i="6"/>
  <c r="V5" i="6"/>
  <c r="J5" i="6"/>
  <c r="X5" i="6"/>
  <c r="V44" i="6"/>
  <c r="V3" i="6"/>
  <c r="J3" i="6"/>
  <c r="X3" i="6"/>
  <c r="L43" i="6"/>
  <c r="L11" i="6"/>
  <c r="X20" i="6"/>
  <c r="V60" i="6"/>
  <c r="J60" i="6"/>
  <c r="X60" i="6"/>
  <c r="V46" i="6"/>
  <c r="J46" i="6"/>
  <c r="X46" i="6"/>
  <c r="V32" i="6"/>
  <c r="J32" i="6"/>
  <c r="X32" i="6"/>
  <c r="V18" i="6"/>
  <c r="J18" i="6"/>
  <c r="X18" i="6"/>
  <c r="V4" i="6"/>
  <c r="J4" i="6"/>
  <c r="X4" i="6"/>
  <c r="V43" i="6"/>
  <c r="L42" i="6"/>
  <c r="V42" i="6"/>
  <c r="L41" i="6"/>
  <c r="V41" i="6"/>
  <c r="L40" i="6"/>
  <c r="Y40" i="6" s="1"/>
  <c r="AI40" i="6" s="1"/>
  <c r="L6" i="6"/>
  <c r="Y36" i="6"/>
  <c r="AG36" i="6" s="1"/>
  <c r="L39" i="6"/>
  <c r="L5" i="6"/>
  <c r="X34" i="6"/>
  <c r="X12" i="6"/>
  <c r="V58" i="6"/>
  <c r="L20" i="6"/>
  <c r="L4" i="6"/>
  <c r="X29" i="6"/>
  <c r="X11" i="6"/>
  <c r="J30" i="6"/>
  <c r="J12" i="6"/>
  <c r="L19" i="6"/>
  <c r="L3" i="6"/>
  <c r="X28" i="6"/>
  <c r="J29" i="6"/>
  <c r="J11" i="6"/>
  <c r="L34" i="6"/>
  <c r="L2" i="6"/>
  <c r="J28" i="6"/>
  <c r="L33" i="6"/>
  <c r="X48" i="6"/>
  <c r="X26" i="6"/>
  <c r="V30" i="6"/>
  <c r="J27" i="6"/>
  <c r="L48" i="6"/>
  <c r="L32" i="6"/>
  <c r="X43" i="6"/>
  <c r="X25" i="6"/>
  <c r="J44" i="6"/>
  <c r="L47" i="6"/>
  <c r="L62" i="6"/>
  <c r="L46" i="6"/>
  <c r="L30" i="6"/>
  <c r="L63" i="6"/>
  <c r="V63" i="6"/>
  <c r="L49" i="6"/>
  <c r="V49" i="6"/>
  <c r="L35" i="6"/>
  <c r="Y35" i="6" s="1"/>
  <c r="AI35" i="6" s="1"/>
  <c r="V35" i="6"/>
  <c r="L21" i="6"/>
  <c r="V21" i="6"/>
  <c r="L7" i="6"/>
  <c r="V7" i="6"/>
  <c r="V8" i="6"/>
  <c r="Y24" i="6"/>
  <c r="AI64" i="6" l="1"/>
  <c r="AA64" i="6" a="1"/>
  <c r="AA64" i="6" s="1"/>
  <c r="AB64" i="6" s="1"/>
  <c r="AE64" i="6"/>
  <c r="Y27" i="6"/>
  <c r="Y30" i="6"/>
  <c r="AF30" i="6" s="1"/>
  <c r="Y48" i="6"/>
  <c r="AI48" i="6" s="1"/>
  <c r="Y6" i="6"/>
  <c r="Z6" i="6" s="1"/>
  <c r="AE6" i="6" s="1"/>
  <c r="Y4" i="6"/>
  <c r="AF4" i="6" s="1"/>
  <c r="Y33" i="6"/>
  <c r="Z33" i="6" s="1"/>
  <c r="AE33" i="6" s="1"/>
  <c r="Y38" i="6"/>
  <c r="AF38" i="6" s="1"/>
  <c r="Y11" i="6"/>
  <c r="Y5" i="6"/>
  <c r="AF5" i="6" s="1"/>
  <c r="Y18" i="6"/>
  <c r="AG18" i="6" s="1"/>
  <c r="Y53" i="6"/>
  <c r="AF53" i="6" s="1"/>
  <c r="Y44" i="6"/>
  <c r="AF44" i="6" s="1"/>
  <c r="Y39" i="6"/>
  <c r="AG39" i="6" s="1"/>
  <c r="Y28" i="6"/>
  <c r="Z28" i="6" s="1"/>
  <c r="AA28" i="6" s="1" a="1"/>
  <c r="AA28" i="6" s="1"/>
  <c r="AB28" i="6" s="1"/>
  <c r="Y23" i="6"/>
  <c r="Y55" i="6"/>
  <c r="Y58" i="6"/>
  <c r="AG58" i="6" s="1"/>
  <c r="Y21" i="6"/>
  <c r="Z21" i="6" s="1"/>
  <c r="AA21" i="6" s="1" a="1"/>
  <c r="AA21" i="6" s="1"/>
  <c r="AB21" i="6" s="1"/>
  <c r="AC21" i="6" s="1" a="1"/>
  <c r="AC21" i="6" s="1"/>
  <c r="Y10" i="6"/>
  <c r="AF10" i="6" s="1"/>
  <c r="Y62" i="6"/>
  <c r="AH62" i="6" s="1"/>
  <c r="Y46" i="6"/>
  <c r="AF46" i="6" s="1"/>
  <c r="Y31" i="6"/>
  <c r="Z31" i="6" s="1"/>
  <c r="Y54" i="6"/>
  <c r="Z54" i="6" s="1"/>
  <c r="Y52" i="6"/>
  <c r="AG52" i="6" s="1"/>
  <c r="Y49" i="6"/>
  <c r="Z49" i="6" s="1"/>
  <c r="AE49" i="6" s="1"/>
  <c r="Y26" i="6"/>
  <c r="AG26" i="6" s="1"/>
  <c r="Y8" i="6"/>
  <c r="Z8" i="6" s="1"/>
  <c r="AE8" i="6" s="1"/>
  <c r="Y60" i="6"/>
  <c r="AF60" i="6" s="1"/>
  <c r="Y59" i="6"/>
  <c r="AF59" i="6" s="1"/>
  <c r="Y61" i="6"/>
  <c r="Z61" i="6" s="1"/>
  <c r="AE61" i="6" s="1"/>
  <c r="Y45" i="6"/>
  <c r="AG45" i="6" s="1"/>
  <c r="Y22" i="6"/>
  <c r="Z22" i="6" s="1"/>
  <c r="AE22" i="6" s="1"/>
  <c r="Y13" i="6"/>
  <c r="AH13" i="6" s="1"/>
  <c r="Y2" i="6"/>
  <c r="Y37" i="6"/>
  <c r="AH37" i="6" s="1"/>
  <c r="Z57" i="6"/>
  <c r="AA57" i="6" s="1" a="1"/>
  <c r="AA57" i="6" s="1"/>
  <c r="AB57" i="6" s="1"/>
  <c r="Z14" i="6"/>
  <c r="AE14" i="6" s="1"/>
  <c r="Z58" i="6"/>
  <c r="AE58" i="6" s="1"/>
  <c r="AF58" i="6"/>
  <c r="AH58" i="6"/>
  <c r="AI58" i="6"/>
  <c r="Z23" i="6"/>
  <c r="AE23" i="6" s="1"/>
  <c r="AF23" i="6"/>
  <c r="AG23" i="6"/>
  <c r="AI23" i="6"/>
  <c r="AH23" i="6"/>
  <c r="AG50" i="6"/>
  <c r="Z50" i="6"/>
  <c r="AE50" i="6" s="1"/>
  <c r="AF50" i="6"/>
  <c r="AI50" i="6"/>
  <c r="AH50" i="6"/>
  <c r="AH9" i="6"/>
  <c r="AI9" i="6"/>
  <c r="Y7" i="6"/>
  <c r="AI7" i="6" s="1"/>
  <c r="Y25" i="6"/>
  <c r="AG25" i="6" s="1"/>
  <c r="Y47" i="6"/>
  <c r="AH47" i="6" s="1"/>
  <c r="AH51" i="6"/>
  <c r="AG9" i="6"/>
  <c r="Y3" i="6"/>
  <c r="AF3" i="6" s="1"/>
  <c r="Z36" i="6"/>
  <c r="AA36" i="6" s="1" a="1"/>
  <c r="AA36" i="6" s="1"/>
  <c r="AB36" i="6" s="1"/>
  <c r="AD36" i="6" s="1" a="1"/>
  <c r="AD36" i="6" s="1"/>
  <c r="AG37" i="6"/>
  <c r="Y17" i="6"/>
  <c r="AI17" i="6" s="1"/>
  <c r="Z51" i="6"/>
  <c r="AE51" i="6" s="1"/>
  <c r="AH14" i="6"/>
  <c r="Y29" i="6"/>
  <c r="AH29" i="6" s="1"/>
  <c r="Z37" i="6"/>
  <c r="AA37" i="6" s="1" a="1"/>
  <c r="AA37" i="6" s="1"/>
  <c r="AB37" i="6" s="1"/>
  <c r="AG14" i="6"/>
  <c r="Y63" i="6"/>
  <c r="AI63" i="6" s="1"/>
  <c r="Y42" i="6"/>
  <c r="AH42" i="6" s="1"/>
  <c r="AF9" i="6"/>
  <c r="AG35" i="6"/>
  <c r="AH57" i="6"/>
  <c r="Z35" i="6"/>
  <c r="Z13" i="6"/>
  <c r="AE13" i="6" s="1"/>
  <c r="AG57" i="6"/>
  <c r="AI57" i="6"/>
  <c r="Y32" i="6"/>
  <c r="AF32" i="6" s="1"/>
  <c r="Z11" i="6"/>
  <c r="AA11" i="6" s="1" a="1"/>
  <c r="AA11" i="6" s="1"/>
  <c r="AB11" i="6" s="1"/>
  <c r="AF11" i="6"/>
  <c r="AI44" i="6"/>
  <c r="Z25" i="6"/>
  <c r="AE25" i="6" s="1"/>
  <c r="AF25" i="6"/>
  <c r="AG62" i="6"/>
  <c r="Y43" i="6"/>
  <c r="Y16" i="6"/>
  <c r="AF6" i="6"/>
  <c r="AF40" i="6"/>
  <c r="AG56" i="6"/>
  <c r="Z56" i="6"/>
  <c r="AI51" i="6"/>
  <c r="AG40" i="6"/>
  <c r="AH56" i="6"/>
  <c r="Z40" i="6"/>
  <c r="AE40" i="6" s="1"/>
  <c r="AI56" i="6"/>
  <c r="AI30" i="6"/>
  <c r="Y41" i="6"/>
  <c r="AH40" i="6"/>
  <c r="AG30" i="6"/>
  <c r="Y12" i="6"/>
  <c r="AH35" i="6"/>
  <c r="AI21" i="6"/>
  <c r="Z30" i="6"/>
  <c r="Y19" i="6"/>
  <c r="AH36" i="6"/>
  <c r="AI14" i="6"/>
  <c r="AH30" i="6"/>
  <c r="AF36" i="6"/>
  <c r="AG21" i="6"/>
  <c r="AI36" i="6"/>
  <c r="AF51" i="6"/>
  <c r="AF35" i="6"/>
  <c r="Y34" i="6"/>
  <c r="Y20" i="6"/>
  <c r="Y15" i="6"/>
  <c r="AH45" i="6"/>
  <c r="AI45" i="6"/>
  <c r="AH10" i="6"/>
  <c r="AI26" i="6"/>
  <c r="AF26" i="6"/>
  <c r="Z26" i="6"/>
  <c r="AH6" i="6"/>
  <c r="AI6" i="6"/>
  <c r="Z45" i="6"/>
  <c r="AA45" i="6" s="1" a="1"/>
  <c r="AA45" i="6" s="1"/>
  <c r="AB45" i="6" s="1"/>
  <c r="AI55" i="6"/>
  <c r="AG55" i="6"/>
  <c r="AH55" i="6"/>
  <c r="AF55" i="6"/>
  <c r="Z55" i="6"/>
  <c r="Z48" i="6"/>
  <c r="AG48" i="6"/>
  <c r="AH48" i="6"/>
  <c r="AI4" i="6"/>
  <c r="AG4" i="6"/>
  <c r="AA13" i="6" a="1"/>
  <c r="AA13" i="6" s="1"/>
  <c r="AB13" i="6" s="1"/>
  <c r="AF18" i="6"/>
  <c r="AH18" i="6"/>
  <c r="AI18" i="6"/>
  <c r="Z18" i="6"/>
  <c r="Z24" i="6"/>
  <c r="AG24" i="6"/>
  <c r="AH24" i="6"/>
  <c r="AI24" i="6"/>
  <c r="AI54" i="6"/>
  <c r="AF54" i="6"/>
  <c r="AG54" i="6"/>
  <c r="AH54" i="6"/>
  <c r="AH5" i="6"/>
  <c r="AI5" i="6"/>
  <c r="AG5" i="6"/>
  <c r="AG38" i="6"/>
  <c r="Z27" i="6"/>
  <c r="AF27" i="6"/>
  <c r="AI27" i="6"/>
  <c r="AG27" i="6"/>
  <c r="AH27" i="6"/>
  <c r="AF45" i="6"/>
  <c r="AH59" i="6"/>
  <c r="AG59" i="6"/>
  <c r="AG11" i="6"/>
  <c r="AH11" i="6"/>
  <c r="AI11" i="6"/>
  <c r="Z53" i="6"/>
  <c r="AF49" i="6"/>
  <c r="AH46" i="6"/>
  <c r="AI46" i="6"/>
  <c r="AG46" i="6"/>
  <c r="AI49" i="6"/>
  <c r="AI2" i="6"/>
  <c r="AG2" i="6"/>
  <c r="AF24" i="6"/>
  <c r="AF48" i="6"/>
  <c r="Z59" i="6"/>
  <c r="AA59" i="6" s="1" a="1"/>
  <c r="AA59" i="6" s="1"/>
  <c r="AB59" i="6" s="1"/>
  <c r="Z5" i="6"/>
  <c r="AE5" i="6" s="1"/>
  <c r="AF31" i="6"/>
  <c r="AH31" i="6"/>
  <c r="AI31" i="6"/>
  <c r="AG31" i="6"/>
  <c r="AE9" i="6"/>
  <c r="AA9" i="6" a="1"/>
  <c r="AA9" i="6" s="1"/>
  <c r="AB9" i="6" s="1"/>
  <c r="AE57" i="6"/>
  <c r="AA6" i="6" a="1"/>
  <c r="AA6" i="6" s="1"/>
  <c r="AB6" i="6" s="1"/>
  <c r="AC64" i="6" l="1" a="1"/>
  <c r="AC64" i="6" s="1"/>
  <c r="AD64" i="6" a="1"/>
  <c r="AD64" i="6" s="1"/>
  <c r="AE28" i="6"/>
  <c r="Z38" i="6"/>
  <c r="AA38" i="6" s="1" a="1"/>
  <c r="AA38" i="6" s="1"/>
  <c r="AB38" i="6" s="1"/>
  <c r="AF39" i="6"/>
  <c r="AI37" i="6"/>
  <c r="AH2" i="6"/>
  <c r="AI53" i="6"/>
  <c r="AI33" i="6"/>
  <c r="AF28" i="6"/>
  <c r="AI10" i="6"/>
  <c r="Z39" i="6"/>
  <c r="AA39" i="6" s="1" a="1"/>
  <c r="AA39" i="6" s="1"/>
  <c r="AB39" i="6" s="1"/>
  <c r="AF37" i="6"/>
  <c r="AH28" i="6"/>
  <c r="AH53" i="6"/>
  <c r="AG33" i="6"/>
  <c r="AE21" i="6"/>
  <c r="AG10" i="6"/>
  <c r="Z44" i="6"/>
  <c r="AE44" i="6" s="1"/>
  <c r="AF13" i="6"/>
  <c r="AG28" i="6"/>
  <c r="AG53" i="6"/>
  <c r="AH33" i="6"/>
  <c r="Z10" i="6"/>
  <c r="AF21" i="6"/>
  <c r="AG44" i="6"/>
  <c r="AI13" i="6"/>
  <c r="AI28" i="6"/>
  <c r="AH39" i="6"/>
  <c r="AH44" i="6"/>
  <c r="AG49" i="6"/>
  <c r="AI39" i="6"/>
  <c r="AG60" i="6"/>
  <c r="AH4" i="6"/>
  <c r="AF33" i="6"/>
  <c r="AA8" i="6" a="1"/>
  <c r="AA8" i="6" s="1"/>
  <c r="AB8" i="6" s="1"/>
  <c r="Z46" i="6"/>
  <c r="AE46" i="6" s="1"/>
  <c r="AI60" i="6"/>
  <c r="AF52" i="6"/>
  <c r="AG6" i="6"/>
  <c r="Z2" i="6"/>
  <c r="AE2" i="6" s="1"/>
  <c r="AH60" i="6"/>
  <c r="AI38" i="6"/>
  <c r="AH26" i="6"/>
  <c r="Z4" i="6"/>
  <c r="AE4" i="6" s="1"/>
  <c r="AG17" i="6"/>
  <c r="AH38" i="6"/>
  <c r="Z62" i="6"/>
  <c r="AE62" i="6" s="1"/>
  <c r="AD21" i="6" a="1"/>
  <c r="AD21" i="6" s="1"/>
  <c r="AA61" i="6" a="1"/>
  <c r="AA61" i="6" s="1"/>
  <c r="AB61" i="6" s="1"/>
  <c r="AD61" i="6" s="1" a="1"/>
  <c r="AD61" i="6" s="1"/>
  <c r="AF8" i="6"/>
  <c r="AG22" i="6"/>
  <c r="AI22" i="6"/>
  <c r="AF22" i="6"/>
  <c r="AH21" i="6"/>
  <c r="Z60" i="6"/>
  <c r="AE60" i="6" s="1"/>
  <c r="AH8" i="6"/>
  <c r="Z52" i="6"/>
  <c r="AE52" i="6" s="1"/>
  <c r="AI52" i="6"/>
  <c r="AH22" i="6"/>
  <c r="AA49" i="6" a="1"/>
  <c r="AA49" i="6" s="1"/>
  <c r="AB49" i="6" s="1"/>
  <c r="AD49" i="6" s="1" a="1"/>
  <c r="AD49" i="6" s="1"/>
  <c r="AI8" i="6"/>
  <c r="AG61" i="6"/>
  <c r="AH52" i="6"/>
  <c r="AF62" i="6"/>
  <c r="AG8" i="6"/>
  <c r="AI61" i="6"/>
  <c r="AI62" i="6"/>
  <c r="AG13" i="6"/>
  <c r="AH61" i="6"/>
  <c r="AH49" i="6"/>
  <c r="AF61" i="6"/>
  <c r="AI59" i="6"/>
  <c r="AA14" i="6" a="1"/>
  <c r="AA14" i="6" s="1"/>
  <c r="AB14" i="6" s="1"/>
  <c r="AC14" i="6" s="1" a="1"/>
  <c r="AC14" i="6" s="1"/>
  <c r="AE45" i="6"/>
  <c r="AA51" i="6" a="1"/>
  <c r="AA51" i="6" s="1"/>
  <c r="AB51" i="6" s="1"/>
  <c r="AC51" i="6" s="1" a="1"/>
  <c r="AC51" i="6" s="1"/>
  <c r="AG29" i="6"/>
  <c r="AI29" i="6"/>
  <c r="Z3" i="6"/>
  <c r="AE38" i="6"/>
  <c r="AI3" i="6"/>
  <c r="AH3" i="6"/>
  <c r="AG42" i="6"/>
  <c r="AA60" i="6" a="1"/>
  <c r="AA60" i="6" s="1"/>
  <c r="AB60" i="6" s="1"/>
  <c r="AD60" i="6" s="1" a="1"/>
  <c r="AD60" i="6" s="1"/>
  <c r="Z29" i="6"/>
  <c r="AA29" i="6" s="1" a="1"/>
  <c r="AA29" i="6" s="1"/>
  <c r="AB29" i="6" s="1"/>
  <c r="AD29" i="6" s="1" a="1"/>
  <c r="AD29" i="6" s="1"/>
  <c r="AF29" i="6"/>
  <c r="AA58" i="6" a="1"/>
  <c r="AA58" i="6" s="1"/>
  <c r="AB58" i="6" s="1"/>
  <c r="AC58" i="6" s="1" a="1"/>
  <c r="AC58" i="6" s="1"/>
  <c r="AG3" i="6"/>
  <c r="AA40" i="6" a="1"/>
  <c r="AA40" i="6" s="1"/>
  <c r="AB40" i="6" s="1"/>
  <c r="AD40" i="6" s="1" a="1"/>
  <c r="AD40" i="6" s="1"/>
  <c r="AG47" i="6"/>
  <c r="AI42" i="6"/>
  <c r="AH63" i="6"/>
  <c r="Z63" i="6"/>
  <c r="AG63" i="6"/>
  <c r="AF63" i="6"/>
  <c r="AI47" i="6"/>
  <c r="Z42" i="6"/>
  <c r="AA42" i="6" s="1" a="1"/>
  <c r="AA42" i="6" s="1"/>
  <c r="AB42" i="6" s="1"/>
  <c r="Z7" i="6"/>
  <c r="AE7" i="6" s="1"/>
  <c r="AG7" i="6"/>
  <c r="AI25" i="6"/>
  <c r="AA35" i="6" a="1"/>
  <c r="AA35" i="6" s="1"/>
  <c r="AB35" i="6" s="1"/>
  <c r="AE35" i="6"/>
  <c r="Z17" i="6"/>
  <c r="AE17" i="6" s="1"/>
  <c r="AG32" i="6"/>
  <c r="AH17" i="6"/>
  <c r="AI32" i="6"/>
  <c r="AE37" i="6"/>
  <c r="AF17" i="6"/>
  <c r="Z32" i="6"/>
  <c r="AE32" i="6" s="1"/>
  <c r="AE36" i="6"/>
  <c r="AE11" i="6"/>
  <c r="AA4" i="6" a="1"/>
  <c r="AA4" i="6" s="1"/>
  <c r="AB4" i="6" s="1"/>
  <c r="AD4" i="6" s="1" a="1"/>
  <c r="AD4" i="6" s="1"/>
  <c r="AH32" i="6"/>
  <c r="AF42" i="6"/>
  <c r="Z47" i="6"/>
  <c r="AE39" i="6"/>
  <c r="AF47" i="6"/>
  <c r="AA23" i="6" a="1"/>
  <c r="AA23" i="6" s="1"/>
  <c r="AB23" i="6" s="1"/>
  <c r="AF7" i="6"/>
  <c r="AA50" i="6" a="1"/>
  <c r="AA50" i="6" s="1"/>
  <c r="AB50" i="6" s="1"/>
  <c r="AD50" i="6" s="1" a="1"/>
  <c r="AD50" i="6" s="1"/>
  <c r="AC36" i="6" a="1"/>
  <c r="AC36" i="6" s="1"/>
  <c r="AH7" i="6"/>
  <c r="AH25" i="6"/>
  <c r="Z20" i="6"/>
  <c r="AG20" i="6"/>
  <c r="AH20" i="6"/>
  <c r="AF20" i="6"/>
  <c r="AI20" i="6"/>
  <c r="Z34" i="6"/>
  <c r="AG34" i="6"/>
  <c r="AH34" i="6"/>
  <c r="AI34" i="6"/>
  <c r="AF34" i="6"/>
  <c r="AF19" i="6"/>
  <c r="AH19" i="6"/>
  <c r="AI19" i="6"/>
  <c r="Z19" i="6"/>
  <c r="AG19" i="6"/>
  <c r="AE42" i="6"/>
  <c r="AA25" i="6" a="1"/>
  <c r="AA25" i="6" s="1"/>
  <c r="AB25" i="6" s="1"/>
  <c r="AD25" i="6" s="1" a="1"/>
  <c r="AD25" i="6" s="1"/>
  <c r="AE29" i="6"/>
  <c r="AA22" i="6" a="1"/>
  <c r="AA22" i="6" s="1"/>
  <c r="AB22" i="6" s="1"/>
  <c r="AC22" i="6" s="1" a="1"/>
  <c r="AC22" i="6" s="1"/>
  <c r="AI12" i="6"/>
  <c r="AF12" i="6"/>
  <c r="AG12" i="6"/>
  <c r="Z12" i="6"/>
  <c r="AH12" i="6"/>
  <c r="AA62" i="6" a="1"/>
  <c r="AA62" i="6" s="1"/>
  <c r="AB62" i="6" s="1"/>
  <c r="AA46" i="6" a="1"/>
  <c r="AA46" i="6" s="1"/>
  <c r="AB46" i="6" s="1"/>
  <c r="AD46" i="6" s="1" a="1"/>
  <c r="AD46" i="6" s="1"/>
  <c r="AF16" i="6"/>
  <c r="AH16" i="6"/>
  <c r="AI16" i="6"/>
  <c r="Z16" i="6"/>
  <c r="AG16" i="6"/>
  <c r="AF43" i="6"/>
  <c r="AI43" i="6"/>
  <c r="AG43" i="6"/>
  <c r="AH43" i="6"/>
  <c r="Z43" i="6"/>
  <c r="AA30" i="6" a="1"/>
  <c r="AA30" i="6" s="1"/>
  <c r="AB30" i="6" s="1"/>
  <c r="AE30" i="6"/>
  <c r="AA56" i="6" a="1"/>
  <c r="AA56" i="6" s="1"/>
  <c r="AB56" i="6" s="1"/>
  <c r="AE56" i="6"/>
  <c r="AA33" i="6" a="1"/>
  <c r="AA33" i="6" s="1"/>
  <c r="AB33" i="6" s="1"/>
  <c r="AC33" i="6" s="1" a="1"/>
  <c r="AC33" i="6" s="1"/>
  <c r="AH41" i="6"/>
  <c r="AF41" i="6"/>
  <c r="Z41" i="6"/>
  <c r="AI41" i="6"/>
  <c r="AG41" i="6"/>
  <c r="AF15" i="6"/>
  <c r="AI15" i="6"/>
  <c r="AG15" i="6"/>
  <c r="Z15" i="6"/>
  <c r="AH15" i="6"/>
  <c r="AA27" i="6" a="1"/>
  <c r="AA27" i="6" s="1"/>
  <c r="AB27" i="6" s="1"/>
  <c r="AE27" i="6"/>
  <c r="AA54" i="6" a="1"/>
  <c r="AA54" i="6" s="1"/>
  <c r="AB54" i="6" s="1"/>
  <c r="AE54" i="6"/>
  <c r="AA10" i="6" a="1"/>
  <c r="AA10" i="6" s="1"/>
  <c r="AB10" i="6" s="1"/>
  <c r="AE10" i="6"/>
  <c r="AD13" i="6" a="1"/>
  <c r="AD13" i="6" s="1"/>
  <c r="AC13" i="6" a="1"/>
  <c r="AC13" i="6" s="1"/>
  <c r="AA48" i="6" a="1"/>
  <c r="AA48" i="6" s="1"/>
  <c r="AB48" i="6" s="1"/>
  <c r="AE48" i="6"/>
  <c r="AA31" i="6" a="1"/>
  <c r="AA31" i="6" s="1"/>
  <c r="AB31" i="6" s="1"/>
  <c r="AE31" i="6"/>
  <c r="AE24" i="6"/>
  <c r="AA24" i="6" a="1"/>
  <c r="AA24" i="6" s="1"/>
  <c r="AB24" i="6" s="1"/>
  <c r="AA55" i="6" a="1"/>
  <c r="AA55" i="6" s="1"/>
  <c r="AB55" i="6" s="1"/>
  <c r="AE55" i="6"/>
  <c r="AE18" i="6"/>
  <c r="AA18" i="6" a="1"/>
  <c r="AA18" i="6" s="1"/>
  <c r="AB18" i="6" s="1"/>
  <c r="AE26" i="6"/>
  <c r="AA26" i="6" a="1"/>
  <c r="AA26" i="6" s="1"/>
  <c r="AB26" i="6" s="1"/>
  <c r="AE59" i="6"/>
  <c r="AA5" i="6" a="1"/>
  <c r="AA5" i="6" s="1"/>
  <c r="AB5" i="6" s="1"/>
  <c r="AD5" i="6" s="1" a="1"/>
  <c r="AD5" i="6" s="1"/>
  <c r="AA2" i="6" a="1"/>
  <c r="AA2" i="6" s="1"/>
  <c r="AB2" i="6" s="1"/>
  <c r="AD2" i="6" s="1" a="1"/>
  <c r="AD2" i="6" s="1"/>
  <c r="AA53" i="6" a="1"/>
  <c r="AA53" i="6" s="1"/>
  <c r="AB53" i="6" s="1"/>
  <c r="AE53" i="6"/>
  <c r="AC28" i="6" a="1"/>
  <c r="AC28" i="6" s="1"/>
  <c r="AD28" i="6" a="1"/>
  <c r="AD28" i="6" s="1"/>
  <c r="AC59" i="6" a="1"/>
  <c r="AC59" i="6" s="1"/>
  <c r="AD59" i="6" a="1"/>
  <c r="AD59" i="6" s="1"/>
  <c r="AC61" i="6" a="1"/>
  <c r="AC61" i="6" s="1"/>
  <c r="AC9" i="6" a="1"/>
  <c r="AC9" i="6" s="1"/>
  <c r="AD9" i="6" a="1"/>
  <c r="AD9" i="6" s="1"/>
  <c r="AD57" i="6" a="1"/>
  <c r="AD57" i="6" s="1"/>
  <c r="AC57" i="6" a="1"/>
  <c r="AC57" i="6" s="1"/>
  <c r="AD11" i="6" a="1"/>
  <c r="AD11" i="6" s="1"/>
  <c r="AC11" i="6" a="1"/>
  <c r="AC11" i="6" s="1"/>
  <c r="AD37" i="6" a="1"/>
  <c r="AD37" i="6" s="1"/>
  <c r="AC37" i="6" a="1"/>
  <c r="AC37" i="6" s="1"/>
  <c r="AD6" i="6" a="1"/>
  <c r="AD6" i="6" s="1"/>
  <c r="AC6" i="6" a="1"/>
  <c r="AC6" i="6" s="1"/>
  <c r="AD45" i="6" a="1"/>
  <c r="AD45" i="6" s="1"/>
  <c r="AC45" i="6" a="1"/>
  <c r="AC45" i="6" s="1"/>
  <c r="AC8" i="6" a="1"/>
  <c r="AC8" i="6" s="1"/>
  <c r="AD8" i="6" a="1"/>
  <c r="AD8" i="6" s="1"/>
  <c r="AD39" i="6" a="1"/>
  <c r="AD39" i="6" s="1"/>
  <c r="AC39" i="6" a="1"/>
  <c r="AC39" i="6" s="1"/>
  <c r="AC38" i="6" a="1"/>
  <c r="AC38" i="6" s="1"/>
  <c r="AD38" i="6" a="1"/>
  <c r="AD38" i="6" s="1"/>
  <c r="AA44" i="6" l="1" a="1"/>
  <c r="AA44" i="6" s="1"/>
  <c r="AB44" i="6" s="1"/>
  <c r="AA52" i="6" a="1"/>
  <c r="AA52" i="6" s="1"/>
  <c r="AB52" i="6" s="1"/>
  <c r="AC52" i="6" s="1" a="1"/>
  <c r="AC52" i="6" s="1"/>
  <c r="AA7" i="6" a="1"/>
  <c r="AA7" i="6" s="1"/>
  <c r="AB7" i="6" s="1"/>
  <c r="AC7" i="6" s="1" a="1"/>
  <c r="AC7" i="6" s="1"/>
  <c r="AC4" i="6" a="1"/>
  <c r="AC4" i="6" s="1"/>
  <c r="AC60" i="6" a="1"/>
  <c r="AC60" i="6" s="1"/>
  <c r="AC49" i="6" a="1"/>
  <c r="AC49" i="6" s="1"/>
  <c r="AD51" i="6" a="1"/>
  <c r="AD51" i="6" s="1"/>
  <c r="AD14" i="6" a="1"/>
  <c r="AD14" i="6" s="1"/>
  <c r="AD58" i="6" a="1"/>
  <c r="AD58" i="6" s="1"/>
  <c r="AA17" i="6" a="1"/>
  <c r="AA17" i="6" s="1"/>
  <c r="AB17" i="6" s="1"/>
  <c r="AD17" i="6" s="1" a="1"/>
  <c r="AD17" i="6" s="1"/>
  <c r="AC29" i="6" a="1"/>
  <c r="AC29" i="6" s="1"/>
  <c r="AC40" i="6" a="1"/>
  <c r="AC40" i="6" s="1"/>
  <c r="AD33" i="6" a="1"/>
  <c r="AD33" i="6" s="1"/>
  <c r="AA3" i="6" a="1"/>
  <c r="AA3" i="6" s="1"/>
  <c r="AB3" i="6" s="1"/>
  <c r="AE3" i="6"/>
  <c r="AC46" i="6" a="1"/>
  <c r="AC46" i="6" s="1"/>
  <c r="AC5" i="6" a="1"/>
  <c r="AC5" i="6" s="1"/>
  <c r="AD52" i="6" a="1"/>
  <c r="AD52" i="6" s="1"/>
  <c r="AE63" i="6"/>
  <c r="AA63" i="6" a="1"/>
  <c r="AA63" i="6" s="1"/>
  <c r="AB63" i="6" s="1"/>
  <c r="AA47" i="6" a="1"/>
  <c r="AA47" i="6" s="1"/>
  <c r="AB47" i="6" s="1"/>
  <c r="AE47" i="6"/>
  <c r="AC35" i="6" a="1"/>
  <c r="AC35" i="6" s="1"/>
  <c r="AD35" i="6" a="1"/>
  <c r="AD35" i="6" s="1"/>
  <c r="AC50" i="6" a="1"/>
  <c r="AC50" i="6" s="1"/>
  <c r="AA32" i="6" a="1"/>
  <c r="AA32" i="6" s="1"/>
  <c r="AB32" i="6" s="1"/>
  <c r="AC32" i="6" s="1" a="1"/>
  <c r="AC32" i="6" s="1"/>
  <c r="AC23" i="6" a="1"/>
  <c r="AC23" i="6" s="1"/>
  <c r="AD23" i="6" a="1"/>
  <c r="AD23" i="6" s="1"/>
  <c r="AA41" i="6" a="1"/>
  <c r="AA41" i="6" s="1"/>
  <c r="AB41" i="6" s="1"/>
  <c r="AE41" i="6"/>
  <c r="AA34" i="6" a="1"/>
  <c r="AA34" i="6" s="1"/>
  <c r="AB34" i="6" s="1"/>
  <c r="AE34" i="6"/>
  <c r="AA16" i="6" a="1"/>
  <c r="AA16" i="6" s="1"/>
  <c r="AB16" i="6" s="1"/>
  <c r="AE16" i="6"/>
  <c r="AC25" i="6" a="1"/>
  <c r="AC25" i="6" s="1"/>
  <c r="AE19" i="6"/>
  <c r="AA19" i="6" a="1"/>
  <c r="AA19" i="6" s="1"/>
  <c r="AB19" i="6" s="1"/>
  <c r="AC56" i="6" a="1"/>
  <c r="AC56" i="6" s="1"/>
  <c r="AD56" i="6" a="1"/>
  <c r="AD56" i="6" s="1"/>
  <c r="AC2" i="6" a="1"/>
  <c r="AC2" i="6" s="1"/>
  <c r="AE15" i="6"/>
  <c r="AA15" i="6" a="1"/>
  <c r="AA15" i="6" s="1"/>
  <c r="AB15" i="6" s="1"/>
  <c r="AD62" i="6" a="1"/>
  <c r="AD62" i="6" s="1"/>
  <c r="AC62" i="6" a="1"/>
  <c r="AC62" i="6" s="1"/>
  <c r="AC30" i="6" a="1"/>
  <c r="AC30" i="6" s="1"/>
  <c r="AD30" i="6" a="1"/>
  <c r="AD30" i="6" s="1"/>
  <c r="AE43" i="6"/>
  <c r="AA43" i="6" a="1"/>
  <c r="AA43" i="6" s="1"/>
  <c r="AB43" i="6" s="1"/>
  <c r="AE12" i="6"/>
  <c r="AA12" i="6" a="1"/>
  <c r="AA12" i="6" s="1"/>
  <c r="AB12" i="6" s="1"/>
  <c r="AD22" i="6" a="1"/>
  <c r="AD22" i="6" s="1"/>
  <c r="AC44" i="6" a="1"/>
  <c r="AC44" i="6" s="1"/>
  <c r="AD44" i="6" a="1"/>
  <c r="AD44" i="6" s="1"/>
  <c r="AD42" i="6" a="1"/>
  <c r="AD42" i="6" s="1"/>
  <c r="AC42" i="6" a="1"/>
  <c r="AC42" i="6" s="1"/>
  <c r="AA20" i="6" a="1"/>
  <c r="AA20" i="6" s="1"/>
  <c r="AB20" i="6" s="1"/>
  <c r="AE20" i="6"/>
  <c r="AD53" i="6" a="1"/>
  <c r="AD53" i="6" s="1"/>
  <c r="AC53" i="6" a="1"/>
  <c r="AC53" i="6" s="1"/>
  <c r="AD48" i="6" a="1"/>
  <c r="AD48" i="6" s="1"/>
  <c r="AC48" i="6" a="1"/>
  <c r="AC48" i="6" s="1"/>
  <c r="AC26" i="6" a="1"/>
  <c r="AC26" i="6" s="1"/>
  <c r="AD26" i="6" a="1"/>
  <c r="AD26" i="6" s="1"/>
  <c r="AC10" i="6" a="1"/>
  <c r="AC10" i="6" s="1"/>
  <c r="AD10" i="6" a="1"/>
  <c r="AD10" i="6" s="1"/>
  <c r="AC24" i="6" a="1"/>
  <c r="AC24" i="6" s="1"/>
  <c r="AD24" i="6" a="1"/>
  <c r="AD24" i="6" s="1"/>
  <c r="AD54" i="6" a="1"/>
  <c r="AD54" i="6" s="1"/>
  <c r="AC54" i="6" a="1"/>
  <c r="AC54" i="6" s="1"/>
  <c r="AD31" i="6" a="1"/>
  <c r="AD31" i="6" s="1"/>
  <c r="AC31" i="6" a="1"/>
  <c r="AC31" i="6" s="1"/>
  <c r="AD18" i="6" a="1"/>
  <c r="AD18" i="6" s="1"/>
  <c r="AC18" i="6" a="1"/>
  <c r="AC18" i="6" s="1"/>
  <c r="AD55" i="6" a="1"/>
  <c r="AD55" i="6" s="1"/>
  <c r="AC55" i="6" a="1"/>
  <c r="AC55" i="6" s="1"/>
  <c r="AD27" i="6" a="1"/>
  <c r="AD27" i="6" s="1"/>
  <c r="AC27" i="6" a="1"/>
  <c r="AC27" i="6" s="1"/>
  <c r="AD7" i="6" l="1" a="1"/>
  <c r="AD7" i="6" s="1"/>
  <c r="AC17" i="6" a="1"/>
  <c r="AC17" i="6" s="1"/>
  <c r="AD3" i="6" a="1"/>
  <c r="AD3" i="6" s="1"/>
  <c r="AC3" i="6" a="1"/>
  <c r="AC3" i="6" s="1"/>
  <c r="AD32" i="6" a="1"/>
  <c r="AD32" i="6" s="1"/>
  <c r="AD63" i="6" a="1"/>
  <c r="AD63" i="6" s="1"/>
  <c r="AC63" i="6" a="1"/>
  <c r="AC63" i="6" s="1"/>
  <c r="AD47" i="6" a="1"/>
  <c r="AD47" i="6" s="1"/>
  <c r="AC47" i="6" a="1"/>
  <c r="AC47" i="6" s="1"/>
  <c r="AD20" i="6" a="1"/>
  <c r="AD20" i="6" s="1"/>
  <c r="AC20" i="6" a="1"/>
  <c r="AC20" i="6" s="1"/>
  <c r="AD12" i="6" a="1"/>
  <c r="AD12" i="6" s="1"/>
  <c r="AC12" i="6" a="1"/>
  <c r="AC12" i="6" s="1"/>
  <c r="AD43" i="6" a="1"/>
  <c r="AD43" i="6" s="1"/>
  <c r="AC43" i="6" a="1"/>
  <c r="AC43" i="6" s="1"/>
  <c r="AD34" i="6" a="1"/>
  <c r="AD34" i="6" s="1"/>
  <c r="AC34" i="6" a="1"/>
  <c r="AC34" i="6" s="1"/>
  <c r="AD15" i="6" a="1"/>
  <c r="AD15" i="6" s="1"/>
  <c r="AC15" i="6" a="1"/>
  <c r="AC15" i="6" s="1"/>
  <c r="AC19" i="6" a="1"/>
  <c r="AC19" i="6" s="1"/>
  <c r="AD19" i="6" a="1"/>
  <c r="AD19" i="6" s="1"/>
  <c r="AD16" i="6" a="1"/>
  <c r="AD16" i="6" s="1"/>
  <c r="AC16" i="6" a="1"/>
  <c r="AC16" i="6" s="1"/>
  <c r="AD41" i="6" a="1"/>
  <c r="AD41" i="6" s="1"/>
  <c r="AC41" i="6" a="1"/>
  <c r="AC41" i="6" s="1"/>
  <c r="E218" i="3" l="1"/>
  <c r="C218" i="3"/>
  <c r="E217" i="3"/>
  <c r="C217" i="3"/>
  <c r="E216" i="3"/>
  <c r="C216" i="3"/>
  <c r="E215" i="3"/>
  <c r="C215" i="3"/>
  <c r="E214" i="3"/>
  <c r="C214" i="3"/>
  <c r="E213" i="3"/>
  <c r="C213" i="3"/>
  <c r="E212" i="3"/>
  <c r="C212" i="3"/>
  <c r="E211" i="3"/>
  <c r="C211" i="3"/>
  <c r="E210" i="3"/>
  <c r="C210" i="3"/>
  <c r="E209" i="3"/>
  <c r="C209" i="3"/>
  <c r="E208" i="3"/>
  <c r="C208" i="3"/>
  <c r="E207" i="3"/>
  <c r="C207" i="3"/>
  <c r="E206" i="3"/>
  <c r="C206" i="3"/>
  <c r="E205" i="3"/>
  <c r="C205" i="3"/>
  <c r="E204" i="3"/>
  <c r="C204" i="3"/>
  <c r="E203" i="3"/>
  <c r="C203" i="3"/>
  <c r="E202" i="3"/>
  <c r="C202" i="3"/>
  <c r="E201" i="3"/>
  <c r="C201" i="3"/>
  <c r="E200" i="3"/>
  <c r="C200" i="3"/>
  <c r="E199" i="3"/>
  <c r="C199" i="3"/>
  <c r="E198" i="3"/>
  <c r="C198" i="3"/>
  <c r="E197" i="3"/>
  <c r="C197" i="3"/>
  <c r="E196" i="3"/>
  <c r="C196" i="3"/>
  <c r="E195" i="3"/>
  <c r="C195" i="3"/>
  <c r="E194" i="3"/>
  <c r="C194" i="3"/>
  <c r="E193" i="3"/>
  <c r="C193" i="3"/>
  <c r="E192" i="3"/>
  <c r="C192" i="3"/>
  <c r="E191" i="3"/>
  <c r="C191" i="3"/>
  <c r="E190" i="3"/>
  <c r="C190" i="3"/>
  <c r="E189" i="3"/>
  <c r="C189" i="3"/>
  <c r="E188" i="3"/>
  <c r="C188" i="3"/>
  <c r="E187" i="3"/>
  <c r="C187" i="3"/>
  <c r="E186" i="3"/>
  <c r="C186" i="3"/>
  <c r="E185" i="3"/>
  <c r="C185" i="3"/>
  <c r="E184" i="3"/>
  <c r="C184" i="3"/>
  <c r="E183" i="3"/>
  <c r="C183" i="3"/>
  <c r="E182" i="3"/>
  <c r="C182" i="3"/>
  <c r="E181" i="3"/>
  <c r="C181" i="3"/>
  <c r="E180" i="3"/>
  <c r="C180" i="3"/>
  <c r="E179" i="3"/>
  <c r="C179" i="3"/>
  <c r="E178" i="3"/>
  <c r="C178" i="3"/>
  <c r="E177" i="3"/>
  <c r="C177" i="3"/>
  <c r="E176" i="3"/>
  <c r="C176" i="3"/>
  <c r="E175" i="3"/>
  <c r="C175" i="3"/>
  <c r="E174" i="3"/>
  <c r="C174" i="3"/>
  <c r="E173" i="3"/>
  <c r="C173" i="3"/>
  <c r="E172" i="3"/>
  <c r="C172" i="3"/>
  <c r="E171" i="3"/>
  <c r="C171" i="3"/>
  <c r="E170" i="3"/>
  <c r="C170" i="3"/>
  <c r="E169" i="3"/>
  <c r="C169" i="3"/>
  <c r="E168" i="3"/>
  <c r="C168" i="3"/>
  <c r="E167" i="3"/>
  <c r="C167" i="3"/>
  <c r="E166" i="3"/>
  <c r="C166" i="3"/>
  <c r="E165" i="3"/>
  <c r="C165" i="3"/>
  <c r="E164" i="3"/>
  <c r="C164" i="3"/>
  <c r="E163" i="3"/>
  <c r="C163" i="3"/>
  <c r="E162" i="3"/>
  <c r="C162" i="3"/>
  <c r="E161" i="3"/>
  <c r="C161" i="3"/>
  <c r="E160" i="3"/>
  <c r="C160" i="3"/>
  <c r="E159" i="3"/>
  <c r="C159" i="3"/>
  <c r="E158" i="3"/>
  <c r="C158" i="3"/>
  <c r="E157" i="3"/>
  <c r="C157" i="3"/>
  <c r="E156" i="3"/>
  <c r="C156" i="3"/>
  <c r="E155" i="3"/>
  <c r="C155" i="3"/>
  <c r="E154" i="3"/>
  <c r="C154" i="3"/>
  <c r="E153" i="3"/>
  <c r="C153" i="3"/>
  <c r="E152" i="3"/>
  <c r="C152" i="3"/>
  <c r="E151" i="3"/>
  <c r="C151" i="3"/>
  <c r="E150" i="3"/>
  <c r="C150" i="3"/>
  <c r="E149" i="3"/>
  <c r="C149" i="3"/>
  <c r="E148" i="3"/>
  <c r="C148" i="3"/>
  <c r="E147" i="3"/>
  <c r="C147" i="3"/>
  <c r="E146" i="3"/>
  <c r="C146" i="3"/>
  <c r="E145" i="3"/>
  <c r="C145" i="3"/>
  <c r="E144" i="3"/>
  <c r="C144" i="3"/>
  <c r="E143" i="3"/>
  <c r="C143" i="3"/>
  <c r="E142" i="3"/>
  <c r="C142" i="3"/>
  <c r="E141" i="3"/>
  <c r="C141" i="3"/>
  <c r="E140" i="3"/>
  <c r="C140" i="3"/>
  <c r="E139" i="3"/>
  <c r="C139" i="3"/>
  <c r="E138" i="3"/>
  <c r="C138" i="3"/>
  <c r="E137" i="3"/>
  <c r="C137" i="3"/>
  <c r="E136" i="3"/>
  <c r="C136" i="3"/>
  <c r="E135" i="3"/>
  <c r="C135" i="3"/>
  <c r="E134" i="3"/>
  <c r="C134" i="3"/>
  <c r="E133" i="3"/>
  <c r="C133" i="3"/>
  <c r="E132" i="3"/>
  <c r="C132" i="3"/>
  <c r="E131" i="3"/>
  <c r="C131" i="3"/>
  <c r="E130" i="3"/>
  <c r="C130" i="3"/>
  <c r="E129" i="3"/>
  <c r="C129" i="3"/>
  <c r="E128" i="3"/>
  <c r="C128" i="3"/>
  <c r="E127" i="3"/>
  <c r="C127" i="3"/>
  <c r="E126" i="3"/>
  <c r="C126" i="3"/>
  <c r="E125" i="3"/>
  <c r="C125" i="3"/>
  <c r="E124" i="3"/>
  <c r="C124" i="3"/>
  <c r="E123" i="3"/>
  <c r="C123" i="3"/>
  <c r="E122" i="3"/>
  <c r="C122" i="3"/>
  <c r="E121" i="3"/>
  <c r="C121" i="3"/>
  <c r="E120" i="3"/>
  <c r="C120" i="3"/>
  <c r="E119" i="3"/>
  <c r="C119" i="3"/>
  <c r="E118" i="3"/>
  <c r="C118" i="3"/>
  <c r="E117" i="3"/>
  <c r="C117" i="3"/>
  <c r="E116" i="3"/>
  <c r="C116" i="3"/>
  <c r="E115" i="3"/>
  <c r="C115" i="3"/>
  <c r="E114" i="3"/>
  <c r="C114" i="3"/>
  <c r="E113" i="3"/>
  <c r="C113" i="3"/>
  <c r="E112" i="3"/>
  <c r="C112" i="3"/>
  <c r="E111" i="3"/>
  <c r="C111" i="3"/>
  <c r="E110" i="3"/>
  <c r="C110" i="3"/>
  <c r="E109" i="3"/>
  <c r="C109" i="3"/>
  <c r="E108" i="3"/>
  <c r="C108" i="3"/>
  <c r="E107" i="3"/>
  <c r="C107" i="3"/>
  <c r="E106" i="3"/>
  <c r="C106" i="3"/>
  <c r="E105" i="3"/>
  <c r="C105" i="3"/>
  <c r="E104" i="3"/>
  <c r="C104" i="3"/>
  <c r="E103" i="3"/>
  <c r="C103" i="3"/>
  <c r="E102" i="3"/>
  <c r="C102" i="3"/>
  <c r="E101" i="3"/>
  <c r="C101" i="3"/>
  <c r="E100" i="3"/>
  <c r="C100" i="3"/>
  <c r="E99" i="3"/>
  <c r="C99" i="3"/>
  <c r="E98" i="3"/>
  <c r="C98" i="3"/>
  <c r="E97" i="3"/>
  <c r="C97" i="3"/>
  <c r="E96" i="3"/>
  <c r="C96" i="3"/>
  <c r="E95" i="3"/>
  <c r="C95" i="3"/>
  <c r="E94" i="3"/>
  <c r="C94" i="3"/>
  <c r="E93" i="3"/>
  <c r="C93" i="3"/>
  <c r="E92" i="3"/>
  <c r="C92" i="3"/>
  <c r="E91" i="3"/>
  <c r="C91" i="3"/>
  <c r="E90" i="3"/>
  <c r="C90" i="3"/>
  <c r="E89" i="3"/>
  <c r="C89" i="3"/>
  <c r="E88" i="3"/>
  <c r="C88" i="3"/>
  <c r="E87" i="3"/>
  <c r="C87" i="3"/>
  <c r="E86" i="3"/>
  <c r="C86" i="3"/>
  <c r="E85" i="3"/>
  <c r="C85" i="3"/>
  <c r="E84" i="3"/>
  <c r="C84" i="3"/>
  <c r="E83" i="3"/>
  <c r="C83" i="3"/>
  <c r="E82" i="3"/>
  <c r="C82" i="3"/>
  <c r="E81" i="3"/>
  <c r="C81" i="3"/>
  <c r="E80" i="3"/>
  <c r="C80" i="3"/>
  <c r="E79" i="3"/>
  <c r="C79" i="3"/>
  <c r="E78" i="3"/>
  <c r="C78" i="3"/>
  <c r="E77" i="3"/>
  <c r="C77" i="3"/>
  <c r="E76" i="3"/>
  <c r="C76" i="3"/>
  <c r="E75" i="3"/>
  <c r="C75" i="3"/>
  <c r="E74" i="3"/>
  <c r="C74" i="3"/>
  <c r="E73" i="3"/>
  <c r="C73" i="3"/>
  <c r="E72" i="3"/>
  <c r="C72" i="3"/>
  <c r="E71" i="3"/>
  <c r="C71" i="3"/>
  <c r="E70" i="3"/>
  <c r="C70" i="3"/>
  <c r="E69" i="3"/>
  <c r="C69" i="3"/>
  <c r="E68" i="3"/>
  <c r="C68" i="3"/>
  <c r="E67" i="3"/>
  <c r="C67" i="3"/>
  <c r="E66" i="3"/>
  <c r="C66" i="3"/>
  <c r="E65" i="3"/>
  <c r="C65" i="3"/>
  <c r="E64" i="3"/>
  <c r="C64" i="3"/>
  <c r="E63" i="3"/>
  <c r="C63" i="3"/>
  <c r="E62" i="3"/>
  <c r="C62" i="3"/>
  <c r="E61" i="3"/>
  <c r="C61" i="3"/>
  <c r="E60" i="3"/>
  <c r="C60" i="3"/>
  <c r="E59" i="3"/>
  <c r="C59" i="3"/>
  <c r="E58" i="3"/>
  <c r="C58" i="3"/>
  <c r="E57" i="3"/>
  <c r="C57" i="3"/>
  <c r="E56" i="3"/>
  <c r="C56" i="3"/>
  <c r="E55" i="3"/>
  <c r="C55" i="3"/>
  <c r="E54" i="3"/>
  <c r="C54" i="3"/>
  <c r="E53" i="3"/>
  <c r="C53" i="3"/>
  <c r="E52" i="3"/>
  <c r="C52" i="3"/>
  <c r="E51" i="3"/>
  <c r="C51" i="3"/>
  <c r="E50" i="3"/>
  <c r="C50" i="3"/>
  <c r="E49" i="3"/>
  <c r="C49" i="3"/>
  <c r="E48" i="3"/>
  <c r="C48" i="3"/>
  <c r="E47" i="3"/>
  <c r="C47" i="3"/>
  <c r="E46" i="3"/>
  <c r="C46" i="3"/>
  <c r="E45" i="3"/>
  <c r="C45" i="3"/>
  <c r="E44" i="3"/>
  <c r="C44" i="3"/>
  <c r="E43" i="3"/>
  <c r="C43" i="3"/>
  <c r="E42" i="3"/>
  <c r="C42" i="3"/>
  <c r="E41" i="3"/>
  <c r="C41" i="3"/>
  <c r="E40" i="3"/>
  <c r="C40" i="3"/>
  <c r="E39" i="3"/>
  <c r="C39" i="3"/>
  <c r="E38" i="3"/>
  <c r="C38" i="3"/>
  <c r="E37" i="3"/>
  <c r="C37" i="3"/>
  <c r="E36" i="3"/>
  <c r="C36" i="3"/>
  <c r="E35" i="3"/>
  <c r="C35" i="3"/>
  <c r="E34" i="3"/>
  <c r="C34" i="3"/>
  <c r="E33" i="3"/>
  <c r="C33" i="3"/>
  <c r="E32" i="3"/>
  <c r="C32" i="3"/>
  <c r="E31" i="3"/>
  <c r="C31" i="3"/>
  <c r="E30" i="3"/>
  <c r="C30" i="3"/>
  <c r="E29" i="3"/>
  <c r="C29" i="3"/>
  <c r="E28" i="3"/>
  <c r="C28" i="3"/>
  <c r="E27" i="3"/>
  <c r="C27" i="3"/>
  <c r="E26" i="3"/>
  <c r="C26" i="3"/>
  <c r="E25" i="3"/>
  <c r="C25" i="3"/>
  <c r="E24" i="3"/>
  <c r="C24" i="3"/>
  <c r="E23" i="3"/>
  <c r="C23" i="3"/>
  <c r="E22" i="3"/>
  <c r="C22" i="3"/>
  <c r="E21" i="3"/>
  <c r="C21" i="3"/>
  <c r="E20" i="3"/>
  <c r="C20" i="3"/>
  <c r="E19" i="3"/>
  <c r="C19" i="3"/>
  <c r="E18" i="3"/>
  <c r="C18" i="3"/>
  <c r="E17" i="3"/>
  <c r="C17" i="3"/>
  <c r="E16" i="3"/>
  <c r="C16" i="3"/>
  <c r="E15" i="3"/>
  <c r="C15" i="3"/>
  <c r="E14" i="3"/>
  <c r="C14" i="3"/>
  <c r="E13" i="3"/>
  <c r="C13" i="3"/>
  <c r="E12" i="3"/>
  <c r="C12" i="3"/>
  <c r="E11" i="3"/>
  <c r="C11" i="3"/>
  <c r="E10" i="3"/>
  <c r="C10" i="3"/>
  <c r="E9" i="3"/>
  <c r="C9" i="3"/>
  <c r="E8" i="3"/>
  <c r="C8" i="3"/>
  <c r="E7" i="3"/>
  <c r="C7" i="3"/>
  <c r="E6" i="3"/>
  <c r="C6" i="3"/>
  <c r="E5" i="3"/>
  <c r="C5" i="3"/>
  <c r="E4" i="3"/>
  <c r="C4" i="3"/>
  <c r="E3" i="3"/>
  <c r="C3" i="3"/>
  <c r="E2" i="3"/>
  <c r="C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<sst xmlns="http://schemas.openxmlformats.org/spreadsheetml/2006/main" count="117" uniqueCount="51">
  <si>
    <t>Gender</t>
  </si>
  <si>
    <t>Date of Birth</t>
  </si>
  <si>
    <t>Test Date</t>
  </si>
  <si>
    <t>Chronological age</t>
  </si>
  <si>
    <t>Rounded age</t>
  </si>
  <si>
    <t>Body mass (kg)</t>
  </si>
  <si>
    <t>Body mass (lbs)</t>
  </si>
  <si>
    <t>Standing height (cm)</t>
  </si>
  <si>
    <t>Height coefficient</t>
  </si>
  <si>
    <t>Height (in)</t>
  </si>
  <si>
    <t>Weight Coefficient</t>
  </si>
  <si>
    <t>Mother's height (cm)</t>
  </si>
  <si>
    <t>Mother height (in)</t>
  </si>
  <si>
    <t>Adjusted mothers height (in)</t>
  </si>
  <si>
    <t>Adjust mothers heigh cm</t>
  </si>
  <si>
    <t>Father's height (cm)</t>
  </si>
  <si>
    <t>Fathers height (in)</t>
  </si>
  <si>
    <t>Adjusted fathers height</t>
  </si>
  <si>
    <t>Adjusted fathers height cm</t>
  </si>
  <si>
    <t>Midparent (cm)</t>
  </si>
  <si>
    <t>Midparent coefficient</t>
  </si>
  <si>
    <t>Midparent inches</t>
  </si>
  <si>
    <t>Intersect</t>
  </si>
  <si>
    <t>Predicted adult height cm</t>
  </si>
  <si>
    <t>Percent of predicted adult height</t>
  </si>
  <si>
    <t>Biological Age</t>
  </si>
  <si>
    <t>BA-CA</t>
  </si>
  <si>
    <t>Timing</t>
  </si>
  <si>
    <t>Alt. Timing (1 year)</t>
  </si>
  <si>
    <t>Maturity Status</t>
  </si>
  <si>
    <t>Lower bound 50%</t>
  </si>
  <si>
    <t>Upper bound 50%</t>
  </si>
  <si>
    <t>Lower bound 90%</t>
  </si>
  <si>
    <t>Upper bound 90%</t>
  </si>
  <si>
    <t>Male</t>
  </si>
  <si>
    <t>Female</t>
  </si>
  <si>
    <t>Age</t>
  </si>
  <si>
    <t>ht</t>
  </si>
  <si>
    <t>%PAH Males</t>
  </si>
  <si>
    <t>%PAH females</t>
  </si>
  <si>
    <t>Lower range</t>
  </si>
  <si>
    <t>Upper range</t>
  </si>
  <si>
    <t>Beta</t>
  </si>
  <si>
    <t>Stature (in)</t>
  </si>
  <si>
    <t>Weight (lb)</t>
  </si>
  <si>
    <t>Midparent Stature (in)</t>
  </si>
  <si>
    <t>Age per category</t>
  </si>
  <si>
    <t>Height</t>
  </si>
  <si>
    <t>Weight</t>
  </si>
  <si>
    <t>Md parent</t>
  </si>
  <si>
    <t>Athlete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</si>
</sst>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9"/>
      <name val="Geneva"/>
      <family val="2"/>
    </font>
    <font>
      <b/>
      <sz val="9"/>
      <color theme="1"/>
      <name val="Aptos Narrow"/>
      <family val="2"/>
      <scheme val="minor"/>
    </font>
    <font>
      <i/>
      <sz val="10"/>
      <color theme="1"/>
      <name val="Gill Sans MT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8" fillId="0" borderId="0"/>
  </cellStyleXfs>
  <cellXfs count="44">
    <xf numFmtId="0" fontId="0" fillId="0" borderId="0" xfId="0"/>
    <xf numFmtId="0" fontId="3" fillId="0" borderId="0" xfId="1" applyFont="1" applyAlignment="1">
      <alignment horizontal="right" vertical="center" wrapText="1"/>
    </xf>
    <xf numFmtId="0" fontId="4" fillId="0" borderId="0" xfId="1" applyFont="1" applyAlignment="1">
      <alignment horizontal="center" vertical="center" wrapText="1"/>
    </xf>
    <xf numFmtId="0" fontId="5" fillId="2" borderId="0" xfId="1" applyFont="1" applyFill="1" applyAlignment="1">
      <alignment horizontal="right"/>
    </xf>
    <xf numFmtId="0" fontId="1" fillId="2" borderId="4" xfId="1" applyFill="1" applyBorder="1" applyAlignment="1">
      <alignment horizontal="center"/>
    </xf>
    <xf numFmtId="0" fontId="1" fillId="2" borderId="0" xfId="1" applyFill="1" applyAlignment="1">
      <alignment horizontal="center"/>
    </xf>
    <xf numFmtId="0" fontId="1" fillId="2" borderId="5" xfId="1" applyFill="1" applyBorder="1" applyAlignment="1">
      <alignment horizontal="center"/>
    </xf>
    <xf numFmtId="164" fontId="1" fillId="2" borderId="4" xfId="1" applyNumberFormat="1" applyFill="1" applyBorder="1" applyAlignment="1">
      <alignment horizontal="center"/>
    </xf>
    <xf numFmtId="164" fontId="1" fillId="2" borderId="0" xfId="1" applyNumberFormat="1" applyFill="1" applyAlignment="1">
      <alignment horizontal="center"/>
    </xf>
    <xf numFmtId="164" fontId="1" fillId="2" borderId="5" xfId="1" applyNumberFormat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1" fillId="2" borderId="7" xfId="1" applyFill="1" applyBorder="1" applyAlignment="1">
      <alignment horizontal="center"/>
    </xf>
    <xf numFmtId="0" fontId="1" fillId="2" borderId="8" xfId="1" applyFill="1" applyBorder="1" applyAlignment="1">
      <alignment horizontal="center"/>
    </xf>
    <xf numFmtId="0" fontId="6" fillId="3" borderId="0" xfId="3" applyFont="1" applyFill="1" applyAlignment="1">
      <alignment horizontal="center"/>
    </xf>
    <xf numFmtId="0" fontId="7" fillId="3" borderId="0" xfId="3" applyFont="1" applyFill="1"/>
    <xf numFmtId="164" fontId="0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0" fillId="0" borderId="9" xfId="0" applyBorder="1"/>
    <xf numFmtId="9" fontId="0" fillId="0" borderId="9" xfId="0" applyNumberFormat="1" applyBorder="1"/>
    <xf numFmtId="164" fontId="0" fillId="0" borderId="9" xfId="0" applyNumberFormat="1" applyBorder="1"/>
    <xf numFmtId="0" fontId="0" fillId="4" borderId="9" xfId="0" applyFill="1" applyBorder="1"/>
    <xf numFmtId="164" fontId="0" fillId="4" borderId="9" xfId="0" applyNumberFormat="1" applyFill="1" applyBorder="1"/>
    <xf numFmtId="164" fontId="0" fillId="0" borderId="0" xfId="0" applyNumberFormat="1" applyAlignment="1">
      <alignment horizontal="center"/>
    </xf>
    <xf numFmtId="1" fontId="9" fillId="0" borderId="9" xfId="1" applyNumberFormat="1" applyFont="1" applyBorder="1" applyAlignment="1" applyProtection="1">
      <alignment horizontal="center" vertical="center" wrapText="1"/>
      <protection locked="0"/>
    </xf>
    <xf numFmtId="14" fontId="9" fillId="0" borderId="9" xfId="1" applyNumberFormat="1" applyFont="1" applyBorder="1" applyAlignment="1" applyProtection="1">
      <alignment horizontal="center" vertical="center" wrapText="1"/>
      <protection locked="0"/>
    </xf>
    <xf numFmtId="164" fontId="9" fillId="0" borderId="9" xfId="2" applyNumberFormat="1" applyFont="1" applyBorder="1" applyAlignment="1">
      <alignment horizontal="center" vertical="center" wrapText="1"/>
    </xf>
    <xf numFmtId="164" fontId="9" fillId="0" borderId="9" xfId="2" applyNumberFormat="1" applyFont="1" applyBorder="1" applyAlignment="1" applyProtection="1">
      <alignment horizontal="center" vertical="center" wrapText="1"/>
      <protection locked="0"/>
    </xf>
    <xf numFmtId="2" fontId="9" fillId="0" borderId="9" xfId="2" applyNumberFormat="1" applyFont="1" applyBorder="1" applyAlignment="1">
      <alignment horizontal="center" vertical="center" wrapText="1"/>
    </xf>
    <xf numFmtId="0" fontId="9" fillId="0" borderId="9" xfId="2" applyFont="1" applyBorder="1" applyAlignment="1">
      <alignment horizontal="center" vertical="center" wrapText="1"/>
    </xf>
    <xf numFmtId="0" fontId="9" fillId="0" borderId="9" xfId="2" applyFont="1" applyBorder="1" applyAlignment="1">
      <alignment horizontal="center" vertical="center"/>
    </xf>
    <xf numFmtId="0" fontId="9" fillId="0" borderId="9" xfId="2" applyFont="1" applyBorder="1" applyAlignment="1" applyProtection="1">
      <alignment horizontal="center" vertical="center" wrapText="1"/>
      <protection locked="0"/>
    </xf>
    <xf numFmtId="0" fontId="0" fillId="5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14" fontId="0" fillId="5" borderId="13" xfId="0" applyNumberFormat="1" applyFill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5" borderId="13" xfId="0" applyNumberForma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</cellXfs>
  <cellStyles count="4">
    <cellStyle name="Normal" xfId="0" builtinId="0"/>
    <cellStyle name="Normal 2" xfId="3" xr:uid="{A063558A-8DAC-4D29-83D1-B9FAB5302EF8}"/>
    <cellStyle name="Normal 2 2" xfId="2" xr:uid="{A62840B5-3204-4E8F-84F8-C9C42DE4331B}"/>
    <cellStyle name="Normal 4" xfId="1" xr:uid="{57152918-06B8-4481-8CCC-E2C58AA2E5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DF1C-C87F-4C1F-B50B-5C3817BF2243}">
  <dimension ref="A1:AI70"/>
  <sheetViews>
    <sheetView workbookViewId="0">
      <selection activeCell="AF3" sqref="AF3"/>
    </sheetView>
  </sheetViews>
  <sheetFormatPr defaultColWidth="10.21875" defaultRowHeight="14.4"/>
  <cols>
    <col min="1" max="1" width="14.21875" style="16" customWidth="1"/>
    <col min="2" max="5" width="10.21875" style="16"/>
    <col min="6" max="6" width="10.21875" style="16" customWidth="1"/>
    <col min="7" max="7" width="10.21875" style="16"/>
    <col min="8" max="8" width="10.21875" style="16" customWidth="1"/>
    <col min="9" max="9" width="10.21875" style="16"/>
    <col min="10" max="12" width="10.21875" style="16" customWidth="1"/>
    <col min="13" max="13" width="10.21875" style="16"/>
    <col min="14" max="16" width="10.21875" style="16" customWidth="1"/>
    <col min="17" max="17" width="10.21875" style="16"/>
    <col min="18" max="24" width="10.21875" style="16" customWidth="1"/>
    <col min="25" max="16384" width="10.21875" style="16"/>
  </cols>
  <sheetData>
    <row r="1" spans="1:35" ht="36">
      <c r="A1" s="26" t="s">
        <v>50</v>
      </c>
      <c r="B1" s="26" t="s">
        <v>0</v>
      </c>
      <c r="C1" s="27" t="s">
        <v>1</v>
      </c>
      <c r="D1" s="27" t="s">
        <v>2</v>
      </c>
      <c r="E1" s="28" t="s">
        <v>3</v>
      </c>
      <c r="F1" s="28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30" t="s">
        <v>11</v>
      </c>
      <c r="N1" s="30" t="s">
        <v>12</v>
      </c>
      <c r="O1" s="30" t="s">
        <v>13</v>
      </c>
      <c r="P1" s="30" t="s">
        <v>14</v>
      </c>
      <c r="Q1" s="30" t="s">
        <v>15</v>
      </c>
      <c r="R1" s="30" t="s">
        <v>16</v>
      </c>
      <c r="S1" s="30" t="s">
        <v>17</v>
      </c>
      <c r="T1" s="30" t="s">
        <v>18</v>
      </c>
      <c r="U1" s="30" t="s">
        <v>19</v>
      </c>
      <c r="V1" s="30" t="s">
        <v>20</v>
      </c>
      <c r="W1" s="30" t="s">
        <v>21</v>
      </c>
      <c r="X1" s="30" t="s">
        <v>22</v>
      </c>
      <c r="Y1" s="31" t="s">
        <v>23</v>
      </c>
      <c r="Z1" s="31" t="s">
        <v>24</v>
      </c>
      <c r="AA1" s="32" t="s">
        <v>25</v>
      </c>
      <c r="AB1" s="32" t="s">
        <v>26</v>
      </c>
      <c r="AC1" s="32" t="s">
        <v>27</v>
      </c>
      <c r="AD1" s="33" t="s">
        <v>28</v>
      </c>
      <c r="AE1" s="33" t="s">
        <v>29</v>
      </c>
      <c r="AF1" s="31" t="s">
        <v>30</v>
      </c>
      <c r="AG1" s="31" t="s">
        <v>31</v>
      </c>
      <c r="AH1" s="31" t="s">
        <v>32</v>
      </c>
      <c r="AI1" s="31" t="s">
        <v>33</v>
      </c>
    </row>
    <row r="2" spans="1:35">
      <c r="A2" s="40">
        <v>1</v>
      </c>
      <c r="B2" s="34" t="s">
        <v>34</v>
      </c>
      <c r="C2" s="36">
        <v>41691</v>
      </c>
      <c r="D2" s="36">
        <v>45661</v>
      </c>
      <c r="E2" s="15">
        <f t="shared" ref="E2:E60" si="0">IF(C2="","",YEARFRAC(C2,D2))</f>
        <v>10.869444444444444</v>
      </c>
      <c r="F2" s="15">
        <f t="shared" ref="F2:F60" si="1">MROUND(E2, 0.5)</f>
        <v>11</v>
      </c>
      <c r="G2" s="34">
        <v>45.4</v>
      </c>
      <c r="H2" s="16">
        <f>G2*2.205</f>
        <v>100.107</v>
      </c>
      <c r="I2" s="34">
        <v>168.5</v>
      </c>
      <c r="J2" s="16">
        <f>IF(
    Input!B2="Male",
    IFERROR(INDEX('Metric coefficients'!$E$2:$E$29, MATCH(Input!F2, 'Metric coefficients'!$A$2:$A$29, 0)), "Not Found"),
    IF(
        Input!B2="Female",
        IFERROR(INDEX('Metric coefficients'!$O$2:$O$29, MATCH(Input!F2, 'Metric coefficients'!$M$2:$M$29, 0)), "Not Found"),
        ""
    )
)</f>
        <v>0.81238999999999995</v>
      </c>
      <c r="K2" s="16">
        <f t="shared" ref="K2:K60" si="2">I2*0.393701</f>
        <v>66.33861850000001</v>
      </c>
      <c r="L2" s="16">
        <f>IF(
    Input!B2="Male",
    IFERROR(INDEX('Metric coefficients'!$F$2:$F$29, MATCH(Input!F2, 'Metric coefficients'!$A$2:$A$29, 0)), "Not Found"),
    IF(
        Input!B2="Female",
        IFERROR(INDEX('Metric coefficients'!$P$2:$P$29, MATCH(Input!F2, 'Metric coefficients'!$M$2:$M$29, 0)), "Not Found"),
        ""
    )
)</f>
        <v>-0.16267000000000001</v>
      </c>
      <c r="M2" s="34">
        <v>180</v>
      </c>
      <c r="N2" s="16">
        <f t="shared" ref="N2:N60" si="3">M2*0.393701</f>
        <v>70.86618</v>
      </c>
      <c r="O2" s="16">
        <f t="shared" ref="O2:O60" si="4">2.803+(0.953*N2)</f>
        <v>70.338469539999991</v>
      </c>
      <c r="P2" s="16">
        <f t="shared" ref="P2:P60" si="5">O2*2.54</f>
        <v>178.65971263159997</v>
      </c>
      <c r="Q2" s="34">
        <v>188</v>
      </c>
      <c r="R2" s="16">
        <f t="shared" ref="R2:R60" si="6">Q2*0.393701</f>
        <v>74.015788000000001</v>
      </c>
      <c r="S2" s="16">
        <f t="shared" ref="S2:S60" si="7">2.316+(0.955*R2)</f>
        <v>73.001077539999997</v>
      </c>
      <c r="T2" s="16">
        <f t="shared" ref="T2:T60" si="8">S2*2.54</f>
        <v>185.4227369516</v>
      </c>
      <c r="U2" s="16">
        <f t="shared" ref="U2:U60" si="9">(P2+T2)/2</f>
        <v>182.04122479159997</v>
      </c>
      <c r="V2" s="17">
        <f>IF(
    Input!B2="Male",
    IFERROR(INDEX('Metric coefficients'!$G$2:$G$29, MATCH(Input!F2, 'Metric coefficients'!$A$2:$A$29, 0)), "Not Found"),
    IF(
        Input!B2="Female",
        IFERROR(INDEX('Metric coefficients'!$Q$2:$Q$29, MATCH(Input!F2, 'Metric coefficients'!$M$2:$M$29, 0)), "Not Found"),
        ""
    )
)</f>
        <v>0.54781000000000002</v>
      </c>
      <c r="W2" s="17" cm="1">
        <f t="array" ref="W2">_xlfn.IFS(B2="Male",U2*0.393701+2.5,B2="Female",U2*0.393701-2.5)</f>
        <v>74.169812241677704</v>
      </c>
      <c r="X2" s="16">
        <f>IF(
    Input!B2="Male",
    IFERROR(INDEX('Metric coefficients'!$D$2:$D$29, MATCH(Input!F2, 'Metric coefficients'!$A$2:$A$29, 0)), "Not Found"),
    IF(
        Input!B2="Female",
        IFERROR(INDEX('Metric coefficients'!$N$2:$N$29, MATCH(Input!F2, 'Metric coefficients'!$M$2:$M$29, 0)), "Not Found"),
        ""
    )
)</f>
        <v>-26.649000000000001</v>
      </c>
      <c r="Y2" s="25">
        <f t="shared" ref="Y2:Y60" si="10">X2+(J2*I2)+(L2*G2)+(V2*U2)</f>
        <v>202.57750035308638</v>
      </c>
      <c r="Z2" s="16">
        <f t="shared" ref="Z2:Z60" si="11">IF(Y2=" ", " ", (I2/Y2*100))</f>
        <v>83.178042826231774</v>
      </c>
      <c r="AA2" s="16" cm="1">
        <f t="array" ref="AA2">_xlfn.IFS(
    B2="Male", _xlfn.XLOOKUP(0, ABS(SA!$C$2:$C$218 - Input!Z2), SA!$A$2:$A$218, " ", 1),
    B2="Female", _xlfn.XLOOKUP(0, ABS(SA!$E$2:$E$218 - Input!Z2), SA!$A$2:$A$218, " ", 1)
)</f>
        <v>11.833</v>
      </c>
      <c r="AB2" s="16">
        <f t="shared" ref="AB2:AB60" si="12">IF(E2=" ", " ",AA2-E2)</f>
        <v>0.96355555555555661</v>
      </c>
      <c r="AC2" s="16" t="str" cm="1">
        <f t="array" ref="AC2">_xlfn.IFS(AB2=" "," ", AB2&gt;0.5,"Early",AB2&lt;=-0.5,"Late",AND(AB2&gt;=-0.5,AB2&lt;=0.5),"On Time")</f>
        <v>Early</v>
      </c>
      <c r="AD2" s="16" t="str" cm="1">
        <f t="array" ref="AD2">_xlfn.IFS(AB2=" "," ", AB2&gt;1,"Early",AB2&lt;=-1,"Late",AND(AB2&gt;=-1,AB2&lt;=1),"On Time")</f>
        <v>On Time</v>
      </c>
      <c r="AE2" s="16" t="str">
        <f t="shared" ref="AE2:AE59" si="13">IF(Z2&lt;=88, "Pre-PHV", IF(Z2&lt;=95, "Circa-PHV", "Post PHV"))</f>
        <v>Pre-PHV</v>
      </c>
      <c r="AF2" s="25">
        <f>Y2 - IFERROR(INDEX(Errors!$B$2:$B$100, MATCH(F2 + 0.5, Errors!$A$2:$A$100, 0)), 0)</f>
        <v>200.17750035308637</v>
      </c>
      <c r="AG2" s="25">
        <f>Y2 + IFERROR(INDEX(Errors!$B$2:$B$100, MATCH(F2 + 0.5, Errors!$A$2:$A$100, 0)), 0)</f>
        <v>204.97750035308638</v>
      </c>
      <c r="AH2" s="25">
        <f>Y2 - IFERROR(INDEX(Errors!$C$2:$C$100, MATCH(F2 + 0.5, Errors!$A$2:$A$100, 0)), 0)</f>
        <v>196.78630035308638</v>
      </c>
      <c r="AI2" s="25">
        <f>Y2 + IFERROR(INDEX(Errors!$C$2:$C$100, MATCH(F2 + 0.5, Errors!$A$2:$A$100, 0)), 0)</f>
        <v>208.36870035308638</v>
      </c>
    </row>
    <row r="3" spans="1:35">
      <c r="A3" s="40">
        <v>2</v>
      </c>
      <c r="B3" s="35" t="s">
        <v>34</v>
      </c>
      <c r="C3" s="37">
        <v>40826</v>
      </c>
      <c r="D3" s="37">
        <v>45661</v>
      </c>
      <c r="E3" s="15">
        <f t="shared" si="0"/>
        <v>13.233333333333333</v>
      </c>
      <c r="F3" s="15">
        <f t="shared" si="1"/>
        <v>13</v>
      </c>
      <c r="G3" s="35">
        <v>65</v>
      </c>
      <c r="H3" s="16">
        <f t="shared" ref="H3:H60" si="14">G3*2.205</f>
        <v>143.32500000000002</v>
      </c>
      <c r="I3" s="35">
        <v>181.5</v>
      </c>
      <c r="J3" s="16">
        <f>IF(
    Input!B3="Male",
    IFERROR(INDEX('Metric coefficients'!$E$2:$E$29, MATCH(Input!F3, 'Metric coefficients'!$A$2:$A$29, 0)), "Not Found"),
    IF(
        Input!B3="Female",
        IFERROR(INDEX('Metric coefficients'!$O$2:$O$29, MATCH(Input!F3, 'Metric coefficients'!$M$2:$M$29, 0)), "Not Found"),
        ""
    )
)</f>
        <v>0.60818000000000005</v>
      </c>
      <c r="K3" s="16">
        <f t="shared" si="2"/>
        <v>71.456731500000004</v>
      </c>
      <c r="L3" s="16">
        <f>IF(
    Input!B3="Male",
    IFERROR(INDEX('Metric coefficients'!$F$2:$F$29, MATCH(Input!F3, 'Metric coefficients'!$A$2:$A$29, 0)), "Not Found"),
    IF(
        Input!B3="Female",
        IFERROR(INDEX('Metric coefficients'!$P$2:$P$29, MATCH(Input!F3, 'Metric coefficients'!$M$2:$M$29, 0)), "Not Found"),
        ""
    )
)</f>
        <v>-7.7810000000000004E-2</v>
      </c>
      <c r="M3" s="35">
        <v>170</v>
      </c>
      <c r="N3" s="16">
        <f t="shared" si="3"/>
        <v>66.929169999999999</v>
      </c>
      <c r="O3" s="16">
        <f t="shared" si="4"/>
        <v>66.586499009999997</v>
      </c>
      <c r="P3" s="16">
        <f t="shared" si="5"/>
        <v>169.12970748539999</v>
      </c>
      <c r="Q3" s="35">
        <v>200</v>
      </c>
      <c r="R3" s="16">
        <f t="shared" si="6"/>
        <v>78.740200000000002</v>
      </c>
      <c r="S3" s="16">
        <f t="shared" si="7"/>
        <v>77.512890999999996</v>
      </c>
      <c r="T3" s="16">
        <f t="shared" si="8"/>
        <v>196.88274314</v>
      </c>
      <c r="U3" s="16">
        <f t="shared" si="9"/>
        <v>183.0062253127</v>
      </c>
      <c r="V3" s="17">
        <f>IF(
    Input!B3="Male",
    IFERROR(INDEX('Metric coefficients'!$G$2:$G$29, MATCH(Input!F3, 'Metric coefficients'!$A$2:$A$29, 0)), "Not Found"),
    IF(
        Input!B3="Female",
        IFERROR(INDEX('Metric coefficients'!$Q$2:$Q$29, MATCH(Input!F3, 'Metric coefficients'!$M$2:$M$29, 0)), "Not Found"),
        ""
    )
)</f>
        <v>0.62407000000000001</v>
      </c>
      <c r="W3" s="17" cm="1">
        <f t="array" ref="W3">_xlfn.IFS(B3="Male",U3*0.393701+2.5,B3="Female",U3*0.393701-2.5)</f>
        <v>74.549733911835304</v>
      </c>
      <c r="X3" s="16">
        <f>IF(
    Input!B3="Male",
    IFERROR(INDEX('Metric coefficients'!$D$2:$D$29, MATCH(Input!F3, 'Metric coefficients'!$A$2:$A$29, 0)), "Not Found"),
    IF(
        Input!B3="Female",
        IFERROR(INDEX('Metric coefficients'!$N$2:$N$29, MATCH(Input!F3, 'Metric coefficients'!$M$2:$M$29, 0)), "Not Found"),
        ""
    )
)</f>
        <v>-19.9726</v>
      </c>
      <c r="Y3" s="25">
        <f t="shared" si="10"/>
        <v>199.56311503089671</v>
      </c>
      <c r="Z3" s="16">
        <f t="shared" si="11"/>
        <v>90.948670535584625</v>
      </c>
      <c r="AA3" s="16" cm="1">
        <f t="array" ref="AA3">_xlfn.IFS(
    B3="Male", _xlfn.XLOOKUP(0, ABS(SA!$C$2:$C$218 - Input!Z3), SA!$A$2:$A$218, " ", 1),
    B3="Female", _xlfn.XLOOKUP(0, ABS(SA!$E$2:$E$218 - Input!Z3), SA!$A$2:$A$218, " ", 1)
)</f>
        <v>13.917</v>
      </c>
      <c r="AB3" s="16">
        <f t="shared" si="12"/>
        <v>0.68366666666666731</v>
      </c>
      <c r="AC3" s="16" t="str" cm="1">
        <f t="array" ref="AC3">_xlfn.IFS(AB3=" "," ", AB3&gt;0.5,"Early",AB3&lt;=-0.5,"Late",AND(AB3&gt;=-0.5,AB3&lt;=0.5),"On Time")</f>
        <v>Early</v>
      </c>
      <c r="AD3" s="16" t="str" cm="1">
        <f t="array" ref="AD3">_xlfn.IFS(AB3=" "," ", AB3&gt;1,"Early",AB3&lt;=-1,"Late",AND(AB3&gt;=-1,AB3&lt;=1),"On Time")</f>
        <v>On Time</v>
      </c>
      <c r="AE3" s="16" t="str">
        <f t="shared" si="13"/>
        <v>Circa-PHV</v>
      </c>
      <c r="AF3" s="25">
        <f>Y3 - IFERROR(INDEX(Errors!$B$2:$B$100, MATCH(F3 + 0.5, Errors!$A$2:$A$100, 0)), 0)</f>
        <v>196.86311503089672</v>
      </c>
      <c r="AG3" s="25">
        <f>Y3 + IFERROR(INDEX(Errors!$B$2:$B$100, MATCH(F3 + 0.5, Errors!$A$2:$A$100, 0)), 0)</f>
        <v>202.2631150308967</v>
      </c>
      <c r="AH3" s="25">
        <f>Y3 - IFERROR(INDEX(Errors!$C$2:$C$100, MATCH(F3 + 0.5, Errors!$A$2:$A$100, 0)), 0)</f>
        <v>192.24791503089671</v>
      </c>
      <c r="AI3" s="25">
        <f>Y3 + IFERROR(INDEX(Errors!$C$2:$C$100, MATCH(F3 + 0.5, Errors!$A$2:$A$100, 0)), 0)</f>
        <v>206.87831503089672</v>
      </c>
    </row>
    <row r="4" spans="1:35">
      <c r="A4" s="40">
        <v>3</v>
      </c>
      <c r="B4" s="34" t="s">
        <v>34</v>
      </c>
      <c r="C4" s="36">
        <v>41838</v>
      </c>
      <c r="D4" s="36">
        <v>45661</v>
      </c>
      <c r="E4" s="15">
        <f t="shared" si="0"/>
        <v>10.46111111111111</v>
      </c>
      <c r="F4" s="15">
        <f t="shared" si="1"/>
        <v>10.5</v>
      </c>
      <c r="G4" s="34">
        <v>39.6</v>
      </c>
      <c r="H4" s="16">
        <f t="shared" si="14"/>
        <v>87.318000000000012</v>
      </c>
      <c r="I4" s="34">
        <v>155.9</v>
      </c>
      <c r="J4" s="16">
        <f>IF(
    Input!B4="Male",
    IFERROR(INDEX('Metric coefficients'!$E$2:$E$29, MATCH(Input!F4, 'Metric coefficients'!$A$2:$A$29, 0)), "Not Found"),
    IF(
        Input!B4="Female",
        IFERROR(INDEX('Metric coefficients'!$O$2:$O$29, MATCH(Input!F4, 'Metric coefficients'!$M$2:$M$29, 0)), "Not Found"),
        ""
    )
)</f>
        <v>0.89588999999999996</v>
      </c>
      <c r="K4" s="16">
        <f t="shared" si="2"/>
        <v>61.377985900000006</v>
      </c>
      <c r="L4" s="16">
        <f>IF(
    Input!B4="Male",
    IFERROR(INDEX('Metric coefficients'!$F$2:$F$29, MATCH(Input!F4, 'Metric coefficients'!$A$2:$A$29, 0)), "Not Found"),
    IF(
        Input!B4="Female",
        IFERROR(INDEX('Metric coefficients'!$P$2:$P$29, MATCH(Input!F4, 'Metric coefficients'!$M$2:$M$29, 0)), "Not Found"),
        ""
    )
)</f>
        <v>-0.19495000000000001</v>
      </c>
      <c r="M4" s="34">
        <v>168</v>
      </c>
      <c r="N4" s="16">
        <f t="shared" si="3"/>
        <v>66.141767999999999</v>
      </c>
      <c r="O4" s="16">
        <f t="shared" si="4"/>
        <v>65.836104903999995</v>
      </c>
      <c r="P4" s="16">
        <f t="shared" si="5"/>
        <v>167.22370645615999</v>
      </c>
      <c r="Q4" s="34">
        <v>192</v>
      </c>
      <c r="R4" s="16">
        <f t="shared" si="6"/>
        <v>75.590592000000001</v>
      </c>
      <c r="S4" s="16">
        <f t="shared" si="7"/>
        <v>74.505015360000002</v>
      </c>
      <c r="T4" s="16">
        <f t="shared" si="8"/>
        <v>189.2427390144</v>
      </c>
      <c r="U4" s="16">
        <f t="shared" si="9"/>
        <v>178.23322273527998</v>
      </c>
      <c r="V4" s="17">
        <f>IF(
    Input!B4="Male",
    IFERROR(INDEX('Metric coefficients'!$G$2:$G$29, MATCH(Input!F4, 'Metric coefficients'!$A$2:$A$29, 0)), "Not Found"),
    IF(
        Input!B4="Female",
        IFERROR(INDEX('Metric coefficients'!$Q$2:$Q$29, MATCH(Input!F4, 'Metric coefficients'!$M$2:$M$29, 0)), "Not Found"),
        ""
    )
)</f>
        <v>0.50100999999999996</v>
      </c>
      <c r="W4" s="17" cm="1">
        <f t="array" ref="W4">_xlfn.IFS(B4="Male",U4*0.393701+2.5,B4="Female",U4*0.393701-2.5)</f>
        <v>72.670598024102475</v>
      </c>
      <c r="X4" s="16">
        <f>IF(
    Input!B4="Male",
    IFERROR(INDEX('Metric coefficients'!$D$2:$D$29, MATCH(Input!F4, 'Metric coefficients'!$A$2:$A$29, 0)), "Not Found"),
    IF(
        Input!B4="Female",
        IFERROR(INDEX('Metric coefficients'!$N$2:$N$29, MATCH(Input!F4, 'Metric coefficients'!$M$2:$M$29, 0)), "Not Found"),
        ""
    )
)</f>
        <v>-27.5047</v>
      </c>
      <c r="Y4" s="25">
        <f t="shared" si="10"/>
        <v>193.74115792260261</v>
      </c>
      <c r="Z4" s="16">
        <f t="shared" si="11"/>
        <v>80.468188417806559</v>
      </c>
      <c r="AA4" s="16" cm="1">
        <f t="array" ref="AA4">_xlfn.IFS(
    B4="Male", _xlfn.XLOOKUP(0, ABS(SA!$C$2:$C$218 - Input!Z4), SA!$A$2:$A$218, " ", 1),
    B4="Female", _xlfn.XLOOKUP(0, ABS(SA!$E$2:$E$218 - Input!Z4), SA!$A$2:$A$218, " ", 1)
)</f>
        <v>10.917</v>
      </c>
      <c r="AB4" s="16">
        <f t="shared" si="12"/>
        <v>0.45588888888888945</v>
      </c>
      <c r="AC4" s="16" t="str" cm="1">
        <f t="array" ref="AC4">_xlfn.IFS(AB4=" "," ", AB4&gt;0.5,"Early",AB4&lt;=-0.5,"Late",AND(AB4&gt;=-0.5,AB4&lt;=0.5),"On Time")</f>
        <v>On Time</v>
      </c>
      <c r="AD4" s="16" t="str" cm="1">
        <f t="array" ref="AD4">_xlfn.IFS(AB4=" "," ", AB4&gt;1,"Early",AB4&lt;=-1,"Late",AND(AB4&gt;=-1,AB4&lt;=1),"On Time")</f>
        <v>On Time</v>
      </c>
      <c r="AE4" s="16" t="str">
        <f t="shared" si="13"/>
        <v>Pre-PHV</v>
      </c>
      <c r="AF4" s="25">
        <f>Y4 - IFERROR(INDEX(Errors!$B$2:$B$100, MATCH(F4 + 0.5, Errors!$A$2:$A$100, 0)), 0)</f>
        <v>191.3411579226026</v>
      </c>
      <c r="AG4" s="25">
        <f>Y4 + IFERROR(INDEX(Errors!$B$2:$B$100, MATCH(F4 + 0.5, Errors!$A$2:$A$100, 0)), 0)</f>
        <v>196.14115792260262</v>
      </c>
      <c r="AH4" s="25">
        <f>Y4 - IFERROR(INDEX(Errors!$C$2:$C$100, MATCH(F4 + 0.5, Errors!$A$2:$A$100, 0)), 0)</f>
        <v>188.2801579226026</v>
      </c>
      <c r="AI4" s="25">
        <f>Y4 + IFERROR(INDEX(Errors!$C$2:$C$100, MATCH(F4 + 0.5, Errors!$A$2:$A$100, 0)), 0)</f>
        <v>199.20215792260262</v>
      </c>
    </row>
    <row r="5" spans="1:35">
      <c r="A5" s="40">
        <v>4</v>
      </c>
      <c r="B5" s="35" t="s">
        <v>34</v>
      </c>
      <c r="C5" s="37">
        <v>41546</v>
      </c>
      <c r="D5" s="37">
        <v>45661</v>
      </c>
      <c r="E5" s="15">
        <f t="shared" si="0"/>
        <v>11.263888888888889</v>
      </c>
      <c r="F5" s="15">
        <f t="shared" si="1"/>
        <v>11.5</v>
      </c>
      <c r="G5" s="35">
        <v>38.799999999999997</v>
      </c>
      <c r="H5" s="16">
        <f t="shared" si="14"/>
        <v>85.554000000000002</v>
      </c>
      <c r="I5" s="35">
        <v>160.69999999999999</v>
      </c>
      <c r="J5" s="16">
        <f>IF(
    Input!B5="Male",
    IFERROR(INDEX('Metric coefficients'!$E$2:$E$29, MATCH(Input!F5, 'Metric coefficients'!$A$2:$A$29, 0)), "Not Found"),
    IF(
        Input!B5="Female",
        IFERROR(INDEX('Metric coefficients'!$O$2:$O$29, MATCH(Input!F5, 'Metric coefficients'!$M$2:$M$29, 0)), "Not Found"),
        ""
    )
)</f>
        <v>0.74134</v>
      </c>
      <c r="K5" s="16">
        <f t="shared" si="2"/>
        <v>63.267750700000001</v>
      </c>
      <c r="L5" s="16">
        <f>IF(
    Input!B5="Male",
    IFERROR(INDEX('Metric coefficients'!$F$2:$F$29, MATCH(Input!F5, 'Metric coefficients'!$A$2:$A$29, 0)), "Not Found"),
    IF(
        Input!B5="Female",
        IFERROR(INDEX('Metric coefficients'!$P$2:$P$29, MATCH(Input!F5, 'Metric coefficients'!$M$2:$M$29, 0)), "Not Found"),
        ""
    )
)</f>
        <v>-0.13533000000000001</v>
      </c>
      <c r="M5" s="35">
        <v>168</v>
      </c>
      <c r="N5" s="16">
        <f t="shared" si="3"/>
        <v>66.141767999999999</v>
      </c>
      <c r="O5" s="16">
        <f t="shared" si="4"/>
        <v>65.836104903999995</v>
      </c>
      <c r="P5" s="16">
        <f t="shared" si="5"/>
        <v>167.22370645615999</v>
      </c>
      <c r="Q5" s="35">
        <v>195</v>
      </c>
      <c r="R5" s="16">
        <f t="shared" si="6"/>
        <v>76.771695000000008</v>
      </c>
      <c r="S5" s="16">
        <f t="shared" si="7"/>
        <v>75.632968725000012</v>
      </c>
      <c r="T5" s="16">
        <f t="shared" si="8"/>
        <v>192.10774056150004</v>
      </c>
      <c r="U5" s="16">
        <f t="shared" si="9"/>
        <v>179.66572350883001</v>
      </c>
      <c r="V5" s="17">
        <f>IF(
    Input!B5="Male",
    IFERROR(INDEX('Metric coefficients'!$G$2:$G$29, MATCH(Input!F5, 'Metric coefficients'!$A$2:$A$29, 0)), "Not Found"),
    IF(
        Input!B5="Female",
        IFERROR(INDEX('Metric coefficients'!$Q$2:$Q$29, MATCH(Input!F5, 'Metric coefficients'!$M$2:$M$29, 0)), "Not Found"),
        ""
    )
)</f>
        <v>0.58409</v>
      </c>
      <c r="W5" s="17" cm="1">
        <f t="array" ref="W5">_xlfn.IFS(B5="Male",U5*0.393701+2.5,B5="Female",U5*0.393701-2.5)</f>
        <v>73.234575011149886</v>
      </c>
      <c r="X5" s="16">
        <f>IF(
    Input!B5="Male",
    IFERROR(INDEX('Metric coefficients'!$D$2:$D$29, MATCH(Input!F5, 'Metric coefficients'!$A$2:$A$29, 0)), "Not Found"),
    IF(
        Input!B5="Female",
        IFERROR(INDEX('Metric coefficients'!$N$2:$N$29, MATCH(Input!F5, 'Metric coefficients'!$M$2:$M$29, 0)), "Not Found"),
        ""
    )
)</f>
        <v>-25.416499999999999</v>
      </c>
      <c r="Y5" s="25">
        <f t="shared" si="10"/>
        <v>193.40698644427252</v>
      </c>
      <c r="Z5" s="16">
        <f t="shared" si="11"/>
        <v>83.089035693290953</v>
      </c>
      <c r="AA5" s="16" cm="1">
        <f t="array" ref="AA5">_xlfn.IFS(
    B5="Male", _xlfn.XLOOKUP(0, ABS(SA!$C$2:$C$218 - Input!Z5), SA!$A$2:$A$218, " ", 1),
    B5="Female", _xlfn.XLOOKUP(0, ABS(SA!$E$2:$E$218 - Input!Z5), SA!$A$2:$A$218, " ", 1)
)</f>
        <v>11.833</v>
      </c>
      <c r="AB5" s="16">
        <f t="shared" si="12"/>
        <v>0.5691111111111109</v>
      </c>
      <c r="AC5" s="16" t="str" cm="1">
        <f t="array" ref="AC5">_xlfn.IFS(AB5=" "," ", AB5&gt;0.5,"Early",AB5&lt;=-0.5,"Late",AND(AB5&gt;=-0.5,AB5&lt;=0.5),"On Time")</f>
        <v>Early</v>
      </c>
      <c r="AD5" s="16" t="str" cm="1">
        <f t="array" ref="AD5">_xlfn.IFS(AB5=" "," ", AB5&gt;1,"Early",AB5&lt;=-1,"Late",AND(AB5&gt;=-1,AB5&lt;=1),"On Time")</f>
        <v>On Time</v>
      </c>
      <c r="AE5" s="16" t="str">
        <f t="shared" si="13"/>
        <v>Pre-PHV</v>
      </c>
      <c r="AF5" s="25">
        <f>Y5 - IFERROR(INDEX(Errors!$B$2:$B$100, MATCH(F5 + 0.5, Errors!$A$2:$A$100, 0)), 0)</f>
        <v>190.90698644427252</v>
      </c>
      <c r="AG5" s="25">
        <f>Y5 + IFERROR(INDEX(Errors!$B$2:$B$100, MATCH(F5 + 0.5, Errors!$A$2:$A$100, 0)), 0)</f>
        <v>195.90698644427252</v>
      </c>
      <c r="AH5" s="25">
        <f>Y5 - IFERROR(INDEX(Errors!$C$2:$C$100, MATCH(F5 + 0.5, Errors!$A$2:$A$100, 0)), 0)</f>
        <v>187.15858644427252</v>
      </c>
      <c r="AI5" s="25">
        <f>Y5 + IFERROR(INDEX(Errors!$C$2:$C$100, MATCH(F5 + 0.5, Errors!$A$2:$A$100, 0)), 0)</f>
        <v>199.65538644427252</v>
      </c>
    </row>
    <row r="6" spans="1:35">
      <c r="A6" s="40">
        <v>5</v>
      </c>
      <c r="B6" s="34" t="s">
        <v>34</v>
      </c>
      <c r="C6" s="36">
        <v>40251</v>
      </c>
      <c r="D6" s="36">
        <v>45661</v>
      </c>
      <c r="E6" s="15">
        <f t="shared" si="0"/>
        <v>14.805555555555555</v>
      </c>
      <c r="F6" s="15">
        <f t="shared" si="1"/>
        <v>15</v>
      </c>
      <c r="G6" s="34">
        <v>70.7</v>
      </c>
      <c r="H6" s="16">
        <f t="shared" si="14"/>
        <v>155.89350000000002</v>
      </c>
      <c r="I6" s="34">
        <v>183.6</v>
      </c>
      <c r="J6" s="16">
        <f>IF(
    Input!B6="Male",
    IFERROR(INDEX('Metric coefficients'!$E$2:$E$29, MATCH(Input!F6, 'Metric coefficients'!$A$2:$A$29, 0)), "Not Found"),
    IF(
        Input!B6="Female",
        IFERROR(INDEX('Metric coefficients'!$O$2:$O$29, MATCH(Input!F6, 'Metric coefficients'!$M$2:$M$29, 0)), "Not Found"),
        ""
    )
)</f>
        <v>0.63756999999999997</v>
      </c>
      <c r="K6" s="16">
        <f t="shared" si="2"/>
        <v>72.283503600000003</v>
      </c>
      <c r="L6" s="16">
        <f>IF(
    Input!B6="Male",
    IFERROR(INDEX('Metric coefficients'!$F$2:$F$29, MATCH(Input!F6, 'Metric coefficients'!$A$2:$A$29, 0)), "Not Found"),
    IF(
        Input!B6="Female",
        IFERROR(INDEX('Metric coefficients'!$P$2:$P$29, MATCH(Input!F6, 'Metric coefficients'!$M$2:$M$29, 0)), "Not Found"),
        ""
    )
)</f>
        <v>-3.9129999999999998E-2</v>
      </c>
      <c r="M6" s="34">
        <v>177</v>
      </c>
      <c r="N6" s="16">
        <f t="shared" si="3"/>
        <v>69.685077000000007</v>
      </c>
      <c r="O6" s="16">
        <f t="shared" si="4"/>
        <v>69.212878380999996</v>
      </c>
      <c r="P6" s="16">
        <f t="shared" si="5"/>
        <v>175.80071108773998</v>
      </c>
      <c r="Q6" s="34">
        <v>190</v>
      </c>
      <c r="R6" s="16">
        <f t="shared" si="6"/>
        <v>74.803190000000001</v>
      </c>
      <c r="S6" s="16">
        <f t="shared" si="7"/>
        <v>73.753046449999999</v>
      </c>
      <c r="T6" s="16">
        <f t="shared" si="8"/>
        <v>187.33273798299999</v>
      </c>
      <c r="U6" s="16">
        <f t="shared" si="9"/>
        <v>181.56672453536999</v>
      </c>
      <c r="V6" s="17">
        <f>IF(
    Input!B6="Male",
    IFERROR(INDEX('Metric coefficients'!$G$2:$G$29, MATCH(Input!F6, 'Metric coefficients'!$A$2:$A$29, 0)), "Not Found"),
    IF(
        Input!B6="Female",
        IFERROR(INDEX('Metric coefficients'!$Q$2:$Q$29, MATCH(Input!F6, 'Metric coefficients'!$M$2:$M$29, 0)), "Not Found"),
        ""
    )
)</f>
        <v>0.49536000000000002</v>
      </c>
      <c r="W6" s="17" cm="1">
        <f t="array" ref="W6">_xlfn.IFS(B6="Male",U6*0.393701+2.5,B6="Female",U6*0.393701-2.5)</f>
        <v>73.98300101629971</v>
      </c>
      <c r="X6" s="16">
        <f>IF(
    Input!B6="Male",
    IFERROR(INDEX('Metric coefficients'!$D$2:$D$29, MATCH(Input!F6, 'Metric coefficients'!$A$2:$A$29, 0)), "Not Found"),
    IF(
        Input!B6="Female",
        IFERROR(INDEX('Metric coefficients'!$N$2:$N$29, MATCH(Input!F6, 'Metric coefficients'!$M$2:$M$29, 0)), "Not Found"),
        ""
    )
)</f>
        <v>-13.025600000000001</v>
      </c>
      <c r="Y6" s="25">
        <f t="shared" si="10"/>
        <v>191.20665366584086</v>
      </c>
      <c r="Z6" s="16">
        <f t="shared" si="11"/>
        <v>96.021763092442114</v>
      </c>
      <c r="AA6" s="16" cm="1">
        <f t="array" ref="AA6">_xlfn.IFS(
    B6="Male", _xlfn.XLOOKUP(0, ABS(SA!$C$2:$C$218 - Input!Z6), SA!$A$2:$A$218, " ", 1),
    B6="Female", _xlfn.XLOOKUP(0, ABS(SA!$E$2:$E$218 - Input!Z6), SA!$A$2:$A$218, " ", 1)
)</f>
        <v>15.333</v>
      </c>
      <c r="AB6" s="16">
        <f t="shared" si="12"/>
        <v>0.52744444444444483</v>
      </c>
      <c r="AC6" s="16" t="str" cm="1">
        <f t="array" ref="AC6">_xlfn.IFS(AB6=" "," ", AB6&gt;0.5,"Early",AB6&lt;=-0.5,"Late",AND(AB6&gt;=-0.5,AB6&lt;=0.5),"On Time")</f>
        <v>Early</v>
      </c>
      <c r="AD6" s="16" t="str" cm="1">
        <f t="array" ref="AD6">_xlfn.IFS(AB6=" "," ", AB6&gt;1,"Early",AB6&lt;=-1,"Late",AND(AB6&gt;=-1,AB6&lt;=1),"On Time")</f>
        <v>On Time</v>
      </c>
      <c r="AE6" s="16" t="str">
        <f t="shared" si="13"/>
        <v>Post PHV</v>
      </c>
      <c r="AF6" s="25">
        <f>Y6 - IFERROR(INDEX(Errors!$B$2:$B$100, MATCH(F6 + 0.5, Errors!$A$2:$A$100, 0)), 0)</f>
        <v>189.40665366584085</v>
      </c>
      <c r="AG6" s="25">
        <f>Y6 + IFERROR(INDEX(Errors!$B$2:$B$100, MATCH(F6 + 0.5, Errors!$A$2:$A$100, 0)), 0)</f>
        <v>193.00665366584087</v>
      </c>
      <c r="AH6" s="25">
        <f>Y6 - IFERROR(INDEX(Errors!$C$2:$C$100, MATCH(F6 + 0.5, Errors!$A$2:$A$100, 0)), 0)</f>
        <v>186.66005366584085</v>
      </c>
      <c r="AI6" s="25">
        <f>Y6 + IFERROR(INDEX(Errors!$C$2:$C$100, MATCH(F6 + 0.5, Errors!$A$2:$A$100, 0)), 0)</f>
        <v>195.75325366584087</v>
      </c>
    </row>
    <row r="7" spans="1:35">
      <c r="A7" s="40">
        <v>6</v>
      </c>
      <c r="B7" s="35" t="s">
        <v>34</v>
      </c>
      <c r="C7" s="37">
        <v>41318</v>
      </c>
      <c r="D7" s="37">
        <v>45661</v>
      </c>
      <c r="E7" s="15">
        <f t="shared" si="0"/>
        <v>11.891666666666667</v>
      </c>
      <c r="F7" s="15">
        <f t="shared" si="1"/>
        <v>12</v>
      </c>
      <c r="G7" s="35">
        <v>51.3</v>
      </c>
      <c r="H7" s="16">
        <f t="shared" si="14"/>
        <v>113.1165</v>
      </c>
      <c r="I7" s="35">
        <v>162.5</v>
      </c>
      <c r="J7" s="16">
        <f>IF(
    Input!B7="Male",
    IFERROR(INDEX('Metric coefficients'!$E$2:$E$29, MATCH(Input!F7, 'Metric coefficients'!$A$2:$A$29, 0)), "Not Found"),
    IF(
        Input!B7="Female",
        IFERROR(INDEX('Metric coefficients'!$O$2:$O$29, MATCH(Input!F7, 'Metric coefficients'!$M$2:$M$29, 0)), "Not Found"),
        ""
    )
)</f>
        <v>0.68325000000000002</v>
      </c>
      <c r="K7" s="16">
        <f t="shared" si="2"/>
        <v>63.976412500000002</v>
      </c>
      <c r="L7" s="16">
        <f>IF(
    Input!B7="Male",
    IFERROR(INDEX('Metric coefficients'!$F$2:$F$29, MATCH(Input!F7, 'Metric coefficients'!$A$2:$A$29, 0)), "Not Found"),
    IF(
        Input!B7="Female",
        IFERROR(INDEX('Metric coefficients'!$P$2:$P$29, MATCH(Input!F7, 'Metric coefficients'!$M$2:$M$29, 0)), "Not Found"),
        ""
    )
)</f>
        <v>-0.11242000000000001</v>
      </c>
      <c r="M7" s="35">
        <v>170.18</v>
      </c>
      <c r="N7" s="16">
        <f t="shared" si="3"/>
        <v>67.000036180000009</v>
      </c>
      <c r="O7" s="16">
        <f t="shared" si="4"/>
        <v>66.654034479540002</v>
      </c>
      <c r="P7" s="16">
        <f t="shared" si="5"/>
        <v>169.30124757803162</v>
      </c>
      <c r="Q7" s="35">
        <v>180.33</v>
      </c>
      <c r="R7" s="16">
        <f t="shared" si="6"/>
        <v>70.996101330000016</v>
      </c>
      <c r="S7" s="16">
        <f t="shared" si="7"/>
        <v>70.117276770150013</v>
      </c>
      <c r="T7" s="16">
        <f t="shared" si="8"/>
        <v>178.09788299618103</v>
      </c>
      <c r="U7" s="16">
        <f t="shared" si="9"/>
        <v>173.69956528710634</v>
      </c>
      <c r="V7" s="17">
        <f>IF(
    Input!B7="Male",
    IFERROR(INDEX('Metric coefficients'!$G$2:$G$29, MATCH(Input!F7, 'Metric coefficients'!$A$2:$A$29, 0)), "Not Found"),
    IF(
        Input!B7="Female",
        IFERROR(INDEX('Metric coefficients'!$Q$2:$Q$29, MATCH(Input!F7, 'Metric coefficients'!$M$2:$M$29, 0)), "Not Found"),
        ""
    )
)</f>
        <v>0.60926999999999998</v>
      </c>
      <c r="W7" s="17" cm="1">
        <f t="array" ref="W7">_xlfn.IFS(B7="Male",U7*0.393701+2.5,B7="Female",U7*0.393701-2.5)</f>
        <v>70.885692553099062</v>
      </c>
      <c r="X7" s="16">
        <f>IF(
    Input!B7="Male",
    IFERROR(INDEX('Metric coefficients'!$D$2:$D$29, MATCH(Input!F7, 'Metric coefficients'!$A$2:$A$29, 0)), "Not Found"),
    IF(
        Input!B7="Female",
        IFERROR(INDEX('Metric coefficients'!$N$2:$N$29, MATCH(Input!F7, 'Metric coefficients'!$M$2:$M$29, 0)), "Not Found"),
        ""
    )
)</f>
        <v>-23.7546</v>
      </c>
      <c r="Y7" s="25">
        <f t="shared" si="10"/>
        <v>187.33631314247529</v>
      </c>
      <c r="Z7" s="16">
        <f t="shared" si="11"/>
        <v>86.742392478074194</v>
      </c>
      <c r="AA7" s="16" cm="1">
        <f t="array" ref="AA7">_xlfn.IFS(
    B7="Male", _xlfn.XLOOKUP(0, ABS(SA!$C$2:$C$218 - Input!Z7), SA!$A$2:$A$218, " ", 1),
    B7="Female", _xlfn.XLOOKUP(0, ABS(SA!$E$2:$E$218 - Input!Z7), SA!$A$2:$A$218, " ", 1)
)</f>
        <v>12.917</v>
      </c>
      <c r="AB7" s="16">
        <f t="shared" si="12"/>
        <v>1.0253333333333323</v>
      </c>
      <c r="AC7" s="16" t="str" cm="1">
        <f t="array" ref="AC7">_xlfn.IFS(AB7=" "," ", AB7&gt;0.5,"Early",AB7&lt;=-0.5,"Late",AND(AB7&gt;=-0.5,AB7&lt;=0.5),"On Time")</f>
        <v>Early</v>
      </c>
      <c r="AD7" s="16" t="str" cm="1">
        <f t="array" ref="AD7">_xlfn.IFS(AB7=" "," ", AB7&gt;1,"Early",AB7&lt;=-1,"Late",AND(AB7&gt;=-1,AB7&lt;=1),"On Time")</f>
        <v>Early</v>
      </c>
      <c r="AE7" s="16" t="str">
        <f t="shared" si="13"/>
        <v>Pre-PHV</v>
      </c>
      <c r="AF7" s="25">
        <f>Y7 - IFERROR(INDEX(Errors!$B$2:$B$100, MATCH(F7 + 0.5, Errors!$A$2:$A$100, 0)), 0)</f>
        <v>184.83631314247529</v>
      </c>
      <c r="AG7" s="25">
        <f>Y7 + IFERROR(INDEX(Errors!$B$2:$B$100, MATCH(F7 + 0.5, Errors!$A$2:$A$100, 0)), 0)</f>
        <v>189.83631314247529</v>
      </c>
      <c r="AH7" s="25">
        <f>Y7 - IFERROR(INDEX(Errors!$C$2:$C$100, MATCH(F7 + 0.5, Errors!$A$2:$A$100, 0)), 0)</f>
        <v>180.6053131424753</v>
      </c>
      <c r="AI7" s="25">
        <f>Y7 + IFERROR(INDEX(Errors!$C$2:$C$100, MATCH(F7 + 0.5, Errors!$A$2:$A$100, 0)), 0)</f>
        <v>194.06731314247529</v>
      </c>
    </row>
    <row r="8" spans="1:35">
      <c r="A8" s="40">
        <v>7</v>
      </c>
      <c r="B8" s="34" t="s">
        <v>34</v>
      </c>
      <c r="C8" s="36">
        <v>40647</v>
      </c>
      <c r="D8" s="36">
        <v>45661</v>
      </c>
      <c r="E8" s="15">
        <f t="shared" si="0"/>
        <v>13.722222222222221</v>
      </c>
      <c r="F8" s="15">
        <f t="shared" si="1"/>
        <v>13.5</v>
      </c>
      <c r="G8" s="34">
        <v>59.1</v>
      </c>
      <c r="H8" s="16">
        <f t="shared" si="14"/>
        <v>130.31550000000001</v>
      </c>
      <c r="I8" s="34">
        <v>169.5</v>
      </c>
      <c r="J8" s="16">
        <f>IF(
    Input!B8="Male",
    IFERROR(INDEX('Metric coefficients'!$E$2:$E$29, MATCH(Input!F8, 'Metric coefficients'!$A$2:$A$29, 0)), "Not Found"),
    IF(
        Input!B8="Female",
        IFERROR(INDEX('Metric coefficients'!$O$2:$O$29, MATCH(Input!F8, 'Metric coefficients'!$M$2:$M$29, 0)), "Not Found"),
        ""
    )
)</f>
        <v>0.59228000000000003</v>
      </c>
      <c r="K8" s="16">
        <f t="shared" si="2"/>
        <v>66.732319500000003</v>
      </c>
      <c r="L8" s="16">
        <f>IF(
    Input!B8="Male",
    IFERROR(INDEX('Metric coefficients'!$F$2:$F$29, MATCH(Input!F8, 'Metric coefficients'!$A$2:$A$29, 0)), "Not Found"),
    IF(
        Input!B8="Female",
        IFERROR(INDEX('Metric coefficients'!$P$2:$P$29, MATCH(Input!F8, 'Metric coefficients'!$M$2:$M$29, 0)), "Not Found"),
        ""
    )
)</f>
        <v>-6.5089999999999995E-2</v>
      </c>
      <c r="M8" s="34">
        <v>163</v>
      </c>
      <c r="N8" s="16">
        <f t="shared" si="3"/>
        <v>64.173263000000006</v>
      </c>
      <c r="O8" s="16">
        <f t="shared" si="4"/>
        <v>63.960119638999998</v>
      </c>
      <c r="P8" s="16">
        <f t="shared" si="5"/>
        <v>162.45870388306</v>
      </c>
      <c r="Q8" s="34">
        <v>189</v>
      </c>
      <c r="R8" s="16">
        <f t="shared" si="6"/>
        <v>74.409489000000008</v>
      </c>
      <c r="S8" s="16">
        <f t="shared" si="7"/>
        <v>73.377061995000005</v>
      </c>
      <c r="T8" s="16">
        <f t="shared" si="8"/>
        <v>186.37773746730002</v>
      </c>
      <c r="U8" s="16">
        <f t="shared" si="9"/>
        <v>174.41822067518001</v>
      </c>
      <c r="V8" s="17">
        <f>IF(
    Input!B8="Male",
    IFERROR(INDEX('Metric coefficients'!$G$2:$G$29, MATCH(Input!F8, 'Metric coefficients'!$A$2:$A$29, 0)), "Not Found"),
    IF(
        Input!B8="Female",
        IFERROR(INDEX('Metric coefficients'!$Q$2:$Q$29, MATCH(Input!F8, 'Metric coefficients'!$M$2:$M$29, 0)), "Not Found"),
        ""
    )
)</f>
        <v>0.61253000000000002</v>
      </c>
      <c r="W8" s="17" cm="1">
        <f t="array" ref="W8">_xlfn.IFS(B8="Male",U8*0.393701+2.5,B8="Female",U8*0.393701-2.5)</f>
        <v>71.168627898039048</v>
      </c>
      <c r="X8" s="16">
        <f>IF(
    Input!B8="Male",
    IFERROR(INDEX('Metric coefficients'!$D$2:$D$29, MATCH(Input!F8, 'Metric coefficients'!$A$2:$A$29, 0)), "Not Found"),
    IF(
        Input!B8="Female",
        IFERROR(INDEX('Metric coefficients'!$N$2:$N$29, MATCH(Input!F8, 'Metric coefficients'!$M$2:$M$29, 0)), "Not Found"),
        ""
    )
)</f>
        <v>-18.122499999999999</v>
      </c>
      <c r="Y8" s="25">
        <f t="shared" si="10"/>
        <v>185.25853371016802</v>
      </c>
      <c r="Z8" s="16">
        <f t="shared" si="11"/>
        <v>91.493760964975664</v>
      </c>
      <c r="AA8" s="16" cm="1">
        <f t="array" ref="AA8">_xlfn.IFS(
    B8="Male", _xlfn.XLOOKUP(0, ABS(SA!$C$2:$C$218 - Input!Z8), SA!$A$2:$A$218, " ", 1),
    B8="Female", _xlfn.XLOOKUP(0, ABS(SA!$E$2:$E$218 - Input!Z8), SA!$A$2:$A$218, " ", 1)
)</f>
        <v>14</v>
      </c>
      <c r="AB8" s="16">
        <f t="shared" si="12"/>
        <v>0.27777777777777857</v>
      </c>
      <c r="AC8" s="16" t="str" cm="1">
        <f t="array" ref="AC8">_xlfn.IFS(AB8=" "," ", AB8&gt;0.5,"Early",AB8&lt;=-0.5,"Late",AND(AB8&gt;=-0.5,AB8&lt;=0.5),"On Time")</f>
        <v>On Time</v>
      </c>
      <c r="AD8" s="16" t="str" cm="1">
        <f t="array" ref="AD8">_xlfn.IFS(AB8=" "," ", AB8&gt;1,"Early",AB8&lt;=-1,"Late",AND(AB8&gt;=-1,AB8&lt;=1),"On Time")</f>
        <v>On Time</v>
      </c>
      <c r="AE8" s="16" t="str">
        <f t="shared" si="13"/>
        <v>Circa-PHV</v>
      </c>
      <c r="AF8" s="25">
        <f>Y8 - IFERROR(INDEX(Errors!$B$2:$B$100, MATCH(F8 + 0.5, Errors!$A$2:$A$100, 0)), 0)</f>
        <v>182.45853371016801</v>
      </c>
      <c r="AG8" s="25">
        <f>Y8 + IFERROR(INDEX(Errors!$B$2:$B$100, MATCH(F8 + 0.5, Errors!$A$2:$A$100, 0)), 0)</f>
        <v>188.05853371016804</v>
      </c>
      <c r="AH8" s="25">
        <f>Y8 - IFERROR(INDEX(Errors!$C$2:$C$100, MATCH(F8 + 0.5, Errors!$A$2:$A$100, 0)), 0)</f>
        <v>178.04493371016804</v>
      </c>
      <c r="AI8" s="25">
        <f>Y8 + IFERROR(INDEX(Errors!$C$2:$C$100, MATCH(F8 + 0.5, Errors!$A$2:$A$100, 0)), 0)</f>
        <v>192.47213371016801</v>
      </c>
    </row>
    <row r="9" spans="1:35">
      <c r="A9" s="40">
        <v>8</v>
      </c>
      <c r="B9" s="35" t="s">
        <v>34</v>
      </c>
      <c r="C9" s="37">
        <v>39832</v>
      </c>
      <c r="D9" s="37">
        <v>45661</v>
      </c>
      <c r="E9" s="15">
        <f t="shared" si="0"/>
        <v>15.958333333333334</v>
      </c>
      <c r="F9" s="15">
        <f t="shared" si="1"/>
        <v>16</v>
      </c>
      <c r="G9" s="35">
        <v>72.099999999999994</v>
      </c>
      <c r="H9" s="16">
        <f t="shared" si="14"/>
        <v>158.98050000000001</v>
      </c>
      <c r="I9" s="35">
        <v>182.1</v>
      </c>
      <c r="J9" s="16">
        <f>IF(
    Input!B9="Male",
    IFERROR(INDEX('Metric coefficients'!$E$2:$E$29, MATCH(Input!F9, 'Metric coefficients'!$A$2:$A$29, 0)), "Not Found"),
    IF(
        Input!B9="Female",
        IFERROR(INDEX('Metric coefficients'!$O$2:$O$29, MATCH(Input!F9, 'Metric coefficients'!$M$2:$M$29, 0)), "Not Found"),
        ""
    )
)</f>
        <v>0.75068999999999997</v>
      </c>
      <c r="K9" s="16">
        <f t="shared" si="2"/>
        <v>71.692952099999999</v>
      </c>
      <c r="L9" s="16">
        <f>IF(
    Input!B9="Male",
    IFERROR(INDEX('Metric coefficients'!$F$2:$F$29, MATCH(Input!F9, 'Metric coefficients'!$A$2:$A$29, 0)), "Not Found"),
    IF(
        Input!B9="Female",
        IFERROR(INDEX('Metric coefficients'!$P$2:$P$29, MATCH(Input!F9, 'Metric coefficients'!$M$2:$M$29, 0)), "Not Found"),
        ""
    )
)</f>
        <v>-2.6849999999999999E-2</v>
      </c>
      <c r="M9" s="35">
        <v>170</v>
      </c>
      <c r="N9" s="16">
        <f t="shared" si="3"/>
        <v>66.929169999999999</v>
      </c>
      <c r="O9" s="16">
        <f t="shared" si="4"/>
        <v>66.586499009999997</v>
      </c>
      <c r="P9" s="16">
        <f t="shared" si="5"/>
        <v>169.12970748539999</v>
      </c>
      <c r="Q9" s="35">
        <v>182</v>
      </c>
      <c r="R9" s="16">
        <f t="shared" si="6"/>
        <v>71.653582</v>
      </c>
      <c r="S9" s="16">
        <f t="shared" si="7"/>
        <v>70.745170810000005</v>
      </c>
      <c r="T9" s="16">
        <f t="shared" si="8"/>
        <v>179.69273385740001</v>
      </c>
      <c r="U9" s="16">
        <f t="shared" si="9"/>
        <v>174.4112206714</v>
      </c>
      <c r="V9" s="17">
        <f>IF(
    Input!B9="Male",
    IFERROR(INDEX('Metric coefficients'!$G$2:$G$29, MATCH(Input!F9, 'Metric coefficients'!$A$2:$A$29, 0)), "Not Found"),
    IF(
        Input!B9="Female",
        IFERROR(INDEX('Metric coefficients'!$Q$2:$Q$29, MATCH(Input!F9, 'Metric coefficients'!$M$2:$M$29, 0)), "Not Found"),
        ""
    )
)</f>
        <v>0.34271000000000001</v>
      </c>
      <c r="W9" s="17" cm="1">
        <f t="array" ref="W9">_xlfn.IFS(B9="Male",U9*0.393701+2.5,B9="Female",U9*0.393701-2.5)</f>
        <v>71.165871989550851</v>
      </c>
      <c r="X9" s="16">
        <f>IF(
    Input!B9="Male",
    IFERROR(INDEX('Metric coefficients'!$D$2:$D$29, MATCH(Input!F9, 'Metric coefficients'!$A$2:$A$29, 0)), "Not Found"),
    IF(
        Input!B9="Female",
        IFERROR(INDEX('Metric coefficients'!$N$2:$N$29, MATCH(Input!F9, 'Metric coefficients'!$M$2:$M$29, 0)), "Not Found"),
        ""
    )
)</f>
        <v>-9.9801000000000002</v>
      </c>
      <c r="Y9" s="25">
        <f t="shared" si="10"/>
        <v>184.55713343629549</v>
      </c>
      <c r="Z9" s="16">
        <f t="shared" si="11"/>
        <v>98.668632639364418</v>
      </c>
      <c r="AA9" s="16" cm="1">
        <f t="array" ref="AA9">_xlfn.IFS(
    B9="Male", _xlfn.XLOOKUP(0, ABS(SA!$C$2:$C$218 - Input!Z9), SA!$A$2:$A$218, " ", 1),
    B9="Female", _xlfn.XLOOKUP(0, ABS(SA!$E$2:$E$218 - Input!Z9), SA!$A$2:$A$218, " ", 1)
)</f>
        <v>16.667000000000002</v>
      </c>
      <c r="AB9" s="16">
        <f t="shared" si="12"/>
        <v>0.70866666666666767</v>
      </c>
      <c r="AC9" s="16" t="str" cm="1">
        <f t="array" ref="AC9">_xlfn.IFS(AB9=" "," ", AB9&gt;0.5,"Early",AB9&lt;=-0.5,"Late",AND(AB9&gt;=-0.5,AB9&lt;=0.5),"On Time")</f>
        <v>Early</v>
      </c>
      <c r="AD9" s="16" t="str" cm="1">
        <f t="array" ref="AD9">_xlfn.IFS(AB9=" "," ", AB9&gt;1,"Early",AB9&lt;=-1,"Late",AND(AB9&gt;=-1,AB9&lt;=1),"On Time")</f>
        <v>On Time</v>
      </c>
      <c r="AE9" s="16" t="str">
        <f t="shared" si="13"/>
        <v>Post PHV</v>
      </c>
      <c r="AF9" s="25">
        <f>Y9 - IFERROR(INDEX(Errors!$B$2:$B$100, MATCH(F9 + 0.5, Errors!$A$2:$A$100, 0)), 0)</f>
        <v>183.75713343629548</v>
      </c>
      <c r="AG9" s="25">
        <f>Y9 + IFERROR(INDEX(Errors!$B$2:$B$100, MATCH(F9 + 0.5, Errors!$A$2:$A$100, 0)), 0)</f>
        <v>185.3571334362955</v>
      </c>
      <c r="AH9" s="25">
        <f>Y9 - IFERROR(INDEX(Errors!$C$2:$C$100, MATCH(F9 + 0.5, Errors!$A$2:$A$100, 0)), 0)</f>
        <v>181.91553343629548</v>
      </c>
      <c r="AI9" s="25">
        <f>Y9 + IFERROR(INDEX(Errors!$C$2:$C$100, MATCH(F9 + 0.5, Errors!$A$2:$A$100, 0)), 0)</f>
        <v>187.1987334362955</v>
      </c>
    </row>
    <row r="10" spans="1:35">
      <c r="A10" s="40">
        <v>9</v>
      </c>
      <c r="B10" s="34" t="s">
        <v>34</v>
      </c>
      <c r="C10" s="36">
        <v>40231</v>
      </c>
      <c r="D10" s="36">
        <v>45661</v>
      </c>
      <c r="E10" s="15">
        <f t="shared" si="0"/>
        <v>14.866666666666667</v>
      </c>
      <c r="F10" s="15">
        <f t="shared" si="1"/>
        <v>15</v>
      </c>
      <c r="G10" s="34">
        <v>65.3</v>
      </c>
      <c r="H10" s="16">
        <f t="shared" si="14"/>
        <v>143.98650000000001</v>
      </c>
      <c r="I10" s="34">
        <v>178.9</v>
      </c>
      <c r="J10" s="16">
        <f>IF(
    Input!B10="Male",
    IFERROR(INDEX('Metric coefficients'!$E$2:$E$29, MATCH(Input!F10, 'Metric coefficients'!$A$2:$A$29, 0)), "Not Found"),
    IF(
        Input!B10="Female",
        IFERROR(INDEX('Metric coefficients'!$O$2:$O$29, MATCH(Input!F10, 'Metric coefficients'!$M$2:$M$29, 0)), "Not Found"),
        ""
    )
)</f>
        <v>0.63756999999999997</v>
      </c>
      <c r="K10" s="16">
        <f t="shared" si="2"/>
        <v>70.433108900000008</v>
      </c>
      <c r="L10" s="16">
        <f>IF(
    Input!B10="Male",
    IFERROR(INDEX('Metric coefficients'!$F$2:$F$29, MATCH(Input!F10, 'Metric coefficients'!$A$2:$A$29, 0)), "Not Found"),
    IF(
        Input!B10="Female",
        IFERROR(INDEX('Metric coefficients'!$P$2:$P$29, MATCH(Input!F10, 'Metric coefficients'!$M$2:$M$29, 0)), "Not Found"),
        ""
    )
)</f>
        <v>-3.9129999999999998E-2</v>
      </c>
      <c r="M10" s="34">
        <v>170</v>
      </c>
      <c r="N10" s="16">
        <f t="shared" si="3"/>
        <v>66.929169999999999</v>
      </c>
      <c r="O10" s="16">
        <f t="shared" si="4"/>
        <v>66.586499009999997</v>
      </c>
      <c r="P10" s="16">
        <f t="shared" si="5"/>
        <v>169.12970748539999</v>
      </c>
      <c r="Q10" s="34">
        <v>180</v>
      </c>
      <c r="R10" s="16">
        <f t="shared" si="6"/>
        <v>70.86618</v>
      </c>
      <c r="S10" s="16">
        <f t="shared" si="7"/>
        <v>69.993201900000003</v>
      </c>
      <c r="T10" s="16">
        <f t="shared" si="8"/>
        <v>177.782732826</v>
      </c>
      <c r="U10" s="16">
        <f t="shared" si="9"/>
        <v>173.45622015570001</v>
      </c>
      <c r="V10" s="17">
        <f>IF(
    Input!B10="Male",
    IFERROR(INDEX('Metric coefficients'!$G$2:$G$29, MATCH(Input!F10, 'Metric coefficients'!$A$2:$A$29, 0)), "Not Found"),
    IF(
        Input!B10="Female",
        IFERROR(INDEX('Metric coefficients'!$Q$2:$Q$29, MATCH(Input!F10, 'Metric coefficients'!$M$2:$M$29, 0)), "Not Found"),
        ""
    )
)</f>
        <v>0.49536000000000002</v>
      </c>
      <c r="W10" s="17" cm="1">
        <f t="array" ref="W10">_xlfn.IFS(B10="Male",U10*0.393701+2.5,B10="Female",U10*0.393701-2.5)</f>
        <v>70.789887331519253</v>
      </c>
      <c r="X10" s="16">
        <f>IF(
    Input!B10="Male",
    IFERROR(INDEX('Metric coefficients'!$D$2:$D$29, MATCH(Input!F10, 'Metric coefficients'!$A$2:$A$29, 0)), "Not Found"),
    IF(
        Input!B10="Female",
        IFERROR(INDEX('Metric coefficients'!$N$2:$N$29, MATCH(Input!F10, 'Metric coefficients'!$M$2:$M$29, 0)), "Not Found"),
        ""
    )
)</f>
        <v>-13.025600000000001</v>
      </c>
      <c r="Y10" s="25">
        <f t="shared" si="10"/>
        <v>184.40375721632756</v>
      </c>
      <c r="Z10" s="16">
        <f t="shared" si="11"/>
        <v>97.015376855976427</v>
      </c>
      <c r="AA10" s="16" cm="1">
        <f t="array" ref="AA10">_xlfn.IFS(
    B10="Male", _xlfn.XLOOKUP(0, ABS(SA!$C$2:$C$218 - Input!Z10), SA!$A$2:$A$218, " ", 1),
    B10="Female", _xlfn.XLOOKUP(0, ABS(SA!$E$2:$E$218 - Input!Z10), SA!$A$2:$A$218, " ", 1)
)</f>
        <v>15.667</v>
      </c>
      <c r="AB10" s="16">
        <f t="shared" si="12"/>
        <v>0.80033333333333267</v>
      </c>
      <c r="AC10" s="16" t="str" cm="1">
        <f t="array" ref="AC10">_xlfn.IFS(AB10=" "," ", AB10&gt;0.5,"Early",AB10&lt;=-0.5,"Late",AND(AB10&gt;=-0.5,AB10&lt;=0.5),"On Time")</f>
        <v>Early</v>
      </c>
      <c r="AD10" s="16" t="str" cm="1">
        <f t="array" ref="AD10">_xlfn.IFS(AB10=" "," ", AB10&gt;1,"Early",AB10&lt;=-1,"Late",AND(AB10&gt;=-1,AB10&lt;=1),"On Time")</f>
        <v>On Time</v>
      </c>
      <c r="AE10" s="16" t="str">
        <f t="shared" si="13"/>
        <v>Post PHV</v>
      </c>
      <c r="AF10" s="25">
        <f>Y10 - IFERROR(INDEX(Errors!$B$2:$B$100, MATCH(F10 + 0.5, Errors!$A$2:$A$100, 0)), 0)</f>
        <v>182.60375721632755</v>
      </c>
      <c r="AG10" s="25">
        <f>Y10 + IFERROR(INDEX(Errors!$B$2:$B$100, MATCH(F10 + 0.5, Errors!$A$2:$A$100, 0)), 0)</f>
        <v>186.20375721632757</v>
      </c>
      <c r="AH10" s="25">
        <f>Y10 - IFERROR(INDEX(Errors!$C$2:$C$100, MATCH(F10 + 0.5, Errors!$A$2:$A$100, 0)), 0)</f>
        <v>179.85715721632755</v>
      </c>
      <c r="AI10" s="25">
        <f>Y10 + IFERROR(INDEX(Errors!$C$2:$C$100, MATCH(F10 + 0.5, Errors!$A$2:$A$100, 0)), 0)</f>
        <v>188.95035721632757</v>
      </c>
    </row>
    <row r="11" spans="1:35">
      <c r="A11" s="40">
        <v>10</v>
      </c>
      <c r="B11" s="35" t="s">
        <v>34</v>
      </c>
      <c r="C11" s="37">
        <v>40960</v>
      </c>
      <c r="D11" s="37">
        <v>45661</v>
      </c>
      <c r="E11" s="15">
        <f t="shared" si="0"/>
        <v>12.869444444444444</v>
      </c>
      <c r="F11" s="15">
        <f t="shared" si="1"/>
        <v>13</v>
      </c>
      <c r="G11" s="38">
        <v>34.200000000000003</v>
      </c>
      <c r="H11" s="16">
        <f t="shared" si="14"/>
        <v>75.411000000000016</v>
      </c>
      <c r="I11" s="35">
        <v>155</v>
      </c>
      <c r="J11" s="16">
        <f>IF(
    Input!B11="Male",
    IFERROR(INDEX('Metric coefficients'!$E$2:$E$29, MATCH(Input!F11, 'Metric coefficients'!$A$2:$A$29, 0)), "Not Found"),
    IF(
        Input!B11="Female",
        IFERROR(INDEX('Metric coefficients'!$O$2:$O$29, MATCH(Input!F11, 'Metric coefficients'!$M$2:$M$29, 0)), "Not Found"),
        ""
    )
)</f>
        <v>0.60818000000000005</v>
      </c>
      <c r="K11" s="16">
        <f t="shared" si="2"/>
        <v>61.023655000000005</v>
      </c>
      <c r="L11" s="16">
        <f>IF(
    Input!B11="Male",
    IFERROR(INDEX('Metric coefficients'!$F$2:$F$29, MATCH(Input!F11, 'Metric coefficients'!$A$2:$A$29, 0)), "Not Found"),
    IF(
        Input!B11="Female",
        IFERROR(INDEX('Metric coefficients'!$P$2:$P$29, MATCH(Input!F11, 'Metric coefficients'!$M$2:$M$29, 0)), "Not Found"),
        ""
    )
)</f>
        <v>-7.7810000000000004E-2</v>
      </c>
      <c r="M11" s="35">
        <v>173</v>
      </c>
      <c r="N11" s="16">
        <f t="shared" si="3"/>
        <v>68.110273000000007</v>
      </c>
      <c r="O11" s="16">
        <f t="shared" si="4"/>
        <v>67.712090169000007</v>
      </c>
      <c r="P11" s="16">
        <f t="shared" si="5"/>
        <v>171.98870902926001</v>
      </c>
      <c r="Q11" s="35">
        <v>192</v>
      </c>
      <c r="R11" s="16">
        <f t="shared" si="6"/>
        <v>75.590592000000001</v>
      </c>
      <c r="S11" s="16">
        <f t="shared" si="7"/>
        <v>74.505015360000002</v>
      </c>
      <c r="T11" s="16">
        <f t="shared" si="8"/>
        <v>189.2427390144</v>
      </c>
      <c r="U11" s="16">
        <f t="shared" si="9"/>
        <v>180.61572402183</v>
      </c>
      <c r="V11" s="17">
        <f>IF(
    Input!B11="Male",
    IFERROR(INDEX('Metric coefficients'!$G$2:$G$29, MATCH(Input!F11, 'Metric coefficients'!$A$2:$A$29, 0)), "Not Found"),
    IF(
        Input!B11="Female",
        IFERROR(INDEX('Metric coefficients'!$Q$2:$Q$29, MATCH(Input!F11, 'Metric coefficients'!$M$2:$M$29, 0)), "Not Found"),
        ""
    )
)</f>
        <v>0.62407000000000001</v>
      </c>
      <c r="W11" s="17" cm="1">
        <f t="array" ref="W11">_xlfn.IFS(B11="Male",U11*0.393701+2.5,B11="Female",U11*0.393701-2.5)</f>
        <v>73.608591163118504</v>
      </c>
      <c r="X11" s="16">
        <f>IF(
    Input!B11="Male",
    IFERROR(INDEX('Metric coefficients'!$D$2:$D$29, MATCH(Input!F11, 'Metric coefficients'!$A$2:$A$29, 0)), "Not Found"),
    IF(
        Input!B11="Female",
        IFERROR(INDEX('Metric coefficients'!$N$2:$N$29, MATCH(Input!F11, 'Metric coefficients'!$M$2:$M$29, 0)), "Not Found"),
        ""
    )
)</f>
        <v>-19.9726</v>
      </c>
      <c r="Y11" s="25">
        <f t="shared" si="10"/>
        <v>184.35105289030346</v>
      </c>
      <c r="Z11" s="16">
        <f t="shared" si="11"/>
        <v>84.078716974961594</v>
      </c>
      <c r="AA11" s="16" cm="1">
        <f t="array" ref="AA11">_xlfn.IFS(
    B11="Male", _xlfn.XLOOKUP(0, ABS(SA!$C$2:$C$218 - Input!Z11), SA!$A$2:$A$218, " ", 1),
    B11="Female", _xlfn.XLOOKUP(0, ABS(SA!$E$2:$E$218 - Input!Z11), SA!$A$2:$A$218, " ", 1)
)</f>
        <v>12.167</v>
      </c>
      <c r="AB11" s="16">
        <f t="shared" si="12"/>
        <v>-0.70244444444444376</v>
      </c>
      <c r="AC11" s="16" t="str" cm="1">
        <f t="array" ref="AC11">_xlfn.IFS(AB11=" "," ", AB11&gt;0.5,"Early",AB11&lt;=-0.5,"Late",AND(AB11&gt;=-0.5,AB11&lt;=0.5),"On Time")</f>
        <v>Late</v>
      </c>
      <c r="AD11" s="16" t="str" cm="1">
        <f t="array" ref="AD11">_xlfn.IFS(AB11=" "," ", AB11&gt;1,"Early",AB11&lt;=-1,"Late",AND(AB11&gt;=-1,AB11&lt;=1),"On Time")</f>
        <v>On Time</v>
      </c>
      <c r="AE11" s="16" t="str">
        <f t="shared" si="13"/>
        <v>Pre-PHV</v>
      </c>
      <c r="AF11" s="25">
        <f>Y11 - IFERROR(INDEX(Errors!$B$2:$B$100, MATCH(F11 + 0.5, Errors!$A$2:$A$100, 0)), 0)</f>
        <v>181.65105289030348</v>
      </c>
      <c r="AG11" s="25">
        <f>Y11 + IFERROR(INDEX(Errors!$B$2:$B$100, MATCH(F11 + 0.5, Errors!$A$2:$A$100, 0)), 0)</f>
        <v>187.05105289030345</v>
      </c>
      <c r="AH11" s="25">
        <f>Y11 - IFERROR(INDEX(Errors!$C$2:$C$100, MATCH(F11 + 0.5, Errors!$A$2:$A$100, 0)), 0)</f>
        <v>177.03585289030346</v>
      </c>
      <c r="AI11" s="25">
        <f>Y11 + IFERROR(INDEX(Errors!$C$2:$C$100, MATCH(F11 + 0.5, Errors!$A$2:$A$100, 0)), 0)</f>
        <v>191.66625289030347</v>
      </c>
    </row>
    <row r="12" spans="1:35">
      <c r="A12" s="40">
        <v>11</v>
      </c>
      <c r="B12" s="34" t="s">
        <v>34</v>
      </c>
      <c r="C12" s="36">
        <v>40950</v>
      </c>
      <c r="D12" s="36">
        <v>45661</v>
      </c>
      <c r="E12" s="15">
        <f t="shared" si="0"/>
        <v>12.897222222222222</v>
      </c>
      <c r="F12" s="15">
        <f t="shared" si="1"/>
        <v>13</v>
      </c>
      <c r="G12" s="34">
        <v>56.6</v>
      </c>
      <c r="H12" s="16">
        <f t="shared" si="14"/>
        <v>124.80300000000001</v>
      </c>
      <c r="I12" s="34">
        <v>167</v>
      </c>
      <c r="J12" s="16">
        <f>IF(
    Input!B12="Male",
    IFERROR(INDEX('Metric coefficients'!$E$2:$E$29, MATCH(Input!F12, 'Metric coefficients'!$A$2:$A$29, 0)), "Not Found"),
    IF(
        Input!B12="Female",
        IFERROR(INDEX('Metric coefficients'!$O$2:$O$29, MATCH(Input!F12, 'Metric coefficients'!$M$2:$M$29, 0)), "Not Found"),
        ""
    )
)</f>
        <v>0.60818000000000005</v>
      </c>
      <c r="K12" s="16">
        <f t="shared" si="2"/>
        <v>65.748067000000006</v>
      </c>
      <c r="L12" s="16">
        <f>IF(
    Input!B12="Male",
    IFERROR(INDEX('Metric coefficients'!$F$2:$F$29, MATCH(Input!F12, 'Metric coefficients'!$A$2:$A$29, 0)), "Not Found"),
    IF(
        Input!B12="Female",
        IFERROR(INDEX('Metric coefficients'!$P$2:$P$29, MATCH(Input!F12, 'Metric coefficients'!$M$2:$M$29, 0)), "Not Found"),
        ""
    )
)</f>
        <v>-7.7810000000000004E-2</v>
      </c>
      <c r="M12" s="34">
        <v>173</v>
      </c>
      <c r="N12" s="16">
        <f t="shared" si="3"/>
        <v>68.110273000000007</v>
      </c>
      <c r="O12" s="16">
        <f t="shared" si="4"/>
        <v>67.712090169000007</v>
      </c>
      <c r="P12" s="16">
        <f t="shared" si="5"/>
        <v>171.98870902926001</v>
      </c>
      <c r="Q12" s="34">
        <v>173</v>
      </c>
      <c r="R12" s="16">
        <f t="shared" si="6"/>
        <v>68.110273000000007</v>
      </c>
      <c r="S12" s="16">
        <f t="shared" si="7"/>
        <v>67.361310715000002</v>
      </c>
      <c r="T12" s="16">
        <f t="shared" si="8"/>
        <v>171.09772921610002</v>
      </c>
      <c r="U12" s="16">
        <f t="shared" si="9"/>
        <v>171.54321912268</v>
      </c>
      <c r="V12" s="17">
        <f>IF(
    Input!B12="Male",
    IFERROR(INDEX('Metric coefficients'!$G$2:$G$29, MATCH(Input!F12, 'Metric coefficients'!$A$2:$A$29, 0)), "Not Found"),
    IF(
        Input!B12="Female",
        IFERROR(INDEX('Metric coefficients'!$Q$2:$Q$29, MATCH(Input!F12, 'Metric coefficients'!$M$2:$M$29, 0)), "Not Found"),
        ""
    )
)</f>
        <v>0.62407000000000001</v>
      </c>
      <c r="W12" s="17" cm="1">
        <f t="array" ref="W12">_xlfn.IFS(B12="Male",U12*0.393701+2.5,B12="Female",U12*0.393701-2.5)</f>
        <v>70.036736911818238</v>
      </c>
      <c r="X12" s="16">
        <f>IF(
    Input!B12="Male",
    IFERROR(INDEX('Metric coefficients'!$D$2:$D$29, MATCH(Input!F12, 'Metric coefficients'!$A$2:$A$29, 0)), "Not Found"),
    IF(
        Input!B12="Female",
        IFERROR(INDEX('Metric coefficients'!$N$2:$N$29, MATCH(Input!F12, 'Metric coefficients'!$M$2:$M$29, 0)), "Not Found"),
        ""
    )
)</f>
        <v>-19.9726</v>
      </c>
      <c r="Y12" s="25">
        <f t="shared" si="10"/>
        <v>184.24439075789093</v>
      </c>
      <c r="Z12" s="16">
        <f t="shared" si="11"/>
        <v>90.640479915314671</v>
      </c>
      <c r="AA12" s="16" cm="1">
        <f t="array" ref="AA12">_xlfn.IFS(
    B12="Male", _xlfn.XLOOKUP(0, ABS(SA!$C$2:$C$218 - Input!Z12), SA!$A$2:$A$218, " ", 1),
    B12="Female", _xlfn.XLOOKUP(0, ABS(SA!$E$2:$E$218 - Input!Z12), SA!$A$2:$A$218, " ", 1)
)</f>
        <v>13.833</v>
      </c>
      <c r="AB12" s="16">
        <f t="shared" si="12"/>
        <v>0.93577777777777804</v>
      </c>
      <c r="AC12" s="16" t="str" cm="1">
        <f t="array" ref="AC12">_xlfn.IFS(AB12=" "," ", AB12&gt;0.5,"Early",AB12&lt;=-0.5,"Late",AND(AB12&gt;=-0.5,AB12&lt;=0.5),"On Time")</f>
        <v>Early</v>
      </c>
      <c r="AD12" s="16" t="str" cm="1">
        <f t="array" ref="AD12">_xlfn.IFS(AB12=" "," ", AB12&gt;1,"Early",AB12&lt;=-1,"Late",AND(AB12&gt;=-1,AB12&lt;=1),"On Time")</f>
        <v>On Time</v>
      </c>
      <c r="AE12" s="16" t="str">
        <f t="shared" si="13"/>
        <v>Circa-PHV</v>
      </c>
      <c r="AF12" s="25">
        <f>Y12 - IFERROR(INDEX(Errors!$B$2:$B$100, MATCH(F12 + 0.5, Errors!$A$2:$A$100, 0)), 0)</f>
        <v>181.54439075789094</v>
      </c>
      <c r="AG12" s="25">
        <f>Y12 + IFERROR(INDEX(Errors!$B$2:$B$100, MATCH(F12 + 0.5, Errors!$A$2:$A$100, 0)), 0)</f>
        <v>186.94439075789091</v>
      </c>
      <c r="AH12" s="25">
        <f>Y12 - IFERROR(INDEX(Errors!$C$2:$C$100, MATCH(F12 + 0.5, Errors!$A$2:$A$100, 0)), 0)</f>
        <v>176.92919075789092</v>
      </c>
      <c r="AI12" s="25">
        <f>Y12 + IFERROR(INDEX(Errors!$C$2:$C$100, MATCH(F12 + 0.5, Errors!$A$2:$A$100, 0)), 0)</f>
        <v>191.55959075789093</v>
      </c>
    </row>
    <row r="13" spans="1:35">
      <c r="A13" s="40">
        <v>12</v>
      </c>
      <c r="B13" s="35" t="s">
        <v>34</v>
      </c>
      <c r="C13" s="37">
        <v>41203</v>
      </c>
      <c r="D13" s="37">
        <v>45661</v>
      </c>
      <c r="E13" s="15">
        <f t="shared" si="0"/>
        <v>12.202777777777778</v>
      </c>
      <c r="F13" s="15">
        <f t="shared" si="1"/>
        <v>12</v>
      </c>
      <c r="G13" s="35">
        <v>44.3</v>
      </c>
      <c r="H13" s="16">
        <f t="shared" si="14"/>
        <v>97.6815</v>
      </c>
      <c r="I13" s="35">
        <v>155.30000000000001</v>
      </c>
      <c r="J13" s="16">
        <f>IF(
    Input!B13="Male",
    IFERROR(INDEX('Metric coefficients'!$E$2:$E$29, MATCH(Input!F13, 'Metric coefficients'!$A$2:$A$29, 0)), "Not Found"),
    IF(
        Input!B13="Female",
        IFERROR(INDEX('Metric coefficients'!$O$2:$O$29, MATCH(Input!F13, 'Metric coefficients'!$M$2:$M$29, 0)), "Not Found"),
        ""
    )
)</f>
        <v>0.68325000000000002</v>
      </c>
      <c r="K13" s="16">
        <f t="shared" si="2"/>
        <v>61.14176530000001</v>
      </c>
      <c r="L13" s="16">
        <f>IF(
    Input!B13="Male",
    IFERROR(INDEX('Metric coefficients'!$F$2:$F$29, MATCH(Input!F13, 'Metric coefficients'!$A$2:$A$29, 0)), "Not Found"),
    IF(
        Input!B13="Female",
        IFERROR(INDEX('Metric coefficients'!$P$2:$P$29, MATCH(Input!F13, 'Metric coefficients'!$M$2:$M$29, 0)), "Not Found"),
        ""
    )
)</f>
        <v>-0.11242000000000001</v>
      </c>
      <c r="M13" s="35">
        <v>170</v>
      </c>
      <c r="N13" s="16">
        <f t="shared" si="3"/>
        <v>66.929169999999999</v>
      </c>
      <c r="O13" s="16">
        <f t="shared" si="4"/>
        <v>66.586499009999997</v>
      </c>
      <c r="P13" s="16">
        <f t="shared" si="5"/>
        <v>169.12970748539999</v>
      </c>
      <c r="Q13" s="35">
        <v>184</v>
      </c>
      <c r="R13" s="16">
        <f t="shared" si="6"/>
        <v>72.440984</v>
      </c>
      <c r="S13" s="16">
        <f t="shared" si="7"/>
        <v>71.497139720000007</v>
      </c>
      <c r="T13" s="16">
        <f t="shared" si="8"/>
        <v>181.60273488880003</v>
      </c>
      <c r="U13" s="16">
        <f t="shared" si="9"/>
        <v>175.3662211871</v>
      </c>
      <c r="V13" s="17">
        <f>IF(
    Input!B13="Male",
    IFERROR(INDEX('Metric coefficients'!$G$2:$G$29, MATCH(Input!F13, 'Metric coefficients'!$A$2:$A$29, 0)), "Not Found"),
    IF(
        Input!B13="Female",
        IFERROR(INDEX('Metric coefficients'!$Q$2:$Q$29, MATCH(Input!F13, 'Metric coefficients'!$M$2:$M$29, 0)), "Not Found"),
        ""
    )
)</f>
        <v>0.60926999999999998</v>
      </c>
      <c r="W13" s="17" cm="1">
        <f t="array" ref="W13">_xlfn.IFS(B13="Male",U13*0.393701+2.5,B13="Female",U13*0.393701-2.5)</f>
        <v>71.541856647582463</v>
      </c>
      <c r="X13" s="16">
        <f>IF(
    Input!B13="Male",
    IFERROR(INDEX('Metric coefficients'!$D$2:$D$29, MATCH(Input!F13, 'Metric coefficients'!$A$2:$A$29, 0)), "Not Found"),
    IF(
        Input!B13="Female",
        IFERROR(INDEX('Metric coefficients'!$N$2:$N$29, MATCH(Input!F13, 'Metric coefficients'!$M$2:$M$29, 0)), "Not Found"),
        ""
    )
)</f>
        <v>-23.7546</v>
      </c>
      <c r="Y13" s="25">
        <f t="shared" si="10"/>
        <v>184.21929658266441</v>
      </c>
      <c r="Z13" s="16">
        <f t="shared" si="11"/>
        <v>84.301700680043851</v>
      </c>
      <c r="AA13" s="16" cm="1">
        <f t="array" ref="AA13">_xlfn.IFS(
    B13="Male", _xlfn.XLOOKUP(0, ABS(SA!$C$2:$C$218 - Input!Z13), SA!$A$2:$A$218, " ", 1),
    B13="Female", _xlfn.XLOOKUP(0, ABS(SA!$E$2:$E$218 - Input!Z13), SA!$A$2:$A$218, " ", 1)
)</f>
        <v>12.25</v>
      </c>
      <c r="AB13" s="16">
        <f t="shared" si="12"/>
        <v>4.7222222222222499E-2</v>
      </c>
      <c r="AC13" s="16" t="str" cm="1">
        <f t="array" ref="AC13">_xlfn.IFS(AB13=" "," ", AB13&gt;0.5,"Early",AB13&lt;=-0.5,"Late",AND(AB13&gt;=-0.5,AB13&lt;=0.5),"On Time")</f>
        <v>On Time</v>
      </c>
      <c r="AD13" s="16" t="str" cm="1">
        <f t="array" ref="AD13">_xlfn.IFS(AB13=" "," ", AB13&gt;1,"Early",AB13&lt;=-1,"Late",AND(AB13&gt;=-1,AB13&lt;=1),"On Time")</f>
        <v>On Time</v>
      </c>
      <c r="AE13" s="16" t="str">
        <f t="shared" si="13"/>
        <v>Pre-PHV</v>
      </c>
      <c r="AF13" s="25">
        <f>Y13 - IFERROR(INDEX(Errors!$B$2:$B$100, MATCH(F13 + 0.5, Errors!$A$2:$A$100, 0)), 0)</f>
        <v>181.71929658266441</v>
      </c>
      <c r="AG13" s="25">
        <f>Y13 + IFERROR(INDEX(Errors!$B$2:$B$100, MATCH(F13 + 0.5, Errors!$A$2:$A$100, 0)), 0)</f>
        <v>186.71929658266441</v>
      </c>
      <c r="AH13" s="25">
        <f>Y13 - IFERROR(INDEX(Errors!$C$2:$C$100, MATCH(F13 + 0.5, Errors!$A$2:$A$100, 0)), 0)</f>
        <v>177.48829658266442</v>
      </c>
      <c r="AI13" s="25">
        <f>Y13 + IFERROR(INDEX(Errors!$C$2:$C$100, MATCH(F13 + 0.5, Errors!$A$2:$A$100, 0)), 0)</f>
        <v>190.95029658266441</v>
      </c>
    </row>
    <row r="14" spans="1:35">
      <c r="A14" s="40">
        <v>13</v>
      </c>
      <c r="B14" s="34" t="s">
        <v>34</v>
      </c>
      <c r="C14" s="36">
        <v>40433</v>
      </c>
      <c r="D14" s="36">
        <v>45661</v>
      </c>
      <c r="E14" s="15">
        <f t="shared" si="0"/>
        <v>14.311111111111112</v>
      </c>
      <c r="F14" s="15">
        <f t="shared" si="1"/>
        <v>14.5</v>
      </c>
      <c r="G14" s="34">
        <v>63.7</v>
      </c>
      <c r="H14" s="16">
        <f t="shared" si="14"/>
        <v>140.45850000000002</v>
      </c>
      <c r="I14" s="34">
        <v>177</v>
      </c>
      <c r="J14" s="16">
        <f>IF(
    Input!B14="Male",
    IFERROR(INDEX('Metric coefficients'!$E$2:$E$29, MATCH(Input!F14, 'Metric coefficients'!$A$2:$A$29, 0)), "Not Found"),
    IF(
        Input!B14="Female",
        IFERROR(INDEX('Metric coefficients'!$O$2:$O$29, MATCH(Input!F14, 'Metric coefficients'!$M$2:$M$29, 0)), "Not Found"),
        ""
    )
)</f>
        <v>0.60643000000000002</v>
      </c>
      <c r="K14" s="16">
        <f t="shared" si="2"/>
        <v>69.685077000000007</v>
      </c>
      <c r="L14" s="16">
        <f>IF(
    Input!B14="Male",
    IFERROR(INDEX('Metric coefficients'!$F$2:$F$29, MATCH(Input!F14, 'Metric coefficients'!$A$2:$A$29, 0)), "Not Found"),
    IF(
        Input!B14="Female",
        IFERROR(INDEX('Metric coefficients'!$P$2:$P$29, MATCH(Input!F14, 'Metric coefficients'!$M$2:$M$29, 0)), "Not Found"),
        ""
    )
)</f>
        <v>-4.6260000000000003E-2</v>
      </c>
      <c r="M14" s="34">
        <v>165</v>
      </c>
      <c r="N14" s="16">
        <f t="shared" si="3"/>
        <v>64.960665000000006</v>
      </c>
      <c r="O14" s="16">
        <f t="shared" si="4"/>
        <v>64.710513745</v>
      </c>
      <c r="P14" s="16">
        <f t="shared" si="5"/>
        <v>164.3647049123</v>
      </c>
      <c r="Q14" s="34">
        <v>179</v>
      </c>
      <c r="R14" s="16">
        <f t="shared" si="6"/>
        <v>70.472479000000007</v>
      </c>
      <c r="S14" s="16">
        <f t="shared" si="7"/>
        <v>69.617217445000009</v>
      </c>
      <c r="T14" s="16">
        <f t="shared" si="8"/>
        <v>176.82773231030004</v>
      </c>
      <c r="U14" s="16">
        <f t="shared" si="9"/>
        <v>170.5962186113</v>
      </c>
      <c r="V14" s="17">
        <f>IF(
    Input!B14="Male",
    IFERROR(INDEX('Metric coefficients'!$G$2:$G$29, MATCH(Input!F14, 'Metric coefficients'!$A$2:$A$29, 0)), "Not Found"),
    IF(
        Input!B14="Female",
        IFERROR(INDEX('Metric coefficients'!$Q$2:$Q$29, MATCH(Input!F14, 'Metric coefficients'!$M$2:$M$29, 0)), "Not Found"),
        ""
    )
)</f>
        <v>0.54874999999999996</v>
      </c>
      <c r="W14" s="17" cm="1">
        <f t="array" ref="W14">_xlfn.IFS(B14="Male",U14*0.393701+2.5,B14="Female",U14*0.393701-2.5)</f>
        <v>69.663901863487425</v>
      </c>
      <c r="X14" s="16">
        <f>IF(
    Input!B14="Male",
    IFERROR(INDEX('Metric coefficients'!$D$2:$D$29, MATCH(Input!F14, 'Metric coefficients'!$A$2:$A$29, 0)), "Not Found"),
    IF(
        Input!B14="Female",
        IFERROR(INDEX('Metric coefficients'!$N$2:$N$29, MATCH(Input!F14, 'Metric coefficients'!$M$2:$M$29, 0)), "Not Found"),
        ""
    )
)</f>
        <v>-14.6249</v>
      </c>
      <c r="Y14" s="25">
        <f t="shared" si="10"/>
        <v>183.38112296295088</v>
      </c>
      <c r="Z14" s="16">
        <f t="shared" si="11"/>
        <v>96.520294532038562</v>
      </c>
      <c r="AA14" s="16" cm="1">
        <f t="array" ref="AA14">_xlfn.IFS(
    B14="Male", _xlfn.XLOOKUP(0, ABS(SA!$C$2:$C$218 - Input!Z14), SA!$A$2:$A$218, " ", 1),
    B14="Female", _xlfn.XLOOKUP(0, ABS(SA!$E$2:$E$218 - Input!Z14), SA!$A$2:$A$218, " ", 1)
)</f>
        <v>15.5</v>
      </c>
      <c r="AB14" s="16">
        <f t="shared" si="12"/>
        <v>1.1888888888888882</v>
      </c>
      <c r="AC14" s="16" t="str" cm="1">
        <f t="array" ref="AC14">_xlfn.IFS(AB14=" "," ", AB14&gt;0.5,"Early",AB14&lt;=-0.5,"Late",AND(AB14&gt;=-0.5,AB14&lt;=0.5),"On Time")</f>
        <v>Early</v>
      </c>
      <c r="AD14" s="16" t="str" cm="1">
        <f t="array" ref="AD14">_xlfn.IFS(AB14=" "," ", AB14&gt;1,"Early",AB14&lt;=-1,"Late",AND(AB14&gt;=-1,AB14&lt;=1),"On Time")</f>
        <v>Early</v>
      </c>
      <c r="AE14" s="16" t="str">
        <f t="shared" si="13"/>
        <v>Post PHV</v>
      </c>
      <c r="AF14" s="25">
        <f>Y14 - IFERROR(INDEX(Errors!$B$2:$B$100, MATCH(F14 + 0.5, Errors!$A$2:$A$100, 0)), 0)</f>
        <v>181.08112296295087</v>
      </c>
      <c r="AG14" s="25">
        <f>Y14 + IFERROR(INDEX(Errors!$B$2:$B$100, MATCH(F14 + 0.5, Errors!$A$2:$A$100, 0)), 0)</f>
        <v>185.68112296295089</v>
      </c>
      <c r="AH14" s="25">
        <f>Y14 - IFERROR(INDEX(Errors!$C$2:$C$100, MATCH(F14 + 0.5, Errors!$A$2:$A$100, 0)), 0)</f>
        <v>177.56452296295089</v>
      </c>
      <c r="AI14" s="25">
        <f>Y14 + IFERROR(INDEX(Errors!$C$2:$C$100, MATCH(F14 + 0.5, Errors!$A$2:$A$100, 0)), 0)</f>
        <v>189.19772296295088</v>
      </c>
    </row>
    <row r="15" spans="1:35">
      <c r="A15" s="40">
        <v>14</v>
      </c>
      <c r="B15" s="35" t="s">
        <v>34</v>
      </c>
      <c r="C15" s="37">
        <v>41810</v>
      </c>
      <c r="D15" s="37">
        <v>45661</v>
      </c>
      <c r="E15" s="15">
        <f t="shared" si="0"/>
        <v>10.53888888888889</v>
      </c>
      <c r="F15" s="15">
        <f t="shared" si="1"/>
        <v>10.5</v>
      </c>
      <c r="G15" s="35">
        <v>37</v>
      </c>
      <c r="H15" s="16">
        <f t="shared" si="14"/>
        <v>81.585000000000008</v>
      </c>
      <c r="I15" s="35">
        <v>144.30000000000001</v>
      </c>
      <c r="J15" s="16">
        <f>IF(
    Input!B15="Male",
    IFERROR(INDEX('Metric coefficients'!$E$2:$E$29, MATCH(Input!F15, 'Metric coefficients'!$A$2:$A$29, 0)), "Not Found"),
    IF(
        Input!B15="Female",
        IFERROR(INDEX('Metric coefficients'!$O$2:$O$29, MATCH(Input!F15, 'Metric coefficients'!$M$2:$M$29, 0)), "Not Found"),
        ""
    )
)</f>
        <v>0.89588999999999996</v>
      </c>
      <c r="K15" s="16">
        <f t="shared" si="2"/>
        <v>56.811054300000009</v>
      </c>
      <c r="L15" s="16">
        <f>IF(
    Input!B15="Male",
    IFERROR(INDEX('Metric coefficients'!$F$2:$F$29, MATCH(Input!F15, 'Metric coefficients'!$A$2:$A$29, 0)), "Not Found"),
    IF(
        Input!B15="Female",
        IFERROR(INDEX('Metric coefficients'!$P$2:$P$29, MATCH(Input!F15, 'Metric coefficients'!$M$2:$M$29, 0)), "Not Found"),
        ""
    )
)</f>
        <v>-0.19495000000000001</v>
      </c>
      <c r="M15" s="35">
        <v>171</v>
      </c>
      <c r="N15" s="16">
        <f t="shared" si="3"/>
        <v>67.322871000000006</v>
      </c>
      <c r="O15" s="16">
        <f t="shared" si="4"/>
        <v>66.961696063000005</v>
      </c>
      <c r="P15" s="16">
        <f t="shared" si="5"/>
        <v>170.08270800002001</v>
      </c>
      <c r="Q15" s="35">
        <v>184</v>
      </c>
      <c r="R15" s="16">
        <f t="shared" si="6"/>
        <v>72.440984</v>
      </c>
      <c r="S15" s="16">
        <f t="shared" si="7"/>
        <v>71.497139720000007</v>
      </c>
      <c r="T15" s="16">
        <f t="shared" si="8"/>
        <v>181.60273488880003</v>
      </c>
      <c r="U15" s="16">
        <f t="shared" si="9"/>
        <v>175.84272144441002</v>
      </c>
      <c r="V15" s="17">
        <f>IF(
    Input!B15="Male",
    IFERROR(INDEX('Metric coefficients'!$G$2:$G$29, MATCH(Input!F15, 'Metric coefficients'!$A$2:$A$29, 0)), "Not Found"),
    IF(
        Input!B15="Female",
        IFERROR(INDEX('Metric coefficients'!$Q$2:$Q$29, MATCH(Input!F15, 'Metric coefficients'!$M$2:$M$29, 0)), "Not Found"),
        ""
    )
)</f>
        <v>0.50100999999999996</v>
      </c>
      <c r="W15" s="17" cm="1">
        <f t="array" ref="W15">_xlfn.IFS(B15="Male",U15*0.393701+2.5,B15="Female",U15*0.393701-2.5)</f>
        <v>71.729455275385675</v>
      </c>
      <c r="X15" s="16">
        <f>IF(
    Input!B15="Male",
    IFERROR(INDEX('Metric coefficients'!$D$2:$D$29, MATCH(Input!F15, 'Metric coefficients'!$A$2:$A$29, 0)), "Not Found"),
    IF(
        Input!B15="Female",
        IFERROR(INDEX('Metric coefficients'!$N$2:$N$29, MATCH(Input!F15, 'Metric coefficients'!$M$2:$M$29, 0)), "Not Found"),
        ""
    )
)</f>
        <v>-27.5047</v>
      </c>
      <c r="Y15" s="25">
        <f t="shared" si="10"/>
        <v>182.65803887086386</v>
      </c>
      <c r="Z15" s="16">
        <f t="shared" si="11"/>
        <v>79.000081733067148</v>
      </c>
      <c r="AA15" s="16" cm="1">
        <f t="array" ref="AA15">_xlfn.IFS(
    B15="Male", _xlfn.XLOOKUP(0, ABS(SA!$C$2:$C$218 - Input!Z15), SA!$A$2:$A$218, " ", 1),
    B15="Female", _xlfn.XLOOKUP(0, ABS(SA!$E$2:$E$218 - Input!Z15), SA!$A$2:$A$218, " ", 1)
)</f>
        <v>10.333</v>
      </c>
      <c r="AB15" s="16">
        <f t="shared" si="12"/>
        <v>-0.20588888888888945</v>
      </c>
      <c r="AC15" s="16" t="str" cm="1">
        <f t="array" ref="AC15">_xlfn.IFS(AB15=" "," ", AB15&gt;0.5,"Early",AB15&lt;=-0.5,"Late",AND(AB15&gt;=-0.5,AB15&lt;=0.5),"On Time")</f>
        <v>On Time</v>
      </c>
      <c r="AD15" s="16" t="str" cm="1">
        <f t="array" ref="AD15">_xlfn.IFS(AB15=" "," ", AB15&gt;1,"Early",AB15&lt;=-1,"Late",AND(AB15&gt;=-1,AB15&lt;=1),"On Time")</f>
        <v>On Time</v>
      </c>
      <c r="AE15" s="16" t="str">
        <f t="shared" si="13"/>
        <v>Pre-PHV</v>
      </c>
      <c r="AF15" s="25">
        <f>Y15 - IFERROR(INDEX(Errors!$B$2:$B$100, MATCH(F15 + 0.5, Errors!$A$2:$A$100, 0)), 0)</f>
        <v>180.25803887086386</v>
      </c>
      <c r="AG15" s="25">
        <f>Y15 + IFERROR(INDEX(Errors!$B$2:$B$100, MATCH(F15 + 0.5, Errors!$A$2:$A$100, 0)), 0)</f>
        <v>185.05803887086387</v>
      </c>
      <c r="AH15" s="25">
        <f>Y15 - IFERROR(INDEX(Errors!$C$2:$C$100, MATCH(F15 + 0.5, Errors!$A$2:$A$100, 0)), 0)</f>
        <v>177.19703887086385</v>
      </c>
      <c r="AI15" s="25">
        <f>Y15 + IFERROR(INDEX(Errors!$C$2:$C$100, MATCH(F15 + 0.5, Errors!$A$2:$A$100, 0)), 0)</f>
        <v>188.11903887086387</v>
      </c>
    </row>
    <row r="16" spans="1:35">
      <c r="A16" s="40">
        <v>15</v>
      </c>
      <c r="B16" s="34" t="s">
        <v>34</v>
      </c>
      <c r="C16" s="36">
        <v>41203</v>
      </c>
      <c r="D16" s="36">
        <v>45661</v>
      </c>
      <c r="E16" s="15">
        <f t="shared" si="0"/>
        <v>12.202777777777778</v>
      </c>
      <c r="F16" s="15">
        <f t="shared" si="1"/>
        <v>12</v>
      </c>
      <c r="G16" s="34">
        <v>43.5</v>
      </c>
      <c r="H16" s="16">
        <f t="shared" si="14"/>
        <v>95.917500000000004</v>
      </c>
      <c r="I16" s="34">
        <v>152.69999999999999</v>
      </c>
      <c r="J16" s="16">
        <f>IF(
    Input!B16="Male",
    IFERROR(INDEX('Metric coefficients'!$E$2:$E$29, MATCH(Input!F16, 'Metric coefficients'!$A$2:$A$29, 0)), "Not Found"),
    IF(
        Input!B16="Female",
        IFERROR(INDEX('Metric coefficients'!$O$2:$O$29, MATCH(Input!F16, 'Metric coefficients'!$M$2:$M$29, 0)), "Not Found"),
        ""
    )
)</f>
        <v>0.68325000000000002</v>
      </c>
      <c r="K16" s="16">
        <f t="shared" si="2"/>
        <v>60.1181427</v>
      </c>
      <c r="L16" s="16">
        <f>IF(
    Input!B16="Male",
    IFERROR(INDEX('Metric coefficients'!$F$2:$F$29, MATCH(Input!F16, 'Metric coefficients'!$A$2:$A$29, 0)), "Not Found"),
    IF(
        Input!B16="Female",
        IFERROR(INDEX('Metric coefficients'!$P$2:$P$29, MATCH(Input!F16, 'Metric coefficients'!$M$2:$M$29, 0)), "Not Found"),
        ""
    )
)</f>
        <v>-0.11242000000000001</v>
      </c>
      <c r="M16" s="34">
        <v>170</v>
      </c>
      <c r="N16" s="16">
        <f t="shared" si="3"/>
        <v>66.929169999999999</v>
      </c>
      <c r="O16" s="16">
        <f t="shared" si="4"/>
        <v>66.586499009999997</v>
      </c>
      <c r="P16" s="16">
        <f t="shared" si="5"/>
        <v>169.12970748539999</v>
      </c>
      <c r="Q16" s="34">
        <v>184</v>
      </c>
      <c r="R16" s="16">
        <f t="shared" si="6"/>
        <v>72.440984</v>
      </c>
      <c r="S16" s="16">
        <f t="shared" si="7"/>
        <v>71.497139720000007</v>
      </c>
      <c r="T16" s="16">
        <f t="shared" si="8"/>
        <v>181.60273488880003</v>
      </c>
      <c r="U16" s="16">
        <f t="shared" si="9"/>
        <v>175.3662211871</v>
      </c>
      <c r="V16" s="17">
        <f>IF(
    Input!B16="Male",
    IFERROR(INDEX('Metric coefficients'!$G$2:$G$29, MATCH(Input!F16, 'Metric coefficients'!$A$2:$A$29, 0)), "Not Found"),
    IF(
        Input!B16="Female",
        IFERROR(INDEX('Metric coefficients'!$Q$2:$Q$29, MATCH(Input!F16, 'Metric coefficients'!$M$2:$M$29, 0)), "Not Found"),
        ""
    )
)</f>
        <v>0.60926999999999998</v>
      </c>
      <c r="W16" s="17" cm="1">
        <f t="array" ref="W16">_xlfn.IFS(B16="Male",U16*0.393701+2.5,B16="Female",U16*0.393701-2.5)</f>
        <v>71.541856647582463</v>
      </c>
      <c r="X16" s="16">
        <f>IF(
    Input!B16="Male",
    IFERROR(INDEX('Metric coefficients'!$D$2:$D$29, MATCH(Input!F16, 'Metric coefficients'!$A$2:$A$29, 0)), "Not Found"),
    IF(
        Input!B16="Female",
        IFERROR(INDEX('Metric coefficients'!$N$2:$N$29, MATCH(Input!F16, 'Metric coefficients'!$M$2:$M$29, 0)), "Not Found"),
        ""
    )
)</f>
        <v>-23.7546</v>
      </c>
      <c r="Y16" s="25">
        <f t="shared" si="10"/>
        <v>182.53278258266442</v>
      </c>
      <c r="Z16" s="16">
        <f t="shared" si="11"/>
        <v>83.656205663136745</v>
      </c>
      <c r="AA16" s="16" cm="1">
        <f t="array" ref="AA16">_xlfn.IFS(
    B16="Male", _xlfn.XLOOKUP(0, ABS(SA!$C$2:$C$218 - Input!Z16), SA!$A$2:$A$218, " ", 1),
    B16="Female", _xlfn.XLOOKUP(0, ABS(SA!$E$2:$E$218 - Input!Z16), SA!$A$2:$A$218, " ", 1)
)</f>
        <v>12</v>
      </c>
      <c r="AB16" s="16">
        <f t="shared" si="12"/>
        <v>-0.2027777777777775</v>
      </c>
      <c r="AC16" s="16" t="str" cm="1">
        <f t="array" ref="AC16">_xlfn.IFS(AB16=" "," ", AB16&gt;0.5,"Early",AB16&lt;=-0.5,"Late",AND(AB16&gt;=-0.5,AB16&lt;=0.5),"On Time")</f>
        <v>On Time</v>
      </c>
      <c r="AD16" s="16" t="str" cm="1">
        <f t="array" ref="AD16">_xlfn.IFS(AB16=" "," ", AB16&gt;1,"Early",AB16&lt;=-1,"Late",AND(AB16&gt;=-1,AB16&lt;=1),"On Time")</f>
        <v>On Time</v>
      </c>
      <c r="AE16" s="16" t="str">
        <f t="shared" si="13"/>
        <v>Pre-PHV</v>
      </c>
      <c r="AF16" s="25">
        <f>Y16 - IFERROR(INDEX(Errors!$B$2:$B$100, MATCH(F16 + 0.5, Errors!$A$2:$A$100, 0)), 0)</f>
        <v>180.03278258266442</v>
      </c>
      <c r="AG16" s="25">
        <f>Y16 + IFERROR(INDEX(Errors!$B$2:$B$100, MATCH(F16 + 0.5, Errors!$A$2:$A$100, 0)), 0)</f>
        <v>185.03278258266442</v>
      </c>
      <c r="AH16" s="25">
        <f>Y16 - IFERROR(INDEX(Errors!$C$2:$C$100, MATCH(F16 + 0.5, Errors!$A$2:$A$100, 0)), 0)</f>
        <v>175.80178258266443</v>
      </c>
      <c r="AI16" s="25">
        <f>Y16 + IFERROR(INDEX(Errors!$C$2:$C$100, MATCH(F16 + 0.5, Errors!$A$2:$A$100, 0)), 0)</f>
        <v>189.26378258266442</v>
      </c>
    </row>
    <row r="17" spans="1:35">
      <c r="A17" s="40">
        <v>16</v>
      </c>
      <c r="B17" s="35" t="s">
        <v>34</v>
      </c>
      <c r="C17" s="37">
        <v>41622</v>
      </c>
      <c r="D17" s="37">
        <v>45661</v>
      </c>
      <c r="E17" s="15">
        <f t="shared" si="0"/>
        <v>11.055555555555555</v>
      </c>
      <c r="F17" s="15">
        <f t="shared" si="1"/>
        <v>11</v>
      </c>
      <c r="G17" s="35">
        <v>58.7</v>
      </c>
      <c r="H17" s="16">
        <f t="shared" si="14"/>
        <v>129.43350000000001</v>
      </c>
      <c r="I17" s="35">
        <v>157.9</v>
      </c>
      <c r="J17" s="16">
        <f>IF(
    Input!B17="Male",
    IFERROR(INDEX('Metric coefficients'!$E$2:$E$29, MATCH(Input!F17, 'Metric coefficients'!$A$2:$A$29, 0)), "Not Found"),
    IF(
        Input!B17="Female",
        IFERROR(INDEX('Metric coefficients'!$O$2:$O$29, MATCH(Input!F17, 'Metric coefficients'!$M$2:$M$29, 0)), "Not Found"),
        ""
    )
)</f>
        <v>0.81238999999999995</v>
      </c>
      <c r="K17" s="16">
        <f t="shared" si="2"/>
        <v>62.165387900000006</v>
      </c>
      <c r="L17" s="16">
        <f>IF(
    Input!B17="Male",
    IFERROR(INDEX('Metric coefficients'!$F$2:$F$29, MATCH(Input!F17, 'Metric coefficients'!$A$2:$A$29, 0)), "Not Found"),
    IF(
        Input!B17="Female",
        IFERROR(INDEX('Metric coefficients'!$P$2:$P$29, MATCH(Input!F17, 'Metric coefficients'!$M$2:$M$29, 0)), "Not Found"),
        ""
    )
)</f>
        <v>-0.16267000000000001</v>
      </c>
      <c r="M17" s="35">
        <v>155</v>
      </c>
      <c r="N17" s="16">
        <f t="shared" si="3"/>
        <v>61.023655000000005</v>
      </c>
      <c r="O17" s="16">
        <f t="shared" si="4"/>
        <v>60.958543214999999</v>
      </c>
      <c r="P17" s="16">
        <f t="shared" si="5"/>
        <v>154.83469976609999</v>
      </c>
      <c r="Q17" s="35">
        <v>175</v>
      </c>
      <c r="R17" s="16">
        <f t="shared" si="6"/>
        <v>68.897675000000007</v>
      </c>
      <c r="S17" s="16">
        <f t="shared" si="7"/>
        <v>68.113279625000004</v>
      </c>
      <c r="T17" s="16">
        <f t="shared" si="8"/>
        <v>173.00773024750001</v>
      </c>
      <c r="U17" s="16">
        <f t="shared" si="9"/>
        <v>163.9212150068</v>
      </c>
      <c r="V17" s="17">
        <f>IF(
    Input!B17="Male",
    IFERROR(INDEX('Metric coefficients'!$G$2:$G$29, MATCH(Input!F17, 'Metric coefficients'!$A$2:$A$29, 0)), "Not Found"),
    IF(
        Input!B17="Female",
        IFERROR(INDEX('Metric coefficients'!$Q$2:$Q$29, MATCH(Input!F17, 'Metric coefficients'!$M$2:$M$29, 0)), "Not Found"),
        ""
    )
)</f>
        <v>0.54781000000000002</v>
      </c>
      <c r="W17" s="17" cm="1">
        <f t="array" ref="W17">_xlfn.IFS(B17="Male",U17*0.393701+2.5,B17="Female",U17*0.393701-2.5)</f>
        <v>67.03594626939217</v>
      </c>
      <c r="X17" s="16">
        <f>IF(
    Input!B17="Male",
    IFERROR(INDEX('Metric coefficients'!$D$2:$D$29, MATCH(Input!F17, 'Metric coefficients'!$A$2:$A$29, 0)), "Not Found"),
    IF(
        Input!B17="Female",
        IFERROR(INDEX('Metric coefficients'!$N$2:$N$29, MATCH(Input!F17, 'Metric coefficients'!$M$2:$M$29, 0)), "Not Found"),
        ""
    )
)</f>
        <v>-26.649000000000001</v>
      </c>
      <c r="Y17" s="25">
        <f t="shared" si="10"/>
        <v>181.87633279287508</v>
      </c>
      <c r="Z17" s="16">
        <f t="shared" si="11"/>
        <v>86.817233212976717</v>
      </c>
      <c r="AA17" s="16" cm="1">
        <f t="array" ref="AA17">_xlfn.IFS(
    B17="Male", _xlfn.XLOOKUP(0, ABS(SA!$C$2:$C$218 - Input!Z17), SA!$A$2:$A$218, " ", 1),
    B17="Female", _xlfn.XLOOKUP(0, ABS(SA!$E$2:$E$218 - Input!Z17), SA!$A$2:$A$218, " ", 1)
)</f>
        <v>12.917</v>
      </c>
      <c r="AB17" s="16">
        <f t="shared" si="12"/>
        <v>1.8614444444444445</v>
      </c>
      <c r="AC17" s="16" t="str" cm="1">
        <f t="array" ref="AC17">_xlfn.IFS(AB17=" "," ", AB17&gt;0.5,"Early",AB17&lt;=-0.5,"Late",AND(AB17&gt;=-0.5,AB17&lt;=0.5),"On Time")</f>
        <v>Early</v>
      </c>
      <c r="AD17" s="16" t="str" cm="1">
        <f t="array" ref="AD17">_xlfn.IFS(AB17=" "," ", AB17&gt;1,"Early",AB17&lt;=-1,"Late",AND(AB17&gt;=-1,AB17&lt;=1),"On Time")</f>
        <v>Early</v>
      </c>
      <c r="AE17" s="16" t="str">
        <f t="shared" si="13"/>
        <v>Pre-PHV</v>
      </c>
      <c r="AF17" s="25">
        <f>Y17 - IFERROR(INDEX(Errors!$B$2:$B$100, MATCH(F17 + 0.5, Errors!$A$2:$A$100, 0)), 0)</f>
        <v>179.47633279287507</v>
      </c>
      <c r="AG17" s="25">
        <f>Y17 + IFERROR(INDEX(Errors!$B$2:$B$100, MATCH(F17 + 0.5, Errors!$A$2:$A$100, 0)), 0)</f>
        <v>184.27633279287508</v>
      </c>
      <c r="AH17" s="25">
        <f>Y17 - IFERROR(INDEX(Errors!$C$2:$C$100, MATCH(F17 + 0.5, Errors!$A$2:$A$100, 0)), 0)</f>
        <v>176.08513279287507</v>
      </c>
      <c r="AI17" s="25">
        <f>Y17 + IFERROR(INDEX(Errors!$C$2:$C$100, MATCH(F17 + 0.5, Errors!$A$2:$A$100, 0)), 0)</f>
        <v>187.66753279287508</v>
      </c>
    </row>
    <row r="18" spans="1:35">
      <c r="A18" s="40">
        <v>17</v>
      </c>
      <c r="B18" s="34" t="s">
        <v>34</v>
      </c>
      <c r="C18" s="36">
        <v>41017</v>
      </c>
      <c r="D18" s="36">
        <v>45661</v>
      </c>
      <c r="E18" s="15">
        <f t="shared" si="0"/>
        <v>12.71111111111111</v>
      </c>
      <c r="F18" s="15">
        <f t="shared" si="1"/>
        <v>12.5</v>
      </c>
      <c r="G18" s="34">
        <v>54.3</v>
      </c>
      <c r="H18" s="16">
        <f t="shared" si="14"/>
        <v>119.7315</v>
      </c>
      <c r="I18" s="34">
        <v>161.9</v>
      </c>
      <c r="J18" s="16">
        <f>IF(
    Input!B18="Male",
    IFERROR(INDEX('Metric coefficients'!$E$2:$E$29, MATCH(Input!F18, 'Metric coefficients'!$A$2:$A$29, 0)), "Not Found"),
    IF(
        Input!B18="Female",
        IFERROR(INDEX('Metric coefficients'!$O$2:$O$29, MATCH(Input!F18, 'Metric coefficients'!$M$2:$M$29, 0)), "Not Found"),
        ""
    )
)</f>
        <v>0.63868999999999998</v>
      </c>
      <c r="K18" s="16">
        <f t="shared" si="2"/>
        <v>63.740191900000006</v>
      </c>
      <c r="L18" s="16">
        <f>IF(
    Input!B18="Male",
    IFERROR(INDEX('Metric coefficients'!$F$2:$F$29, MATCH(Input!F18, 'Metric coefficients'!$A$2:$A$29, 0)), "Not Found"),
    IF(
        Input!B18="Female",
        IFERROR(INDEX('Metric coefficients'!$P$2:$P$29, MATCH(Input!F18, 'Metric coefficients'!$M$2:$M$29, 0)), "Not Found"),
        ""
    )
)</f>
        <v>-9.3410000000000007E-2</v>
      </c>
      <c r="M18" s="34">
        <v>165</v>
      </c>
      <c r="N18" s="16">
        <f t="shared" si="3"/>
        <v>64.960665000000006</v>
      </c>
      <c r="O18" s="16">
        <f t="shared" si="4"/>
        <v>64.710513745</v>
      </c>
      <c r="P18" s="16">
        <f t="shared" si="5"/>
        <v>164.3647049123</v>
      </c>
      <c r="Q18" s="34">
        <v>176</v>
      </c>
      <c r="R18" s="16">
        <f t="shared" si="6"/>
        <v>69.291376</v>
      </c>
      <c r="S18" s="16">
        <f t="shared" si="7"/>
        <v>68.489264079999998</v>
      </c>
      <c r="T18" s="16">
        <f t="shared" si="8"/>
        <v>173.9627307632</v>
      </c>
      <c r="U18" s="16">
        <f t="shared" si="9"/>
        <v>169.16371783775</v>
      </c>
      <c r="V18" s="17">
        <f>IF(
    Input!B18="Male",
    IFERROR(INDEX('Metric coefficients'!$G$2:$G$29, MATCH(Input!F18, 'Metric coefficients'!$A$2:$A$29, 0)), "Not Found"),
    IF(
        Input!B18="Female",
        IFERROR(INDEX('Metric coefficients'!$Q$2:$Q$29, MATCH(Input!F18, 'Metric coefficients'!$M$2:$M$29, 0)), "Not Found"),
        ""
    )
)</f>
        <v>0.62278999999999995</v>
      </c>
      <c r="W18" s="17" cm="1">
        <f t="array" ref="W18">_xlfn.IFS(B18="Male",U18*0.393701+2.5,B18="Female",U18*0.393701-2.5)</f>
        <v>69.099924876440014</v>
      </c>
      <c r="X18" s="16">
        <f>IF(
    Input!B18="Male",
    IFERROR(INDEX('Metric coefficients'!$D$2:$D$29, MATCH(Input!F18, 'Metric coefficients'!$A$2:$A$29, 0)), "Not Found"),
    IF(
        Input!B18="Female",
        IFERROR(INDEX('Metric coefficients'!$N$2:$N$29, MATCH(Input!F18, 'Metric coefficients'!$M$2:$M$29, 0)), "Not Found"),
        ""
    )
)</f>
        <v>-21.858000000000001</v>
      </c>
      <c r="Y18" s="25">
        <f t="shared" si="10"/>
        <v>181.82721983217232</v>
      </c>
      <c r="Z18" s="16">
        <f t="shared" si="11"/>
        <v>89.040573875261771</v>
      </c>
      <c r="AA18" s="16" cm="1">
        <f t="array" ref="AA18">_xlfn.IFS(
    B18="Male", _xlfn.XLOOKUP(0, ABS(SA!$C$2:$C$218 - Input!Z18), SA!$A$2:$A$218, " ", 1),
    B18="Female", _xlfn.XLOOKUP(0, ABS(SA!$E$2:$E$218 - Input!Z18), SA!$A$2:$A$218, " ", 1)
)</f>
        <v>13.417</v>
      </c>
      <c r="AB18" s="16">
        <f t="shared" si="12"/>
        <v>0.70588888888888945</v>
      </c>
      <c r="AC18" s="16" t="str" cm="1">
        <f t="array" ref="AC18">_xlfn.IFS(AB18=" "," ", AB18&gt;0.5,"Early",AB18&lt;=-0.5,"Late",AND(AB18&gt;=-0.5,AB18&lt;=0.5),"On Time")</f>
        <v>Early</v>
      </c>
      <c r="AD18" s="16" t="str" cm="1">
        <f t="array" ref="AD18">_xlfn.IFS(AB18=" "," ", AB18&gt;1,"Early",AB18&lt;=-1,"Late",AND(AB18&gt;=-1,AB18&lt;=1),"On Time")</f>
        <v>On Time</v>
      </c>
      <c r="AE18" s="16" t="str">
        <f t="shared" si="13"/>
        <v>Circa-PHV</v>
      </c>
      <c r="AF18" s="25">
        <f>Y18 - IFERROR(INDEX(Errors!$B$2:$B$100, MATCH(F18 + 0.5, Errors!$A$2:$A$100, 0)), 0)</f>
        <v>179.22721983217232</v>
      </c>
      <c r="AG18" s="25">
        <f>Y18 + IFERROR(INDEX(Errors!$B$2:$B$100, MATCH(F18 + 0.5, Errors!$A$2:$A$100, 0)), 0)</f>
        <v>184.42721983217231</v>
      </c>
      <c r="AH18" s="25">
        <f>Y18 - IFERROR(INDEX(Errors!$C$2:$C$100, MATCH(F18 + 0.5, Errors!$A$2:$A$100, 0)), 0)</f>
        <v>174.6898198321723</v>
      </c>
      <c r="AI18" s="25">
        <f>Y18 + IFERROR(INDEX(Errors!$C$2:$C$100, MATCH(F18 + 0.5, Errors!$A$2:$A$100, 0)), 0)</f>
        <v>188.96461983217233</v>
      </c>
    </row>
    <row r="19" spans="1:35">
      <c r="A19" s="40">
        <v>18</v>
      </c>
      <c r="B19" s="35" t="s">
        <v>34</v>
      </c>
      <c r="C19" s="37">
        <v>40173</v>
      </c>
      <c r="D19" s="37">
        <v>45661</v>
      </c>
      <c r="E19" s="15">
        <f t="shared" si="0"/>
        <v>15.022222222222222</v>
      </c>
      <c r="F19" s="15">
        <f t="shared" si="1"/>
        <v>15</v>
      </c>
      <c r="G19" s="35">
        <v>73.7</v>
      </c>
      <c r="H19" s="16">
        <f t="shared" si="14"/>
        <v>162.5085</v>
      </c>
      <c r="I19" s="35">
        <v>177.5</v>
      </c>
      <c r="J19" s="16">
        <f>IF(
    Input!B19="Male",
    IFERROR(INDEX('Metric coefficients'!$E$2:$E$29, MATCH(Input!F19, 'Metric coefficients'!$A$2:$A$29, 0)), "Not Found"),
    IF(
        Input!B19="Female",
        IFERROR(INDEX('Metric coefficients'!$O$2:$O$29, MATCH(Input!F19, 'Metric coefficients'!$M$2:$M$29, 0)), "Not Found"),
        ""
    )
)</f>
        <v>0.63756999999999997</v>
      </c>
      <c r="K19" s="16">
        <f t="shared" si="2"/>
        <v>69.881927500000003</v>
      </c>
      <c r="L19" s="16">
        <f>IF(
    Input!B19="Male",
    IFERROR(INDEX('Metric coefficients'!$F$2:$F$29, MATCH(Input!F19, 'Metric coefficients'!$A$2:$A$29, 0)), "Not Found"),
    IF(
        Input!B19="Female",
        IFERROR(INDEX('Metric coefficients'!$P$2:$P$29, MATCH(Input!F19, 'Metric coefficients'!$M$2:$M$29, 0)), "Not Found"),
        ""
    )
)</f>
        <v>-3.9129999999999998E-2</v>
      </c>
      <c r="M19" s="35">
        <v>164</v>
      </c>
      <c r="N19" s="16">
        <f t="shared" si="3"/>
        <v>64.566963999999999</v>
      </c>
      <c r="O19" s="16">
        <f t="shared" si="4"/>
        <v>64.335316691999992</v>
      </c>
      <c r="P19" s="16">
        <f t="shared" si="5"/>
        <v>163.41170439767998</v>
      </c>
      <c r="Q19" s="35">
        <v>177</v>
      </c>
      <c r="R19" s="16">
        <f t="shared" si="6"/>
        <v>69.685077000000007</v>
      </c>
      <c r="S19" s="16">
        <f t="shared" si="7"/>
        <v>68.865248535000006</v>
      </c>
      <c r="T19" s="16">
        <f t="shared" si="8"/>
        <v>174.91773127890002</v>
      </c>
      <c r="U19" s="16">
        <f t="shared" si="9"/>
        <v>169.16471783829002</v>
      </c>
      <c r="V19" s="17">
        <f>IF(
    Input!B19="Male",
    IFERROR(INDEX('Metric coefficients'!$G$2:$G$29, MATCH(Input!F19, 'Metric coefficients'!$A$2:$A$29, 0)), "Not Found"),
    IF(
        Input!B19="Female",
        IFERROR(INDEX('Metric coefficients'!$Q$2:$Q$29, MATCH(Input!F19, 'Metric coefficients'!$M$2:$M$29, 0)), "Not Found"),
        ""
    )
)</f>
        <v>0.49536000000000002</v>
      </c>
      <c r="W19" s="17" cm="1">
        <f t="array" ref="W19">_xlfn.IFS(B19="Male",U19*0.393701+2.5,B19="Female",U19*0.393701-2.5)</f>
        <v>69.100318577652615</v>
      </c>
      <c r="X19" s="16">
        <f>IF(
    Input!B19="Male",
    IFERROR(INDEX('Metric coefficients'!$D$2:$D$29, MATCH(Input!F19, 'Metric coefficients'!$A$2:$A$29, 0)), "Not Found"),
    IF(
        Input!B19="Female",
        IFERROR(INDEX('Metric coefficients'!$N$2:$N$29, MATCH(Input!F19, 'Metric coefficients'!$M$2:$M$29, 0)), "Not Found"),
        ""
    )
)</f>
        <v>-13.025600000000001</v>
      </c>
      <c r="Y19" s="25">
        <f t="shared" si="10"/>
        <v>181.05662862837534</v>
      </c>
      <c r="Z19" s="16">
        <f t="shared" si="11"/>
        <v>98.035626391964129</v>
      </c>
      <c r="AA19" s="16" cm="1">
        <f t="array" ref="AA19">_xlfn.IFS(
    B19="Male", _xlfn.XLOOKUP(0, ABS(SA!$C$2:$C$218 - Input!Z19), SA!$A$2:$A$218, " ", 1),
    B19="Female", _xlfn.XLOOKUP(0, ABS(SA!$E$2:$E$218 - Input!Z19), SA!$A$2:$A$218, " ", 1)
)</f>
        <v>16.25</v>
      </c>
      <c r="AB19" s="16">
        <f t="shared" si="12"/>
        <v>1.2277777777777779</v>
      </c>
      <c r="AC19" s="16" t="str" cm="1">
        <f t="array" ref="AC19">_xlfn.IFS(AB19=" "," ", AB19&gt;0.5,"Early",AB19&lt;=-0.5,"Late",AND(AB19&gt;=-0.5,AB19&lt;=0.5),"On Time")</f>
        <v>Early</v>
      </c>
      <c r="AD19" s="16" t="str" cm="1">
        <f t="array" ref="AD19">_xlfn.IFS(AB19=" "," ", AB19&gt;1,"Early",AB19&lt;=-1,"Late",AND(AB19&gt;=-1,AB19&lt;=1),"On Time")</f>
        <v>Early</v>
      </c>
      <c r="AE19" s="16" t="str">
        <f t="shared" si="13"/>
        <v>Post PHV</v>
      </c>
      <c r="AF19" s="25">
        <f>Y19 - IFERROR(INDEX(Errors!$B$2:$B$100, MATCH(F19 + 0.5, Errors!$A$2:$A$100, 0)), 0)</f>
        <v>179.25662862837532</v>
      </c>
      <c r="AG19" s="25">
        <f>Y19 + IFERROR(INDEX(Errors!$B$2:$B$100, MATCH(F19 + 0.5, Errors!$A$2:$A$100, 0)), 0)</f>
        <v>182.85662862837535</v>
      </c>
      <c r="AH19" s="25">
        <f>Y19 - IFERROR(INDEX(Errors!$C$2:$C$100, MATCH(F19 + 0.5, Errors!$A$2:$A$100, 0)), 0)</f>
        <v>176.51002862837532</v>
      </c>
      <c r="AI19" s="25">
        <f>Y19 + IFERROR(INDEX(Errors!$C$2:$C$100, MATCH(F19 + 0.5, Errors!$A$2:$A$100, 0)), 0)</f>
        <v>185.60322862837535</v>
      </c>
    </row>
    <row r="20" spans="1:35">
      <c r="A20" s="40">
        <v>19</v>
      </c>
      <c r="B20" s="34" t="s">
        <v>34</v>
      </c>
      <c r="C20" s="36">
        <v>42202</v>
      </c>
      <c r="D20" s="36">
        <v>45661</v>
      </c>
      <c r="E20" s="15">
        <f t="shared" si="0"/>
        <v>9.4638888888888886</v>
      </c>
      <c r="F20" s="15">
        <f t="shared" si="1"/>
        <v>9.5</v>
      </c>
      <c r="G20" s="34">
        <v>38.6</v>
      </c>
      <c r="H20" s="16">
        <f t="shared" si="14"/>
        <v>85.113</v>
      </c>
      <c r="I20" s="34">
        <v>145.9</v>
      </c>
      <c r="J20" s="16">
        <f>IF(
    Input!B20="Male",
    IFERROR(INDEX('Metric coefficients'!$E$2:$E$29, MATCH(Input!F20, 'Metric coefficients'!$A$2:$A$29, 0)), "Not Found"),
    IF(
        Input!B20="Female",
        IFERROR(INDEX('Metric coefficients'!$O$2:$O$29, MATCH(Input!F20, 'Metric coefficients'!$M$2:$M$29, 0)), "Not Found"),
        ""
    )
)</f>
        <v>1.0217400000000001</v>
      </c>
      <c r="K20" s="16">
        <f t="shared" si="2"/>
        <v>57.440975900000005</v>
      </c>
      <c r="L20" s="16">
        <f>IF(
    Input!B20="Male",
    IFERROR(INDEX('Metric coefficients'!$F$2:$F$29, MATCH(Input!F20, 'Metric coefficients'!$A$2:$A$29, 0)), "Not Found"),
    IF(
        Input!B20="Female",
        IFERROR(INDEX('Metric coefficients'!$P$2:$P$29, MATCH(Input!F20, 'Metric coefficients'!$M$2:$M$29, 0)), "Not Found"),
        ""
    )
)</f>
        <v>-0.24253</v>
      </c>
      <c r="M20" s="34">
        <v>159</v>
      </c>
      <c r="N20" s="16">
        <f t="shared" si="3"/>
        <v>62.598459000000005</v>
      </c>
      <c r="O20" s="16">
        <f t="shared" si="4"/>
        <v>62.459331427000002</v>
      </c>
      <c r="P20" s="16">
        <f t="shared" si="5"/>
        <v>158.64670182458002</v>
      </c>
      <c r="Q20" s="34">
        <v>160</v>
      </c>
      <c r="R20" s="16">
        <f t="shared" si="6"/>
        <v>62.992160000000005</v>
      </c>
      <c r="S20" s="16">
        <f t="shared" si="7"/>
        <v>62.473512800000002</v>
      </c>
      <c r="T20" s="16">
        <f t="shared" si="8"/>
        <v>158.682722512</v>
      </c>
      <c r="U20" s="16">
        <f t="shared" si="9"/>
        <v>158.66471216829001</v>
      </c>
      <c r="V20" s="17">
        <f>IF(
    Input!B20="Male",
    IFERROR(INDEX('Metric coefficients'!$G$2:$G$29, MATCH(Input!F20, 'Metric coefficients'!$A$2:$A$29, 0)), "Not Found"),
    IF(
        Input!B20="Female",
        IFERROR(INDEX('Metric coefficients'!$Q$2:$Q$29, MATCH(Input!F20, 'Metric coefficients'!$M$2:$M$29, 0)), "Not Found"),
        ""
    )
)</f>
        <v>0.43592999999999998</v>
      </c>
      <c r="W20" s="17" cm="1">
        <f t="array" ref="W20">_xlfn.IFS(B20="Male",U20*0.393701+2.5,B20="Female",U20*0.393701-2.5)</f>
        <v>64.966455845367946</v>
      </c>
      <c r="X20" s="16">
        <f>IF(
    Input!B20="Male",
    IFERROR(INDEX('Metric coefficients'!$D$2:$D$29, MATCH(Input!F20, 'Metric coefficients'!$A$2:$A$29, 0)), "Not Found"),
    IF(
        Input!B20="Female",
        IFERROR(INDEX('Metric coefficients'!$N$2:$N$29, MATCH(Input!F20, 'Metric coefficients'!$M$2:$M$29, 0)), "Not Found"),
        ""
    )
)</f>
        <v>-28.297000000000001</v>
      </c>
      <c r="Y20" s="25">
        <f t="shared" si="10"/>
        <v>180.57991597552268</v>
      </c>
      <c r="Z20" s="16">
        <f t="shared" si="11"/>
        <v>80.795253011290868</v>
      </c>
      <c r="AA20" s="16" cm="1">
        <f t="array" ref="AA20">_xlfn.IFS(
    B20="Male", _xlfn.XLOOKUP(0, ABS(SA!$C$2:$C$218 - Input!Z20), SA!$A$2:$A$218, " ", 1),
    B20="Female", _xlfn.XLOOKUP(0, ABS(SA!$E$2:$E$218 - Input!Z20), SA!$A$2:$A$218, " ", 1)
)</f>
        <v>11</v>
      </c>
      <c r="AB20" s="16">
        <f t="shared" si="12"/>
        <v>1.5361111111111114</v>
      </c>
      <c r="AC20" s="16" t="str" cm="1">
        <f t="array" ref="AC20">_xlfn.IFS(AB20=" "," ", AB20&gt;0.5,"Early",AB20&lt;=-0.5,"Late",AND(AB20&gt;=-0.5,AB20&lt;=0.5),"On Time")</f>
        <v>Early</v>
      </c>
      <c r="AD20" s="16" t="str" cm="1">
        <f t="array" ref="AD20">_xlfn.IFS(AB20=" "," ", AB20&gt;1,"Early",AB20&lt;=-1,"Late",AND(AB20&gt;=-1,AB20&lt;=1),"On Time")</f>
        <v>Early</v>
      </c>
      <c r="AE20" s="16" t="str">
        <f t="shared" si="13"/>
        <v>Pre-PHV</v>
      </c>
      <c r="AF20" s="25">
        <f>Y20 - IFERROR(INDEX(Errors!$B$2:$B$100, MATCH(F20 + 0.5, Errors!$A$2:$A$100, 0)), 0)</f>
        <v>178.37991597552269</v>
      </c>
      <c r="AG20" s="25">
        <f>Y20 + IFERROR(INDEX(Errors!$B$2:$B$100, MATCH(F20 + 0.5, Errors!$A$2:$A$100, 0)), 0)</f>
        <v>182.77991597552267</v>
      </c>
      <c r="AH20" s="25">
        <f>Y20 - IFERROR(INDEX(Errors!$C$2:$C$100, MATCH(F20 + 0.5, Errors!$A$2:$A$100, 0)), 0)</f>
        <v>175.42371597552267</v>
      </c>
      <c r="AI20" s="25">
        <f>Y20 + IFERROR(INDEX(Errors!$C$2:$C$100, MATCH(F20 + 0.5, Errors!$A$2:$A$100, 0)), 0)</f>
        <v>185.73611597552269</v>
      </c>
    </row>
    <row r="21" spans="1:35">
      <c r="A21" s="40">
        <v>20</v>
      </c>
      <c r="B21" s="35" t="s">
        <v>34</v>
      </c>
      <c r="C21" s="37">
        <v>41967</v>
      </c>
      <c r="D21" s="37">
        <v>45661</v>
      </c>
      <c r="E21" s="15">
        <f t="shared" si="0"/>
        <v>10.111111111111111</v>
      </c>
      <c r="F21" s="15">
        <f t="shared" si="1"/>
        <v>10</v>
      </c>
      <c r="G21" s="35">
        <v>37</v>
      </c>
      <c r="H21" s="16">
        <f t="shared" si="14"/>
        <v>81.585000000000008</v>
      </c>
      <c r="I21" s="35">
        <v>142.30000000000001</v>
      </c>
      <c r="J21" s="16">
        <f>IF(
    Input!B21="Male",
    IFERROR(INDEX('Metric coefficients'!$E$2:$E$29, MATCH(Input!F21, 'Metric coefficients'!$A$2:$A$29, 0)), "Not Found"),
    IF(
        Input!B21="Female",
        IFERROR(INDEX('Metric coefficients'!$O$2:$O$29, MATCH(Input!F21, 'Metric coefficients'!$M$2:$M$29, 0)), "Not Found"),
        ""
    )
)</f>
        <v>0.97135000000000005</v>
      </c>
      <c r="K21" s="16">
        <f t="shared" si="2"/>
        <v>56.023652300000009</v>
      </c>
      <c r="L21" s="16">
        <f>IF(
    Input!B21="Male",
    IFERROR(INDEX('Metric coefficients'!$F$2:$F$29, MATCH(Input!F21, 'Metric coefficients'!$A$2:$A$29, 0)), "Not Found"),
    IF(
        Input!B21="Female",
        IFERROR(INDEX('Metric coefficients'!$P$2:$P$29, MATCH(Input!F21, 'Metric coefficients'!$M$2:$M$29, 0)), "Not Found"),
        ""
    )
)</f>
        <v>-0.22388</v>
      </c>
      <c r="M21" s="35">
        <v>166</v>
      </c>
      <c r="N21" s="16">
        <f t="shared" si="3"/>
        <v>65.354365999999999</v>
      </c>
      <c r="O21" s="16">
        <f t="shared" si="4"/>
        <v>65.085710797999994</v>
      </c>
      <c r="P21" s="16">
        <f t="shared" si="5"/>
        <v>165.31770542691999</v>
      </c>
      <c r="Q21" s="35">
        <v>178</v>
      </c>
      <c r="R21" s="16">
        <f t="shared" si="6"/>
        <v>70.078778</v>
      </c>
      <c r="S21" s="16">
        <f t="shared" si="7"/>
        <v>69.24123299</v>
      </c>
      <c r="T21" s="16">
        <f t="shared" si="8"/>
        <v>175.87273179460001</v>
      </c>
      <c r="U21" s="16">
        <f t="shared" si="9"/>
        <v>170.59521861076001</v>
      </c>
      <c r="V21" s="17">
        <f>IF(
    Input!B21="Male",
    IFERROR(INDEX('Metric coefficients'!$G$2:$G$29, MATCH(Input!F21, 'Metric coefficients'!$A$2:$A$29, 0)), "Not Found"),
    IF(
        Input!B21="Female",
        IFERROR(INDEX('Metric coefficients'!$Q$2:$Q$29, MATCH(Input!F21, 'Metric coefficients'!$M$2:$M$29, 0)), "Not Found"),
        ""
    )
)</f>
        <v>0.45932000000000001</v>
      </c>
      <c r="W21" s="17" cm="1">
        <f t="array" ref="W21">_xlfn.IFS(B21="Male",U21*0.393701+2.5,B21="Female",U21*0.393701-2.5)</f>
        <v>69.663508162274837</v>
      </c>
      <c r="X21" s="16">
        <f>IF(
    Input!B21="Male",
    IFERROR(INDEX('Metric coefficients'!$D$2:$D$29, MATCH(Input!F21, 'Metric coefficients'!$A$2:$A$29, 0)), "Not Found"),
    IF(
        Input!B21="Female",
        IFERROR(INDEX('Metric coefficients'!$N$2:$N$29, MATCH(Input!F21, 'Metric coefficients'!$M$2:$M$29, 0)), "Not Found"),
        ""
    )
)</f>
        <v>-28.0365</v>
      </c>
      <c r="Y21" s="25">
        <f t="shared" si="10"/>
        <v>180.2608408122943</v>
      </c>
      <c r="Z21" s="16">
        <f t="shared" si="11"/>
        <v>78.941160686239712</v>
      </c>
      <c r="AA21" s="16" cm="1">
        <f t="array" ref="AA21">_xlfn.IFS(
    B21="Male", _xlfn.XLOOKUP(0, ABS(SA!$C$2:$C$218 - Input!Z21), SA!$A$2:$A$218, " ", 1),
    B21="Female", _xlfn.XLOOKUP(0, ABS(SA!$E$2:$E$218 - Input!Z21), SA!$A$2:$A$218, " ", 1)
)</f>
        <v>10.333</v>
      </c>
      <c r="AB21" s="16">
        <f t="shared" si="12"/>
        <v>0.22188888888888947</v>
      </c>
      <c r="AC21" s="16" t="str" cm="1">
        <f t="array" ref="AC21">_xlfn.IFS(AB21=" "," ", AB21&gt;0.5,"Early",AB21&lt;=-0.5,"Late",AND(AB21&gt;=-0.5,AB21&lt;=0.5),"On Time")</f>
        <v>On Time</v>
      </c>
      <c r="AD21" s="16" t="str" cm="1">
        <f t="array" ref="AD21">_xlfn.IFS(AB21=" "," ", AB21&gt;1,"Early",AB21&lt;=-1,"Late",AND(AB21&gt;=-1,AB21&lt;=1),"On Time")</f>
        <v>On Time</v>
      </c>
      <c r="AE21" s="16" t="str">
        <f t="shared" si="13"/>
        <v>Pre-PHV</v>
      </c>
      <c r="AF21" s="25">
        <f>Y21 - IFERROR(INDEX(Errors!$B$2:$B$100, MATCH(F21 + 0.5, Errors!$A$2:$A$100, 0)), 0)</f>
        <v>177.96084081229429</v>
      </c>
      <c r="AG21" s="25">
        <f>Y21 + IFERROR(INDEX(Errors!$B$2:$B$100, MATCH(F21 + 0.5, Errors!$A$2:$A$100, 0)), 0)</f>
        <v>182.56084081229432</v>
      </c>
      <c r="AH21" s="25">
        <f>Y21 - IFERROR(INDEX(Errors!$C$2:$C$100, MATCH(F21 + 0.5, Errors!$A$2:$A$100, 0)), 0)</f>
        <v>175.0030408122943</v>
      </c>
      <c r="AI21" s="25">
        <f>Y21 + IFERROR(INDEX(Errors!$C$2:$C$100, MATCH(F21 + 0.5, Errors!$A$2:$A$100, 0)), 0)</f>
        <v>185.51864081229431</v>
      </c>
    </row>
    <row r="22" spans="1:35">
      <c r="A22" s="40">
        <v>21</v>
      </c>
      <c r="B22" s="34" t="s">
        <v>34</v>
      </c>
      <c r="C22" s="36">
        <v>40168</v>
      </c>
      <c r="D22" s="36">
        <v>45661</v>
      </c>
      <c r="E22" s="15">
        <f t="shared" si="0"/>
        <v>15.036111111111111</v>
      </c>
      <c r="F22" s="15">
        <f t="shared" si="1"/>
        <v>15</v>
      </c>
      <c r="G22" s="39">
        <v>65.5</v>
      </c>
      <c r="H22" s="16">
        <f t="shared" si="14"/>
        <v>144.42750000000001</v>
      </c>
      <c r="I22" s="34">
        <v>175.2</v>
      </c>
      <c r="J22" s="16">
        <f>IF(
    Input!B22="Male",
    IFERROR(INDEX('Metric coefficients'!$E$2:$E$29, MATCH(Input!F22, 'Metric coefficients'!$A$2:$A$29, 0)), "Not Found"),
    IF(
        Input!B22="Female",
        IFERROR(INDEX('Metric coefficients'!$O$2:$O$29, MATCH(Input!F22, 'Metric coefficients'!$M$2:$M$29, 0)), "Not Found"),
        ""
    )
)</f>
        <v>0.63756999999999997</v>
      </c>
      <c r="K22" s="16">
        <f t="shared" si="2"/>
        <v>68.976415200000005</v>
      </c>
      <c r="L22" s="16">
        <f>IF(
    Input!B22="Male",
    IFERROR(INDEX('Metric coefficients'!$F$2:$F$29, MATCH(Input!F22, 'Metric coefficients'!$A$2:$A$29, 0)), "Not Found"),
    IF(
        Input!B22="Female",
        IFERROR(INDEX('Metric coefficients'!$P$2:$P$29, MATCH(Input!F22, 'Metric coefficients'!$M$2:$M$29, 0)), "Not Found"),
        ""
    )
)</f>
        <v>-3.9129999999999998E-2</v>
      </c>
      <c r="M22" s="34">
        <v>175</v>
      </c>
      <c r="N22" s="16">
        <f t="shared" si="3"/>
        <v>68.897675000000007</v>
      </c>
      <c r="O22" s="16">
        <f t="shared" si="4"/>
        <v>68.462484274999994</v>
      </c>
      <c r="P22" s="16">
        <f t="shared" si="5"/>
        <v>173.89471005849998</v>
      </c>
      <c r="Q22" s="34">
        <v>165</v>
      </c>
      <c r="R22" s="16">
        <f t="shared" si="6"/>
        <v>64.960665000000006</v>
      </c>
      <c r="S22" s="16">
        <f t="shared" si="7"/>
        <v>64.353435075000007</v>
      </c>
      <c r="T22" s="16">
        <f t="shared" si="8"/>
        <v>163.45772509050002</v>
      </c>
      <c r="U22" s="16">
        <f t="shared" si="9"/>
        <v>168.67621757450001</v>
      </c>
      <c r="V22" s="17">
        <f>IF(
    Input!B22="Male",
    IFERROR(INDEX('Metric coefficients'!$G$2:$G$29, MATCH(Input!F22, 'Metric coefficients'!$A$2:$A$29, 0)), "Not Found"),
    IF(
        Input!B22="Female",
        IFERROR(INDEX('Metric coefficients'!$Q$2:$Q$29, MATCH(Input!F22, 'Metric coefficients'!$M$2:$M$29, 0)), "Not Found"),
        ""
    )
)</f>
        <v>0.49536000000000002</v>
      </c>
      <c r="W22" s="17" cm="1">
        <f t="array" ref="W22">_xlfn.IFS(B22="Male",U22*0.393701+2.5,B22="Female",U22*0.393701-2.5)</f>
        <v>68.907995535298241</v>
      </c>
      <c r="X22" s="16">
        <f>IF(
    Input!B22="Male",
    IFERROR(INDEX('Metric coefficients'!$D$2:$D$29, MATCH(Input!F22, 'Metric coefficients'!$A$2:$A$29, 0)), "Not Found"),
    IF(
        Input!B22="Female",
        IFERROR(INDEX('Metric coefficients'!$N$2:$N$29, MATCH(Input!F22, 'Metric coefficients'!$M$2:$M$29, 0)), "Not Found"),
        ""
    )
)</f>
        <v>-13.025600000000001</v>
      </c>
      <c r="Y22" s="25">
        <f t="shared" si="10"/>
        <v>179.66910013770433</v>
      </c>
      <c r="Z22" s="16">
        <f t="shared" si="11"/>
        <v>97.512593910539394</v>
      </c>
      <c r="AA22" s="16" cm="1">
        <f t="array" ref="AA22">_xlfn.IFS(
    B22="Male", _xlfn.XLOOKUP(0, ABS(SA!$C$2:$C$218 - Input!Z22), SA!$A$2:$A$218, " ", 1),
    B22="Female", _xlfn.XLOOKUP(0, ABS(SA!$E$2:$E$218 - Input!Z22), SA!$A$2:$A$218, " ", 1)
)</f>
        <v>15.917</v>
      </c>
      <c r="AB22" s="16">
        <f t="shared" si="12"/>
        <v>0.88088888888888839</v>
      </c>
      <c r="AC22" s="16" t="str" cm="1">
        <f t="array" ref="AC22">_xlfn.IFS(AB22=" "," ", AB22&gt;0.5,"Early",AB22&lt;=-0.5,"Late",AND(AB22&gt;=-0.5,AB22&lt;=0.5),"On Time")</f>
        <v>Early</v>
      </c>
      <c r="AD22" s="16" t="str" cm="1">
        <f t="array" ref="AD22">_xlfn.IFS(AB22=" "," ", AB22&gt;1,"Early",AB22&lt;=-1,"Late",AND(AB22&gt;=-1,AB22&lt;=1),"On Time")</f>
        <v>On Time</v>
      </c>
      <c r="AE22" s="16" t="str">
        <f t="shared" si="13"/>
        <v>Post PHV</v>
      </c>
      <c r="AF22" s="25">
        <f>Y22 - IFERROR(INDEX(Errors!$B$2:$B$100, MATCH(F22 + 0.5, Errors!$A$2:$A$100, 0)), 0)</f>
        <v>177.86910013770432</v>
      </c>
      <c r="AG22" s="25">
        <f>Y22 + IFERROR(INDEX(Errors!$B$2:$B$100, MATCH(F22 + 0.5, Errors!$A$2:$A$100, 0)), 0)</f>
        <v>181.46910013770434</v>
      </c>
      <c r="AH22" s="25">
        <f>Y22 - IFERROR(INDEX(Errors!$C$2:$C$100, MATCH(F22 + 0.5, Errors!$A$2:$A$100, 0)), 0)</f>
        <v>175.12250013770432</v>
      </c>
      <c r="AI22" s="25">
        <f>Y22 + IFERROR(INDEX(Errors!$C$2:$C$100, MATCH(F22 + 0.5, Errors!$A$2:$A$100, 0)), 0)</f>
        <v>184.21570013770435</v>
      </c>
    </row>
    <row r="23" spans="1:35">
      <c r="A23" s="40">
        <v>22</v>
      </c>
      <c r="B23" s="35" t="s">
        <v>34</v>
      </c>
      <c r="C23" s="37">
        <v>41519</v>
      </c>
      <c r="D23" s="37">
        <v>45661</v>
      </c>
      <c r="E23" s="15">
        <f t="shared" si="0"/>
        <v>11.338888888888889</v>
      </c>
      <c r="F23" s="15">
        <f t="shared" si="1"/>
        <v>11.5</v>
      </c>
      <c r="G23" s="35">
        <v>39</v>
      </c>
      <c r="H23" s="16">
        <f t="shared" si="14"/>
        <v>85.995000000000005</v>
      </c>
      <c r="I23" s="35">
        <v>151</v>
      </c>
      <c r="J23" s="16">
        <f>IF(
    Input!B23="Male",
    IFERROR(INDEX('Metric coefficients'!$E$2:$E$29, MATCH(Input!F23, 'Metric coefficients'!$A$2:$A$29, 0)), "Not Found"),
    IF(
        Input!B23="Female",
        IFERROR(INDEX('Metric coefficients'!$O$2:$O$29, MATCH(Input!F23, 'Metric coefficients'!$M$2:$M$29, 0)), "Not Found"),
        ""
    )
)</f>
        <v>0.74134</v>
      </c>
      <c r="K23" s="16">
        <f t="shared" si="2"/>
        <v>59.448851000000005</v>
      </c>
      <c r="L23" s="16">
        <f>IF(
    Input!B23="Male",
    IFERROR(INDEX('Metric coefficients'!$F$2:$F$29, MATCH(Input!F23, 'Metric coefficients'!$A$2:$A$29, 0)), "Not Found"),
    IF(
        Input!B23="Female",
        IFERROR(INDEX('Metric coefficients'!$P$2:$P$29, MATCH(Input!F23, 'Metric coefficients'!$M$2:$M$29, 0)), "Not Found"),
        ""
    )
)</f>
        <v>-0.13533000000000001</v>
      </c>
      <c r="M23" s="35">
        <v>162</v>
      </c>
      <c r="N23" s="16">
        <f t="shared" si="3"/>
        <v>63.779562000000006</v>
      </c>
      <c r="O23" s="16">
        <f t="shared" si="4"/>
        <v>63.584922585999998</v>
      </c>
      <c r="P23" s="16">
        <f t="shared" si="5"/>
        <v>161.50570336844001</v>
      </c>
      <c r="Q23" s="35">
        <v>176</v>
      </c>
      <c r="R23" s="16">
        <f t="shared" si="6"/>
        <v>69.291376</v>
      </c>
      <c r="S23" s="16">
        <f t="shared" si="7"/>
        <v>68.489264079999998</v>
      </c>
      <c r="T23" s="16">
        <f t="shared" si="8"/>
        <v>173.9627307632</v>
      </c>
      <c r="U23" s="16">
        <f t="shared" si="9"/>
        <v>167.73421706582002</v>
      </c>
      <c r="V23" s="17">
        <f>IF(
    Input!B23="Male",
    IFERROR(INDEX('Metric coefficients'!$G$2:$G$29, MATCH(Input!F23, 'Metric coefficients'!$A$2:$A$29, 0)), "Not Found"),
    IF(
        Input!B23="Female",
        IFERROR(INDEX('Metric coefficients'!$Q$2:$Q$29, MATCH(Input!F23, 'Metric coefficients'!$M$2:$M$29, 0)), "Not Found"),
        ""
    )
)</f>
        <v>0.58409</v>
      </c>
      <c r="W23" s="17" cm="1">
        <f t="array" ref="W23">_xlfn.IFS(B23="Male",U23*0.393701+2.5,B23="Female",U23*0.393701-2.5)</f>
        <v>68.537128993030407</v>
      </c>
      <c r="X23" s="16">
        <f>IF(
    Input!B23="Male",
    IFERROR(INDEX('Metric coefficients'!$D$2:$D$29, MATCH(Input!F23, 'Metric coefficients'!$A$2:$A$29, 0)), "Not Found"),
    IF(
        Input!B23="Female",
        IFERROR(INDEX('Metric coefficients'!$N$2:$N$29, MATCH(Input!F23, 'Metric coefficients'!$M$2:$M$29, 0)), "Not Found"),
        ""
    )
)</f>
        <v>-25.416499999999999</v>
      </c>
      <c r="Y23" s="25">
        <f t="shared" si="10"/>
        <v>179.21984884597481</v>
      </c>
      <c r="Z23" s="16">
        <f t="shared" si="11"/>
        <v>84.254060569916263</v>
      </c>
      <c r="AA23" s="16" cm="1">
        <f t="array" ref="AA23">_xlfn.IFS(
    B23="Male", _xlfn.XLOOKUP(0, ABS(SA!$C$2:$C$218 - Input!Z23), SA!$A$2:$A$218, " ", 1),
    B23="Female", _xlfn.XLOOKUP(0, ABS(SA!$E$2:$E$218 - Input!Z23), SA!$A$2:$A$218, " ", 1)
)</f>
        <v>12.25</v>
      </c>
      <c r="AB23" s="16">
        <f t="shared" si="12"/>
        <v>0.91111111111111143</v>
      </c>
      <c r="AC23" s="16" t="str" cm="1">
        <f t="array" ref="AC23">_xlfn.IFS(AB23=" "," ", AB23&gt;0.5,"Early",AB23&lt;=-0.5,"Late",AND(AB23&gt;=-0.5,AB23&lt;=0.5),"On Time")</f>
        <v>Early</v>
      </c>
      <c r="AD23" s="16" t="str" cm="1">
        <f t="array" ref="AD23">_xlfn.IFS(AB23=" "," ", AB23&gt;1,"Early",AB23&lt;=-1,"Late",AND(AB23&gt;=-1,AB23&lt;=1),"On Time")</f>
        <v>On Time</v>
      </c>
      <c r="AE23" s="16" t="str">
        <f t="shared" si="13"/>
        <v>Pre-PHV</v>
      </c>
      <c r="AF23" s="25">
        <f>Y23 - IFERROR(INDEX(Errors!$B$2:$B$100, MATCH(F23 + 0.5, Errors!$A$2:$A$100, 0)), 0)</f>
        <v>176.71984884597481</v>
      </c>
      <c r="AG23" s="25">
        <f>Y23 + IFERROR(INDEX(Errors!$B$2:$B$100, MATCH(F23 + 0.5, Errors!$A$2:$A$100, 0)), 0)</f>
        <v>181.71984884597481</v>
      </c>
      <c r="AH23" s="25">
        <f>Y23 - IFERROR(INDEX(Errors!$C$2:$C$100, MATCH(F23 + 0.5, Errors!$A$2:$A$100, 0)), 0)</f>
        <v>172.97144884597481</v>
      </c>
      <c r="AI23" s="25">
        <f>Y23 + IFERROR(INDEX(Errors!$C$2:$C$100, MATCH(F23 + 0.5, Errors!$A$2:$A$100, 0)), 0)</f>
        <v>185.46824884597481</v>
      </c>
    </row>
    <row r="24" spans="1:35">
      <c r="A24" s="40">
        <v>23</v>
      </c>
      <c r="B24" s="34" t="s">
        <v>34</v>
      </c>
      <c r="C24" s="36">
        <v>40195</v>
      </c>
      <c r="D24" s="36">
        <v>45661</v>
      </c>
      <c r="E24" s="15">
        <f t="shared" si="0"/>
        <v>14.963888888888889</v>
      </c>
      <c r="F24" s="15">
        <f t="shared" si="1"/>
        <v>15</v>
      </c>
      <c r="G24" s="34">
        <v>69.099999999999994</v>
      </c>
      <c r="H24" s="16">
        <f t="shared" si="14"/>
        <v>152.3655</v>
      </c>
      <c r="I24" s="34">
        <v>172.1</v>
      </c>
      <c r="J24" s="16">
        <f>IF(
    Input!B24="Male",
    IFERROR(INDEX('Metric coefficients'!$E$2:$E$29, MATCH(Input!F24, 'Metric coefficients'!$A$2:$A$29, 0)), "Not Found"),
    IF(
        Input!B24="Female",
        IFERROR(INDEX('Metric coefficients'!$O$2:$O$29, MATCH(Input!F24, 'Metric coefficients'!$M$2:$M$29, 0)), "Not Found"),
        ""
    )
)</f>
        <v>0.63756999999999997</v>
      </c>
      <c r="K24" s="16">
        <f t="shared" si="2"/>
        <v>67.755942099999999</v>
      </c>
      <c r="L24" s="16">
        <f>IF(
    Input!B24="Male",
    IFERROR(INDEX('Metric coefficients'!$F$2:$F$29, MATCH(Input!F24, 'Metric coefficients'!$A$2:$A$29, 0)), "Not Found"),
    IF(
        Input!B24="Female",
        IFERROR(INDEX('Metric coefficients'!$P$2:$P$29, MATCH(Input!F24, 'Metric coefficients'!$M$2:$M$29, 0)), "Not Found"),
        ""
    )
)</f>
        <v>-3.9129999999999998E-2</v>
      </c>
      <c r="M24" s="34">
        <v>167</v>
      </c>
      <c r="N24" s="16">
        <f t="shared" si="3"/>
        <v>65.748067000000006</v>
      </c>
      <c r="O24" s="16">
        <f t="shared" si="4"/>
        <v>65.460907851000002</v>
      </c>
      <c r="P24" s="16">
        <f t="shared" si="5"/>
        <v>166.27070594154</v>
      </c>
      <c r="Q24" s="34">
        <v>177</v>
      </c>
      <c r="R24" s="16">
        <f t="shared" si="6"/>
        <v>69.685077000000007</v>
      </c>
      <c r="S24" s="16">
        <f t="shared" si="7"/>
        <v>68.865248535000006</v>
      </c>
      <c r="T24" s="16">
        <f t="shared" si="8"/>
        <v>174.91773127890002</v>
      </c>
      <c r="U24" s="16">
        <f t="shared" si="9"/>
        <v>170.59421861022003</v>
      </c>
      <c r="V24" s="17">
        <f>IF(
    Input!B24="Male",
    IFERROR(INDEX('Metric coefficients'!$G$2:$G$29, MATCH(Input!F24, 'Metric coefficients'!$A$2:$A$29, 0)), "Not Found"),
    IF(
        Input!B24="Female",
        IFERROR(INDEX('Metric coefficients'!$Q$2:$Q$29, MATCH(Input!F24, 'Metric coefficients'!$M$2:$M$29, 0)), "Not Found"),
        ""
    )
)</f>
        <v>0.49536000000000002</v>
      </c>
      <c r="W24" s="17" cm="1">
        <f t="array" ref="W24">_xlfn.IFS(B24="Male",U24*0.393701+2.5,B24="Female",U24*0.393701-2.5)</f>
        <v>69.663114461062236</v>
      </c>
      <c r="X24" s="16">
        <f>IF(
    Input!B24="Male",
    IFERROR(INDEX('Metric coefficients'!$D$2:$D$29, MATCH(Input!F24, 'Metric coefficients'!$A$2:$A$29, 0)), "Not Found"),
    IF(
        Input!B24="Female",
        IFERROR(INDEX('Metric coefficients'!$N$2:$N$29, MATCH(Input!F24, 'Metric coefficients'!$M$2:$M$29, 0)), "Not Found"),
        ""
    )
)</f>
        <v>-13.025600000000001</v>
      </c>
      <c r="Y24" s="25">
        <f t="shared" si="10"/>
        <v>178.50186613075857</v>
      </c>
      <c r="Z24" s="16">
        <f t="shared" si="11"/>
        <v>96.413557869434811</v>
      </c>
      <c r="AA24" s="16" cm="1">
        <f t="array" ref="AA24">_xlfn.IFS(
    B24="Male", _xlfn.XLOOKUP(0, ABS(SA!$C$2:$C$218 - Input!Z24), SA!$A$2:$A$218, " ", 1),
    B24="Female", _xlfn.XLOOKUP(0, ABS(SA!$E$2:$E$218 - Input!Z24), SA!$A$2:$A$218, " ", 1)
)</f>
        <v>15.417</v>
      </c>
      <c r="AB24" s="16">
        <f t="shared" si="12"/>
        <v>0.45311111111111124</v>
      </c>
      <c r="AC24" s="16" t="str" cm="1">
        <f t="array" ref="AC24">_xlfn.IFS(AB24=" "," ", AB24&gt;0.5,"Early",AB24&lt;=-0.5,"Late",AND(AB24&gt;=-0.5,AB24&lt;=0.5),"On Time")</f>
        <v>On Time</v>
      </c>
      <c r="AD24" s="16" t="str" cm="1">
        <f t="array" ref="AD24">_xlfn.IFS(AB24=" "," ", AB24&gt;1,"Early",AB24&lt;=-1,"Late",AND(AB24&gt;=-1,AB24&lt;=1),"On Time")</f>
        <v>On Time</v>
      </c>
      <c r="AE24" s="16" t="str">
        <f t="shared" si="13"/>
        <v>Post PHV</v>
      </c>
      <c r="AF24" s="25">
        <f>Y24 - IFERROR(INDEX(Errors!$B$2:$B$100, MATCH(F24 + 0.5, Errors!$A$2:$A$100, 0)), 0)</f>
        <v>176.70186613075856</v>
      </c>
      <c r="AG24" s="25">
        <f>Y24 + IFERROR(INDEX(Errors!$B$2:$B$100, MATCH(F24 + 0.5, Errors!$A$2:$A$100, 0)), 0)</f>
        <v>180.30186613075858</v>
      </c>
      <c r="AH24" s="25">
        <f>Y24 - IFERROR(INDEX(Errors!$C$2:$C$100, MATCH(F24 + 0.5, Errors!$A$2:$A$100, 0)), 0)</f>
        <v>173.95526613075856</v>
      </c>
      <c r="AI24" s="25">
        <f>Y24 + IFERROR(INDEX(Errors!$C$2:$C$100, MATCH(F24 + 0.5, Errors!$A$2:$A$100, 0)), 0)</f>
        <v>183.04846613075858</v>
      </c>
    </row>
    <row r="25" spans="1:35">
      <c r="A25" s="40">
        <v>24</v>
      </c>
      <c r="B25" s="35" t="s">
        <v>34</v>
      </c>
      <c r="C25" s="37">
        <v>41218</v>
      </c>
      <c r="D25" s="37">
        <v>45661</v>
      </c>
      <c r="E25" s="15">
        <f t="shared" si="0"/>
        <v>12.16388888888889</v>
      </c>
      <c r="F25" s="15">
        <f t="shared" si="1"/>
        <v>12</v>
      </c>
      <c r="G25" s="35">
        <v>47</v>
      </c>
      <c r="H25" s="16">
        <f t="shared" si="14"/>
        <v>103.63500000000001</v>
      </c>
      <c r="I25" s="35">
        <v>158.19999999999999</v>
      </c>
      <c r="J25" s="16">
        <f>IF(
    Input!B25="Male",
    IFERROR(INDEX('Metric coefficients'!$E$2:$E$29, MATCH(Input!F25, 'Metric coefficients'!$A$2:$A$29, 0)), "Not Found"),
    IF(
        Input!B25="Female",
        IFERROR(INDEX('Metric coefficients'!$O$2:$O$29, MATCH(Input!F25, 'Metric coefficients'!$M$2:$M$29, 0)), "Not Found"),
        ""
    )
)</f>
        <v>0.68325000000000002</v>
      </c>
      <c r="K25" s="16">
        <f t="shared" si="2"/>
        <v>62.283498199999997</v>
      </c>
      <c r="L25" s="16">
        <f>IF(
    Input!B25="Male",
    IFERROR(INDEX('Metric coefficients'!$F$2:$F$29, MATCH(Input!F25, 'Metric coefficients'!$A$2:$A$29, 0)), "Not Found"),
    IF(
        Input!B25="Female",
        IFERROR(INDEX('Metric coefficients'!$P$2:$P$29, MATCH(Input!F25, 'Metric coefficients'!$M$2:$M$29, 0)), "Not Found"),
        ""
    )
)</f>
        <v>-0.11242000000000001</v>
      </c>
      <c r="M25" s="35">
        <v>160</v>
      </c>
      <c r="N25" s="16">
        <f t="shared" si="3"/>
        <v>62.992160000000005</v>
      </c>
      <c r="O25" s="16">
        <f t="shared" si="4"/>
        <v>62.834528480000003</v>
      </c>
      <c r="P25" s="16">
        <f t="shared" si="5"/>
        <v>159.59970233920001</v>
      </c>
      <c r="Q25" s="35">
        <v>168</v>
      </c>
      <c r="R25" s="16">
        <f t="shared" si="6"/>
        <v>66.141767999999999</v>
      </c>
      <c r="S25" s="16">
        <f t="shared" si="7"/>
        <v>65.481388439999989</v>
      </c>
      <c r="T25" s="16">
        <f t="shared" si="8"/>
        <v>166.32272663759997</v>
      </c>
      <c r="U25" s="16">
        <f t="shared" si="9"/>
        <v>162.9612144884</v>
      </c>
      <c r="V25" s="17">
        <f>IF(
    Input!B25="Male",
    IFERROR(INDEX('Metric coefficients'!$G$2:$G$29, MATCH(Input!F25, 'Metric coefficients'!$A$2:$A$29, 0)), "Not Found"),
    IF(
        Input!B25="Female",
        IFERROR(INDEX('Metric coefficients'!$Q$2:$Q$29, MATCH(Input!F25, 'Metric coefficients'!$M$2:$M$29, 0)), "Not Found"),
        ""
    )
)</f>
        <v>0.60926999999999998</v>
      </c>
      <c r="W25" s="17" cm="1">
        <f t="array" ref="W25">_xlfn.IFS(B25="Male",U25*0.393701+2.5,B25="Female",U25*0.393701-2.5)</f>
        <v>66.657993105297578</v>
      </c>
      <c r="X25" s="16">
        <f>IF(
    Input!B25="Male",
    IFERROR(INDEX('Metric coefficients'!$D$2:$D$29, MATCH(Input!F25, 'Metric coefficients'!$A$2:$A$29, 0)), "Not Found"),
    IF(
        Input!B25="Female",
        IFERROR(INDEX('Metric coefficients'!$N$2:$N$29, MATCH(Input!F25, 'Metric coefficients'!$M$2:$M$29, 0)), "Not Found"),
        ""
    )
)</f>
        <v>-23.7546</v>
      </c>
      <c r="Y25" s="25">
        <f t="shared" si="10"/>
        <v>178.33918915134745</v>
      </c>
      <c r="Z25" s="16">
        <f t="shared" si="11"/>
        <v>88.707367546537213</v>
      </c>
      <c r="AA25" s="16" cm="1">
        <f t="array" ref="AA25">_xlfn.IFS(
    B25="Male", _xlfn.XLOOKUP(0, ABS(SA!$C$2:$C$218 - Input!Z25), SA!$A$2:$A$218, " ", 1),
    B25="Female", _xlfn.XLOOKUP(0, ABS(SA!$E$2:$E$218 - Input!Z25), SA!$A$2:$A$218, " ", 1)
)</f>
        <v>13.333</v>
      </c>
      <c r="AB25" s="16">
        <f t="shared" si="12"/>
        <v>1.1691111111111105</v>
      </c>
      <c r="AC25" s="16" t="str" cm="1">
        <f t="array" ref="AC25">_xlfn.IFS(AB25=" "," ", AB25&gt;0.5,"Early",AB25&lt;=-0.5,"Late",AND(AB25&gt;=-0.5,AB25&lt;=0.5),"On Time")</f>
        <v>Early</v>
      </c>
      <c r="AD25" s="16" t="str" cm="1">
        <f t="array" ref="AD25">_xlfn.IFS(AB25=" "," ", AB25&gt;1,"Early",AB25&lt;=-1,"Late",AND(AB25&gt;=-1,AB25&lt;=1),"On Time")</f>
        <v>Early</v>
      </c>
      <c r="AE25" s="16" t="str">
        <f t="shared" si="13"/>
        <v>Circa-PHV</v>
      </c>
      <c r="AF25" s="25">
        <f>Y25 - IFERROR(INDEX(Errors!$B$2:$B$100, MATCH(F25 + 0.5, Errors!$A$2:$A$100, 0)), 0)</f>
        <v>175.83918915134745</v>
      </c>
      <c r="AG25" s="25">
        <f>Y25 + IFERROR(INDEX(Errors!$B$2:$B$100, MATCH(F25 + 0.5, Errors!$A$2:$A$100, 0)), 0)</f>
        <v>180.83918915134745</v>
      </c>
      <c r="AH25" s="25">
        <f>Y25 - IFERROR(INDEX(Errors!$C$2:$C$100, MATCH(F25 + 0.5, Errors!$A$2:$A$100, 0)), 0)</f>
        <v>171.60818915134746</v>
      </c>
      <c r="AI25" s="25">
        <f>Y25 + IFERROR(INDEX(Errors!$C$2:$C$100, MATCH(F25 + 0.5, Errors!$A$2:$A$100, 0)), 0)</f>
        <v>185.07018915134745</v>
      </c>
    </row>
    <row r="26" spans="1:35">
      <c r="A26" s="40">
        <v>25</v>
      </c>
      <c r="B26" s="34" t="s">
        <v>34</v>
      </c>
      <c r="C26" s="36">
        <v>40855</v>
      </c>
      <c r="D26" s="36">
        <v>45661</v>
      </c>
      <c r="E26" s="15">
        <f t="shared" si="0"/>
        <v>13.155555555555555</v>
      </c>
      <c r="F26" s="15">
        <f t="shared" si="1"/>
        <v>13</v>
      </c>
      <c r="G26" s="34">
        <v>42.4</v>
      </c>
      <c r="H26" s="16">
        <f t="shared" si="14"/>
        <v>93.492000000000004</v>
      </c>
      <c r="I26" s="34">
        <v>155.69999999999999</v>
      </c>
      <c r="J26" s="16">
        <f>IF(
    Input!B26="Male",
    IFERROR(INDEX('Metric coefficients'!$E$2:$E$29, MATCH(Input!F26, 'Metric coefficients'!$A$2:$A$29, 0)), "Not Found"),
    IF(
        Input!B26="Female",
        IFERROR(INDEX('Metric coefficients'!$O$2:$O$29, MATCH(Input!F26, 'Metric coefficients'!$M$2:$M$29, 0)), "Not Found"),
        ""
    )
)</f>
        <v>0.60818000000000005</v>
      </c>
      <c r="K26" s="16">
        <f t="shared" si="2"/>
        <v>61.2992457</v>
      </c>
      <c r="L26" s="16">
        <f>IF(
    Input!B26="Male",
    IFERROR(INDEX('Metric coefficients'!$F$2:$F$29, MATCH(Input!F26, 'Metric coefficients'!$A$2:$A$29, 0)), "Not Found"),
    IF(
        Input!B26="Female",
        IFERROR(INDEX('Metric coefficients'!$P$2:$P$29, MATCH(Input!F26, 'Metric coefficients'!$M$2:$M$29, 0)), "Not Found"),
        ""
    )
)</f>
        <v>-7.7810000000000004E-2</v>
      </c>
      <c r="M26" s="34">
        <v>161</v>
      </c>
      <c r="N26" s="16">
        <f t="shared" si="3"/>
        <v>63.385861000000006</v>
      </c>
      <c r="O26" s="16">
        <f t="shared" si="4"/>
        <v>63.209725532999997</v>
      </c>
      <c r="P26" s="16">
        <f t="shared" si="5"/>
        <v>160.55270285381999</v>
      </c>
      <c r="Q26" s="34">
        <v>181</v>
      </c>
      <c r="R26" s="16">
        <f t="shared" si="6"/>
        <v>71.259881000000007</v>
      </c>
      <c r="S26" s="16">
        <f t="shared" si="7"/>
        <v>70.369186355000011</v>
      </c>
      <c r="T26" s="16">
        <f t="shared" si="8"/>
        <v>178.73773334170002</v>
      </c>
      <c r="U26" s="16">
        <f t="shared" si="9"/>
        <v>169.64521809775999</v>
      </c>
      <c r="V26" s="17">
        <f>IF(
    Input!B26="Male",
    IFERROR(INDEX('Metric coefficients'!$G$2:$G$29, MATCH(Input!F26, 'Metric coefficients'!$A$2:$A$29, 0)), "Not Found"),
    IF(
        Input!B26="Female",
        IFERROR(INDEX('Metric coefficients'!$Q$2:$Q$29, MATCH(Input!F26, 'Metric coefficients'!$M$2:$M$29, 0)), "Not Found"),
        ""
    )
)</f>
        <v>0.62407000000000001</v>
      </c>
      <c r="W26" s="17" cm="1">
        <f t="array" ref="W26">_xlfn.IFS(B26="Male",U26*0.393701+2.5,B26="Female",U26*0.393701-2.5)</f>
        <v>69.289492010306205</v>
      </c>
      <c r="X26" s="16">
        <f>IF(
    Input!B26="Male",
    IFERROR(INDEX('Metric coefficients'!$D$2:$D$29, MATCH(Input!F26, 'Metric coefficients'!$A$2:$A$29, 0)), "Not Found"),
    IF(
        Input!B26="Female",
        IFERROR(INDEX('Metric coefficients'!$N$2:$N$29, MATCH(Input!F26, 'Metric coefficients'!$M$2:$M$29, 0)), "Not Found"),
        ""
    )
)</f>
        <v>-19.9726</v>
      </c>
      <c r="Y26" s="25">
        <f t="shared" si="10"/>
        <v>177.29237325826909</v>
      </c>
      <c r="Z26" s="16">
        <f t="shared" si="11"/>
        <v>87.82103659540131</v>
      </c>
      <c r="AA26" s="16" cm="1">
        <f t="array" ref="AA26">_xlfn.IFS(
    B26="Male", _xlfn.XLOOKUP(0, ABS(SA!$C$2:$C$218 - Input!Z26), SA!$A$2:$A$218, " ", 1),
    B26="Female", _xlfn.XLOOKUP(0, ABS(SA!$E$2:$E$218 - Input!Z26), SA!$A$2:$A$218, " ", 1)
)</f>
        <v>13.167</v>
      </c>
      <c r="AB26" s="16">
        <f t="shared" si="12"/>
        <v>1.1444444444444812E-2</v>
      </c>
      <c r="AC26" s="16" t="str" cm="1">
        <f t="array" ref="AC26">_xlfn.IFS(AB26=" "," ", AB26&gt;0.5,"Early",AB26&lt;=-0.5,"Late",AND(AB26&gt;=-0.5,AB26&lt;=0.5),"On Time")</f>
        <v>On Time</v>
      </c>
      <c r="AD26" s="16" t="str" cm="1">
        <f t="array" ref="AD26">_xlfn.IFS(AB26=" "," ", AB26&gt;1,"Early",AB26&lt;=-1,"Late",AND(AB26&gt;=-1,AB26&lt;=1),"On Time")</f>
        <v>On Time</v>
      </c>
      <c r="AE26" s="16" t="str">
        <f t="shared" si="13"/>
        <v>Pre-PHV</v>
      </c>
      <c r="AF26" s="25">
        <f>Y26 - IFERROR(INDEX(Errors!$B$2:$B$100, MATCH(F26 + 0.5, Errors!$A$2:$A$100, 0)), 0)</f>
        <v>174.59237325826911</v>
      </c>
      <c r="AG26" s="25">
        <f>Y26 + IFERROR(INDEX(Errors!$B$2:$B$100, MATCH(F26 + 0.5, Errors!$A$2:$A$100, 0)), 0)</f>
        <v>179.99237325826908</v>
      </c>
      <c r="AH26" s="25">
        <f>Y26 - IFERROR(INDEX(Errors!$C$2:$C$100, MATCH(F26 + 0.5, Errors!$A$2:$A$100, 0)), 0)</f>
        <v>169.97717325826909</v>
      </c>
      <c r="AI26" s="25">
        <f>Y26 + IFERROR(INDEX(Errors!$C$2:$C$100, MATCH(F26 + 0.5, Errors!$A$2:$A$100, 0)), 0)</f>
        <v>184.6075732582691</v>
      </c>
    </row>
    <row r="27" spans="1:35">
      <c r="A27" s="40">
        <v>26</v>
      </c>
      <c r="B27" s="35" t="s">
        <v>34</v>
      </c>
      <c r="C27" s="37">
        <v>40837</v>
      </c>
      <c r="D27" s="37">
        <v>45661</v>
      </c>
      <c r="E27" s="15">
        <f t="shared" si="0"/>
        <v>13.202777777777778</v>
      </c>
      <c r="F27" s="15">
        <f t="shared" si="1"/>
        <v>13</v>
      </c>
      <c r="G27" s="35">
        <v>57.2</v>
      </c>
      <c r="H27" s="16">
        <f t="shared" si="14"/>
        <v>126.126</v>
      </c>
      <c r="I27" s="35">
        <v>166.5</v>
      </c>
      <c r="J27" s="16">
        <f>IF(
    Input!B27="Male",
    IFERROR(INDEX('Metric coefficients'!$E$2:$E$29, MATCH(Input!F27, 'Metric coefficients'!$A$2:$A$29, 0)), "Not Found"),
    IF(
        Input!B27="Female",
        IFERROR(INDEX('Metric coefficients'!$O$2:$O$29, MATCH(Input!F27, 'Metric coefficients'!$M$2:$M$29, 0)), "Not Found"),
        ""
    )
)</f>
        <v>0.60818000000000005</v>
      </c>
      <c r="K27" s="16">
        <f t="shared" si="2"/>
        <v>65.55121650000001</v>
      </c>
      <c r="L27" s="16">
        <f>IF(
    Input!B27="Male",
    IFERROR(INDEX('Metric coefficients'!$F$2:$F$29, MATCH(Input!F27, 'Metric coefficients'!$A$2:$A$29, 0)), "Not Found"),
    IF(
        Input!B27="Female",
        IFERROR(INDEX('Metric coefficients'!$P$2:$P$29, MATCH(Input!F27, 'Metric coefficients'!$M$2:$M$29, 0)), "Not Found"),
        ""
    )
)</f>
        <v>-7.7810000000000004E-2</v>
      </c>
      <c r="M27" s="35">
        <v>159</v>
      </c>
      <c r="N27" s="16">
        <f t="shared" si="3"/>
        <v>62.598459000000005</v>
      </c>
      <c r="O27" s="16">
        <f t="shared" si="4"/>
        <v>62.459331427000002</v>
      </c>
      <c r="P27" s="16">
        <f t="shared" si="5"/>
        <v>158.64670182458002</v>
      </c>
      <c r="Q27" s="35">
        <v>160</v>
      </c>
      <c r="R27" s="16">
        <f t="shared" si="6"/>
        <v>62.992160000000005</v>
      </c>
      <c r="S27" s="16">
        <f t="shared" si="7"/>
        <v>62.473512800000002</v>
      </c>
      <c r="T27" s="16">
        <f t="shared" si="8"/>
        <v>158.682722512</v>
      </c>
      <c r="U27" s="16">
        <f t="shared" si="9"/>
        <v>158.66471216829001</v>
      </c>
      <c r="V27" s="17">
        <f>IF(
    Input!B27="Male",
    IFERROR(INDEX('Metric coefficients'!$G$2:$G$29, MATCH(Input!F27, 'Metric coefficients'!$A$2:$A$29, 0)), "Not Found"),
    IF(
        Input!B27="Female",
        IFERROR(INDEX('Metric coefficients'!$Q$2:$Q$29, MATCH(Input!F27, 'Metric coefficients'!$M$2:$M$29, 0)), "Not Found"),
        ""
    )
)</f>
        <v>0.62407000000000001</v>
      </c>
      <c r="W27" s="17" cm="1">
        <f t="array" ref="W27">_xlfn.IFS(B27="Male",U27*0.393701+2.5,B27="Female",U27*0.393701-2.5)</f>
        <v>64.966455845367946</v>
      </c>
      <c r="X27" s="16">
        <f>IF(
    Input!B27="Male",
    IFERROR(INDEX('Metric coefficients'!$D$2:$D$29, MATCH(Input!F27, 'Metric coefficients'!$A$2:$A$29, 0)), "Not Found"),
    IF(
        Input!B27="Female",
        IFERROR(INDEX('Metric coefficients'!$N$2:$N$29, MATCH(Input!F27, 'Metric coefficients'!$M$2:$M$29, 0)), "Not Found"),
        ""
    )
)</f>
        <v>-19.9726</v>
      </c>
      <c r="Y27" s="25">
        <f t="shared" si="10"/>
        <v>175.85652492286476</v>
      </c>
      <c r="Z27" s="16">
        <f t="shared" si="11"/>
        <v>94.679455353181368</v>
      </c>
      <c r="AA27" s="16" cm="1">
        <f t="array" ref="AA27">_xlfn.IFS(
    B27="Male", _xlfn.XLOOKUP(0, ABS(SA!$C$2:$C$218 - Input!Z27), SA!$A$2:$A$218, " ", 1),
    B27="Female", _xlfn.XLOOKUP(0, ABS(SA!$E$2:$E$218 - Input!Z27), SA!$A$2:$A$218, " ", 1)
)</f>
        <v>14.833</v>
      </c>
      <c r="AB27" s="16">
        <f t="shared" si="12"/>
        <v>1.6302222222222227</v>
      </c>
      <c r="AC27" s="16" t="str" cm="1">
        <f t="array" ref="AC27">_xlfn.IFS(AB27=" "," ", AB27&gt;0.5,"Early",AB27&lt;=-0.5,"Late",AND(AB27&gt;=-0.5,AB27&lt;=0.5),"On Time")</f>
        <v>Early</v>
      </c>
      <c r="AD27" s="16" t="str" cm="1">
        <f t="array" ref="AD27">_xlfn.IFS(AB27=" "," ", AB27&gt;1,"Early",AB27&lt;=-1,"Late",AND(AB27&gt;=-1,AB27&lt;=1),"On Time")</f>
        <v>Early</v>
      </c>
      <c r="AE27" s="16" t="str">
        <f t="shared" si="13"/>
        <v>Circa-PHV</v>
      </c>
      <c r="AF27" s="25">
        <f>Y27 - IFERROR(INDEX(Errors!$B$2:$B$100, MATCH(F27 + 0.5, Errors!$A$2:$A$100, 0)), 0)</f>
        <v>173.15652492286478</v>
      </c>
      <c r="AG27" s="25">
        <f>Y27 + IFERROR(INDEX(Errors!$B$2:$B$100, MATCH(F27 + 0.5, Errors!$A$2:$A$100, 0)), 0)</f>
        <v>178.55652492286475</v>
      </c>
      <c r="AH27" s="25">
        <f>Y27 - IFERROR(INDEX(Errors!$C$2:$C$100, MATCH(F27 + 0.5, Errors!$A$2:$A$100, 0)), 0)</f>
        <v>168.54132492286476</v>
      </c>
      <c r="AI27" s="25">
        <f>Y27 + IFERROR(INDEX(Errors!$C$2:$C$100, MATCH(F27 + 0.5, Errors!$A$2:$A$100, 0)), 0)</f>
        <v>183.17172492286477</v>
      </c>
    </row>
    <row r="28" spans="1:35">
      <c r="A28" s="40">
        <v>27</v>
      </c>
      <c r="B28" s="34" t="s">
        <v>34</v>
      </c>
      <c r="C28" s="36">
        <v>40294</v>
      </c>
      <c r="D28" s="36">
        <v>45661</v>
      </c>
      <c r="E28" s="15">
        <f t="shared" si="0"/>
        <v>14.688888888888888</v>
      </c>
      <c r="F28" s="15">
        <f t="shared" si="1"/>
        <v>14.5</v>
      </c>
      <c r="G28" s="34">
        <v>60.5</v>
      </c>
      <c r="H28" s="16">
        <f t="shared" si="14"/>
        <v>133.4025</v>
      </c>
      <c r="I28" s="34">
        <v>163.69999999999999</v>
      </c>
      <c r="J28" s="16">
        <f>IF(
    Input!B28="Male",
    IFERROR(INDEX('Metric coefficients'!$E$2:$E$29, MATCH(Input!F28, 'Metric coefficients'!$A$2:$A$29, 0)), "Not Found"),
    IF(
        Input!B28="Female",
        IFERROR(INDEX('Metric coefficients'!$O$2:$O$29, MATCH(Input!F28, 'Metric coefficients'!$M$2:$M$29, 0)), "Not Found"),
        ""
    )
)</f>
        <v>0.60643000000000002</v>
      </c>
      <c r="K28" s="16">
        <f t="shared" si="2"/>
        <v>64.448853700000001</v>
      </c>
      <c r="L28" s="16">
        <f>IF(
    Input!B28="Male",
    IFERROR(INDEX('Metric coefficients'!$F$2:$F$29, MATCH(Input!F28, 'Metric coefficients'!$A$2:$A$29, 0)), "Not Found"),
    IF(
        Input!B28="Female",
        IFERROR(INDEX('Metric coefficients'!$P$2:$P$29, MATCH(Input!F28, 'Metric coefficients'!$M$2:$M$29, 0)), "Not Found"),
        ""
    )
)</f>
        <v>-4.6260000000000003E-2</v>
      </c>
      <c r="M28" s="34">
        <v>153</v>
      </c>
      <c r="N28" s="16">
        <f t="shared" si="3"/>
        <v>60.236253000000005</v>
      </c>
      <c r="O28" s="16">
        <f t="shared" si="4"/>
        <v>60.208149108999997</v>
      </c>
      <c r="P28" s="16">
        <f t="shared" si="5"/>
        <v>152.92869873685999</v>
      </c>
      <c r="Q28" s="34">
        <v>178.5</v>
      </c>
      <c r="R28" s="16">
        <f t="shared" si="6"/>
        <v>70.27562850000001</v>
      </c>
      <c r="S28" s="16">
        <f t="shared" si="7"/>
        <v>69.429225217500004</v>
      </c>
      <c r="T28" s="16">
        <f t="shared" si="8"/>
        <v>176.35023205245002</v>
      </c>
      <c r="U28" s="16">
        <f t="shared" si="9"/>
        <v>164.63946539465502</v>
      </c>
      <c r="V28" s="17">
        <f>IF(
    Input!B28="Male",
    IFERROR(INDEX('Metric coefficients'!$G$2:$G$29, MATCH(Input!F28, 'Metric coefficients'!$A$2:$A$29, 0)), "Not Found"),
    IF(
        Input!B28="Female",
        IFERROR(INDEX('Metric coefficients'!$Q$2:$Q$29, MATCH(Input!F28, 'Metric coefficients'!$M$2:$M$29, 0)), "Not Found"),
        ""
    )
)</f>
        <v>0.54874999999999996</v>
      </c>
      <c r="W28" s="17" cm="1">
        <f t="array" ref="W28">_xlfn.IFS(B28="Male",U28*0.393701+2.5,B28="Female",U28*0.393701-2.5)</f>
        <v>67.318722165341086</v>
      </c>
      <c r="X28" s="16">
        <f>IF(
    Input!B28="Male",
    IFERROR(INDEX('Metric coefficients'!$D$2:$D$29, MATCH(Input!F28, 'Metric coefficients'!$A$2:$A$29, 0)), "Not Found"),
    IF(
        Input!B28="Female",
        IFERROR(INDEX('Metric coefficients'!$N$2:$N$29, MATCH(Input!F28, 'Metric coefficients'!$M$2:$M$29, 0)), "Not Found"),
        ""
    )
)</f>
        <v>-14.6249</v>
      </c>
      <c r="Y28" s="25">
        <f t="shared" si="10"/>
        <v>172.19486763531694</v>
      </c>
      <c r="Z28" s="16">
        <f t="shared" si="11"/>
        <v>95.066712642499994</v>
      </c>
      <c r="AA28" s="16" cm="1">
        <f t="array" ref="AA28">_xlfn.IFS(
    B28="Male", _xlfn.XLOOKUP(0, ABS(SA!$C$2:$C$218 - Input!Z28), SA!$A$2:$A$218, " ", 1),
    B28="Female", _xlfn.XLOOKUP(0, ABS(SA!$E$2:$E$218 - Input!Z28), SA!$A$2:$A$218, " ", 1)
)</f>
        <v>15</v>
      </c>
      <c r="AB28" s="16">
        <f t="shared" si="12"/>
        <v>0.31111111111111178</v>
      </c>
      <c r="AC28" s="16" t="str" cm="1">
        <f t="array" ref="AC28">_xlfn.IFS(AB28=" "," ", AB28&gt;0.5,"Early",AB28&lt;=-0.5,"Late",AND(AB28&gt;=-0.5,AB28&lt;=0.5),"On Time")</f>
        <v>On Time</v>
      </c>
      <c r="AD28" s="16" t="str" cm="1">
        <f t="array" ref="AD28">_xlfn.IFS(AB28=" "," ", AB28&gt;1,"Early",AB28&lt;=-1,"Late",AND(AB28&gt;=-1,AB28&lt;=1),"On Time")</f>
        <v>On Time</v>
      </c>
      <c r="AE28" s="16" t="str">
        <f t="shared" si="13"/>
        <v>Post PHV</v>
      </c>
      <c r="AF28" s="25">
        <f>Y28 - IFERROR(INDEX(Errors!$B$2:$B$100, MATCH(F28 + 0.5, Errors!$A$2:$A$100, 0)), 0)</f>
        <v>169.89486763531693</v>
      </c>
      <c r="AG28" s="25">
        <f>Y28 + IFERROR(INDEX(Errors!$B$2:$B$100, MATCH(F28 + 0.5, Errors!$A$2:$A$100, 0)), 0)</f>
        <v>174.49486763531695</v>
      </c>
      <c r="AH28" s="25">
        <f>Y28 - IFERROR(INDEX(Errors!$C$2:$C$100, MATCH(F28 + 0.5, Errors!$A$2:$A$100, 0)), 0)</f>
        <v>166.37826763531694</v>
      </c>
      <c r="AI28" s="25">
        <f>Y28 + IFERROR(INDEX(Errors!$C$2:$C$100, MATCH(F28 + 0.5, Errors!$A$2:$A$100, 0)), 0)</f>
        <v>178.01146763531693</v>
      </c>
    </row>
    <row r="29" spans="1:35">
      <c r="A29" s="40">
        <v>28</v>
      </c>
      <c r="B29" s="35" t="s">
        <v>34</v>
      </c>
      <c r="C29" s="37">
        <v>40295</v>
      </c>
      <c r="D29" s="37">
        <v>45661</v>
      </c>
      <c r="E29" s="15">
        <f t="shared" si="0"/>
        <v>14.686111111111112</v>
      </c>
      <c r="F29" s="15">
        <f t="shared" si="1"/>
        <v>14.5</v>
      </c>
      <c r="G29" s="35">
        <v>51.1</v>
      </c>
      <c r="H29" s="16">
        <f t="shared" si="14"/>
        <v>112.67550000000001</v>
      </c>
      <c r="I29" s="35">
        <v>165.5</v>
      </c>
      <c r="J29" s="16">
        <f>IF(
    Input!B29="Male",
    IFERROR(INDEX('Metric coefficients'!$E$2:$E$29, MATCH(Input!F29, 'Metric coefficients'!$A$2:$A$29, 0)), "Not Found"),
    IF(
        Input!B29="Female",
        IFERROR(INDEX('Metric coefficients'!$O$2:$O$29, MATCH(Input!F29, 'Metric coefficients'!$M$2:$M$29, 0)), "Not Found"),
        ""
    )
)</f>
        <v>0.60643000000000002</v>
      </c>
      <c r="K29" s="16">
        <f t="shared" si="2"/>
        <v>65.157515500000002</v>
      </c>
      <c r="L29" s="16">
        <f>IF(
    Input!B29="Male",
    IFERROR(INDEX('Metric coefficients'!$F$2:$F$29, MATCH(Input!F29, 'Metric coefficients'!$A$2:$A$29, 0)), "Not Found"),
    IF(
        Input!B29="Female",
        IFERROR(INDEX('Metric coefficients'!$P$2:$P$29, MATCH(Input!F29, 'Metric coefficients'!$M$2:$M$29, 0)), "Not Found"),
        ""
    )
)</f>
        <v>-4.6260000000000003E-2</v>
      </c>
      <c r="M29" s="35">
        <v>159</v>
      </c>
      <c r="N29" s="16">
        <f t="shared" si="3"/>
        <v>62.598459000000005</v>
      </c>
      <c r="O29" s="16">
        <f t="shared" si="4"/>
        <v>62.459331427000002</v>
      </c>
      <c r="P29" s="16">
        <f t="shared" si="5"/>
        <v>158.64670182458002</v>
      </c>
      <c r="Q29" s="35">
        <v>160</v>
      </c>
      <c r="R29" s="16">
        <f t="shared" si="6"/>
        <v>62.992160000000005</v>
      </c>
      <c r="S29" s="16">
        <f t="shared" si="7"/>
        <v>62.473512800000002</v>
      </c>
      <c r="T29" s="16">
        <f t="shared" si="8"/>
        <v>158.682722512</v>
      </c>
      <c r="U29" s="16">
        <f t="shared" si="9"/>
        <v>158.66471216829001</v>
      </c>
      <c r="V29" s="17">
        <f>IF(
    Input!B29="Male",
    IFERROR(INDEX('Metric coefficients'!$G$2:$G$29, MATCH(Input!F29, 'Metric coefficients'!$A$2:$A$29, 0)), "Not Found"),
    IF(
        Input!B29="Female",
        IFERROR(INDEX('Metric coefficients'!$Q$2:$Q$29, MATCH(Input!F29, 'Metric coefficients'!$M$2:$M$29, 0)), "Not Found"),
        ""
    )
)</f>
        <v>0.54874999999999996</v>
      </c>
      <c r="W29" s="17" cm="1">
        <f t="array" ref="W29">_xlfn.IFS(B29="Male",U29*0.393701+2.5,B29="Female",U29*0.393701-2.5)</f>
        <v>64.966455845367946</v>
      </c>
      <c r="X29" s="16">
        <f>IF(
    Input!B29="Male",
    IFERROR(INDEX('Metric coefficients'!$D$2:$D$29, MATCH(Input!F29, 'Metric coefficients'!$A$2:$A$29, 0)), "Not Found"),
    IF(
        Input!B29="Female",
        IFERROR(INDEX('Metric coefficients'!$N$2:$N$29, MATCH(Input!F29, 'Metric coefficients'!$M$2:$M$29, 0)), "Not Found"),
        ""
    )
)</f>
        <v>-14.6249</v>
      </c>
      <c r="Y29" s="25">
        <f t="shared" si="10"/>
        <v>170.44263980234916</v>
      </c>
      <c r="Z29" s="16">
        <f t="shared" si="11"/>
        <v>97.100115435855244</v>
      </c>
      <c r="AA29" s="16" cm="1">
        <f t="array" ref="AA29">_xlfn.IFS(
    B29="Male", _xlfn.XLOOKUP(0, ABS(SA!$C$2:$C$218 - Input!Z29), SA!$A$2:$A$218, " ", 1),
    B29="Female", _xlfn.XLOOKUP(0, ABS(SA!$E$2:$E$218 - Input!Z29), SA!$A$2:$A$218, " ", 1)
)</f>
        <v>15.75</v>
      </c>
      <c r="AB29" s="16">
        <f t="shared" si="12"/>
        <v>1.0638888888888882</v>
      </c>
      <c r="AC29" s="16" t="str" cm="1">
        <f t="array" ref="AC29">_xlfn.IFS(AB29=" "," ", AB29&gt;0.5,"Early",AB29&lt;=-0.5,"Late",AND(AB29&gt;=-0.5,AB29&lt;=0.5),"On Time")</f>
        <v>Early</v>
      </c>
      <c r="AD29" s="16" t="str" cm="1">
        <f t="array" ref="AD29">_xlfn.IFS(AB29=" "," ", AB29&gt;1,"Early",AB29&lt;=-1,"Late",AND(AB29&gt;=-1,AB29&lt;=1),"On Time")</f>
        <v>Early</v>
      </c>
      <c r="AE29" s="16" t="str">
        <f t="shared" si="13"/>
        <v>Post PHV</v>
      </c>
      <c r="AF29" s="25">
        <f>Y29 - IFERROR(INDEX(Errors!$B$2:$B$100, MATCH(F29 + 0.5, Errors!$A$2:$A$100, 0)), 0)</f>
        <v>168.14263980234915</v>
      </c>
      <c r="AG29" s="25">
        <f>Y29 + IFERROR(INDEX(Errors!$B$2:$B$100, MATCH(F29 + 0.5, Errors!$A$2:$A$100, 0)), 0)</f>
        <v>172.74263980234917</v>
      </c>
      <c r="AH29" s="25">
        <f>Y29 - IFERROR(INDEX(Errors!$C$2:$C$100, MATCH(F29 + 0.5, Errors!$A$2:$A$100, 0)), 0)</f>
        <v>164.62603980234917</v>
      </c>
      <c r="AI29" s="25">
        <f>Y29 + IFERROR(INDEX(Errors!$C$2:$C$100, MATCH(F29 + 0.5, Errors!$A$2:$A$100, 0)), 0)</f>
        <v>176.25923980234916</v>
      </c>
    </row>
    <row r="30" spans="1:35">
      <c r="A30" s="40">
        <v>29</v>
      </c>
      <c r="B30" s="34" t="s">
        <v>35</v>
      </c>
      <c r="C30" s="36">
        <v>40497</v>
      </c>
      <c r="D30" s="36">
        <v>45662</v>
      </c>
      <c r="E30" s="15">
        <f t="shared" si="0"/>
        <v>14.138888888888889</v>
      </c>
      <c r="F30" s="15">
        <f t="shared" si="1"/>
        <v>14</v>
      </c>
      <c r="G30" s="39">
        <v>50</v>
      </c>
      <c r="H30" s="16">
        <f t="shared" si="14"/>
        <v>110.25</v>
      </c>
      <c r="I30" s="34">
        <v>169.4</v>
      </c>
      <c r="J30" s="16">
        <f>IF(
    Input!B30="Male",
    IFERROR(INDEX('Metric coefficients'!$E$2:$E$29, MATCH(Input!F30, 'Metric coefficients'!$A$2:$A$29, 0)), "Not Found"),
    IF(
        Input!B30="Female",
        IFERROR(INDEX('Metric coefficients'!$O$2:$O$29, MATCH(Input!F30, 'Metric coefficients'!$M$2:$M$29, 0)), "Not Found"),
        ""
    )
)</f>
        <v>0.85062000000000004</v>
      </c>
      <c r="K30" s="16">
        <f t="shared" si="2"/>
        <v>66.692949400000003</v>
      </c>
      <c r="L30" s="16">
        <f>IF(
    Input!B30="Male",
    IFERROR(INDEX('Metric coefficients'!$F$2:$F$29, MATCH(Input!F30, 'Metric coefficients'!$A$2:$A$29, 0)), "Not Found"),
    IF(
        Input!B30="Female",
        IFERROR(INDEX('Metric coefficients'!$P$2:$P$29, MATCH(Input!F30, 'Metric coefficients'!$M$2:$M$29, 0)), "Not Found"),
        ""
    )
)</f>
        <v>-0.13999</v>
      </c>
      <c r="M30" s="34">
        <v>168</v>
      </c>
      <c r="N30" s="16">
        <f t="shared" si="3"/>
        <v>66.141767999999999</v>
      </c>
      <c r="O30" s="16">
        <f t="shared" si="4"/>
        <v>65.836104903999995</v>
      </c>
      <c r="P30" s="16">
        <f t="shared" si="5"/>
        <v>167.22370645615999</v>
      </c>
      <c r="Q30" s="34">
        <v>186</v>
      </c>
      <c r="R30" s="16">
        <f t="shared" si="6"/>
        <v>73.228386</v>
      </c>
      <c r="S30" s="16">
        <f t="shared" si="7"/>
        <v>72.249108629999995</v>
      </c>
      <c r="T30" s="16">
        <f t="shared" si="8"/>
        <v>183.51273592019999</v>
      </c>
      <c r="U30" s="16">
        <f t="shared" si="9"/>
        <v>175.36822118817997</v>
      </c>
      <c r="V30" s="17">
        <f>IF(
    Input!B30="Male",
    IFERROR(INDEX('Metric coefficients'!$G$2:$G$29, MATCH(Input!F30, 'Metric coefficients'!$A$2:$A$29, 0)), "Not Found"),
    IF(
        Input!B30="Female",
        IFERROR(INDEX('Metric coefficients'!$Q$2:$Q$29, MATCH(Input!F30, 'Metric coefficients'!$M$2:$M$29, 0)), "Not Found"),
        ""
    )
)</f>
        <v>0.20235</v>
      </c>
      <c r="W30" s="17" cm="1">
        <f t="array" ref="W30">_xlfn.IFS(B30="Male",U30*0.393701+2.5,B30="Female",U30*0.393701-2.5)</f>
        <v>66.542644050007652</v>
      </c>
      <c r="X30" s="16">
        <f>IF(
    Input!B30="Male",
    IFERROR(INDEX('Metric coefficients'!$D$2:$D$29, MATCH(Input!F30, 'Metric coefficients'!$A$2:$A$29, 0)), "Not Found"),
    IF(
        Input!B30="Female",
        IFERROR(INDEX('Metric coefficients'!$N$2:$N$29, MATCH(Input!F30, 'Metric coefficients'!$M$2:$M$29, 0)), "Not Found"),
        ""
    )
)</f>
        <v>0.8236</v>
      </c>
      <c r="Y30" s="25">
        <f t="shared" si="10"/>
        <v>173.40488755742822</v>
      </c>
      <c r="Z30" s="16">
        <f t="shared" si="11"/>
        <v>97.690441363077568</v>
      </c>
      <c r="AA30" s="16" cm="1">
        <f t="array" ref="AA30">_xlfn.IFS(
    B30="Male", _xlfn.XLOOKUP(0, ABS(SA!$C$2:$C$218 - Input!Z30), SA!$A$2:$A$218, " ", 1),
    B30="Female", _xlfn.XLOOKUP(0, ABS(SA!$E$2:$E$218 - Input!Z30), SA!$A$2:$A$218, " ", 1)
)</f>
        <v>14.083</v>
      </c>
      <c r="AB30" s="16">
        <f t="shared" si="12"/>
        <v>-5.5888888888889099E-2</v>
      </c>
      <c r="AC30" s="16" t="str" cm="1">
        <f t="array" ref="AC30">_xlfn.IFS(AB30=" "," ", AB30&gt;0.5,"Early",AB30&lt;=-0.5,"Late",AND(AB30&gt;=-0.5,AB30&lt;=0.5),"On Time")</f>
        <v>On Time</v>
      </c>
      <c r="AD30" s="16" t="str" cm="1">
        <f t="array" ref="AD30">_xlfn.IFS(AB30=" "," ", AB30&gt;1,"Early",AB30&lt;=-1,"Late",AND(AB30&gt;=-1,AB30&lt;=1),"On Time")</f>
        <v>On Time</v>
      </c>
      <c r="AE30" s="16" t="str">
        <f t="shared" si="13"/>
        <v>Post PHV</v>
      </c>
      <c r="AF30" s="25">
        <f>Y30 - IFERROR(INDEX(Errors!$B$2:$B$100, MATCH(F30 + 0.5, Errors!$A$2:$A$100, 0)), 0)</f>
        <v>170.70488755742824</v>
      </c>
      <c r="AG30" s="25">
        <f>Y30 + IFERROR(INDEX(Errors!$B$2:$B$100, MATCH(F30 + 0.5, Errors!$A$2:$A$100, 0)), 0)</f>
        <v>176.10488755742821</v>
      </c>
      <c r="AH30" s="25">
        <f>Y30 - IFERROR(INDEX(Errors!$C$2:$C$100, MATCH(F30 + 0.5, Errors!$A$2:$A$100, 0)), 0)</f>
        <v>166.67388755742823</v>
      </c>
      <c r="AI30" s="25">
        <f>Y30 + IFERROR(INDEX(Errors!$C$2:$C$100, MATCH(F30 + 0.5, Errors!$A$2:$A$100, 0)), 0)</f>
        <v>180.13588755742822</v>
      </c>
    </row>
    <row r="31" spans="1:35">
      <c r="A31" s="40">
        <v>30</v>
      </c>
      <c r="B31" s="35" t="s">
        <v>35</v>
      </c>
      <c r="C31" s="37">
        <v>40554</v>
      </c>
      <c r="D31" s="37">
        <v>45662</v>
      </c>
      <c r="E31" s="15">
        <f t="shared" si="0"/>
        <v>13.983333333333333</v>
      </c>
      <c r="F31" s="15">
        <f t="shared" si="1"/>
        <v>14</v>
      </c>
      <c r="G31" s="38">
        <v>60.2</v>
      </c>
      <c r="H31" s="16">
        <f t="shared" si="14"/>
        <v>132.74100000000001</v>
      </c>
      <c r="I31" s="35">
        <v>168.7</v>
      </c>
      <c r="J31" s="16">
        <f>IF(
    Input!B31="Male",
    IFERROR(INDEX('Metric coefficients'!$E$2:$E$29, MATCH(Input!F31, 'Metric coefficients'!$A$2:$A$29, 0)), "Not Found"),
    IF(
        Input!B31="Female",
        IFERROR(INDEX('Metric coefficients'!$O$2:$O$29, MATCH(Input!F31, 'Metric coefficients'!$M$2:$M$29, 0)), "Not Found"),
        ""
    )
)</f>
        <v>0.85062000000000004</v>
      </c>
      <c r="K31" s="16">
        <f t="shared" si="2"/>
        <v>66.417358699999994</v>
      </c>
      <c r="L31" s="16">
        <f>IF(
    Input!B31="Male",
    IFERROR(INDEX('Metric coefficients'!$F$2:$F$29, MATCH(Input!F31, 'Metric coefficients'!$A$2:$A$29, 0)), "Not Found"),
    IF(
        Input!B31="Female",
        IFERROR(INDEX('Metric coefficients'!$P$2:$P$29, MATCH(Input!F31, 'Metric coefficients'!$M$2:$M$29, 0)), "Not Found"),
        ""
    )
)</f>
        <v>-0.13999</v>
      </c>
      <c r="M31" s="35">
        <v>175</v>
      </c>
      <c r="N31" s="16">
        <f t="shared" si="3"/>
        <v>68.897675000000007</v>
      </c>
      <c r="O31" s="16">
        <f t="shared" si="4"/>
        <v>68.462484274999994</v>
      </c>
      <c r="P31" s="16">
        <f t="shared" si="5"/>
        <v>173.89471005849998</v>
      </c>
      <c r="Q31" s="35">
        <v>180</v>
      </c>
      <c r="R31" s="16">
        <f t="shared" si="6"/>
        <v>70.86618</v>
      </c>
      <c r="S31" s="16">
        <f t="shared" si="7"/>
        <v>69.993201900000003</v>
      </c>
      <c r="T31" s="16">
        <f t="shared" si="8"/>
        <v>177.782732826</v>
      </c>
      <c r="U31" s="16">
        <f t="shared" si="9"/>
        <v>175.83872144225001</v>
      </c>
      <c r="V31" s="17">
        <f>IF(
    Input!B31="Male",
    IFERROR(INDEX('Metric coefficients'!$G$2:$G$29, MATCH(Input!F31, 'Metric coefficients'!$A$2:$A$29, 0)), "Not Found"),
    IF(
        Input!B31="Female",
        IFERROR(INDEX('Metric coefficients'!$Q$2:$Q$29, MATCH(Input!F31, 'Metric coefficients'!$M$2:$M$29, 0)), "Not Found"),
        ""
    )
)</f>
        <v>0.20235</v>
      </c>
      <c r="W31" s="17" cm="1">
        <f t="array" ref="W31">_xlfn.IFS(B31="Male",U31*0.393701+2.5,B31="Female",U31*0.393701-2.5)</f>
        <v>66.727880470535268</v>
      </c>
      <c r="X31" s="16">
        <f>IF(
    Input!B31="Male",
    IFERROR(INDEX('Metric coefficients'!$D$2:$D$29, MATCH(Input!F31, 'Metric coefficients'!$A$2:$A$29, 0)), "Not Found"),
    IF(
        Input!B31="Female",
        IFERROR(INDEX('Metric coefficients'!$N$2:$N$29, MATCH(Input!F31, 'Metric coefficients'!$M$2:$M$29, 0)), "Not Found"),
        ""
    )
)</f>
        <v>0.8236</v>
      </c>
      <c r="Y31" s="25">
        <f t="shared" si="10"/>
        <v>171.47676128383927</v>
      </c>
      <c r="Z31" s="16">
        <f t="shared" si="11"/>
        <v>98.38067778802808</v>
      </c>
      <c r="AA31" s="16" cm="1">
        <f t="array" ref="AA31">_xlfn.IFS(
    B31="Male", _xlfn.XLOOKUP(0, ABS(SA!$C$2:$C$218 - Input!Z31), SA!$A$2:$A$218, " ", 1),
    B31="Female", _xlfn.XLOOKUP(0, ABS(SA!$E$2:$E$218 - Input!Z31), SA!$A$2:$A$218, " ", 1)
)</f>
        <v>14.5</v>
      </c>
      <c r="AB31" s="16">
        <f t="shared" si="12"/>
        <v>0.5166666666666675</v>
      </c>
      <c r="AC31" s="16" t="str" cm="1">
        <f t="array" ref="AC31">_xlfn.IFS(AB31=" "," ", AB31&gt;0.5,"Early",AB31&lt;=-0.5,"Late",AND(AB31&gt;=-0.5,AB31&lt;=0.5),"On Time")</f>
        <v>Early</v>
      </c>
      <c r="AD31" s="16" t="str" cm="1">
        <f t="array" ref="AD31">_xlfn.IFS(AB31=" "," ", AB31&gt;1,"Early",AB31&lt;=-1,"Late",AND(AB31&gt;=-1,AB31&lt;=1),"On Time")</f>
        <v>On Time</v>
      </c>
      <c r="AE31" s="16" t="str">
        <f t="shared" si="13"/>
        <v>Post PHV</v>
      </c>
      <c r="AF31" s="25">
        <f>Y31 - IFERROR(INDEX(Errors!$B$2:$B$100, MATCH(F31 + 0.5, Errors!$A$2:$A$100, 0)), 0)</f>
        <v>168.77676128383928</v>
      </c>
      <c r="AG31" s="25">
        <f>Y31 + IFERROR(INDEX(Errors!$B$2:$B$100, MATCH(F31 + 0.5, Errors!$A$2:$A$100, 0)), 0)</f>
        <v>174.17676128383926</v>
      </c>
      <c r="AH31" s="25">
        <f>Y31 - IFERROR(INDEX(Errors!$C$2:$C$100, MATCH(F31 + 0.5, Errors!$A$2:$A$100, 0)), 0)</f>
        <v>164.74576128383927</v>
      </c>
      <c r="AI31" s="25">
        <f>Y31 + IFERROR(INDEX(Errors!$C$2:$C$100, MATCH(F31 + 0.5, Errors!$A$2:$A$100, 0)), 0)</f>
        <v>178.20776128383926</v>
      </c>
    </row>
    <row r="32" spans="1:35">
      <c r="A32" s="40">
        <v>31</v>
      </c>
      <c r="B32" s="34" t="s">
        <v>35</v>
      </c>
      <c r="C32" s="36">
        <v>40482</v>
      </c>
      <c r="D32" s="36">
        <v>45662</v>
      </c>
      <c r="E32" s="15">
        <f t="shared" si="0"/>
        <v>14.180555555555555</v>
      </c>
      <c r="F32" s="15">
        <f t="shared" si="1"/>
        <v>14</v>
      </c>
      <c r="G32" s="39">
        <v>63.8</v>
      </c>
      <c r="H32" s="16">
        <f t="shared" si="14"/>
        <v>140.679</v>
      </c>
      <c r="I32" s="34">
        <v>163.5</v>
      </c>
      <c r="J32" s="16">
        <f>IF(
    Input!B32="Male",
    IFERROR(INDEX('Metric coefficients'!$E$2:$E$29, MATCH(Input!F32, 'Metric coefficients'!$A$2:$A$29, 0)), "Not Found"),
    IF(
        Input!B32="Female",
        IFERROR(INDEX('Metric coefficients'!$O$2:$O$29, MATCH(Input!F32, 'Metric coefficients'!$M$2:$M$29, 0)), "Not Found"),
        ""
    )
)</f>
        <v>0.85062000000000004</v>
      </c>
      <c r="K32" s="16">
        <f t="shared" si="2"/>
        <v>64.370113500000002</v>
      </c>
      <c r="L32" s="16">
        <f>IF(
    Input!B32="Male",
    IFERROR(INDEX('Metric coefficients'!$F$2:$F$29, MATCH(Input!F32, 'Metric coefficients'!$A$2:$A$29, 0)), "Not Found"),
    IF(
        Input!B32="Female",
        IFERROR(INDEX('Metric coefficients'!$P$2:$P$29, MATCH(Input!F32, 'Metric coefficients'!$M$2:$M$29, 0)), "Not Found"),
        ""
    )
)</f>
        <v>-0.13999</v>
      </c>
      <c r="M32" s="34">
        <v>165</v>
      </c>
      <c r="N32" s="16">
        <f t="shared" si="3"/>
        <v>64.960665000000006</v>
      </c>
      <c r="O32" s="16">
        <f t="shared" si="4"/>
        <v>64.710513745</v>
      </c>
      <c r="P32" s="16">
        <f t="shared" si="5"/>
        <v>164.3647049123</v>
      </c>
      <c r="Q32" s="34">
        <v>176</v>
      </c>
      <c r="R32" s="16">
        <f t="shared" si="6"/>
        <v>69.291376</v>
      </c>
      <c r="S32" s="16">
        <f t="shared" si="7"/>
        <v>68.489264079999998</v>
      </c>
      <c r="T32" s="16">
        <f t="shared" si="8"/>
        <v>173.9627307632</v>
      </c>
      <c r="U32" s="16">
        <f t="shared" si="9"/>
        <v>169.16371783775</v>
      </c>
      <c r="V32" s="17">
        <f>IF(
    Input!B32="Male",
    IFERROR(INDEX('Metric coefficients'!$G$2:$G$29, MATCH(Input!F32, 'Metric coefficients'!$A$2:$A$29, 0)), "Not Found"),
    IF(
        Input!B32="Female",
        IFERROR(INDEX('Metric coefficients'!$Q$2:$Q$29, MATCH(Input!F32, 'Metric coefficients'!$M$2:$M$29, 0)), "Not Found"),
        ""
    )
)</f>
        <v>0.20235</v>
      </c>
      <c r="W32" s="17" cm="1">
        <f t="array" ref="W32">_xlfn.IFS(B32="Male",U32*0.393701+2.5,B32="Female",U32*0.393701-2.5)</f>
        <v>64.099924876440014</v>
      </c>
      <c r="X32" s="16">
        <f>IF(
    Input!B32="Male",
    IFERROR(INDEX('Metric coefficients'!$D$2:$D$29, MATCH(Input!F32, 'Metric coefficients'!$A$2:$A$29, 0)), "Not Found"),
    IF(
        Input!B32="Female",
        IFERROR(INDEX('Metric coefficients'!$N$2:$N$29, MATCH(Input!F32, 'Metric coefficients'!$M$2:$M$29, 0)), "Not Found"),
        ""
    )
)</f>
        <v>0.8236</v>
      </c>
      <c r="Y32" s="25">
        <f t="shared" si="10"/>
        <v>165.19888630446872</v>
      </c>
      <c r="Z32" s="16">
        <f t="shared" si="11"/>
        <v>98.971611526885482</v>
      </c>
      <c r="AA32" s="16" cm="1">
        <f t="array" ref="AA32">_xlfn.IFS(
    B32="Male", _xlfn.XLOOKUP(0, ABS(SA!$C$2:$C$218 - Input!Z32), SA!$A$2:$A$218, " ", 1),
    B32="Female", _xlfn.XLOOKUP(0, ABS(SA!$E$2:$E$218 - Input!Z32), SA!$A$2:$A$218, " ", 1)
)</f>
        <v>14.917</v>
      </c>
      <c r="AB32" s="16">
        <f t="shared" si="12"/>
        <v>0.73644444444444446</v>
      </c>
      <c r="AC32" s="16" t="str" cm="1">
        <f t="array" ref="AC32">_xlfn.IFS(AB32=" "," ", AB32&gt;0.5,"Early",AB32&lt;=-0.5,"Late",AND(AB32&gt;=-0.5,AB32&lt;=0.5),"On Time")</f>
        <v>Early</v>
      </c>
      <c r="AD32" s="16" t="str" cm="1">
        <f t="array" ref="AD32">_xlfn.IFS(AB32=" "," ", AB32&gt;1,"Early",AB32&lt;=-1,"Late",AND(AB32&gt;=-1,AB32&lt;=1),"On Time")</f>
        <v>On Time</v>
      </c>
      <c r="AE32" s="16" t="str">
        <f t="shared" si="13"/>
        <v>Post PHV</v>
      </c>
      <c r="AF32" s="25">
        <f>Y32 - IFERROR(INDEX(Errors!$B$2:$B$100, MATCH(F32 + 0.5, Errors!$A$2:$A$100, 0)), 0)</f>
        <v>162.49888630446873</v>
      </c>
      <c r="AG32" s="25">
        <f>Y32 + IFERROR(INDEX(Errors!$B$2:$B$100, MATCH(F32 + 0.5, Errors!$A$2:$A$100, 0)), 0)</f>
        <v>167.8988863044687</v>
      </c>
      <c r="AH32" s="25">
        <f>Y32 - IFERROR(INDEX(Errors!$C$2:$C$100, MATCH(F32 + 0.5, Errors!$A$2:$A$100, 0)), 0)</f>
        <v>158.46788630446872</v>
      </c>
      <c r="AI32" s="25">
        <f>Y32 + IFERROR(INDEX(Errors!$C$2:$C$100, MATCH(F32 + 0.5, Errors!$A$2:$A$100, 0)), 0)</f>
        <v>171.92988630446871</v>
      </c>
    </row>
    <row r="33" spans="1:35">
      <c r="A33" s="40">
        <v>32</v>
      </c>
      <c r="B33" s="35" t="s">
        <v>35</v>
      </c>
      <c r="C33" s="37">
        <v>40497</v>
      </c>
      <c r="D33" s="37">
        <v>45662</v>
      </c>
      <c r="E33" s="15">
        <f t="shared" si="0"/>
        <v>14.138888888888889</v>
      </c>
      <c r="F33" s="15">
        <f t="shared" si="1"/>
        <v>14</v>
      </c>
      <c r="G33" s="38">
        <v>49.1</v>
      </c>
      <c r="H33" s="16">
        <f t="shared" si="14"/>
        <v>108.2655</v>
      </c>
      <c r="I33" s="35">
        <v>159.5</v>
      </c>
      <c r="J33" s="16">
        <f>IF(
    Input!B33="Male",
    IFERROR(INDEX('Metric coefficients'!$E$2:$E$29, MATCH(Input!F33, 'Metric coefficients'!$A$2:$A$29, 0)), "Not Found"),
    IF(
        Input!B33="Female",
        IFERROR(INDEX('Metric coefficients'!$O$2:$O$29, MATCH(Input!F33, 'Metric coefficients'!$M$2:$M$29, 0)), "Not Found"),
        ""
    )
)</f>
        <v>0.85062000000000004</v>
      </c>
      <c r="K33" s="16">
        <f t="shared" si="2"/>
        <v>62.795309500000002</v>
      </c>
      <c r="L33" s="16">
        <f>IF(
    Input!B33="Male",
    IFERROR(INDEX('Metric coefficients'!$F$2:$F$29, MATCH(Input!F33, 'Metric coefficients'!$A$2:$A$29, 0)), "Not Found"),
    IF(
        Input!B33="Female",
        IFERROR(INDEX('Metric coefficients'!$P$2:$P$29, MATCH(Input!F33, 'Metric coefficients'!$M$2:$M$29, 0)), "Not Found"),
        ""
    )
)</f>
        <v>-0.13999</v>
      </c>
      <c r="M33" s="35">
        <v>165</v>
      </c>
      <c r="N33" s="16">
        <f t="shared" si="3"/>
        <v>64.960665000000006</v>
      </c>
      <c r="O33" s="16">
        <f t="shared" si="4"/>
        <v>64.710513745</v>
      </c>
      <c r="P33" s="16">
        <f t="shared" si="5"/>
        <v>164.3647049123</v>
      </c>
      <c r="Q33" s="35">
        <v>182</v>
      </c>
      <c r="R33" s="16">
        <f t="shared" si="6"/>
        <v>71.653582</v>
      </c>
      <c r="S33" s="16">
        <f t="shared" si="7"/>
        <v>70.745170810000005</v>
      </c>
      <c r="T33" s="16">
        <f t="shared" si="8"/>
        <v>179.69273385740001</v>
      </c>
      <c r="U33" s="16">
        <f t="shared" si="9"/>
        <v>172.02871938485001</v>
      </c>
      <c r="V33" s="17">
        <f>IF(
    Input!B33="Male",
    IFERROR(INDEX('Metric coefficients'!$G$2:$G$29, MATCH(Input!F33, 'Metric coefficients'!$A$2:$A$29, 0)), "Not Found"),
    IF(
        Input!B33="Female",
        IFERROR(INDEX('Metric coefficients'!$Q$2:$Q$29, MATCH(Input!F33, 'Metric coefficients'!$M$2:$M$29, 0)), "Not Found"),
        ""
    )
)</f>
        <v>0.20235</v>
      </c>
      <c r="W33" s="17" cm="1">
        <f t="array" ref="W33">_xlfn.IFS(B33="Male",U33*0.393701+2.5,B33="Female",U33*0.393701-2.5)</f>
        <v>65.227878850534836</v>
      </c>
      <c r="X33" s="16">
        <f>IF(
    Input!B33="Male",
    IFERROR(INDEX('Metric coefficients'!$D$2:$D$29, MATCH(Input!F33, 'Metric coefficients'!$A$2:$A$29, 0)), "Not Found"),
    IF(
        Input!B33="Female",
        IFERROR(INDEX('Metric coefficients'!$N$2:$N$29, MATCH(Input!F33, 'Metric coefficients'!$M$2:$M$29, 0)), "Not Found"),
        ""
    )
)</f>
        <v>0.8236</v>
      </c>
      <c r="Y33" s="25">
        <f t="shared" si="10"/>
        <v>164.43399236752438</v>
      </c>
      <c r="Z33" s="16">
        <f t="shared" si="11"/>
        <v>96.999408518588737</v>
      </c>
      <c r="AA33" s="16" cm="1">
        <f t="array" ref="AA33">_xlfn.IFS(
    B33="Male", _xlfn.XLOOKUP(0, ABS(SA!$C$2:$C$218 - Input!Z33), SA!$A$2:$A$218, " ", 1),
    B33="Female", _xlfn.XLOOKUP(0, ABS(SA!$E$2:$E$218 - Input!Z33), SA!$A$2:$A$218, " ", 1)
)</f>
        <v>13.75</v>
      </c>
      <c r="AB33" s="16">
        <f t="shared" si="12"/>
        <v>-0.38888888888888928</v>
      </c>
      <c r="AC33" s="16" t="str" cm="1">
        <f t="array" ref="AC33">_xlfn.IFS(AB33=" "," ", AB33&gt;0.5,"Early",AB33&lt;=-0.5,"Late",AND(AB33&gt;=-0.5,AB33&lt;=0.5),"On Time")</f>
        <v>On Time</v>
      </c>
      <c r="AD33" s="16" t="str" cm="1">
        <f t="array" ref="AD33">_xlfn.IFS(AB33=" "," ", AB33&gt;1,"Early",AB33&lt;=-1,"Late",AND(AB33&gt;=-1,AB33&lt;=1),"On Time")</f>
        <v>On Time</v>
      </c>
      <c r="AE33" s="16" t="str">
        <f t="shared" si="13"/>
        <v>Post PHV</v>
      </c>
      <c r="AF33" s="25">
        <f>Y33 - IFERROR(INDEX(Errors!$B$2:$B$100, MATCH(F33 + 0.5, Errors!$A$2:$A$100, 0)), 0)</f>
        <v>161.73399236752439</v>
      </c>
      <c r="AG33" s="25">
        <f>Y33 + IFERROR(INDEX(Errors!$B$2:$B$100, MATCH(F33 + 0.5, Errors!$A$2:$A$100, 0)), 0)</f>
        <v>167.13399236752437</v>
      </c>
      <c r="AH33" s="25">
        <f>Y33 - IFERROR(INDEX(Errors!$C$2:$C$100, MATCH(F33 + 0.5, Errors!$A$2:$A$100, 0)), 0)</f>
        <v>157.70299236752439</v>
      </c>
      <c r="AI33" s="25">
        <f>Y33 + IFERROR(INDEX(Errors!$C$2:$C$100, MATCH(F33 + 0.5, Errors!$A$2:$A$100, 0)), 0)</f>
        <v>171.16499236752438</v>
      </c>
    </row>
    <row r="34" spans="1:35">
      <c r="A34" s="40">
        <v>33</v>
      </c>
      <c r="B34" s="34" t="s">
        <v>35</v>
      </c>
      <c r="C34" s="36">
        <v>42040</v>
      </c>
      <c r="D34" s="36">
        <v>45662</v>
      </c>
      <c r="E34" s="15">
        <f t="shared" si="0"/>
        <v>9.9166666666666661</v>
      </c>
      <c r="F34" s="15">
        <f t="shared" si="1"/>
        <v>10</v>
      </c>
      <c r="G34" s="39">
        <v>35</v>
      </c>
      <c r="H34" s="16">
        <f t="shared" si="14"/>
        <v>77.174999999999997</v>
      </c>
      <c r="I34" s="34">
        <v>152</v>
      </c>
      <c r="J34" s="16">
        <f>IF(
    Input!B34="Male",
    IFERROR(INDEX('Metric coefficients'!$E$2:$E$29, MATCH(Input!F34, 'Metric coefficients'!$A$2:$A$29, 0)), "Not Found"),
    IF(
        Input!B34="Female",
        IFERROR(INDEX('Metric coefficients'!$O$2:$O$29, MATCH(Input!F34, 'Metric coefficients'!$M$2:$M$29, 0)), "Not Found"),
        ""
    )
)</f>
        <v>0.82770999999999995</v>
      </c>
      <c r="K34" s="16">
        <f t="shared" si="2"/>
        <v>59.842552000000005</v>
      </c>
      <c r="L34" s="16">
        <f>IF(
    Input!B34="Male",
    IFERROR(INDEX('Metric coefficients'!$F$2:$F$29, MATCH(Input!F34, 'Metric coefficients'!$A$2:$A$29, 0)), "Not Found"),
    IF(
        Input!B34="Female",
        IFERROR(INDEX('Metric coefficients'!$P$2:$P$29, MATCH(Input!F34, 'Metric coefficients'!$M$2:$M$29, 0)), "Not Found"),
        ""
    )
)</f>
        <v>-0.41419</v>
      </c>
      <c r="M34" s="34">
        <v>170.18</v>
      </c>
      <c r="N34" s="16">
        <f t="shared" si="3"/>
        <v>67.000036180000009</v>
      </c>
      <c r="O34" s="16">
        <f t="shared" si="4"/>
        <v>66.654034479540002</v>
      </c>
      <c r="P34" s="16">
        <f t="shared" si="5"/>
        <v>169.30124757803162</v>
      </c>
      <c r="Q34" s="34">
        <v>180.33</v>
      </c>
      <c r="R34" s="16">
        <f t="shared" si="6"/>
        <v>70.996101330000016</v>
      </c>
      <c r="S34" s="16">
        <f t="shared" si="7"/>
        <v>70.117276770150013</v>
      </c>
      <c r="T34" s="16">
        <f t="shared" si="8"/>
        <v>178.09788299618103</v>
      </c>
      <c r="U34" s="16">
        <f t="shared" si="9"/>
        <v>173.69956528710634</v>
      </c>
      <c r="V34" s="17">
        <f>IF(
    Input!B34="Male",
    IFERROR(INDEX('Metric coefficients'!$G$2:$G$29, MATCH(Input!F34, 'Metric coefficients'!$A$2:$A$29, 0)), "Not Found"),
    IF(
        Input!B34="Female",
        IFERROR(INDEX('Metric coefficients'!$Q$2:$Q$29, MATCH(Input!F34, 'Metric coefficients'!$M$2:$M$29, 0)), "Not Found"),
        ""
    )
)</f>
        <v>0.37312000000000001</v>
      </c>
      <c r="W34" s="17" cm="1">
        <f t="array" ref="W34">_xlfn.IFS(B34="Male",U34*0.393701+2.5,B34="Female",U34*0.393701-2.5)</f>
        <v>65.885692553099062</v>
      </c>
      <c r="X34" s="16">
        <f>IF(
    Input!B34="Male",
    IFERROR(INDEX('Metric coefficients'!$D$2:$D$29, MATCH(Input!F34, 'Metric coefficients'!$A$2:$A$29, 0)), "Not Found"),
    IF(
        Input!B34="Female",
        IFERROR(INDEX('Metric coefficients'!$N$2:$N$29, MATCH(Input!F34, 'Metric coefficients'!$M$2:$M$29, 0)), "Not Found"),
        ""
    )
)</f>
        <v>0.85009999999999997</v>
      </c>
      <c r="Y34" s="25">
        <f t="shared" si="10"/>
        <v>176.97615179992511</v>
      </c>
      <c r="Z34" s="16">
        <f t="shared" si="11"/>
        <v>85.887278288115837</v>
      </c>
      <c r="AA34" s="16" cm="1">
        <f t="array" ref="AA34">_xlfn.IFS(
    B34="Male", _xlfn.XLOOKUP(0, ABS(SA!$C$2:$C$218 - Input!Z34), SA!$A$2:$A$218, " ", 1),
    B34="Female", _xlfn.XLOOKUP(0, ABS(SA!$E$2:$E$218 - Input!Z34), SA!$A$2:$A$218, " ", 1)
)</f>
        <v>10.417</v>
      </c>
      <c r="AB34" s="16">
        <f t="shared" si="12"/>
        <v>0.50033333333333374</v>
      </c>
      <c r="AC34" s="16" t="str" cm="1">
        <f t="array" ref="AC34">_xlfn.IFS(AB34=" "," ", AB34&gt;0.5,"Early",AB34&lt;=-0.5,"Late",AND(AB34&gt;=-0.5,AB34&lt;=0.5),"On Time")</f>
        <v>Early</v>
      </c>
      <c r="AD34" s="16" t="str" cm="1">
        <f t="array" ref="AD34">_xlfn.IFS(AB34=" "," ", AB34&gt;1,"Early",AB34&lt;=-1,"Late",AND(AB34&gt;=-1,AB34&lt;=1),"On Time")</f>
        <v>On Time</v>
      </c>
      <c r="AE34" s="16" t="str">
        <f t="shared" si="13"/>
        <v>Pre-PHV</v>
      </c>
      <c r="AF34" s="25">
        <f>Y34 - IFERROR(INDEX(Errors!$B$2:$B$100, MATCH(F34 + 0.5, Errors!$A$2:$A$100, 0)), 0)</f>
        <v>174.67615179992509</v>
      </c>
      <c r="AG34" s="25">
        <f>Y34 + IFERROR(INDEX(Errors!$B$2:$B$100, MATCH(F34 + 0.5, Errors!$A$2:$A$100, 0)), 0)</f>
        <v>179.27615179992512</v>
      </c>
      <c r="AH34" s="25">
        <f>Y34 - IFERROR(INDEX(Errors!$C$2:$C$100, MATCH(F34 + 0.5, Errors!$A$2:$A$100, 0)), 0)</f>
        <v>171.7183517999251</v>
      </c>
      <c r="AI34" s="25">
        <f>Y34 + IFERROR(INDEX(Errors!$C$2:$C$100, MATCH(F34 + 0.5, Errors!$A$2:$A$100, 0)), 0)</f>
        <v>182.23395179992511</v>
      </c>
    </row>
    <row r="35" spans="1:35">
      <c r="A35" s="40">
        <v>34</v>
      </c>
      <c r="B35" s="35" t="s">
        <v>35</v>
      </c>
      <c r="C35" s="37">
        <v>41168</v>
      </c>
      <c r="D35" s="37">
        <v>45662</v>
      </c>
      <c r="E35" s="15">
        <f t="shared" si="0"/>
        <v>12.302777777777777</v>
      </c>
      <c r="F35" s="15">
        <f t="shared" si="1"/>
        <v>12.5</v>
      </c>
      <c r="G35" s="38">
        <v>45.7</v>
      </c>
      <c r="H35" s="16">
        <f t="shared" si="14"/>
        <v>100.7685</v>
      </c>
      <c r="I35" s="35">
        <v>163</v>
      </c>
      <c r="J35" s="16">
        <f>IF(
    Input!B35="Male",
    IFERROR(INDEX('Metric coefficients'!$E$2:$E$29, MATCH(Input!F35, 'Metric coefficients'!$A$2:$A$29, 0)), "Not Found"),
    IF(
        Input!B35="Female",
        IFERROR(INDEX('Metric coefficients'!$O$2:$O$29, MATCH(Input!F35, 'Metric coefficients'!$M$2:$M$29, 0)), "Not Found"),
        ""
    )
)</f>
        <v>0.67386000000000001</v>
      </c>
      <c r="K35" s="16">
        <f t="shared" si="2"/>
        <v>64.173263000000006</v>
      </c>
      <c r="L35" s="16">
        <f>IF(
    Input!B35="Male",
    IFERROR(INDEX('Metric coefficients'!$F$2:$F$29, MATCH(Input!F35, 'Metric coefficients'!$A$2:$A$29, 0)), "Not Found"),
    IF(
        Input!B35="Female",
        IFERROR(INDEX('Metric coefficients'!$P$2:$P$29, MATCH(Input!F35, 'Metric coefficients'!$M$2:$M$29, 0)), "Not Found"),
        ""
    )
)</f>
        <v>-0.23924000000000001</v>
      </c>
      <c r="M35" s="35">
        <v>175</v>
      </c>
      <c r="N35" s="16">
        <f t="shared" si="3"/>
        <v>68.897675000000007</v>
      </c>
      <c r="O35" s="16">
        <f t="shared" si="4"/>
        <v>68.462484274999994</v>
      </c>
      <c r="P35" s="16">
        <f t="shared" si="5"/>
        <v>173.89471005849998</v>
      </c>
      <c r="Q35" s="35">
        <v>201</v>
      </c>
      <c r="R35" s="16">
        <f t="shared" si="6"/>
        <v>79.133901000000009</v>
      </c>
      <c r="S35" s="16">
        <f t="shared" si="7"/>
        <v>77.888875455000004</v>
      </c>
      <c r="T35" s="16">
        <f t="shared" si="8"/>
        <v>197.83774365570002</v>
      </c>
      <c r="U35" s="16">
        <f t="shared" si="9"/>
        <v>185.8662268571</v>
      </c>
      <c r="V35" s="17">
        <f>IF(
    Input!B35="Male",
    IFERROR(INDEX('Metric coefficients'!$G$2:$G$29, MATCH(Input!F35, 'Metric coefficients'!$A$2:$A$29, 0)), "Not Found"),
    IF(
        Input!B35="Female",
        IFERROR(INDEX('Metric coefficients'!$Q$2:$Q$29, MATCH(Input!F35, 'Metric coefficients'!$M$2:$M$29, 0)), "Not Found"),
        ""
    )
)</f>
        <v>0.35849999999999999</v>
      </c>
      <c r="W35" s="17" cm="1">
        <f t="array" ref="W35">_xlfn.IFS(B35="Male",U35*0.393701+2.5,B35="Female",U35*0.393701-2.5)</f>
        <v>70.675719379867132</v>
      </c>
      <c r="X35" s="16">
        <f>IF(
    Input!B35="Male",
    IFERROR(INDEX('Metric coefficients'!$D$2:$D$29, MATCH(Input!F35, 'Metric coefficients'!$A$2:$A$29, 0)), "Not Found"),
    IF(
        Input!B35="Female",
        IFERROR(INDEX('Metric coefficients'!$N$2:$N$29, MATCH(Input!F35, 'Metric coefficients'!$M$2:$M$29, 0)), "Not Found"),
        ""
    )
)</f>
        <v>10.867900000000001</v>
      </c>
      <c r="Y35" s="25">
        <f t="shared" si="10"/>
        <v>176.40685432827036</v>
      </c>
      <c r="Z35" s="16">
        <f t="shared" si="11"/>
        <v>92.400037754019507</v>
      </c>
      <c r="AA35" s="16" cm="1">
        <f t="array" ref="AA35">_xlfn.IFS(
    B35="Male", _xlfn.XLOOKUP(0, ABS(SA!$C$2:$C$218 - Input!Z35), SA!$A$2:$A$218, " ", 1),
    B35="Female", _xlfn.XLOOKUP(0, ABS(SA!$E$2:$E$218 - Input!Z35), SA!$A$2:$A$218, " ", 1)
)</f>
        <v>12.25</v>
      </c>
      <c r="AB35" s="16">
        <f t="shared" si="12"/>
        <v>-5.2777777777777146E-2</v>
      </c>
      <c r="AC35" s="16" t="str" cm="1">
        <f t="array" ref="AC35">_xlfn.IFS(AB35=" "," ", AB35&gt;0.5,"Early",AB35&lt;=-0.5,"Late",AND(AB35&gt;=-0.5,AB35&lt;=0.5),"On Time")</f>
        <v>On Time</v>
      </c>
      <c r="AD35" s="16" t="str" cm="1">
        <f t="array" ref="AD35">_xlfn.IFS(AB35=" "," ", AB35&gt;1,"Early",AB35&lt;=-1,"Late",AND(AB35&gt;=-1,AB35&lt;=1),"On Time")</f>
        <v>On Time</v>
      </c>
      <c r="AE35" s="16" t="str">
        <f t="shared" si="13"/>
        <v>Circa-PHV</v>
      </c>
      <c r="AF35" s="25">
        <f>Y35 - IFERROR(INDEX(Errors!$B$2:$B$100, MATCH(F35 + 0.5, Errors!$A$2:$A$100, 0)), 0)</f>
        <v>173.80685432827036</v>
      </c>
      <c r="AG35" s="25">
        <f>Y35 + IFERROR(INDEX(Errors!$B$2:$B$100, MATCH(F35 + 0.5, Errors!$A$2:$A$100, 0)), 0)</f>
        <v>179.00685432827035</v>
      </c>
      <c r="AH35" s="25">
        <f>Y35 - IFERROR(INDEX(Errors!$C$2:$C$100, MATCH(F35 + 0.5, Errors!$A$2:$A$100, 0)), 0)</f>
        <v>169.26945432827034</v>
      </c>
      <c r="AI35" s="25">
        <f>Y35 + IFERROR(INDEX(Errors!$C$2:$C$100, MATCH(F35 + 0.5, Errors!$A$2:$A$100, 0)), 0)</f>
        <v>183.54425432827037</v>
      </c>
    </row>
    <row r="36" spans="1:35">
      <c r="A36" s="40">
        <v>35</v>
      </c>
      <c r="B36" s="34" t="s">
        <v>35</v>
      </c>
      <c r="C36" s="36">
        <v>41669</v>
      </c>
      <c r="D36" s="36">
        <v>45662</v>
      </c>
      <c r="E36" s="15">
        <f t="shared" si="0"/>
        <v>10.930555555555555</v>
      </c>
      <c r="F36" s="15">
        <f t="shared" si="1"/>
        <v>11</v>
      </c>
      <c r="G36" s="39">
        <v>51.2</v>
      </c>
      <c r="H36" s="16">
        <f t="shared" si="14"/>
        <v>112.89600000000002</v>
      </c>
      <c r="I36" s="34">
        <v>158.69999999999999</v>
      </c>
      <c r="J36" s="16">
        <f>IF(
    Input!B36="Male",
    IFERROR(INDEX('Metric coefficients'!$E$2:$E$29, MATCH(Input!F36, 'Metric coefficients'!$A$2:$A$29, 0)), "Not Found"),
    IF(
        Input!B36="Female",
        IFERROR(INDEX('Metric coefficients'!$O$2:$O$29, MATCH(Input!F36, 'Metric coefficients'!$M$2:$M$29, 0)), "Not Found"),
        ""
    )
)</f>
        <v>0.67173000000000005</v>
      </c>
      <c r="K36" s="16">
        <f t="shared" si="2"/>
        <v>62.4803487</v>
      </c>
      <c r="L36" s="16">
        <f>IF(
    Input!B36="Male",
    IFERROR(INDEX('Metric coefficients'!$F$2:$F$29, MATCH(Input!F36, 'Metric coefficients'!$A$2:$A$29, 0)), "Not Found"),
    IF(
        Input!B36="Female",
        IFERROR(INDEX('Metric coefficients'!$P$2:$P$29, MATCH(Input!F36, 'Metric coefficients'!$M$2:$M$29, 0)), "Not Found"),
        ""
    )
)</f>
        <v>-0.34356999999999999</v>
      </c>
      <c r="M36" s="34">
        <v>170</v>
      </c>
      <c r="N36" s="16">
        <f t="shared" si="3"/>
        <v>66.929169999999999</v>
      </c>
      <c r="O36" s="16">
        <f t="shared" si="4"/>
        <v>66.586499009999997</v>
      </c>
      <c r="P36" s="16">
        <f t="shared" si="5"/>
        <v>169.12970748539999</v>
      </c>
      <c r="Q36" s="34">
        <v>200</v>
      </c>
      <c r="R36" s="16">
        <f t="shared" si="6"/>
        <v>78.740200000000002</v>
      </c>
      <c r="S36" s="16">
        <f t="shared" si="7"/>
        <v>77.512890999999996</v>
      </c>
      <c r="T36" s="16">
        <f t="shared" si="8"/>
        <v>196.88274314</v>
      </c>
      <c r="U36" s="16">
        <f t="shared" si="9"/>
        <v>183.0062253127</v>
      </c>
      <c r="V36" s="17">
        <f>IF(
    Input!B36="Male",
    IFERROR(INDEX('Metric coefficients'!$G$2:$G$29, MATCH(Input!F36, 'Metric coefficients'!$A$2:$A$29, 0)), "Not Found"),
    IF(
        Input!B36="Female",
        IFERROR(INDEX('Metric coefficients'!$Q$2:$Q$29, MATCH(Input!F36, 'Metric coefficients'!$M$2:$M$29, 0)), "Not Found"),
        ""
    )
)</f>
        <v>0.42042000000000002</v>
      </c>
      <c r="W36" s="17" cm="1">
        <f t="array" ref="W36">_xlfn.IFS(B36="Male",U36*0.393701+2.5,B36="Female",U36*0.393701-2.5)</f>
        <v>69.549733911835304</v>
      </c>
      <c r="X36" s="16">
        <f>IF(
    Input!B36="Male",
    IFERROR(INDEX('Metric coefficients'!$D$2:$D$29, MATCH(Input!F36, 'Metric coefficients'!$A$2:$A$29, 0)), "Not Found"),
    IF(
        Input!B36="Female",
        IFERROR(INDEX('Metric coefficients'!$N$2:$N$29, MATCH(Input!F36, 'Metric coefficients'!$M$2:$M$29, 0)), "Not Found"),
        ""
    )
)</f>
        <v>8.9010999999999996</v>
      </c>
      <c r="Y36" s="25">
        <f t="shared" si="10"/>
        <v>174.85334424596533</v>
      </c>
      <c r="Z36" s="16">
        <f t="shared" si="11"/>
        <v>90.761775637964064</v>
      </c>
      <c r="AA36" s="16" cm="1">
        <f t="array" ref="AA36">_xlfn.IFS(
    B36="Male", _xlfn.XLOOKUP(0, ABS(SA!$C$2:$C$218 - Input!Z36), SA!$A$2:$A$218, " ", 1),
    B36="Female", _xlfn.XLOOKUP(0, ABS(SA!$E$2:$E$218 - Input!Z36), SA!$A$2:$A$218, " ", 1)
)</f>
        <v>11.75</v>
      </c>
      <c r="AB36" s="16">
        <f t="shared" si="12"/>
        <v>0.81944444444444464</v>
      </c>
      <c r="AC36" s="16" t="str" cm="1">
        <f t="array" ref="AC36">_xlfn.IFS(AB36=" "," ", AB36&gt;0.5,"Early",AB36&lt;=-0.5,"Late",AND(AB36&gt;=-0.5,AB36&lt;=0.5),"On Time")</f>
        <v>Early</v>
      </c>
      <c r="AD36" s="16" t="str" cm="1">
        <f t="array" ref="AD36">_xlfn.IFS(AB36=" "," ", AB36&gt;1,"Early",AB36&lt;=-1,"Late",AND(AB36&gt;=-1,AB36&lt;=1),"On Time")</f>
        <v>On Time</v>
      </c>
      <c r="AE36" s="16" t="str">
        <f t="shared" si="13"/>
        <v>Circa-PHV</v>
      </c>
      <c r="AF36" s="25">
        <f>Y36 - IFERROR(INDEX(Errors!$B$2:$B$100, MATCH(F36 + 0.5, Errors!$A$2:$A$100, 0)), 0)</f>
        <v>172.45334424596533</v>
      </c>
      <c r="AG36" s="25">
        <f>Y36 + IFERROR(INDEX(Errors!$B$2:$B$100, MATCH(F36 + 0.5, Errors!$A$2:$A$100, 0)), 0)</f>
        <v>177.25334424596534</v>
      </c>
      <c r="AH36" s="25">
        <f>Y36 - IFERROR(INDEX(Errors!$C$2:$C$100, MATCH(F36 + 0.5, Errors!$A$2:$A$100, 0)), 0)</f>
        <v>169.06214424596533</v>
      </c>
      <c r="AI36" s="25">
        <f>Y36 + IFERROR(INDEX(Errors!$C$2:$C$100, MATCH(F36 + 0.5, Errors!$A$2:$A$100, 0)), 0)</f>
        <v>180.64454424596533</v>
      </c>
    </row>
    <row r="37" spans="1:35">
      <c r="A37" s="40">
        <v>36</v>
      </c>
      <c r="B37" s="35" t="s">
        <v>35</v>
      </c>
      <c r="C37" s="37">
        <v>41934</v>
      </c>
      <c r="D37" s="37">
        <v>45662</v>
      </c>
      <c r="E37" s="15">
        <f t="shared" si="0"/>
        <v>10.202777777777778</v>
      </c>
      <c r="F37" s="15">
        <f t="shared" si="1"/>
        <v>10</v>
      </c>
      <c r="G37" s="38">
        <v>33.799999999999997</v>
      </c>
      <c r="H37" s="16">
        <f t="shared" si="14"/>
        <v>74.528999999999996</v>
      </c>
      <c r="I37" s="35">
        <v>148.30000000000001</v>
      </c>
      <c r="J37" s="16">
        <f>IF(
    Input!B37="Male",
    IFERROR(INDEX('Metric coefficients'!$E$2:$E$29, MATCH(Input!F37, 'Metric coefficients'!$A$2:$A$29, 0)), "Not Found"),
    IF(
        Input!B37="Female",
        IFERROR(INDEX('Metric coefficients'!$O$2:$O$29, MATCH(Input!F37, 'Metric coefficients'!$M$2:$M$29, 0)), "Not Found"),
        ""
    )
)</f>
        <v>0.82770999999999995</v>
      </c>
      <c r="K37" s="16">
        <f t="shared" si="2"/>
        <v>58.38585830000001</v>
      </c>
      <c r="L37" s="16">
        <f>IF(
    Input!B37="Male",
    IFERROR(INDEX('Metric coefficients'!$F$2:$F$29, MATCH(Input!F37, 'Metric coefficients'!$A$2:$A$29, 0)), "Not Found"),
    IF(
        Input!B37="Female",
        IFERROR(INDEX('Metric coefficients'!$P$2:$P$29, MATCH(Input!F37, 'Metric coefficients'!$M$2:$M$29, 0)), "Not Found"),
        ""
    )
)</f>
        <v>-0.41419</v>
      </c>
      <c r="M37" s="35">
        <v>170</v>
      </c>
      <c r="N37" s="16">
        <f t="shared" si="3"/>
        <v>66.929169999999999</v>
      </c>
      <c r="O37" s="16">
        <f t="shared" si="4"/>
        <v>66.586499009999997</v>
      </c>
      <c r="P37" s="16">
        <f t="shared" si="5"/>
        <v>169.12970748539999</v>
      </c>
      <c r="Q37" s="35">
        <v>178</v>
      </c>
      <c r="R37" s="16">
        <f t="shared" si="6"/>
        <v>70.078778</v>
      </c>
      <c r="S37" s="16">
        <f t="shared" si="7"/>
        <v>69.24123299</v>
      </c>
      <c r="T37" s="16">
        <f t="shared" si="8"/>
        <v>175.87273179460001</v>
      </c>
      <c r="U37" s="16">
        <f t="shared" si="9"/>
        <v>172.50121963999999</v>
      </c>
      <c r="V37" s="17">
        <f>IF(
    Input!B37="Male",
    IFERROR(INDEX('Metric coefficients'!$G$2:$G$29, MATCH(Input!F37, 'Metric coefficients'!$A$2:$A$29, 0)), "Not Found"),
    IF(
        Input!B37="Female",
        IFERROR(INDEX('Metric coefficients'!$Q$2:$Q$29, MATCH(Input!F37, 'Metric coefficients'!$M$2:$M$29, 0)), "Not Found"),
        ""
    )
)</f>
        <v>0.37312000000000001</v>
      </c>
      <c r="W37" s="17" cm="1">
        <f t="array" ref="W37">_xlfn.IFS(B37="Male",U37*0.393701+2.5,B37="Female",U37*0.393701-2.5)</f>
        <v>65.413902673487641</v>
      </c>
      <c r="X37" s="16">
        <f>IF(
    Input!B37="Male",
    IFERROR(INDEX('Metric coefficients'!$D$2:$D$29, MATCH(Input!F37, 'Metric coefficients'!$A$2:$A$29, 0)), "Not Found"),
    IF(
        Input!B37="Female",
        IFERROR(INDEX('Metric coefficients'!$N$2:$N$29, MATCH(Input!F37, 'Metric coefficients'!$M$2:$M$29, 0)), "Not Found"),
        ""
    )
)</f>
        <v>0.85009999999999997</v>
      </c>
      <c r="Y37" s="25">
        <f t="shared" si="10"/>
        <v>173.96352607207677</v>
      </c>
      <c r="Z37" s="16">
        <f t="shared" si="11"/>
        <v>85.247754715293695</v>
      </c>
      <c r="AA37" s="16" cm="1">
        <f t="array" ref="AA37">_xlfn.IFS(
    B37="Male", _xlfn.XLOOKUP(0, ABS(SA!$C$2:$C$218 - Input!Z37), SA!$A$2:$A$218, " ", 1),
    B37="Female", _xlfn.XLOOKUP(0, ABS(SA!$E$2:$E$218 - Input!Z37), SA!$A$2:$A$218, " ", 1)
)</f>
        <v>10.167</v>
      </c>
      <c r="AB37" s="16">
        <f t="shared" si="12"/>
        <v>-3.5777777777777686E-2</v>
      </c>
      <c r="AC37" s="16" t="str" cm="1">
        <f t="array" ref="AC37">_xlfn.IFS(AB37=" "," ", AB37&gt;0.5,"Early",AB37&lt;=-0.5,"Late",AND(AB37&gt;=-0.5,AB37&lt;=0.5),"On Time")</f>
        <v>On Time</v>
      </c>
      <c r="AD37" s="16" t="str" cm="1">
        <f t="array" ref="AD37">_xlfn.IFS(AB37=" "," ", AB37&gt;1,"Early",AB37&lt;=-1,"Late",AND(AB37&gt;=-1,AB37&lt;=1),"On Time")</f>
        <v>On Time</v>
      </c>
      <c r="AE37" s="16" t="str">
        <f t="shared" si="13"/>
        <v>Pre-PHV</v>
      </c>
      <c r="AF37" s="25">
        <f>Y37 - IFERROR(INDEX(Errors!$B$2:$B$100, MATCH(F37 + 0.5, Errors!$A$2:$A$100, 0)), 0)</f>
        <v>171.66352607207676</v>
      </c>
      <c r="AG37" s="25">
        <f>Y37 + IFERROR(INDEX(Errors!$B$2:$B$100, MATCH(F37 + 0.5, Errors!$A$2:$A$100, 0)), 0)</f>
        <v>176.26352607207679</v>
      </c>
      <c r="AH37" s="25">
        <f>Y37 - IFERROR(INDEX(Errors!$C$2:$C$100, MATCH(F37 + 0.5, Errors!$A$2:$A$100, 0)), 0)</f>
        <v>168.70572607207677</v>
      </c>
      <c r="AI37" s="25">
        <f>Y37 + IFERROR(INDEX(Errors!$C$2:$C$100, MATCH(F37 + 0.5, Errors!$A$2:$A$100, 0)), 0)</f>
        <v>179.22132607207678</v>
      </c>
    </row>
    <row r="38" spans="1:35">
      <c r="A38" s="40">
        <v>37</v>
      </c>
      <c r="B38" s="34" t="s">
        <v>35</v>
      </c>
      <c r="C38" s="36">
        <v>40995</v>
      </c>
      <c r="D38" s="36">
        <v>45662</v>
      </c>
      <c r="E38" s="15">
        <f t="shared" si="0"/>
        <v>12.772222222222222</v>
      </c>
      <c r="F38" s="15">
        <f t="shared" si="1"/>
        <v>13</v>
      </c>
      <c r="G38" s="39">
        <v>55.7</v>
      </c>
      <c r="H38" s="16">
        <f t="shared" si="14"/>
        <v>122.81850000000001</v>
      </c>
      <c r="I38" s="34">
        <v>166</v>
      </c>
      <c r="J38" s="16">
        <f>IF(
    Input!B38="Male",
    IFERROR(INDEX('Metric coefficients'!$E$2:$E$29, MATCH(Input!F38, 'Metric coefficients'!$A$2:$A$29, 0)), "Not Found"),
    IF(
        Input!B38="Female",
        IFERROR(INDEX('Metric coefficients'!$O$2:$O$29, MATCH(Input!F38, 'Metric coefficients'!$M$2:$M$29, 0)), "Not Found"),
        ""
    )
)</f>
        <v>0.72260000000000002</v>
      </c>
      <c r="K38" s="16">
        <f t="shared" si="2"/>
        <v>65.354365999999999</v>
      </c>
      <c r="L38" s="16">
        <f>IF(
    Input!B38="Male",
    IFERROR(INDEX('Metric coefficients'!$F$2:$F$29, MATCH(Input!F38, 'Metric coefficients'!$A$2:$A$29, 0)), "Not Found"),
    IF(
        Input!B38="Female",
        IFERROR(INDEX('Metric coefficients'!$P$2:$P$29, MATCH(Input!F38, 'Metric coefficients'!$M$2:$M$29, 0)), "Not Found"),
        ""
    )
)</f>
        <v>-0.20499000000000001</v>
      </c>
      <c r="M38" s="34">
        <v>178</v>
      </c>
      <c r="N38" s="16">
        <f t="shared" si="3"/>
        <v>70.078778</v>
      </c>
      <c r="O38" s="16">
        <f t="shared" si="4"/>
        <v>69.58807543399999</v>
      </c>
      <c r="P38" s="16">
        <f t="shared" si="5"/>
        <v>176.75371160235997</v>
      </c>
      <c r="Q38" s="34">
        <v>192</v>
      </c>
      <c r="R38" s="16">
        <f t="shared" si="6"/>
        <v>75.590592000000001</v>
      </c>
      <c r="S38" s="16">
        <f t="shared" si="7"/>
        <v>74.505015360000002</v>
      </c>
      <c r="T38" s="16">
        <f t="shared" si="8"/>
        <v>189.2427390144</v>
      </c>
      <c r="U38" s="16">
        <f t="shared" si="9"/>
        <v>182.99822530837997</v>
      </c>
      <c r="V38" s="17">
        <f>IF(
    Input!B38="Male",
    IFERROR(INDEX('Metric coefficients'!$G$2:$G$29, MATCH(Input!F38, 'Metric coefficients'!$A$2:$A$29, 0)), "Not Found"),
    IF(
        Input!B38="Female",
        IFERROR(INDEX('Metric coefficients'!$Q$2:$Q$29, MATCH(Input!F38, 'Metric coefficients'!$M$2:$M$29, 0)), "Not Found"),
        ""
    )
)</f>
        <v>0.31163000000000002</v>
      </c>
      <c r="W38" s="17" cm="1">
        <f t="array" ref="W38">_xlfn.IFS(B38="Male",U38*0.393701+2.5,B38="Female",U38*0.393701-2.5)</f>
        <v>69.546584302134505</v>
      </c>
      <c r="X38" s="16">
        <f>IF(
    Input!B38="Male",
    IFERROR(INDEX('Metric coefficients'!$D$2:$D$29, MATCH(Input!F38, 'Metric coefficients'!$A$2:$A$29, 0)), "Not Found"),
    IF(
        Input!B38="Female",
        IFERROR(INDEX('Metric coefficients'!$N$2:$N$29, MATCH(Input!F38, 'Metric coefficients'!$M$2:$M$29, 0)), "Not Found"),
        ""
    )
)</f>
        <v>8.1639999999999997</v>
      </c>
      <c r="Y38" s="25">
        <f t="shared" si="10"/>
        <v>173.72539395285045</v>
      </c>
      <c r="Z38" s="16">
        <f t="shared" si="11"/>
        <v>95.553100340099306</v>
      </c>
      <c r="AA38" s="16" cm="1">
        <f t="array" ref="AA38">_xlfn.IFS(
    B38="Male", _xlfn.XLOOKUP(0, ABS(SA!$C$2:$C$218 - Input!Z38), SA!$A$2:$A$218, " ", 1),
    B38="Female", _xlfn.XLOOKUP(0, ABS(SA!$E$2:$E$218 - Input!Z38), SA!$A$2:$A$218, " ", 1)
)</f>
        <v>13.25</v>
      </c>
      <c r="AB38" s="16">
        <f t="shared" si="12"/>
        <v>0.47777777777777786</v>
      </c>
      <c r="AC38" s="16" t="str" cm="1">
        <f t="array" ref="AC38">_xlfn.IFS(AB38=" "," ", AB38&gt;0.5,"Early",AB38&lt;=-0.5,"Late",AND(AB38&gt;=-0.5,AB38&lt;=0.5),"On Time")</f>
        <v>On Time</v>
      </c>
      <c r="AD38" s="16" t="str" cm="1">
        <f t="array" ref="AD38">_xlfn.IFS(AB38=" "," ", AB38&gt;1,"Early",AB38&lt;=-1,"Late",AND(AB38&gt;=-1,AB38&lt;=1),"On Time")</f>
        <v>On Time</v>
      </c>
      <c r="AE38" s="16" t="str">
        <f t="shared" si="13"/>
        <v>Post PHV</v>
      </c>
      <c r="AF38" s="25">
        <f>Y38 - IFERROR(INDEX(Errors!$B$2:$B$100, MATCH(F38 + 0.5, Errors!$A$2:$A$100, 0)), 0)</f>
        <v>171.02539395285046</v>
      </c>
      <c r="AG38" s="25">
        <f>Y38 + IFERROR(INDEX(Errors!$B$2:$B$100, MATCH(F38 + 0.5, Errors!$A$2:$A$100, 0)), 0)</f>
        <v>176.42539395285044</v>
      </c>
      <c r="AH38" s="25">
        <f>Y38 - IFERROR(INDEX(Errors!$C$2:$C$100, MATCH(F38 + 0.5, Errors!$A$2:$A$100, 0)), 0)</f>
        <v>166.41019395285045</v>
      </c>
      <c r="AI38" s="25">
        <f>Y38 + IFERROR(INDEX(Errors!$C$2:$C$100, MATCH(F38 + 0.5, Errors!$A$2:$A$100, 0)), 0)</f>
        <v>181.04059395285046</v>
      </c>
    </row>
    <row r="39" spans="1:35">
      <c r="A39" s="40">
        <v>38</v>
      </c>
      <c r="B39" s="35" t="s">
        <v>35</v>
      </c>
      <c r="C39" s="37">
        <v>41685</v>
      </c>
      <c r="D39" s="37">
        <v>45662</v>
      </c>
      <c r="E39" s="15">
        <f t="shared" si="0"/>
        <v>10.888888888888889</v>
      </c>
      <c r="F39" s="15">
        <f t="shared" si="1"/>
        <v>11</v>
      </c>
      <c r="G39" s="38">
        <v>42.1</v>
      </c>
      <c r="H39" s="16">
        <f t="shared" si="14"/>
        <v>92.830500000000001</v>
      </c>
      <c r="I39" s="35">
        <v>156.19999999999999</v>
      </c>
      <c r="J39" s="16">
        <f>IF(
    Input!B39="Male",
    IFERROR(INDEX('Metric coefficients'!$E$2:$E$29, MATCH(Input!F39, 'Metric coefficients'!$A$2:$A$29, 0)), "Not Found"),
    IF(
        Input!B39="Female",
        IFERROR(INDEX('Metric coefficients'!$O$2:$O$29, MATCH(Input!F39, 'Metric coefficients'!$M$2:$M$29, 0)), "Not Found"),
        ""
    )
)</f>
        <v>0.67173000000000005</v>
      </c>
      <c r="K39" s="16">
        <f t="shared" si="2"/>
        <v>61.496096199999997</v>
      </c>
      <c r="L39" s="16">
        <f>IF(
    Input!B39="Male",
    IFERROR(INDEX('Metric coefficients'!$F$2:$F$29, MATCH(Input!F39, 'Metric coefficients'!$A$2:$A$29, 0)), "Not Found"),
    IF(
        Input!B39="Female",
        IFERROR(INDEX('Metric coefficients'!$P$2:$P$29, MATCH(Input!F39, 'Metric coefficients'!$M$2:$M$29, 0)), "Not Found"),
        ""
    )
)</f>
        <v>-0.34356999999999999</v>
      </c>
      <c r="M39" s="35">
        <v>174</v>
      </c>
      <c r="N39" s="16">
        <f t="shared" si="3"/>
        <v>68.503973999999999</v>
      </c>
      <c r="O39" s="16">
        <f t="shared" si="4"/>
        <v>68.087287222</v>
      </c>
      <c r="P39" s="16">
        <f t="shared" si="5"/>
        <v>172.94170954387999</v>
      </c>
      <c r="Q39" s="35">
        <v>183</v>
      </c>
      <c r="R39" s="16">
        <f t="shared" si="6"/>
        <v>72.047283000000007</v>
      </c>
      <c r="S39" s="16">
        <f t="shared" si="7"/>
        <v>71.121155265000013</v>
      </c>
      <c r="T39" s="16">
        <f t="shared" si="8"/>
        <v>180.64773437310004</v>
      </c>
      <c r="U39" s="16">
        <f t="shared" si="9"/>
        <v>176.79472195849002</v>
      </c>
      <c r="V39" s="17">
        <f>IF(
    Input!B39="Male",
    IFERROR(INDEX('Metric coefficients'!$G$2:$G$29, MATCH(Input!F39, 'Metric coefficients'!$A$2:$A$29, 0)), "Not Found"),
    IF(
        Input!B39="Female",
        IFERROR(INDEX('Metric coefficients'!$Q$2:$Q$29, MATCH(Input!F39, 'Metric coefficients'!$M$2:$M$29, 0)), "Not Found"),
        ""
    )
)</f>
        <v>0.42042000000000002</v>
      </c>
      <c r="W39" s="17" cm="1">
        <f t="array" ref="W39">_xlfn.IFS(B39="Male",U39*0.393701+2.5,B39="Female",U39*0.393701-2.5)</f>
        <v>67.104258829779482</v>
      </c>
      <c r="X39" s="16">
        <f>IF(
    Input!B39="Male",
    IFERROR(INDEX('Metric coefficients'!$D$2:$D$29, MATCH(Input!F39, 'Metric coefficients'!$A$2:$A$29, 0)), "Not Found"),
    IF(
        Input!B39="Female",
        IFERROR(INDEX('Metric coefficients'!$N$2:$N$29, MATCH(Input!F39, 'Metric coefficients'!$M$2:$M$29, 0)), "Not Found"),
        ""
    )
)</f>
        <v>8.9010999999999996</v>
      </c>
      <c r="Y39" s="25">
        <f t="shared" si="10"/>
        <v>173.68906600578839</v>
      </c>
      <c r="Z39" s="16">
        <f t="shared" si="11"/>
        <v>89.930819246154755</v>
      </c>
      <c r="AA39" s="16" cm="1">
        <f t="array" ref="AA39">_xlfn.IFS(
    B39="Male", _xlfn.XLOOKUP(0, ABS(SA!$C$2:$C$218 - Input!Z39), SA!$A$2:$A$218, " ", 1),
    B39="Female", _xlfn.XLOOKUP(0, ABS(SA!$E$2:$E$218 - Input!Z39), SA!$A$2:$A$218, " ", 1)
)</f>
        <v>11.583</v>
      </c>
      <c r="AB39" s="16">
        <f t="shared" si="12"/>
        <v>0.6941111111111109</v>
      </c>
      <c r="AC39" s="16" t="str" cm="1">
        <f t="array" ref="AC39">_xlfn.IFS(AB39=" "," ", AB39&gt;0.5,"Early",AB39&lt;=-0.5,"Late",AND(AB39&gt;=-0.5,AB39&lt;=0.5),"On Time")</f>
        <v>Early</v>
      </c>
      <c r="AD39" s="16" t="str" cm="1">
        <f t="array" ref="AD39">_xlfn.IFS(AB39=" "," ", AB39&gt;1,"Early",AB39&lt;=-1,"Late",AND(AB39&gt;=-1,AB39&lt;=1),"On Time")</f>
        <v>On Time</v>
      </c>
      <c r="AE39" s="16" t="str">
        <f t="shared" si="13"/>
        <v>Circa-PHV</v>
      </c>
      <c r="AF39" s="25">
        <f>Y39 - IFERROR(INDEX(Errors!$B$2:$B$100, MATCH(F39 + 0.5, Errors!$A$2:$A$100, 0)), 0)</f>
        <v>171.28906600578838</v>
      </c>
      <c r="AG39" s="25">
        <f>Y39 + IFERROR(INDEX(Errors!$B$2:$B$100, MATCH(F39 + 0.5, Errors!$A$2:$A$100, 0)), 0)</f>
        <v>176.0890660057884</v>
      </c>
      <c r="AH39" s="25">
        <f>Y39 - IFERROR(INDEX(Errors!$C$2:$C$100, MATCH(F39 + 0.5, Errors!$A$2:$A$100, 0)), 0)</f>
        <v>167.89786600578839</v>
      </c>
      <c r="AI39" s="25">
        <f>Y39 + IFERROR(INDEX(Errors!$C$2:$C$100, MATCH(F39 + 0.5, Errors!$A$2:$A$100, 0)), 0)</f>
        <v>179.48026600578839</v>
      </c>
    </row>
    <row r="40" spans="1:35">
      <c r="A40" s="40">
        <v>39</v>
      </c>
      <c r="B40" s="34" t="s">
        <v>35</v>
      </c>
      <c r="C40" s="36">
        <v>41932</v>
      </c>
      <c r="D40" s="36">
        <v>45662</v>
      </c>
      <c r="E40" s="15">
        <f t="shared" si="0"/>
        <v>10.208333333333334</v>
      </c>
      <c r="F40" s="15">
        <f t="shared" si="1"/>
        <v>10</v>
      </c>
      <c r="G40" s="39">
        <v>37.9</v>
      </c>
      <c r="H40" s="16">
        <f t="shared" si="14"/>
        <v>83.569500000000005</v>
      </c>
      <c r="I40" s="34">
        <v>150</v>
      </c>
      <c r="J40" s="16">
        <f>IF(
    Input!B40="Male",
    IFERROR(INDEX('Metric coefficients'!$E$2:$E$29, MATCH(Input!F40, 'Metric coefficients'!$A$2:$A$29, 0)), "Not Found"),
    IF(
        Input!B40="Female",
        IFERROR(INDEX('Metric coefficients'!$O$2:$O$29, MATCH(Input!F40, 'Metric coefficients'!$M$2:$M$29, 0)), "Not Found"),
        ""
    )
)</f>
        <v>0.82770999999999995</v>
      </c>
      <c r="K40" s="16">
        <f t="shared" si="2"/>
        <v>59.055150000000005</v>
      </c>
      <c r="L40" s="16">
        <f>IF(
    Input!B40="Male",
    IFERROR(INDEX('Metric coefficients'!$F$2:$F$29, MATCH(Input!F40, 'Metric coefficients'!$A$2:$A$29, 0)), "Not Found"),
    IF(
        Input!B40="Female",
        IFERROR(INDEX('Metric coefficients'!$P$2:$P$29, MATCH(Input!F40, 'Metric coefficients'!$M$2:$M$29, 0)), "Not Found"),
        ""
    )
)</f>
        <v>-0.41419</v>
      </c>
      <c r="M40" s="34">
        <v>160</v>
      </c>
      <c r="N40" s="16">
        <f t="shared" si="3"/>
        <v>62.992160000000005</v>
      </c>
      <c r="O40" s="16">
        <f t="shared" si="4"/>
        <v>62.834528480000003</v>
      </c>
      <c r="P40" s="16">
        <f t="shared" si="5"/>
        <v>159.59970233920001</v>
      </c>
      <c r="Q40" s="34">
        <v>188</v>
      </c>
      <c r="R40" s="16">
        <f t="shared" si="6"/>
        <v>74.015788000000001</v>
      </c>
      <c r="S40" s="16">
        <f t="shared" si="7"/>
        <v>73.001077539999997</v>
      </c>
      <c r="T40" s="16">
        <f t="shared" si="8"/>
        <v>185.4227369516</v>
      </c>
      <c r="U40" s="16">
        <f t="shared" si="9"/>
        <v>172.51121964539999</v>
      </c>
      <c r="V40" s="17">
        <f>IF(
    Input!B40="Male",
    IFERROR(INDEX('Metric coefficients'!$G$2:$G$29, MATCH(Input!F40, 'Metric coefficients'!$A$2:$A$29, 0)), "Not Found"),
    IF(
        Input!B40="Female",
        IFERROR(INDEX('Metric coefficients'!$Q$2:$Q$29, MATCH(Input!F40, 'Metric coefficients'!$M$2:$M$29, 0)), "Not Found"),
        ""
    )
)</f>
        <v>0.37312000000000001</v>
      </c>
      <c r="W40" s="17" cm="1">
        <f t="array" ref="W40">_xlfn.IFS(B40="Male",U40*0.393701+2.5,B40="Female",U40*0.393701-2.5)</f>
        <v>65.417839685613629</v>
      </c>
      <c r="X40" s="16">
        <f>IF(
    Input!B40="Male",
    IFERROR(INDEX('Metric coefficients'!$D$2:$D$29, MATCH(Input!F40, 'Metric coefficients'!$A$2:$A$29, 0)), "Not Found"),
    IF(
        Input!B40="Female",
        IFERROR(INDEX('Metric coefficients'!$N$2:$N$29, MATCH(Input!F40, 'Metric coefficients'!$M$2:$M$29, 0)), "Not Found"),
        ""
    )
)</f>
        <v>0.85009999999999997</v>
      </c>
      <c r="Y40" s="25">
        <f t="shared" si="10"/>
        <v>173.67618527409164</v>
      </c>
      <c r="Z40" s="16">
        <f t="shared" si="11"/>
        <v>86.367627066009973</v>
      </c>
      <c r="AA40" s="16" cm="1">
        <f t="array" ref="AA40">_xlfn.IFS(
    B40="Male", _xlfn.XLOOKUP(0, ABS(SA!$C$2:$C$218 - Input!Z40), SA!$A$2:$A$218, " ", 1),
    B40="Female", _xlfn.XLOOKUP(0, ABS(SA!$E$2:$E$218 - Input!Z40), SA!$A$2:$A$218, " ", 1)
)</f>
        <v>10.5</v>
      </c>
      <c r="AB40" s="16">
        <f t="shared" si="12"/>
        <v>0.29166666666666607</v>
      </c>
      <c r="AC40" s="16" t="str" cm="1">
        <f t="array" ref="AC40">_xlfn.IFS(AB40=" "," ", AB40&gt;0.5,"Early",AB40&lt;=-0.5,"Late",AND(AB40&gt;=-0.5,AB40&lt;=0.5),"On Time")</f>
        <v>On Time</v>
      </c>
      <c r="AD40" s="16" t="str" cm="1">
        <f t="array" ref="AD40">_xlfn.IFS(AB40=" "," ", AB40&gt;1,"Early",AB40&lt;=-1,"Late",AND(AB40&gt;=-1,AB40&lt;=1),"On Time")</f>
        <v>On Time</v>
      </c>
      <c r="AE40" s="16" t="str">
        <f t="shared" si="13"/>
        <v>Pre-PHV</v>
      </c>
      <c r="AF40" s="25">
        <f>Y40 - IFERROR(INDEX(Errors!$B$2:$B$100, MATCH(F40 + 0.5, Errors!$A$2:$A$100, 0)), 0)</f>
        <v>171.37618527409163</v>
      </c>
      <c r="AG40" s="25">
        <f>Y40 + IFERROR(INDEX(Errors!$B$2:$B$100, MATCH(F40 + 0.5, Errors!$A$2:$A$100, 0)), 0)</f>
        <v>175.97618527409165</v>
      </c>
      <c r="AH40" s="25">
        <f>Y40 - IFERROR(INDEX(Errors!$C$2:$C$100, MATCH(F40 + 0.5, Errors!$A$2:$A$100, 0)), 0)</f>
        <v>168.41838527409163</v>
      </c>
      <c r="AI40" s="25">
        <f>Y40 + IFERROR(INDEX(Errors!$C$2:$C$100, MATCH(F40 + 0.5, Errors!$A$2:$A$100, 0)), 0)</f>
        <v>178.93398527409164</v>
      </c>
    </row>
    <row r="41" spans="1:35">
      <c r="A41" s="40">
        <v>40</v>
      </c>
      <c r="B41" s="35" t="s">
        <v>35</v>
      </c>
      <c r="C41" s="37">
        <v>40913</v>
      </c>
      <c r="D41" s="37">
        <v>45662</v>
      </c>
      <c r="E41" s="15">
        <f t="shared" si="0"/>
        <v>13</v>
      </c>
      <c r="F41" s="15">
        <f t="shared" si="1"/>
        <v>13</v>
      </c>
      <c r="G41" s="38">
        <v>53.9</v>
      </c>
      <c r="H41" s="16">
        <f t="shared" si="14"/>
        <v>118.84950000000001</v>
      </c>
      <c r="I41" s="35">
        <v>169.6</v>
      </c>
      <c r="J41" s="16">
        <f>IF(
    Input!B41="Male",
    IFERROR(INDEX('Metric coefficients'!$E$2:$E$29, MATCH(Input!F41, 'Metric coefficients'!$A$2:$A$29, 0)), "Not Found"),
    IF(
        Input!B41="Female",
        IFERROR(INDEX('Metric coefficients'!$O$2:$O$29, MATCH(Input!F41, 'Metric coefficients'!$M$2:$M$29, 0)), "Not Found"),
        ""
    )
)</f>
        <v>0.72260000000000002</v>
      </c>
      <c r="K41" s="16">
        <f t="shared" si="2"/>
        <v>66.771689600000002</v>
      </c>
      <c r="L41" s="16">
        <f>IF(
    Input!B41="Male",
    IFERROR(INDEX('Metric coefficients'!$F$2:$F$29, MATCH(Input!F41, 'Metric coefficients'!$A$2:$A$29, 0)), "Not Found"),
    IF(
        Input!B41="Female",
        IFERROR(INDEX('Metric coefficients'!$P$2:$P$29, MATCH(Input!F41, 'Metric coefficients'!$M$2:$M$29, 0)), "Not Found"),
        ""
    )
)</f>
        <v>-0.20499000000000001</v>
      </c>
      <c r="M41" s="35">
        <v>167</v>
      </c>
      <c r="N41" s="16">
        <f t="shared" si="3"/>
        <v>65.748067000000006</v>
      </c>
      <c r="O41" s="16">
        <f t="shared" si="4"/>
        <v>65.460907851000002</v>
      </c>
      <c r="P41" s="16">
        <f t="shared" si="5"/>
        <v>166.27070594154</v>
      </c>
      <c r="Q41" s="35">
        <v>175</v>
      </c>
      <c r="R41" s="16">
        <f t="shared" si="6"/>
        <v>68.897675000000007</v>
      </c>
      <c r="S41" s="16">
        <f t="shared" si="7"/>
        <v>68.113279625000004</v>
      </c>
      <c r="T41" s="16">
        <f t="shared" si="8"/>
        <v>173.00773024750001</v>
      </c>
      <c r="U41" s="16">
        <f t="shared" si="9"/>
        <v>169.63921809452</v>
      </c>
      <c r="V41" s="17">
        <f>IF(
    Input!B41="Male",
    IFERROR(INDEX('Metric coefficients'!$G$2:$G$29, MATCH(Input!F41, 'Metric coefficients'!$A$2:$A$29, 0)), "Not Found"),
    IF(
        Input!B41="Female",
        IFERROR(INDEX('Metric coefficients'!$Q$2:$Q$29, MATCH(Input!F41, 'Metric coefficients'!$M$2:$M$29, 0)), "Not Found"),
        ""
    )
)</f>
        <v>0.31163000000000002</v>
      </c>
      <c r="W41" s="17" cm="1">
        <f t="array" ref="W41">_xlfn.IFS(B41="Male",U41*0.393701+2.5,B41="Female",U41*0.393701-2.5)</f>
        <v>64.287129803030624</v>
      </c>
      <c r="X41" s="16">
        <f>IF(
    Input!B41="Male",
    IFERROR(INDEX('Metric coefficients'!$D$2:$D$29, MATCH(Input!F41, 'Metric coefficients'!$A$2:$A$29, 0)), "Not Found"),
    IF(
        Input!B41="Female",
        IFERROR(INDEX('Metric coefficients'!$N$2:$N$29, MATCH(Input!F41, 'Metric coefficients'!$M$2:$M$29, 0)), "Not Found"),
        ""
    )
)</f>
        <v>8.1639999999999997</v>
      </c>
      <c r="Y41" s="25">
        <f t="shared" si="10"/>
        <v>172.53266853479528</v>
      </c>
      <c r="Z41" s="16">
        <f t="shared" si="11"/>
        <v>98.300224206986144</v>
      </c>
      <c r="AA41" s="16" cm="1">
        <f t="array" ref="AA41">_xlfn.IFS(
    B41="Male", _xlfn.XLOOKUP(0, ABS(SA!$C$2:$C$218 - Input!Z41), SA!$A$2:$A$218, " ", 1),
    B41="Female", _xlfn.XLOOKUP(0, ABS(SA!$E$2:$E$218 - Input!Z41), SA!$A$2:$A$218, " ", 1)
)</f>
        <v>14.417</v>
      </c>
      <c r="AB41" s="16">
        <f t="shared" si="12"/>
        <v>1.4169999999999998</v>
      </c>
      <c r="AC41" s="16" t="str" cm="1">
        <f t="array" ref="AC41">_xlfn.IFS(AB41=" "," ", AB41&gt;0.5,"Early",AB41&lt;=-0.5,"Late",AND(AB41&gt;=-0.5,AB41&lt;=0.5),"On Time")</f>
        <v>Early</v>
      </c>
      <c r="AD41" s="16" t="str" cm="1">
        <f t="array" ref="AD41">_xlfn.IFS(AB41=" "," ", AB41&gt;1,"Early",AB41&lt;=-1,"Late",AND(AB41&gt;=-1,AB41&lt;=1),"On Time")</f>
        <v>Early</v>
      </c>
      <c r="AE41" s="16" t="str">
        <f t="shared" si="13"/>
        <v>Post PHV</v>
      </c>
      <c r="AF41" s="25">
        <f>Y41 - IFERROR(INDEX(Errors!$B$2:$B$100, MATCH(F41 + 0.5, Errors!$A$2:$A$100, 0)), 0)</f>
        <v>169.83266853479529</v>
      </c>
      <c r="AG41" s="25">
        <f>Y41 + IFERROR(INDEX(Errors!$B$2:$B$100, MATCH(F41 + 0.5, Errors!$A$2:$A$100, 0)), 0)</f>
        <v>175.23266853479527</v>
      </c>
      <c r="AH41" s="25">
        <f>Y41 - IFERROR(INDEX(Errors!$C$2:$C$100, MATCH(F41 + 0.5, Errors!$A$2:$A$100, 0)), 0)</f>
        <v>165.21746853479527</v>
      </c>
      <c r="AI41" s="25">
        <f>Y41 + IFERROR(INDEX(Errors!$C$2:$C$100, MATCH(F41 + 0.5, Errors!$A$2:$A$100, 0)), 0)</f>
        <v>179.84786853479528</v>
      </c>
    </row>
    <row r="42" spans="1:35">
      <c r="A42" s="40">
        <v>41</v>
      </c>
      <c r="B42" s="34" t="s">
        <v>35</v>
      </c>
      <c r="C42" s="36">
        <v>41292</v>
      </c>
      <c r="D42" s="36">
        <v>45662</v>
      </c>
      <c r="E42" s="15">
        <f t="shared" si="0"/>
        <v>11.963888888888889</v>
      </c>
      <c r="F42" s="15">
        <f t="shared" si="1"/>
        <v>12</v>
      </c>
      <c r="G42" s="39">
        <v>53.7</v>
      </c>
      <c r="H42" s="16">
        <f t="shared" si="14"/>
        <v>118.4085</v>
      </c>
      <c r="I42" s="34">
        <v>163.6</v>
      </c>
      <c r="J42" s="16">
        <f>IF(
    Input!B42="Male",
    IFERROR(INDEX('Metric coefficients'!$E$2:$E$29, MATCH(Input!F42, 'Metric coefficients'!$A$2:$A$29, 0)), "Not Found"),
    IF(
        Input!B42="Female",
        IFERROR(INDEX('Metric coefficients'!$O$2:$O$29, MATCH(Input!F42, 'Metric coefficients'!$M$2:$M$29, 0)), "Not Found"),
        ""
    )
)</f>
        <v>0.64451999999999998</v>
      </c>
      <c r="K42" s="16">
        <f t="shared" si="2"/>
        <v>64.409483600000002</v>
      </c>
      <c r="L42" s="16">
        <f>IF(
    Input!B42="Male",
    IFERROR(INDEX('Metric coefficients'!$F$2:$F$29, MATCH(Input!F42, 'Metric coefficients'!$A$2:$A$29, 0)), "Not Found"),
    IF(
        Input!B42="Female",
        IFERROR(INDEX('Metric coefficients'!$P$2:$P$29, MATCH(Input!F42, 'Metric coefficients'!$M$2:$M$29, 0)), "Not Found"),
        ""
    )
)</f>
        <v>-0.27405000000000002</v>
      </c>
      <c r="M42" s="34">
        <v>165</v>
      </c>
      <c r="N42" s="16">
        <f t="shared" si="3"/>
        <v>64.960665000000006</v>
      </c>
      <c r="O42" s="16">
        <f t="shared" si="4"/>
        <v>64.710513745</v>
      </c>
      <c r="P42" s="16">
        <f t="shared" si="5"/>
        <v>164.3647049123</v>
      </c>
      <c r="Q42" s="34">
        <v>190</v>
      </c>
      <c r="R42" s="16">
        <f t="shared" si="6"/>
        <v>74.803190000000001</v>
      </c>
      <c r="S42" s="16">
        <f t="shared" si="7"/>
        <v>73.753046449999999</v>
      </c>
      <c r="T42" s="16">
        <f t="shared" si="8"/>
        <v>187.33273798299999</v>
      </c>
      <c r="U42" s="16">
        <f t="shared" si="9"/>
        <v>175.84872144765001</v>
      </c>
      <c r="V42" s="17">
        <f>IF(
    Input!B42="Male",
    IFERROR(INDEX('Metric coefficients'!$G$2:$G$29, MATCH(Input!F42, 'Metric coefficients'!$A$2:$A$29, 0)), "Not Found"),
    IF(
        Input!B42="Female",
        IFERROR(INDEX('Metric coefficients'!$Q$2:$Q$29, MATCH(Input!F42, 'Metric coefficients'!$M$2:$M$29, 0)), "Not Found"),
        ""
    )
)</f>
        <v>0.39489999999999997</v>
      </c>
      <c r="W42" s="17" cm="1">
        <f t="array" ref="W42">_xlfn.IFS(B42="Male",U42*0.393701+2.5,B42="Female",U42*0.393701-2.5)</f>
        <v>66.731817482661256</v>
      </c>
      <c r="X42" s="16">
        <f>IF(
    Input!B42="Male",
    IFERROR(INDEX('Metric coefficients'!$D$2:$D$29, MATCH(Input!F42, 'Metric coefficients'!$A$2:$A$29, 0)), "Not Found"),
    IF(
        Input!B42="Female",
        IFERROR(INDEX('Metric coefficients'!$N$2:$N$29, MATCH(Input!F42, 'Metric coefficients'!$M$2:$M$29, 0)), "Not Found"),
        ""
    )
)</f>
        <v>12.302899999999999</v>
      </c>
      <c r="Y42" s="25">
        <f t="shared" si="10"/>
        <v>172.47254709967697</v>
      </c>
      <c r="Z42" s="16">
        <f t="shared" si="11"/>
        <v>94.855675729918175</v>
      </c>
      <c r="AA42" s="16" cm="1">
        <f t="array" ref="AA42">_xlfn.IFS(
    B42="Male", _xlfn.XLOOKUP(0, ABS(SA!$C$2:$C$218 - Input!Z42), SA!$A$2:$A$218, " ", 1),
    B42="Female", _xlfn.XLOOKUP(0, ABS(SA!$E$2:$E$218 - Input!Z42), SA!$A$2:$A$218, " ", 1)
)</f>
        <v>13</v>
      </c>
      <c r="AB42" s="16">
        <f t="shared" si="12"/>
        <v>1.0361111111111114</v>
      </c>
      <c r="AC42" s="16" t="str" cm="1">
        <f t="array" ref="AC42">_xlfn.IFS(AB42=" "," ", AB42&gt;0.5,"Early",AB42&lt;=-0.5,"Late",AND(AB42&gt;=-0.5,AB42&lt;=0.5),"On Time")</f>
        <v>Early</v>
      </c>
      <c r="AD42" s="16" t="str" cm="1">
        <f t="array" ref="AD42">_xlfn.IFS(AB42=" "," ", AB42&gt;1,"Early",AB42&lt;=-1,"Late",AND(AB42&gt;=-1,AB42&lt;=1),"On Time")</f>
        <v>Early</v>
      </c>
      <c r="AE42" s="16" t="str">
        <f t="shared" si="13"/>
        <v>Circa-PHV</v>
      </c>
      <c r="AF42" s="25">
        <f>Y42 - IFERROR(INDEX(Errors!$B$2:$B$100, MATCH(F42 + 0.5, Errors!$A$2:$A$100, 0)), 0)</f>
        <v>169.97254709967697</v>
      </c>
      <c r="AG42" s="25">
        <f>Y42 + IFERROR(INDEX(Errors!$B$2:$B$100, MATCH(F42 + 0.5, Errors!$A$2:$A$100, 0)), 0)</f>
        <v>174.97254709967697</v>
      </c>
      <c r="AH42" s="25">
        <f>Y42 - IFERROR(INDEX(Errors!$C$2:$C$100, MATCH(F42 + 0.5, Errors!$A$2:$A$100, 0)), 0)</f>
        <v>165.74154709967698</v>
      </c>
      <c r="AI42" s="25">
        <f>Y42 + IFERROR(INDEX(Errors!$C$2:$C$100, MATCH(F42 + 0.5, Errors!$A$2:$A$100, 0)), 0)</f>
        <v>179.20354709967697</v>
      </c>
    </row>
    <row r="43" spans="1:35">
      <c r="A43" s="40">
        <v>42</v>
      </c>
      <c r="B43" s="35" t="s">
        <v>35</v>
      </c>
      <c r="C43" s="37">
        <v>42309</v>
      </c>
      <c r="D43" s="37">
        <v>45662</v>
      </c>
      <c r="E43" s="15">
        <f t="shared" si="0"/>
        <v>9.1777777777777771</v>
      </c>
      <c r="F43" s="15">
        <f t="shared" si="1"/>
        <v>9</v>
      </c>
      <c r="G43" s="38">
        <v>29</v>
      </c>
      <c r="H43" s="16">
        <f t="shared" si="14"/>
        <v>63.945</v>
      </c>
      <c r="I43" s="35">
        <v>138.4</v>
      </c>
      <c r="J43" s="16">
        <f>IF(
    Input!B43="Male",
    IFERROR(INDEX('Metric coefficients'!$E$2:$E$29, MATCH(Input!F43, 'Metric coefficients'!$A$2:$A$29, 0)), "Not Found"),
    IF(
        Input!B43="Female",
        IFERROR(INDEX('Metric coefficients'!$O$2:$O$29, MATCH(Input!F43, 'Metric coefficients'!$M$2:$M$29, 0)), "Not Found"),
        ""
    )
)</f>
        <v>0.96020000000000005</v>
      </c>
      <c r="K43" s="16">
        <f t="shared" si="2"/>
        <v>54.488218400000008</v>
      </c>
      <c r="L43" s="16">
        <f>IF(
    Input!B43="Male",
    IFERROR(INDEX('Metric coefficients'!$F$2:$F$29, MATCH(Input!F43, 'Metric coefficients'!$A$2:$A$29, 0)), "Not Found"),
    IF(
        Input!B43="Female",
        IFERROR(INDEX('Metric coefficients'!$P$2:$P$29, MATCH(Input!F43, 'Metric coefficients'!$M$2:$M$29, 0)), "Not Found"),
        ""
    )
)</f>
        <v>-0.50644</v>
      </c>
      <c r="M43" s="35">
        <v>178</v>
      </c>
      <c r="N43" s="16">
        <f t="shared" si="3"/>
        <v>70.078778</v>
      </c>
      <c r="O43" s="16">
        <f t="shared" si="4"/>
        <v>69.58807543399999</v>
      </c>
      <c r="P43" s="16">
        <f t="shared" si="5"/>
        <v>176.75371160235997</v>
      </c>
      <c r="Q43" s="35">
        <v>178.5</v>
      </c>
      <c r="R43" s="16">
        <f t="shared" si="6"/>
        <v>70.27562850000001</v>
      </c>
      <c r="S43" s="16">
        <f t="shared" si="7"/>
        <v>69.429225217500004</v>
      </c>
      <c r="T43" s="16">
        <f t="shared" si="8"/>
        <v>176.35023205245002</v>
      </c>
      <c r="U43" s="16">
        <f t="shared" si="9"/>
        <v>176.551971827405</v>
      </c>
      <c r="V43" s="17">
        <f>IF(
    Input!B43="Male",
    IFERROR(INDEX('Metric coefficients'!$G$2:$G$29, MATCH(Input!F43, 'Metric coefficients'!$A$2:$A$29, 0)), "Not Found"),
    IF(
        Input!B43="Female",
        IFERROR(INDEX('Metric coefficients'!$Q$2:$Q$29, MATCH(Input!F43, 'Metric coefficients'!$M$2:$M$29, 0)), "Not Found"),
        ""
    )
)</f>
        <v>0.33290999999999998</v>
      </c>
      <c r="W43" s="17" cm="1">
        <f t="array" ref="W43">_xlfn.IFS(B43="Male",U43*0.393701+2.5,B43="Female",U43*0.393701-2.5)</f>
        <v>67.008687860421176</v>
      </c>
      <c r="X43" s="16">
        <f>IF(
    Input!B43="Male",
    IFERROR(INDEX('Metric coefficients'!$D$2:$D$29, MATCH(Input!F43, 'Metric coefficients'!$A$2:$A$29, 0)), "Not Found"),
    IF(
        Input!B43="Female",
        IFERROR(INDEX('Metric coefficients'!$N$2:$N$29, MATCH(Input!F43, 'Metric coefficients'!$M$2:$M$29, 0)), "Not Found"),
        ""
    )
)</f>
        <v>-4.7523</v>
      </c>
      <c r="Y43" s="25">
        <f t="shared" si="10"/>
        <v>172.22853694106141</v>
      </c>
      <c r="Z43" s="16">
        <f t="shared" si="11"/>
        <v>80.358343894753105</v>
      </c>
      <c r="AA43" s="16" cm="1">
        <f t="array" ref="AA43">_xlfn.IFS(
    B43="Male", _xlfn.XLOOKUP(0, ABS(SA!$C$2:$C$218 - Input!Z43), SA!$A$2:$A$218, " ", 1),
    B43="Female", _xlfn.XLOOKUP(0, ABS(SA!$E$2:$E$218 - Input!Z43), SA!$A$2:$A$218, " ", 1)
)</f>
        <v>8.75</v>
      </c>
      <c r="AB43" s="16">
        <f t="shared" si="12"/>
        <v>-0.42777777777777715</v>
      </c>
      <c r="AC43" s="16" t="str" cm="1">
        <f t="array" ref="AC43">_xlfn.IFS(AB43=" "," ", AB43&gt;0.5,"Early",AB43&lt;=-0.5,"Late",AND(AB43&gt;=-0.5,AB43&lt;=0.5),"On Time")</f>
        <v>On Time</v>
      </c>
      <c r="AD43" s="16" t="str" cm="1">
        <f t="array" ref="AD43">_xlfn.IFS(AB43=" "," ", AB43&gt;1,"Early",AB43&lt;=-1,"Late",AND(AB43&gt;=-1,AB43&lt;=1),"On Time")</f>
        <v>On Time</v>
      </c>
      <c r="AE43" s="16" t="str">
        <f t="shared" si="13"/>
        <v>Pre-PHV</v>
      </c>
      <c r="AF43" s="25">
        <f>Y43 - IFERROR(INDEX(Errors!$B$2:$B$100, MATCH(F43 + 0.5, Errors!$A$2:$A$100, 0)), 0)</f>
        <v>170.12853694106141</v>
      </c>
      <c r="AG43" s="25">
        <f>Y43 + IFERROR(INDEX(Errors!$B$2:$B$100, MATCH(F43 + 0.5, Errors!$A$2:$A$100, 0)), 0)</f>
        <v>174.3285369410614</v>
      </c>
      <c r="AH43" s="25">
        <f>Y43 - IFERROR(INDEX(Errors!$C$2:$C$100, MATCH(F43 + 0.5, Errors!$A$2:$A$100, 0)), 0)</f>
        <v>167.07233694106139</v>
      </c>
      <c r="AI43" s="25">
        <f>Y43 + IFERROR(INDEX(Errors!$C$2:$C$100, MATCH(F43 + 0.5, Errors!$A$2:$A$100, 0)), 0)</f>
        <v>177.38473694106142</v>
      </c>
    </row>
    <row r="44" spans="1:35">
      <c r="A44" s="40">
        <v>43</v>
      </c>
      <c r="B44" s="34" t="s">
        <v>35</v>
      </c>
      <c r="C44" s="36">
        <v>40627</v>
      </c>
      <c r="D44" s="36">
        <v>45662</v>
      </c>
      <c r="E44" s="15">
        <f t="shared" si="0"/>
        <v>13.777777777777779</v>
      </c>
      <c r="F44" s="15">
        <f t="shared" si="1"/>
        <v>14</v>
      </c>
      <c r="G44" s="39">
        <v>44.1</v>
      </c>
      <c r="H44" s="16">
        <f t="shared" si="14"/>
        <v>97.240500000000011</v>
      </c>
      <c r="I44" s="34">
        <v>146.9</v>
      </c>
      <c r="J44" s="16">
        <f>IF(
    Input!B44="Male",
    IFERROR(INDEX('Metric coefficients'!$E$2:$E$29, MATCH(Input!F44, 'Metric coefficients'!$A$2:$A$29, 0)), "Not Found"),
    IF(
        Input!B44="Female",
        IFERROR(INDEX('Metric coefficients'!$O$2:$O$29, MATCH(Input!F44, 'Metric coefficients'!$M$2:$M$29, 0)), "Not Found"),
        ""
    )
)</f>
        <v>0.85062000000000004</v>
      </c>
      <c r="K44" s="16">
        <f t="shared" si="2"/>
        <v>57.834676900000005</v>
      </c>
      <c r="L44" s="16">
        <f>IF(
    Input!B44="Male",
    IFERROR(INDEX('Metric coefficients'!$F$2:$F$29, MATCH(Input!F44, 'Metric coefficients'!$A$2:$A$29, 0)), "Not Found"),
    IF(
        Input!B44="Female",
        IFERROR(INDEX('Metric coefficients'!$P$2:$P$29, MATCH(Input!F44, 'Metric coefficients'!$M$2:$M$29, 0)), "Not Found"),
        ""
    )
)</f>
        <v>-0.13999</v>
      </c>
      <c r="M44" s="34">
        <v>159</v>
      </c>
      <c r="N44" s="16">
        <f t="shared" si="3"/>
        <v>62.598459000000005</v>
      </c>
      <c r="O44" s="16">
        <f t="shared" si="4"/>
        <v>62.459331427000002</v>
      </c>
      <c r="P44" s="16">
        <f t="shared" si="5"/>
        <v>158.64670182458002</v>
      </c>
      <c r="Q44" s="34">
        <v>170</v>
      </c>
      <c r="R44" s="16">
        <f t="shared" si="6"/>
        <v>66.929169999999999</v>
      </c>
      <c r="S44" s="16">
        <f t="shared" si="7"/>
        <v>66.233357349999991</v>
      </c>
      <c r="T44" s="16">
        <f t="shared" si="8"/>
        <v>168.23272766899998</v>
      </c>
      <c r="U44" s="16">
        <f t="shared" si="9"/>
        <v>163.43971474679</v>
      </c>
      <c r="V44" s="17">
        <f>IF(
    Input!B44="Male",
    IFERROR(INDEX('Metric coefficients'!$G$2:$G$29, MATCH(Input!F44, 'Metric coefficients'!$A$2:$A$29, 0)), "Not Found"),
    IF(
        Input!B44="Female",
        IFERROR(INDEX('Metric coefficients'!$Q$2:$Q$29, MATCH(Input!F44, 'Metric coefficients'!$M$2:$M$29, 0)), "Not Found"),
        ""
    )
)</f>
        <v>0.20235</v>
      </c>
      <c r="W44" s="17" cm="1">
        <f t="array" ref="W44">_xlfn.IFS(B44="Male",U44*0.393701+2.5,B44="Female",U44*0.393701-2.5)</f>
        <v>61.846379135525979</v>
      </c>
      <c r="X44" s="16">
        <f>IF(
    Input!B44="Male",
    IFERROR(INDEX('Metric coefficients'!$D$2:$D$29, MATCH(Input!F44, 'Metric coefficients'!$A$2:$A$29, 0)), "Not Found"),
    IF(
        Input!B44="Female",
        IFERROR(INDEX('Metric coefficients'!$N$2:$N$29, MATCH(Input!F44, 'Metric coefficients'!$M$2:$M$29, 0)), "Not Found"),
        ""
    )
)</f>
        <v>0.8236</v>
      </c>
      <c r="Y44" s="25">
        <f t="shared" si="10"/>
        <v>152.67814527901297</v>
      </c>
      <c r="Z44" s="16">
        <f t="shared" si="11"/>
        <v>96.215473230662028</v>
      </c>
      <c r="AA44" s="16" cm="1">
        <f t="array" ref="AA44">_xlfn.IFS(
    B44="Male", _xlfn.XLOOKUP(0, ABS(SA!$C$2:$C$218 - Input!Z44), SA!$A$2:$A$218, " ", 1),
    B44="Female", _xlfn.XLOOKUP(0, ABS(SA!$E$2:$E$218 - Input!Z44), SA!$A$2:$A$218, " ", 1)
)</f>
        <v>13.5</v>
      </c>
      <c r="AB44" s="16">
        <f t="shared" si="12"/>
        <v>-0.27777777777777857</v>
      </c>
      <c r="AC44" s="16" t="str" cm="1">
        <f t="array" ref="AC44">_xlfn.IFS(AB44=" "," ", AB44&gt;0.5,"Early",AB44&lt;=-0.5,"Late",AND(AB44&gt;=-0.5,AB44&lt;=0.5),"On Time")</f>
        <v>On Time</v>
      </c>
      <c r="AD44" s="16" t="str" cm="1">
        <f t="array" ref="AD44">_xlfn.IFS(AB44=" "," ", AB44&gt;1,"Early",AB44&lt;=-1,"Late",AND(AB44&gt;=-1,AB44&lt;=1),"On Time")</f>
        <v>On Time</v>
      </c>
      <c r="AE44" s="16" t="str">
        <f t="shared" si="13"/>
        <v>Post PHV</v>
      </c>
      <c r="AF44" s="25">
        <f>Y44 - IFERROR(INDEX(Errors!$B$2:$B$100, MATCH(F44 + 0.5, Errors!$A$2:$A$100, 0)), 0)</f>
        <v>149.97814527901298</v>
      </c>
      <c r="AG44" s="25">
        <f>Y44 + IFERROR(INDEX(Errors!$B$2:$B$100, MATCH(F44 + 0.5, Errors!$A$2:$A$100, 0)), 0)</f>
        <v>155.37814527901295</v>
      </c>
      <c r="AH44" s="25">
        <f>Y44 - IFERROR(INDEX(Errors!$C$2:$C$100, MATCH(F44 + 0.5, Errors!$A$2:$A$100, 0)), 0)</f>
        <v>145.94714527901297</v>
      </c>
      <c r="AI44" s="25">
        <f>Y44 + IFERROR(INDEX(Errors!$C$2:$C$100, MATCH(F44 + 0.5, Errors!$A$2:$A$100, 0)), 0)</f>
        <v>159.40914527901296</v>
      </c>
    </row>
    <row r="45" spans="1:35">
      <c r="A45" s="40">
        <v>44</v>
      </c>
      <c r="B45" s="35" t="s">
        <v>35</v>
      </c>
      <c r="C45" s="37">
        <v>41157</v>
      </c>
      <c r="D45" s="37">
        <v>45662</v>
      </c>
      <c r="E45" s="15">
        <f t="shared" si="0"/>
        <v>12.333333333333334</v>
      </c>
      <c r="F45" s="15">
        <f t="shared" si="1"/>
        <v>12.5</v>
      </c>
      <c r="G45" s="38">
        <v>61.2</v>
      </c>
      <c r="H45" s="16">
        <f t="shared" si="14"/>
        <v>134.946</v>
      </c>
      <c r="I45" s="35">
        <v>163.6</v>
      </c>
      <c r="J45" s="16">
        <f>IF(
    Input!B45="Male",
    IFERROR(INDEX('Metric coefficients'!$E$2:$E$29, MATCH(Input!F45, 'Metric coefficients'!$A$2:$A$29, 0)), "Not Found"),
    IF(
        Input!B45="Female",
        IFERROR(INDEX('Metric coefficients'!$O$2:$O$29, MATCH(Input!F45, 'Metric coefficients'!$M$2:$M$29, 0)), "Not Found"),
        ""
    )
)</f>
        <v>0.67386000000000001</v>
      </c>
      <c r="K45" s="16">
        <f t="shared" si="2"/>
        <v>64.409483600000002</v>
      </c>
      <c r="L45" s="16">
        <f>IF(
    Input!B45="Male",
    IFERROR(INDEX('Metric coefficients'!$F$2:$F$29, MATCH(Input!F45, 'Metric coefficients'!$A$2:$A$29, 0)), "Not Found"),
    IF(
        Input!B45="Female",
        IFERROR(INDEX('Metric coefficients'!$P$2:$P$29, MATCH(Input!F45, 'Metric coefficients'!$M$2:$M$29, 0)), "Not Found"),
        ""
    )
)</f>
        <v>-0.23924000000000001</v>
      </c>
      <c r="M45" s="35">
        <v>162</v>
      </c>
      <c r="N45" s="16">
        <f t="shared" si="3"/>
        <v>63.779562000000006</v>
      </c>
      <c r="O45" s="16">
        <f t="shared" si="4"/>
        <v>63.584922585999998</v>
      </c>
      <c r="P45" s="16">
        <f t="shared" si="5"/>
        <v>161.50570336844001</v>
      </c>
      <c r="Q45" s="35">
        <v>199</v>
      </c>
      <c r="R45" s="16">
        <f t="shared" si="6"/>
        <v>78.346499000000009</v>
      </c>
      <c r="S45" s="16">
        <f t="shared" si="7"/>
        <v>77.136906545000002</v>
      </c>
      <c r="T45" s="16">
        <f t="shared" si="8"/>
        <v>195.92774262430001</v>
      </c>
      <c r="U45" s="16">
        <f t="shared" si="9"/>
        <v>178.71672299637001</v>
      </c>
      <c r="V45" s="17">
        <f>IF(
    Input!B45="Male",
    IFERROR(INDEX('Metric coefficients'!$G$2:$G$29, MATCH(Input!F45, 'Metric coefficients'!$A$2:$A$29, 0)), "Not Found"),
    IF(
        Input!B45="Female",
        IFERROR(INDEX('Metric coefficients'!$Q$2:$Q$29, MATCH(Input!F45, 'Metric coefficients'!$M$2:$M$29, 0)), "Not Found"),
        ""
    )
)</f>
        <v>0.35849999999999999</v>
      </c>
      <c r="W45" s="17" cm="1">
        <f t="array" ref="W45">_xlfn.IFS(B45="Male",U45*0.393701+2.5,B45="Female",U45*0.393701-2.5)</f>
        <v>67.860952560393869</v>
      </c>
      <c r="X45" s="16">
        <f>IF(
    Input!B45="Male",
    IFERROR(INDEX('Metric coefficients'!$D$2:$D$29, MATCH(Input!F45, 'Metric coefficients'!$A$2:$A$29, 0)), "Not Found"),
    IF(
        Input!B45="Female",
        IFERROR(INDEX('Metric coefficients'!$N$2:$N$29, MATCH(Input!F45, 'Metric coefficients'!$M$2:$M$29, 0)), "Not Found"),
        ""
    )
)</f>
        <v>10.867900000000001</v>
      </c>
      <c r="Y45" s="25">
        <f t="shared" si="10"/>
        <v>170.53985319419866</v>
      </c>
      <c r="Z45" s="16">
        <f t="shared" si="11"/>
        <v>95.930656052403165</v>
      </c>
      <c r="AA45" s="16" cm="1">
        <f t="array" ref="AA45">_xlfn.IFS(
    B45="Male", _xlfn.XLOOKUP(0, ABS(SA!$C$2:$C$218 - Input!Z45), SA!$A$2:$A$218, " ", 1),
    B45="Female", _xlfn.XLOOKUP(0, ABS(SA!$E$2:$E$218 - Input!Z45), SA!$A$2:$A$218, " ", 1)
)</f>
        <v>13.333</v>
      </c>
      <c r="AB45" s="16">
        <f t="shared" si="12"/>
        <v>0.99966666666666626</v>
      </c>
      <c r="AC45" s="16" t="str" cm="1">
        <f t="array" ref="AC45">_xlfn.IFS(AB45=" "," ", AB45&gt;0.5,"Early",AB45&lt;=-0.5,"Late",AND(AB45&gt;=-0.5,AB45&lt;=0.5),"On Time")</f>
        <v>Early</v>
      </c>
      <c r="AD45" s="16" t="str" cm="1">
        <f t="array" ref="AD45">_xlfn.IFS(AB45=" "," ", AB45&gt;1,"Early",AB45&lt;=-1,"Late",AND(AB45&gt;=-1,AB45&lt;=1),"On Time")</f>
        <v>On Time</v>
      </c>
      <c r="AE45" s="16" t="str">
        <f t="shared" si="13"/>
        <v>Post PHV</v>
      </c>
      <c r="AF45" s="25">
        <f>Y45 - IFERROR(INDEX(Errors!$B$2:$B$100, MATCH(F45 + 0.5, Errors!$A$2:$A$100, 0)), 0)</f>
        <v>167.93985319419866</v>
      </c>
      <c r="AG45" s="25">
        <f>Y45 + IFERROR(INDEX(Errors!$B$2:$B$100, MATCH(F45 + 0.5, Errors!$A$2:$A$100, 0)), 0)</f>
        <v>173.13985319419865</v>
      </c>
      <c r="AH45" s="25">
        <f>Y45 - IFERROR(INDEX(Errors!$C$2:$C$100, MATCH(F45 + 0.5, Errors!$A$2:$A$100, 0)), 0)</f>
        <v>163.40245319419864</v>
      </c>
      <c r="AI45" s="25">
        <f>Y45 + IFERROR(INDEX(Errors!$C$2:$C$100, MATCH(F45 + 0.5, Errors!$A$2:$A$100, 0)), 0)</f>
        <v>177.67725319419867</v>
      </c>
    </row>
    <row r="46" spans="1:35">
      <c r="A46" s="40">
        <v>45</v>
      </c>
      <c r="B46" s="34" t="s">
        <v>35</v>
      </c>
      <c r="C46" s="36">
        <v>41785</v>
      </c>
      <c r="D46" s="36">
        <v>45662</v>
      </c>
      <c r="E46" s="15">
        <f t="shared" si="0"/>
        <v>10.608333333333333</v>
      </c>
      <c r="F46" s="15">
        <f t="shared" si="1"/>
        <v>10.5</v>
      </c>
      <c r="G46" s="39">
        <v>47.4</v>
      </c>
      <c r="H46" s="16">
        <f t="shared" si="14"/>
        <v>104.517</v>
      </c>
      <c r="I46" s="34">
        <v>151.6</v>
      </c>
      <c r="J46" s="16">
        <f>IF(
    Input!B46="Male",
    IFERROR(INDEX('Metric coefficients'!$E$2:$E$29, MATCH(Input!F46, 'Metric coefficients'!$A$2:$A$29, 0)), "Not Found"),
    IF(
        Input!B46="Female",
        IFERROR(INDEX('Metric coefficients'!$O$2:$O$29, MATCH(Input!F46, 'Metric coefficients'!$M$2:$M$29, 0)), "Not Found"),
        ""
    )
)</f>
        <v>0.74212999999999996</v>
      </c>
      <c r="K46" s="16">
        <f t="shared" si="2"/>
        <v>59.685071600000001</v>
      </c>
      <c r="L46" s="16">
        <f>IF(
    Input!B46="Male",
    IFERROR(INDEX('Metric coefficients'!$F$2:$F$29, MATCH(Input!F46, 'Metric coefficients'!$A$2:$A$29, 0)), "Not Found"),
    IF(
        Input!B46="Female",
        IFERROR(INDEX('Metric coefficients'!$P$2:$P$29, MATCH(Input!F46, 'Metric coefficients'!$M$2:$M$29, 0)), "Not Found"),
        ""
    )
)</f>
        <v>-0.37735999999999997</v>
      </c>
      <c r="M46" s="34">
        <v>165</v>
      </c>
      <c r="N46" s="16">
        <f t="shared" si="3"/>
        <v>64.960665000000006</v>
      </c>
      <c r="O46" s="16">
        <f t="shared" si="4"/>
        <v>64.710513745</v>
      </c>
      <c r="P46" s="16">
        <f t="shared" si="5"/>
        <v>164.3647049123</v>
      </c>
      <c r="Q46" s="34">
        <v>188</v>
      </c>
      <c r="R46" s="16">
        <f t="shared" si="6"/>
        <v>74.015788000000001</v>
      </c>
      <c r="S46" s="16">
        <f t="shared" si="7"/>
        <v>73.001077539999997</v>
      </c>
      <c r="T46" s="16">
        <f t="shared" si="8"/>
        <v>185.4227369516</v>
      </c>
      <c r="U46" s="16">
        <f t="shared" si="9"/>
        <v>174.89372093194999</v>
      </c>
      <c r="V46" s="17">
        <f>IF(
    Input!B46="Male",
    IFERROR(INDEX('Metric coefficients'!$G$2:$G$29, MATCH(Input!F46, 'Metric coefficients'!$A$2:$A$29, 0)), "Not Found"),
    IF(
        Input!B46="Female",
        IFERROR(INDEX('Metric coefficients'!$Q$2:$Q$29, MATCH(Input!F46, 'Metric coefficients'!$M$2:$M$29, 0)), "Not Found"),
        ""
    )
)</f>
        <v>0.40161000000000002</v>
      </c>
      <c r="W46" s="17" cm="1">
        <f t="array" ref="W46">_xlfn.IFS(B46="Male",U46*0.393701+2.5,B46="Female",U46*0.393701-2.5)</f>
        <v>66.355832824629644</v>
      </c>
      <c r="X46" s="16">
        <f>IF(
    Input!B46="Male",
    IFERROR(INDEX('Metric coefficients'!$D$2:$D$29, MATCH(Input!F46, 'Metric coefficients'!$A$2:$A$29, 0)), "Not Found"),
    IF(
        Input!B46="Female",
        IFERROR(INDEX('Metric coefficients'!$N$2:$N$29, MATCH(Input!F46, 'Metric coefficients'!$M$2:$M$29, 0)), "Not Found"),
        ""
    )
)</f>
        <v>5.0130999999999997</v>
      </c>
      <c r="Y46" s="25">
        <f t="shared" si="10"/>
        <v>169.87221126348044</v>
      </c>
      <c r="Z46" s="16">
        <f t="shared" si="11"/>
        <v>89.243554830083824</v>
      </c>
      <c r="AA46" s="16" cm="1">
        <f t="array" ref="AA46">_xlfn.IFS(
    B46="Male", _xlfn.XLOOKUP(0, ABS(SA!$C$2:$C$218 - Input!Z46), SA!$A$2:$A$218, " ", 1),
    B46="Female", _xlfn.XLOOKUP(0, ABS(SA!$E$2:$E$218 - Input!Z46), SA!$A$2:$A$218, " ", 1)
)</f>
        <v>11.333</v>
      </c>
      <c r="AB46" s="16">
        <f t="shared" si="12"/>
        <v>0.72466666666666768</v>
      </c>
      <c r="AC46" s="16" t="str" cm="1">
        <f t="array" ref="AC46">_xlfn.IFS(AB46=" "," ", AB46&gt;0.5,"Early",AB46&lt;=-0.5,"Late",AND(AB46&gt;=-0.5,AB46&lt;=0.5),"On Time")</f>
        <v>Early</v>
      </c>
      <c r="AD46" s="16" t="str" cm="1">
        <f t="array" ref="AD46">_xlfn.IFS(AB46=" "," ", AB46&gt;1,"Early",AB46&lt;=-1,"Late",AND(AB46&gt;=-1,AB46&lt;=1),"On Time")</f>
        <v>On Time</v>
      </c>
      <c r="AE46" s="16" t="str">
        <f t="shared" si="13"/>
        <v>Circa-PHV</v>
      </c>
      <c r="AF46" s="25">
        <f>Y46 - IFERROR(INDEX(Errors!$B$2:$B$100, MATCH(F46 + 0.5, Errors!$A$2:$A$100, 0)), 0)</f>
        <v>167.47221126348043</v>
      </c>
      <c r="AG46" s="25">
        <f>Y46 + IFERROR(INDEX(Errors!$B$2:$B$100, MATCH(F46 + 0.5, Errors!$A$2:$A$100, 0)), 0)</f>
        <v>172.27221126348044</v>
      </c>
      <c r="AH46" s="25">
        <f>Y46 - IFERROR(INDEX(Errors!$C$2:$C$100, MATCH(F46 + 0.5, Errors!$A$2:$A$100, 0)), 0)</f>
        <v>164.41121126348042</v>
      </c>
      <c r="AI46" s="25">
        <f>Y46 + IFERROR(INDEX(Errors!$C$2:$C$100, MATCH(F46 + 0.5, Errors!$A$2:$A$100, 0)), 0)</f>
        <v>175.33321126348045</v>
      </c>
    </row>
    <row r="47" spans="1:35">
      <c r="A47" s="40">
        <v>46</v>
      </c>
      <c r="B47" s="35" t="s">
        <v>35</v>
      </c>
      <c r="C47" s="37">
        <v>40664</v>
      </c>
      <c r="D47" s="37">
        <v>45662</v>
      </c>
      <c r="E47" s="15">
        <f t="shared" si="0"/>
        <v>13.677777777777777</v>
      </c>
      <c r="F47" s="15">
        <f t="shared" si="1"/>
        <v>13.5</v>
      </c>
      <c r="G47" s="38">
        <v>58.4</v>
      </c>
      <c r="H47" s="16">
        <f t="shared" si="14"/>
        <v>128.77199999999999</v>
      </c>
      <c r="I47" s="35">
        <v>168.9</v>
      </c>
      <c r="J47" s="16">
        <f>IF(
    Input!B47="Male",
    IFERROR(INDEX('Metric coefficients'!$E$2:$E$29, MATCH(Input!F47, 'Metric coefficients'!$A$2:$A$29, 0)), "Not Found"),
    IF(
        Input!B47="Female",
        IFERROR(INDEX('Metric coefficients'!$O$2:$O$29, MATCH(Input!F47, 'Metric coefficients'!$M$2:$M$29, 0)), "Not Found"),
        ""
    )
)</f>
        <v>0.78383000000000003</v>
      </c>
      <c r="K47" s="16">
        <f t="shared" si="2"/>
        <v>66.496098900000007</v>
      </c>
      <c r="L47" s="16">
        <f>IF(
    Input!B47="Male",
    IFERROR(INDEX('Metric coefficients'!$F$2:$F$29, MATCH(Input!F47, 'Metric coefficients'!$A$2:$A$29, 0)), "Not Found"),
    IF(
        Input!B47="Female",
        IFERROR(INDEX('Metric coefficients'!$P$2:$P$29, MATCH(Input!F47, 'Metric coefficients'!$M$2:$M$29, 0)), "Not Found"),
        ""
    )
)</f>
        <v>-0.17175000000000001</v>
      </c>
      <c r="M47" s="35">
        <v>155</v>
      </c>
      <c r="N47" s="16">
        <f t="shared" si="3"/>
        <v>61.023655000000005</v>
      </c>
      <c r="O47" s="16">
        <f t="shared" si="4"/>
        <v>60.958543214999999</v>
      </c>
      <c r="P47" s="16">
        <f t="shared" si="5"/>
        <v>154.83469976609999</v>
      </c>
      <c r="Q47" s="35">
        <v>175</v>
      </c>
      <c r="R47" s="16">
        <f t="shared" si="6"/>
        <v>68.897675000000007</v>
      </c>
      <c r="S47" s="16">
        <f t="shared" si="7"/>
        <v>68.113279625000004</v>
      </c>
      <c r="T47" s="16">
        <f t="shared" si="8"/>
        <v>173.00773024750001</v>
      </c>
      <c r="U47" s="16">
        <f t="shared" si="9"/>
        <v>163.9212150068</v>
      </c>
      <c r="V47" s="17">
        <f>IF(
    Input!B47="Male",
    IFERROR(INDEX('Metric coefficients'!$G$2:$G$29, MATCH(Input!F47, 'Metric coefficients'!$A$2:$A$29, 0)), "Not Found"),
    IF(
        Input!B47="Female",
        IFERROR(INDEX('Metric coefficients'!$Q$2:$Q$29, MATCH(Input!F47, 'Metric coefficients'!$M$2:$M$29, 0)), "Not Found"),
        ""
    )
)</f>
        <v>0.25825999999999999</v>
      </c>
      <c r="W47" s="17" cm="1">
        <f t="array" ref="W47">_xlfn.IFS(B47="Male",U47*0.393701+2.5,B47="Female",U47*0.393701-2.5)</f>
        <v>62.03594626939217</v>
      </c>
      <c r="X47" s="16">
        <f>IF(
    Input!B47="Male",
    IFERROR(INDEX('Metric coefficients'!$D$2:$D$29, MATCH(Input!F47, 'Metric coefficients'!$A$2:$A$29, 0)), "Not Found"),
    IF(
        Input!B47="Female",
        IFERROR(INDEX('Metric coefficients'!$N$2:$N$29, MATCH(Input!F47, 'Metric coefficients'!$M$2:$M$29, 0)), "Not Found"),
        ""
    )
)</f>
        <v>4.6597999999999997</v>
      </c>
      <c r="Y47" s="25">
        <f t="shared" si="10"/>
        <v>169.35277998765616</v>
      </c>
      <c r="Z47" s="16">
        <f t="shared" si="11"/>
        <v>99.732640947677879</v>
      </c>
      <c r="AA47" s="16" cm="1">
        <f t="array" ref="AA47">_xlfn.IFS(
    B47="Male", _xlfn.XLOOKUP(0, ABS(SA!$C$2:$C$218 - Input!Z47), SA!$A$2:$A$218, " ", 1),
    B47="Female", _xlfn.XLOOKUP(0, ABS(SA!$E$2:$E$218 - Input!Z47), SA!$A$2:$A$218, " ", 1)
)</f>
        <v>16</v>
      </c>
      <c r="AB47" s="16">
        <f t="shared" si="12"/>
        <v>2.3222222222222229</v>
      </c>
      <c r="AC47" s="16" t="str" cm="1">
        <f t="array" ref="AC47">_xlfn.IFS(AB47=" "," ", AB47&gt;0.5,"Early",AB47&lt;=-0.5,"Late",AND(AB47&gt;=-0.5,AB47&lt;=0.5),"On Time")</f>
        <v>Early</v>
      </c>
      <c r="AD47" s="16" t="str" cm="1">
        <f t="array" ref="AD47">_xlfn.IFS(AB47=" "," ", AB47&gt;1,"Early",AB47&lt;=-1,"Late",AND(AB47&gt;=-1,AB47&lt;=1),"On Time")</f>
        <v>Early</v>
      </c>
      <c r="AE47" s="16" t="str">
        <f t="shared" si="13"/>
        <v>Post PHV</v>
      </c>
      <c r="AF47" s="25">
        <f>Y47 - IFERROR(INDEX(Errors!$B$2:$B$100, MATCH(F47 + 0.5, Errors!$A$2:$A$100, 0)), 0)</f>
        <v>166.55277998765615</v>
      </c>
      <c r="AG47" s="25">
        <f>Y47 + IFERROR(INDEX(Errors!$B$2:$B$100, MATCH(F47 + 0.5, Errors!$A$2:$A$100, 0)), 0)</f>
        <v>172.15277998765617</v>
      </c>
      <c r="AH47" s="25">
        <f>Y47 - IFERROR(INDEX(Errors!$C$2:$C$100, MATCH(F47 + 0.5, Errors!$A$2:$A$100, 0)), 0)</f>
        <v>162.13917998765618</v>
      </c>
      <c r="AI47" s="25">
        <f>Y47 + IFERROR(INDEX(Errors!$C$2:$C$100, MATCH(F47 + 0.5, Errors!$A$2:$A$100, 0)), 0)</f>
        <v>176.56637998765615</v>
      </c>
    </row>
    <row r="48" spans="1:35">
      <c r="A48" s="40">
        <v>47</v>
      </c>
      <c r="B48" s="34" t="s">
        <v>35</v>
      </c>
      <c r="C48" s="36">
        <v>40920</v>
      </c>
      <c r="D48" s="36">
        <v>45662</v>
      </c>
      <c r="E48" s="15">
        <f t="shared" si="0"/>
        <v>12.980555555555556</v>
      </c>
      <c r="F48" s="15">
        <f t="shared" si="1"/>
        <v>13</v>
      </c>
      <c r="G48" s="39">
        <v>42.4</v>
      </c>
      <c r="H48" s="16">
        <f t="shared" si="14"/>
        <v>93.492000000000004</v>
      </c>
      <c r="I48" s="34">
        <v>160</v>
      </c>
      <c r="J48" s="16">
        <f>IF(
    Input!B48="Male",
    IFERROR(INDEX('Metric coefficients'!$E$2:$E$29, MATCH(Input!F48, 'Metric coefficients'!$A$2:$A$29, 0)), "Not Found"),
    IF(
        Input!B48="Female",
        IFERROR(INDEX('Metric coefficients'!$O$2:$O$29, MATCH(Input!F48, 'Metric coefficients'!$M$2:$M$29, 0)), "Not Found"),
        ""
    )
)</f>
        <v>0.72260000000000002</v>
      </c>
      <c r="K48" s="16">
        <f t="shared" si="2"/>
        <v>62.992160000000005</v>
      </c>
      <c r="L48" s="16">
        <f>IF(
    Input!B48="Male",
    IFERROR(INDEX('Metric coefficients'!$F$2:$F$29, MATCH(Input!F48, 'Metric coefficients'!$A$2:$A$29, 0)), "Not Found"),
    IF(
        Input!B48="Female",
        IFERROR(INDEX('Metric coefficients'!$P$2:$P$29, MATCH(Input!F48, 'Metric coefficients'!$M$2:$M$29, 0)), "Not Found"),
        ""
    )
)</f>
        <v>-0.20499000000000001</v>
      </c>
      <c r="M48" s="34">
        <v>160</v>
      </c>
      <c r="N48" s="16">
        <f t="shared" si="3"/>
        <v>62.992160000000005</v>
      </c>
      <c r="O48" s="16">
        <f t="shared" si="4"/>
        <v>62.834528480000003</v>
      </c>
      <c r="P48" s="16">
        <f t="shared" si="5"/>
        <v>159.59970233920001</v>
      </c>
      <c r="Q48" s="34">
        <v>178</v>
      </c>
      <c r="R48" s="16">
        <f t="shared" si="6"/>
        <v>70.078778</v>
      </c>
      <c r="S48" s="16">
        <f t="shared" si="7"/>
        <v>69.24123299</v>
      </c>
      <c r="T48" s="16">
        <f t="shared" si="8"/>
        <v>175.87273179460001</v>
      </c>
      <c r="U48" s="16">
        <f t="shared" si="9"/>
        <v>167.7362170669</v>
      </c>
      <c r="V48" s="17">
        <f>IF(
    Input!B48="Male",
    IFERROR(INDEX('Metric coefficients'!$G$2:$G$29, MATCH(Input!F48, 'Metric coefficients'!$A$2:$A$29, 0)), "Not Found"),
    IF(
        Input!B48="Female",
        IFERROR(INDEX('Metric coefficients'!$Q$2:$Q$29, MATCH(Input!F48, 'Metric coefficients'!$M$2:$M$29, 0)), "Not Found"),
        ""
    )
)</f>
        <v>0.31163000000000002</v>
      </c>
      <c r="W48" s="17" cm="1">
        <f t="array" ref="W48">_xlfn.IFS(B48="Male",U48*0.393701+2.5,B48="Female",U48*0.393701-2.5)</f>
        <v>63.537916395455596</v>
      </c>
      <c r="X48" s="16">
        <f>IF(
    Input!B48="Male",
    IFERROR(INDEX('Metric coefficients'!$D$2:$D$29, MATCH(Input!F48, 'Metric coefficients'!$A$2:$A$29, 0)), "Not Found"),
    IF(
        Input!B48="Female",
        IFERROR(INDEX('Metric coefficients'!$N$2:$N$29, MATCH(Input!F48, 'Metric coefficients'!$M$2:$M$29, 0)), "Not Found"),
        ""
    )
)</f>
        <v>8.1639999999999997</v>
      </c>
      <c r="Y48" s="25">
        <f t="shared" si="10"/>
        <v>167.36006132455805</v>
      </c>
      <c r="Z48" s="16">
        <f t="shared" si="11"/>
        <v>95.602259424197484</v>
      </c>
      <c r="AA48" s="16" cm="1">
        <f t="array" ref="AA48">_xlfn.IFS(
    B48="Male", _xlfn.XLOOKUP(0, ABS(SA!$C$2:$C$218 - Input!Z48), SA!$A$2:$A$218, " ", 1),
    B48="Female", _xlfn.XLOOKUP(0, ABS(SA!$E$2:$E$218 - Input!Z48), SA!$A$2:$A$218, " ", 1)
)</f>
        <v>13.25</v>
      </c>
      <c r="AB48" s="16">
        <f t="shared" si="12"/>
        <v>0.26944444444444393</v>
      </c>
      <c r="AC48" s="16" t="str" cm="1">
        <f t="array" ref="AC48">_xlfn.IFS(AB48=" "," ", AB48&gt;0.5,"Early",AB48&lt;=-0.5,"Late",AND(AB48&gt;=-0.5,AB48&lt;=0.5),"On Time")</f>
        <v>On Time</v>
      </c>
      <c r="AD48" s="16" t="str" cm="1">
        <f t="array" ref="AD48">_xlfn.IFS(AB48=" "," ", AB48&gt;1,"Early",AB48&lt;=-1,"Late",AND(AB48&gt;=-1,AB48&lt;=1),"On Time")</f>
        <v>On Time</v>
      </c>
      <c r="AE48" s="16" t="str">
        <f t="shared" si="13"/>
        <v>Post PHV</v>
      </c>
      <c r="AF48" s="25">
        <f>Y48 - IFERROR(INDEX(Errors!$B$2:$B$100, MATCH(F48 + 0.5, Errors!$A$2:$A$100, 0)), 0)</f>
        <v>164.66006132455806</v>
      </c>
      <c r="AG48" s="25">
        <f>Y48 + IFERROR(INDEX(Errors!$B$2:$B$100, MATCH(F48 + 0.5, Errors!$A$2:$A$100, 0)), 0)</f>
        <v>170.06006132455803</v>
      </c>
      <c r="AH48" s="25">
        <f>Y48 - IFERROR(INDEX(Errors!$C$2:$C$100, MATCH(F48 + 0.5, Errors!$A$2:$A$100, 0)), 0)</f>
        <v>160.04486132455804</v>
      </c>
      <c r="AI48" s="25">
        <f>Y48 + IFERROR(INDEX(Errors!$C$2:$C$100, MATCH(F48 + 0.5, Errors!$A$2:$A$100, 0)), 0)</f>
        <v>174.67526132455805</v>
      </c>
    </row>
    <row r="49" spans="1:35">
      <c r="A49" s="40">
        <v>48</v>
      </c>
      <c r="B49" s="35" t="s">
        <v>35</v>
      </c>
      <c r="C49" s="37">
        <v>41703</v>
      </c>
      <c r="D49" s="37">
        <v>45662</v>
      </c>
      <c r="E49" s="15">
        <f t="shared" si="0"/>
        <v>10.833333333333334</v>
      </c>
      <c r="F49" s="15">
        <f t="shared" si="1"/>
        <v>11</v>
      </c>
      <c r="G49" s="38">
        <v>58.3</v>
      </c>
      <c r="H49" s="16">
        <f t="shared" si="14"/>
        <v>128.5515</v>
      </c>
      <c r="I49" s="35">
        <v>156.9</v>
      </c>
      <c r="J49" s="16">
        <f>IF(
    Input!B49="Male",
    IFERROR(INDEX('Metric coefficients'!$E$2:$E$29, MATCH(Input!F49, 'Metric coefficients'!$A$2:$A$29, 0)), "Not Found"),
    IF(
        Input!B49="Female",
        IFERROR(INDEX('Metric coefficients'!$O$2:$O$29, MATCH(Input!F49, 'Metric coefficients'!$M$2:$M$29, 0)), "Not Found"),
        ""
    )
)</f>
        <v>0.67173000000000005</v>
      </c>
      <c r="K49" s="16">
        <f t="shared" si="2"/>
        <v>61.771686900000006</v>
      </c>
      <c r="L49" s="16">
        <f>IF(
    Input!B49="Male",
    IFERROR(INDEX('Metric coefficients'!$F$2:$F$29, MATCH(Input!F49, 'Metric coefficients'!$A$2:$A$29, 0)), "Not Found"),
    IF(
        Input!B49="Female",
        IFERROR(INDEX('Metric coefficients'!$P$2:$P$29, MATCH(Input!F49, 'Metric coefficients'!$M$2:$M$29, 0)), "Not Found"),
        ""
    )
)</f>
        <v>-0.34356999999999999</v>
      </c>
      <c r="M49" s="35">
        <v>165</v>
      </c>
      <c r="N49" s="16">
        <f t="shared" si="3"/>
        <v>64.960665000000006</v>
      </c>
      <c r="O49" s="16">
        <f t="shared" si="4"/>
        <v>64.710513745</v>
      </c>
      <c r="P49" s="16">
        <f t="shared" si="5"/>
        <v>164.3647049123</v>
      </c>
      <c r="Q49" s="35">
        <v>184</v>
      </c>
      <c r="R49" s="16">
        <f t="shared" si="6"/>
        <v>72.440984</v>
      </c>
      <c r="S49" s="16">
        <f t="shared" si="7"/>
        <v>71.497139720000007</v>
      </c>
      <c r="T49" s="16">
        <f t="shared" si="8"/>
        <v>181.60273488880003</v>
      </c>
      <c r="U49" s="16">
        <f t="shared" si="9"/>
        <v>172.98371990055</v>
      </c>
      <c r="V49" s="17">
        <f>IF(
    Input!B49="Male",
    IFERROR(INDEX('Metric coefficients'!$G$2:$G$29, MATCH(Input!F49, 'Metric coefficients'!$A$2:$A$29, 0)), "Not Found"),
    IF(
        Input!B49="Female",
        IFERROR(INDEX('Metric coefficients'!$Q$2:$Q$29, MATCH(Input!F49, 'Metric coefficients'!$M$2:$M$29, 0)), "Not Found"),
        ""
    )
)</f>
        <v>0.42042000000000002</v>
      </c>
      <c r="W49" s="17" cm="1">
        <f t="array" ref="W49">_xlfn.IFS(B49="Male",U49*0.393701+2.5,B49="Female",U49*0.393701-2.5)</f>
        <v>65.603863508566434</v>
      </c>
      <c r="X49" s="16">
        <f>IF(
    Input!B49="Male",
    IFERROR(INDEX('Metric coefficients'!$D$2:$D$29, MATCH(Input!F49, 'Metric coefficients'!$A$2:$A$29, 0)), "Not Found"),
    IF(
        Input!B49="Female",
        IFERROR(INDEX('Metric coefficients'!$N$2:$N$29, MATCH(Input!F49, 'Metric coefficients'!$M$2:$M$29, 0)), "Not Found"),
        ""
    )
)</f>
        <v>8.9010999999999996</v>
      </c>
      <c r="Y49" s="25">
        <f t="shared" si="10"/>
        <v>166.99122152058925</v>
      </c>
      <c r="Z49" s="16">
        <f t="shared" si="11"/>
        <v>93.957034729909424</v>
      </c>
      <c r="AA49" s="16" cm="1">
        <f t="array" ref="AA49">_xlfn.IFS(
    B49="Male", _xlfn.XLOOKUP(0, ABS(SA!$C$2:$C$218 - Input!Z49), SA!$A$2:$A$218, " ", 1),
    B49="Female", _xlfn.XLOOKUP(0, ABS(SA!$E$2:$E$218 - Input!Z49), SA!$A$2:$A$218, " ", 1)
)</f>
        <v>12.75</v>
      </c>
      <c r="AB49" s="16">
        <f t="shared" si="12"/>
        <v>1.9166666666666661</v>
      </c>
      <c r="AC49" s="16" t="str" cm="1">
        <f t="array" ref="AC49">_xlfn.IFS(AB49=" "," ", AB49&gt;0.5,"Early",AB49&lt;=-0.5,"Late",AND(AB49&gt;=-0.5,AB49&lt;=0.5),"On Time")</f>
        <v>Early</v>
      </c>
      <c r="AD49" s="16" t="str" cm="1">
        <f t="array" ref="AD49">_xlfn.IFS(AB49=" "," ", AB49&gt;1,"Early",AB49&lt;=-1,"Late",AND(AB49&gt;=-1,AB49&lt;=1),"On Time")</f>
        <v>Early</v>
      </c>
      <c r="AE49" s="16" t="str">
        <f t="shared" si="13"/>
        <v>Circa-PHV</v>
      </c>
      <c r="AF49" s="25">
        <f>Y49 - IFERROR(INDEX(Errors!$B$2:$B$100, MATCH(F49 + 0.5, Errors!$A$2:$A$100, 0)), 0)</f>
        <v>164.59122152058924</v>
      </c>
      <c r="AG49" s="25">
        <f>Y49 + IFERROR(INDEX(Errors!$B$2:$B$100, MATCH(F49 + 0.5, Errors!$A$2:$A$100, 0)), 0)</f>
        <v>169.39122152058926</v>
      </c>
      <c r="AH49" s="25">
        <f>Y49 - IFERROR(INDEX(Errors!$C$2:$C$100, MATCH(F49 + 0.5, Errors!$A$2:$A$100, 0)), 0)</f>
        <v>161.20002152058925</v>
      </c>
      <c r="AI49" s="25">
        <f>Y49 + IFERROR(INDEX(Errors!$C$2:$C$100, MATCH(F49 + 0.5, Errors!$A$2:$A$100, 0)), 0)</f>
        <v>172.78242152058925</v>
      </c>
    </row>
    <row r="50" spans="1:35">
      <c r="A50" s="40">
        <v>49</v>
      </c>
      <c r="B50" s="34" t="s">
        <v>35</v>
      </c>
      <c r="C50" s="36">
        <v>41124</v>
      </c>
      <c r="D50" s="36">
        <v>45662</v>
      </c>
      <c r="E50" s="15">
        <f t="shared" si="0"/>
        <v>12.422222222222222</v>
      </c>
      <c r="F50" s="15">
        <f t="shared" si="1"/>
        <v>12.5</v>
      </c>
      <c r="G50" s="39">
        <v>37.9</v>
      </c>
      <c r="H50" s="16">
        <f t="shared" si="14"/>
        <v>83.569500000000005</v>
      </c>
      <c r="I50" s="34">
        <v>152</v>
      </c>
      <c r="J50" s="16">
        <f>IF(
    Input!B50="Male",
    IFERROR(INDEX('Metric coefficients'!$E$2:$E$29, MATCH(Input!F50, 'Metric coefficients'!$A$2:$A$29, 0)), "Not Found"),
    IF(
        Input!B50="Female",
        IFERROR(INDEX('Metric coefficients'!$O$2:$O$29, MATCH(Input!F50, 'Metric coefficients'!$M$2:$M$29, 0)), "Not Found"),
        ""
    )
)</f>
        <v>0.67386000000000001</v>
      </c>
      <c r="K50" s="16">
        <f t="shared" si="2"/>
        <v>59.842552000000005</v>
      </c>
      <c r="L50" s="16">
        <f>IF(
    Input!B50="Male",
    IFERROR(INDEX('Metric coefficients'!$F$2:$F$29, MATCH(Input!F50, 'Metric coefficients'!$A$2:$A$29, 0)), "Not Found"),
    IF(
        Input!B50="Female",
        IFERROR(INDEX('Metric coefficients'!$P$2:$P$29, MATCH(Input!F50, 'Metric coefficients'!$M$2:$M$29, 0)), "Not Found"),
        ""
    )
)</f>
        <v>-0.23924000000000001</v>
      </c>
      <c r="M50" s="34">
        <v>175</v>
      </c>
      <c r="N50" s="16">
        <f t="shared" si="3"/>
        <v>68.897675000000007</v>
      </c>
      <c r="O50" s="16">
        <f t="shared" si="4"/>
        <v>68.462484274999994</v>
      </c>
      <c r="P50" s="16">
        <f t="shared" si="5"/>
        <v>173.89471005849998</v>
      </c>
      <c r="Q50" s="34">
        <v>178</v>
      </c>
      <c r="R50" s="16">
        <f t="shared" si="6"/>
        <v>70.078778</v>
      </c>
      <c r="S50" s="16">
        <f t="shared" si="7"/>
        <v>69.24123299</v>
      </c>
      <c r="T50" s="16">
        <f t="shared" si="8"/>
        <v>175.87273179460001</v>
      </c>
      <c r="U50" s="16">
        <f t="shared" si="9"/>
        <v>174.88372092654998</v>
      </c>
      <c r="V50" s="17">
        <f>IF(
    Input!B50="Male",
    IFERROR(INDEX('Metric coefficients'!$G$2:$G$29, MATCH(Input!F50, 'Metric coefficients'!$A$2:$A$29, 0)), "Not Found"),
    IF(
        Input!B50="Female",
        IFERROR(INDEX('Metric coefficients'!$Q$2:$Q$29, MATCH(Input!F50, 'Metric coefficients'!$M$2:$M$29, 0)), "Not Found"),
        ""
    )
)</f>
        <v>0.35849999999999999</v>
      </c>
      <c r="W50" s="17" cm="1">
        <f t="array" ref="W50">_xlfn.IFS(B50="Male",U50*0.393701+2.5,B50="Female",U50*0.393701-2.5)</f>
        <v>66.351895812503656</v>
      </c>
      <c r="X50" s="16">
        <f>IF(
    Input!B50="Male",
    IFERROR(INDEX('Metric coefficients'!$D$2:$D$29, MATCH(Input!F50, 'Metric coefficients'!$A$2:$A$29, 0)), "Not Found"),
    IF(
        Input!B50="Female",
        IFERROR(INDEX('Metric coefficients'!$N$2:$N$29, MATCH(Input!F50, 'Metric coefficients'!$M$2:$M$29, 0)), "Not Found"),
        ""
    )
)</f>
        <v>10.867900000000001</v>
      </c>
      <c r="Y50" s="25">
        <f t="shared" si="10"/>
        <v>166.92323795216817</v>
      </c>
      <c r="Z50" s="16">
        <f t="shared" si="11"/>
        <v>91.059819989566449</v>
      </c>
      <c r="AA50" s="16" cm="1">
        <f t="array" ref="AA50">_xlfn.IFS(
    B50="Male", _xlfn.XLOOKUP(0, ABS(SA!$C$2:$C$218 - Input!Z50), SA!$A$2:$A$218, " ", 1),
    B50="Female", _xlfn.XLOOKUP(0, ABS(SA!$E$2:$E$218 - Input!Z50), SA!$A$2:$A$218, " ", 1)
)</f>
        <v>11.833</v>
      </c>
      <c r="AB50" s="16">
        <f t="shared" si="12"/>
        <v>-0.58922222222222231</v>
      </c>
      <c r="AC50" s="16" t="str" cm="1">
        <f t="array" ref="AC50">_xlfn.IFS(AB50=" "," ", AB50&gt;0.5,"Early",AB50&lt;=-0.5,"Late",AND(AB50&gt;=-0.5,AB50&lt;=0.5),"On Time")</f>
        <v>Late</v>
      </c>
      <c r="AD50" s="16" t="str" cm="1">
        <f t="array" ref="AD50">_xlfn.IFS(AB50=" "," ", AB50&gt;1,"Early",AB50&lt;=-1,"Late",AND(AB50&gt;=-1,AB50&lt;=1),"On Time")</f>
        <v>On Time</v>
      </c>
      <c r="AE50" s="16" t="str">
        <f t="shared" si="13"/>
        <v>Circa-PHV</v>
      </c>
      <c r="AF50" s="25">
        <f>Y50 - IFERROR(INDEX(Errors!$B$2:$B$100, MATCH(F50 + 0.5, Errors!$A$2:$A$100, 0)), 0)</f>
        <v>164.32323795216817</v>
      </c>
      <c r="AG50" s="25">
        <f>Y50 + IFERROR(INDEX(Errors!$B$2:$B$100, MATCH(F50 + 0.5, Errors!$A$2:$A$100, 0)), 0)</f>
        <v>169.52323795216816</v>
      </c>
      <c r="AH50" s="25">
        <f>Y50 - IFERROR(INDEX(Errors!$C$2:$C$100, MATCH(F50 + 0.5, Errors!$A$2:$A$100, 0)), 0)</f>
        <v>159.78583795216815</v>
      </c>
      <c r="AI50" s="25">
        <f>Y50 + IFERROR(INDEX(Errors!$C$2:$C$100, MATCH(F50 + 0.5, Errors!$A$2:$A$100, 0)), 0)</f>
        <v>174.06063795216818</v>
      </c>
    </row>
    <row r="51" spans="1:35">
      <c r="A51" s="40">
        <v>50</v>
      </c>
      <c r="B51" s="35" t="s">
        <v>35</v>
      </c>
      <c r="C51" s="37">
        <v>40142</v>
      </c>
      <c r="D51" s="37">
        <v>45662</v>
      </c>
      <c r="E51" s="15">
        <f t="shared" si="0"/>
        <v>15.111111111111111</v>
      </c>
      <c r="F51" s="15">
        <f t="shared" si="1"/>
        <v>15</v>
      </c>
      <c r="G51" s="38">
        <v>68</v>
      </c>
      <c r="H51" s="16">
        <f t="shared" si="14"/>
        <v>149.94</v>
      </c>
      <c r="I51" s="35">
        <v>165.7</v>
      </c>
      <c r="J51" s="16">
        <f>IF(
    Input!B51="Male",
    IFERROR(INDEX('Metric coefficients'!$E$2:$E$29, MATCH(Input!F51, 'Metric coefficients'!$A$2:$A$29, 0)), "Not Found"),
    IF(
        Input!B51="Female",
        IFERROR(INDEX('Metric coefficients'!$O$2:$O$29, MATCH(Input!F51, 'Metric coefficients'!$M$2:$M$29, 0)), "Not Found"),
        ""
    )
)</f>
        <v>0.97319</v>
      </c>
      <c r="K51" s="16">
        <f t="shared" si="2"/>
        <v>65.236255700000001</v>
      </c>
      <c r="L51" s="16">
        <f>IF(
    Input!B51="Male",
    IFERROR(INDEX('Metric coefficients'!$F$2:$F$29, MATCH(Input!F51, 'Metric coefficients'!$A$2:$A$29, 0)), "Not Found"),
    IF(
        Input!B51="Female",
        IFERROR(INDEX('Metric coefficients'!$P$2:$P$29, MATCH(Input!F51, 'Metric coefficients'!$M$2:$M$29, 0)), "Not Found"),
        ""
    )
)</f>
        <v>-8.2680000000000003E-2</v>
      </c>
      <c r="M51" s="35">
        <v>165</v>
      </c>
      <c r="N51" s="16">
        <f t="shared" si="3"/>
        <v>64.960665000000006</v>
      </c>
      <c r="O51" s="16">
        <f t="shared" si="4"/>
        <v>64.710513745</v>
      </c>
      <c r="P51" s="16">
        <f t="shared" si="5"/>
        <v>164.3647049123</v>
      </c>
      <c r="Q51" s="35">
        <v>185</v>
      </c>
      <c r="R51" s="16">
        <f t="shared" si="6"/>
        <v>72.834685000000007</v>
      </c>
      <c r="S51" s="16">
        <f t="shared" si="7"/>
        <v>71.873124175000001</v>
      </c>
      <c r="T51" s="16">
        <f t="shared" si="8"/>
        <v>182.55773540449999</v>
      </c>
      <c r="U51" s="16">
        <f t="shared" si="9"/>
        <v>173.46122015840001</v>
      </c>
      <c r="V51" s="17">
        <f>IF(
    Input!B51="Male",
    IFERROR(INDEX('Metric coefficients'!$G$2:$G$29, MATCH(Input!F51, 'Metric coefficients'!$A$2:$A$29, 0)), "Not Found"),
    IF(
        Input!B51="Female",
        IFERROR(INDEX('Metric coefficients'!$Q$2:$Q$29, MATCH(Input!F51, 'Metric coefficients'!$M$2:$M$29, 0)), "Not Found"),
        ""
    )
)</f>
        <v>9.8799999999999999E-2</v>
      </c>
      <c r="W51" s="17" cm="1">
        <f t="array" ref="W51">_xlfn.IFS(B51="Male",U51*0.393701+2.5,B51="Female",U51*0.393701-2.5)</f>
        <v>65.791855837582247</v>
      </c>
      <c r="X51" s="16">
        <f>IF(
    Input!B51="Male",
    IFERROR(INDEX('Metric coefficients'!$D$2:$D$29, MATCH(Input!F51, 'Metric coefficients'!$A$2:$A$29, 0)), "Not Found"),
    IF(
        Input!B51="Female",
        IFERROR(INDEX('Metric coefficients'!$N$2:$N$29, MATCH(Input!F51, 'Metric coefficients'!$M$2:$M$29, 0)), "Not Found"),
        ""
    )
)</f>
        <v>-5.9703999999999997</v>
      </c>
      <c r="Y51" s="25">
        <f t="shared" si="10"/>
        <v>166.80291155164988</v>
      </c>
      <c r="Z51" s="16">
        <f t="shared" si="11"/>
        <v>99.338793584961863</v>
      </c>
      <c r="AA51" s="16" cm="1">
        <f t="array" ref="AA51">_xlfn.IFS(
    B51="Male", _xlfn.XLOOKUP(0, ABS(SA!$C$2:$C$218 - Input!Z51), SA!$A$2:$A$218, " ", 1),
    B51="Female", _xlfn.XLOOKUP(0, ABS(SA!$E$2:$E$218 - Input!Z51), SA!$A$2:$A$218, " ", 1)
)</f>
        <v>15.25</v>
      </c>
      <c r="AB51" s="16">
        <f t="shared" si="12"/>
        <v>0.13888888888888928</v>
      </c>
      <c r="AC51" s="16" t="str" cm="1">
        <f t="array" ref="AC51">_xlfn.IFS(AB51=" "," ", AB51&gt;0.5,"Early",AB51&lt;=-0.5,"Late",AND(AB51&gt;=-0.5,AB51&lt;=0.5),"On Time")</f>
        <v>On Time</v>
      </c>
      <c r="AD51" s="16" t="str" cm="1">
        <f t="array" ref="AD51">_xlfn.IFS(AB51=" "," ", AB51&gt;1,"Early",AB51&lt;=-1,"Late",AND(AB51&gt;=-1,AB51&lt;=1),"On Time")</f>
        <v>On Time</v>
      </c>
      <c r="AE51" s="16" t="str">
        <f t="shared" si="13"/>
        <v>Post PHV</v>
      </c>
      <c r="AF51" s="25">
        <f>Y51 - IFERROR(INDEX(Errors!$B$2:$B$100, MATCH(F51 + 0.5, Errors!$A$2:$A$100, 0)), 0)</f>
        <v>165.00291155164987</v>
      </c>
      <c r="AG51" s="25">
        <f>Y51 + IFERROR(INDEX(Errors!$B$2:$B$100, MATCH(F51 + 0.5, Errors!$A$2:$A$100, 0)), 0)</f>
        <v>168.6029115516499</v>
      </c>
      <c r="AH51" s="25">
        <f>Y51 - IFERROR(INDEX(Errors!$C$2:$C$100, MATCH(F51 + 0.5, Errors!$A$2:$A$100, 0)), 0)</f>
        <v>162.25631155164987</v>
      </c>
      <c r="AI51" s="25">
        <f>Y51 + IFERROR(INDEX(Errors!$C$2:$C$100, MATCH(F51 + 0.5, Errors!$A$2:$A$100, 0)), 0)</f>
        <v>171.3495115516499</v>
      </c>
    </row>
    <row r="52" spans="1:35">
      <c r="A52" s="40">
        <v>51</v>
      </c>
      <c r="B52" s="34" t="s">
        <v>35</v>
      </c>
      <c r="C52" s="36">
        <v>40880</v>
      </c>
      <c r="D52" s="36">
        <v>45662</v>
      </c>
      <c r="E52" s="15">
        <f t="shared" si="0"/>
        <v>13.088888888888889</v>
      </c>
      <c r="F52" s="15">
        <f t="shared" si="1"/>
        <v>13</v>
      </c>
      <c r="G52" s="39">
        <v>59.1</v>
      </c>
      <c r="H52" s="16">
        <f t="shared" si="14"/>
        <v>130.31550000000001</v>
      </c>
      <c r="I52" s="34">
        <v>165.8</v>
      </c>
      <c r="J52" s="16">
        <f>IF(
    Input!B52="Male",
    IFERROR(INDEX('Metric coefficients'!$E$2:$E$29, MATCH(Input!F52, 'Metric coefficients'!$A$2:$A$29, 0)), "Not Found"),
    IF(
        Input!B52="Female",
        IFERROR(INDEX('Metric coefficients'!$O$2:$O$29, MATCH(Input!F52, 'Metric coefficients'!$M$2:$M$29, 0)), "Not Found"),
        ""
    )
)</f>
        <v>0.72260000000000002</v>
      </c>
      <c r="K52" s="16">
        <f t="shared" si="2"/>
        <v>65.275625800000014</v>
      </c>
      <c r="L52" s="16">
        <f>IF(
    Input!B52="Male",
    IFERROR(INDEX('Metric coefficients'!$F$2:$F$29, MATCH(Input!F52, 'Metric coefficients'!$A$2:$A$29, 0)), "Not Found"),
    IF(
        Input!B52="Female",
        IFERROR(INDEX('Metric coefficients'!$P$2:$P$29, MATCH(Input!F52, 'Metric coefficients'!$M$2:$M$29, 0)), "Not Found"),
        ""
    )
)</f>
        <v>-0.20499000000000001</v>
      </c>
      <c r="M52" s="34">
        <v>160</v>
      </c>
      <c r="N52" s="16">
        <f t="shared" si="3"/>
        <v>62.992160000000005</v>
      </c>
      <c r="O52" s="16">
        <f t="shared" si="4"/>
        <v>62.834528480000003</v>
      </c>
      <c r="P52" s="16">
        <f t="shared" si="5"/>
        <v>159.59970233920001</v>
      </c>
      <c r="Q52" s="34">
        <v>165</v>
      </c>
      <c r="R52" s="16">
        <f t="shared" si="6"/>
        <v>64.960665000000006</v>
      </c>
      <c r="S52" s="16">
        <f t="shared" si="7"/>
        <v>64.353435075000007</v>
      </c>
      <c r="T52" s="16">
        <f t="shared" si="8"/>
        <v>163.45772509050002</v>
      </c>
      <c r="U52" s="16">
        <f t="shared" si="9"/>
        <v>161.52871371485003</v>
      </c>
      <c r="V52" s="17">
        <f>IF(
    Input!B52="Male",
    IFERROR(INDEX('Metric coefficients'!$G$2:$G$29, MATCH(Input!F52, 'Metric coefficients'!$A$2:$A$29, 0)), "Not Found"),
    IF(
        Input!B52="Female",
        IFERROR(INDEX('Metric coefficients'!$Q$2:$Q$29, MATCH(Input!F52, 'Metric coefficients'!$M$2:$M$29, 0)), "Not Found"),
        ""
    )
)</f>
        <v>0.31163000000000002</v>
      </c>
      <c r="W52" s="17" cm="1">
        <f t="array" ref="W52">_xlfn.IFS(B52="Male",U52*0.393701+2.5,B52="Female",U52*0.393701-2.5)</f>
        <v>61.094016118250174</v>
      </c>
      <c r="X52" s="16">
        <f>IF(
    Input!B52="Male",
    IFERROR(INDEX('Metric coefficients'!$D$2:$D$29, MATCH(Input!F52, 'Metric coefficients'!$A$2:$A$29, 0)), "Not Found"),
    IF(
        Input!B52="Female",
        IFERROR(INDEX('Metric coefficients'!$N$2:$N$29, MATCH(Input!F52, 'Metric coefficients'!$M$2:$M$29, 0)), "Not Found"),
        ""
    )
)</f>
        <v>8.1639999999999997</v>
      </c>
      <c r="Y52" s="25">
        <f t="shared" si="10"/>
        <v>166.19336405495875</v>
      </c>
      <c r="Z52" s="16">
        <f t="shared" si="11"/>
        <v>99.763309409376504</v>
      </c>
      <c r="AA52" s="16" cm="1">
        <f t="array" ref="AA52">_xlfn.IFS(
    B52="Male", _xlfn.XLOOKUP(0, ABS(SA!$C$2:$C$218 - Input!Z52), SA!$A$2:$A$218, " ", 1),
    B52="Female", _xlfn.XLOOKUP(0, ABS(SA!$E$2:$E$218 - Input!Z52), SA!$A$2:$A$218, " ", 1)
)</f>
        <v>16.082999999999998</v>
      </c>
      <c r="AB52" s="16">
        <f t="shared" si="12"/>
        <v>2.9941111111111098</v>
      </c>
      <c r="AC52" s="16" t="str" cm="1">
        <f t="array" ref="AC52">_xlfn.IFS(AB52=" "," ", AB52&gt;0.5,"Early",AB52&lt;=-0.5,"Late",AND(AB52&gt;=-0.5,AB52&lt;=0.5),"On Time")</f>
        <v>Early</v>
      </c>
      <c r="AD52" s="16" t="str" cm="1">
        <f t="array" ref="AD52">_xlfn.IFS(AB52=" "," ", AB52&gt;1,"Early",AB52&lt;=-1,"Late",AND(AB52&gt;=-1,AB52&lt;=1),"On Time")</f>
        <v>Early</v>
      </c>
      <c r="AE52" s="16" t="str">
        <f t="shared" si="13"/>
        <v>Post PHV</v>
      </c>
      <c r="AF52" s="25">
        <f>Y52 - IFERROR(INDEX(Errors!$B$2:$B$100, MATCH(F52 + 0.5, Errors!$A$2:$A$100, 0)), 0)</f>
        <v>163.49336405495876</v>
      </c>
      <c r="AG52" s="25">
        <f>Y52 + IFERROR(INDEX(Errors!$B$2:$B$100, MATCH(F52 + 0.5, Errors!$A$2:$A$100, 0)), 0)</f>
        <v>168.89336405495874</v>
      </c>
      <c r="AH52" s="25">
        <f>Y52 - IFERROR(INDEX(Errors!$C$2:$C$100, MATCH(F52 + 0.5, Errors!$A$2:$A$100, 0)), 0)</f>
        <v>158.87816405495875</v>
      </c>
      <c r="AI52" s="25">
        <f>Y52 + IFERROR(INDEX(Errors!$C$2:$C$100, MATCH(F52 + 0.5, Errors!$A$2:$A$100, 0)), 0)</f>
        <v>173.50856405495875</v>
      </c>
    </row>
    <row r="53" spans="1:35">
      <c r="A53" s="40">
        <v>52</v>
      </c>
      <c r="B53" s="35" t="s">
        <v>35</v>
      </c>
      <c r="C53" s="37">
        <v>41235</v>
      </c>
      <c r="D53" s="37">
        <v>45662</v>
      </c>
      <c r="E53" s="15">
        <f t="shared" si="0"/>
        <v>12.119444444444444</v>
      </c>
      <c r="F53" s="15">
        <f t="shared" si="1"/>
        <v>12</v>
      </c>
      <c r="G53" s="38">
        <v>54</v>
      </c>
      <c r="H53" s="16">
        <f t="shared" si="14"/>
        <v>119.07000000000001</v>
      </c>
      <c r="I53" s="35">
        <v>157.1</v>
      </c>
      <c r="J53" s="16">
        <f>IF(
    Input!B53="Male",
    IFERROR(INDEX('Metric coefficients'!$E$2:$E$29, MATCH(Input!F53, 'Metric coefficients'!$A$2:$A$29, 0)), "Not Found"),
    IF(
        Input!B53="Female",
        IFERROR(INDEX('Metric coefficients'!$O$2:$O$29, MATCH(Input!F53, 'Metric coefficients'!$M$2:$M$29, 0)), "Not Found"),
        ""
    )
)</f>
        <v>0.64451999999999998</v>
      </c>
      <c r="K53" s="16">
        <f t="shared" si="2"/>
        <v>61.850427100000005</v>
      </c>
      <c r="L53" s="16">
        <f>IF(
    Input!B53="Male",
    IFERROR(INDEX('Metric coefficients'!$F$2:$F$29, MATCH(Input!F53, 'Metric coefficients'!$A$2:$A$29, 0)), "Not Found"),
    IF(
        Input!B53="Female",
        IFERROR(INDEX('Metric coefficients'!$P$2:$P$29, MATCH(Input!F53, 'Metric coefficients'!$M$2:$M$29, 0)), "Not Found"),
        ""
    )
)</f>
        <v>-0.27405000000000002</v>
      </c>
      <c r="M53" s="35">
        <v>167</v>
      </c>
      <c r="N53" s="16">
        <f t="shared" si="3"/>
        <v>65.748067000000006</v>
      </c>
      <c r="O53" s="16">
        <f t="shared" si="4"/>
        <v>65.460907851000002</v>
      </c>
      <c r="P53" s="16">
        <f t="shared" si="5"/>
        <v>166.27070594154</v>
      </c>
      <c r="Q53" s="35">
        <v>177</v>
      </c>
      <c r="R53" s="16">
        <f t="shared" si="6"/>
        <v>69.685077000000007</v>
      </c>
      <c r="S53" s="16">
        <f t="shared" si="7"/>
        <v>68.865248535000006</v>
      </c>
      <c r="T53" s="16">
        <f t="shared" si="8"/>
        <v>174.91773127890002</v>
      </c>
      <c r="U53" s="16">
        <f t="shared" si="9"/>
        <v>170.59421861022003</v>
      </c>
      <c r="V53" s="17">
        <f>IF(
    Input!B53="Male",
    IFERROR(INDEX('Metric coefficients'!$G$2:$G$29, MATCH(Input!F53, 'Metric coefficients'!$A$2:$A$29, 0)), "Not Found"),
    IF(
        Input!B53="Female",
        IFERROR(INDEX('Metric coefficients'!$Q$2:$Q$29, MATCH(Input!F53, 'Metric coefficients'!$M$2:$M$29, 0)), "Not Found"),
        ""
    )
)</f>
        <v>0.39489999999999997</v>
      </c>
      <c r="W53" s="17" cm="1">
        <f t="array" ref="W53">_xlfn.IFS(B53="Male",U53*0.393701+2.5,B53="Female",U53*0.393701-2.5)</f>
        <v>64.663114461062236</v>
      </c>
      <c r="X53" s="16">
        <f>IF(
    Input!B53="Male",
    IFERROR(INDEX('Metric coefficients'!$D$2:$D$29, MATCH(Input!F53, 'Metric coefficients'!$A$2:$A$29, 0)), "Not Found"),
    IF(
        Input!B53="Female",
        IFERROR(INDEX('Metric coefficients'!$N$2:$N$29, MATCH(Input!F53, 'Metric coefficients'!$M$2:$M$29, 0)), "Not Found"),
        ""
    )
)</f>
        <v>12.302899999999999</v>
      </c>
      <c r="Y53" s="25">
        <f t="shared" si="10"/>
        <v>166.12594892917588</v>
      </c>
      <c r="Z53" s="16">
        <f t="shared" si="11"/>
        <v>94.566803688794039</v>
      </c>
      <c r="AA53" s="16" cm="1">
        <f t="array" ref="AA53">_xlfn.IFS(
    B53="Male", _xlfn.XLOOKUP(0, ABS(SA!$C$2:$C$218 - Input!Z53), SA!$A$2:$A$218, " ", 1),
    B53="Female", _xlfn.XLOOKUP(0, ABS(SA!$E$2:$E$218 - Input!Z53), SA!$A$2:$A$218, " ", 1)
)</f>
        <v>12.917</v>
      </c>
      <c r="AB53" s="16">
        <f t="shared" si="12"/>
        <v>0.79755555555555624</v>
      </c>
      <c r="AC53" s="16" t="str" cm="1">
        <f t="array" ref="AC53">_xlfn.IFS(AB53=" "," ", AB53&gt;0.5,"Early",AB53&lt;=-0.5,"Late",AND(AB53&gt;=-0.5,AB53&lt;=0.5),"On Time")</f>
        <v>Early</v>
      </c>
      <c r="AD53" s="16" t="str" cm="1">
        <f t="array" ref="AD53">_xlfn.IFS(AB53=" "," ", AB53&gt;1,"Early",AB53&lt;=-1,"Late",AND(AB53&gt;=-1,AB53&lt;=1),"On Time")</f>
        <v>On Time</v>
      </c>
      <c r="AE53" s="16" t="str">
        <f t="shared" si="13"/>
        <v>Circa-PHV</v>
      </c>
      <c r="AF53" s="25">
        <f>Y53 - IFERROR(INDEX(Errors!$B$2:$B$100, MATCH(F53 + 0.5, Errors!$A$2:$A$100, 0)), 0)</f>
        <v>163.62594892917588</v>
      </c>
      <c r="AG53" s="25">
        <f>Y53 + IFERROR(INDEX(Errors!$B$2:$B$100, MATCH(F53 + 0.5, Errors!$A$2:$A$100, 0)), 0)</f>
        <v>168.62594892917588</v>
      </c>
      <c r="AH53" s="25">
        <f>Y53 - IFERROR(INDEX(Errors!$C$2:$C$100, MATCH(F53 + 0.5, Errors!$A$2:$A$100, 0)), 0)</f>
        <v>159.39494892917588</v>
      </c>
      <c r="AI53" s="25">
        <f>Y53 + IFERROR(INDEX(Errors!$C$2:$C$100, MATCH(F53 + 0.5, Errors!$A$2:$A$100, 0)), 0)</f>
        <v>172.85694892917587</v>
      </c>
    </row>
    <row r="54" spans="1:35">
      <c r="A54" s="40">
        <v>53</v>
      </c>
      <c r="B54" s="34" t="s">
        <v>35</v>
      </c>
      <c r="C54" s="36">
        <v>41870</v>
      </c>
      <c r="D54" s="36">
        <v>45662</v>
      </c>
      <c r="E54" s="15">
        <f t="shared" si="0"/>
        <v>10.377777777777778</v>
      </c>
      <c r="F54" s="15">
        <f t="shared" si="1"/>
        <v>10.5</v>
      </c>
      <c r="G54" s="39">
        <v>35.1</v>
      </c>
      <c r="H54" s="16">
        <f t="shared" si="14"/>
        <v>77.395500000000013</v>
      </c>
      <c r="I54" s="34">
        <v>139.1</v>
      </c>
      <c r="J54" s="16">
        <f>IF(
    Input!B54="Male",
    IFERROR(INDEX('Metric coefficients'!$E$2:$E$29, MATCH(Input!F54, 'Metric coefficients'!$A$2:$A$29, 0)), "Not Found"),
    IF(
        Input!B54="Female",
        IFERROR(INDEX('Metric coefficients'!$O$2:$O$29, MATCH(Input!F54, 'Metric coefficients'!$M$2:$M$29, 0)), "Not Found"),
        ""
    )
)</f>
        <v>0.74212999999999996</v>
      </c>
      <c r="K54" s="16">
        <f t="shared" si="2"/>
        <v>54.763809100000003</v>
      </c>
      <c r="L54" s="16">
        <f>IF(
    Input!B54="Male",
    IFERROR(INDEX('Metric coefficients'!$F$2:$F$29, MATCH(Input!F54, 'Metric coefficients'!$A$2:$A$29, 0)), "Not Found"),
    IF(
        Input!B54="Female",
        IFERROR(INDEX('Metric coefficients'!$P$2:$P$29, MATCH(Input!F54, 'Metric coefficients'!$M$2:$M$29, 0)), "Not Found"),
        ""
    )
)</f>
        <v>-0.37735999999999997</v>
      </c>
      <c r="M54" s="34">
        <v>168</v>
      </c>
      <c r="N54" s="16">
        <f t="shared" si="3"/>
        <v>66.141767999999999</v>
      </c>
      <c r="O54" s="16">
        <f t="shared" si="4"/>
        <v>65.836104903999995</v>
      </c>
      <c r="P54" s="16">
        <f t="shared" si="5"/>
        <v>167.22370645615999</v>
      </c>
      <c r="Q54" s="34">
        <v>189</v>
      </c>
      <c r="R54" s="16">
        <f t="shared" si="6"/>
        <v>74.409489000000008</v>
      </c>
      <c r="S54" s="16">
        <f t="shared" si="7"/>
        <v>73.377061995000005</v>
      </c>
      <c r="T54" s="16">
        <f t="shared" si="8"/>
        <v>186.37773746730002</v>
      </c>
      <c r="U54" s="16">
        <f t="shared" si="9"/>
        <v>176.80072196173001</v>
      </c>
      <c r="V54" s="17">
        <f>IF(
    Input!B54="Male",
    IFERROR(INDEX('Metric coefficients'!$G$2:$G$29, MATCH(Input!F54, 'Metric coefficients'!$A$2:$A$29, 0)), "Not Found"),
    IF(
        Input!B54="Female",
        IFERROR(INDEX('Metric coefficients'!$Q$2:$Q$29, MATCH(Input!F54, 'Metric coefficients'!$M$2:$M$29, 0)), "Not Found"),
        ""
    )
)</f>
        <v>0.40161000000000002</v>
      </c>
      <c r="W54" s="17" cm="1">
        <f t="array" ref="W54">_xlfn.IFS(B54="Male",U54*0.393701+2.5,B54="Female",U54*0.393701-2.5)</f>
        <v>67.106621037055064</v>
      </c>
      <c r="X54" s="16">
        <f>IF(
    Input!B54="Male",
    IFERROR(INDEX('Metric coefficients'!$D$2:$D$29, MATCH(Input!F54, 'Metric coefficients'!$A$2:$A$29, 0)), "Not Found"),
    IF(
        Input!B54="Female",
        IFERROR(INDEX('Metric coefficients'!$N$2:$N$29, MATCH(Input!F54, 'Metric coefficients'!$M$2:$M$29, 0)), "Not Found"),
        ""
    )
)</f>
        <v>5.0130999999999997</v>
      </c>
      <c r="Y54" s="25">
        <f t="shared" si="10"/>
        <v>166.00298494705038</v>
      </c>
      <c r="Z54" s="16">
        <f t="shared" si="11"/>
        <v>83.793673977831446</v>
      </c>
      <c r="AA54" s="16" cm="1">
        <f t="array" ref="AA54">_xlfn.IFS(
    B54="Male", _xlfn.XLOOKUP(0, ABS(SA!$C$2:$C$218 - Input!Z54), SA!$A$2:$A$218, " ", 1),
    B54="Female", _xlfn.XLOOKUP(0, ABS(SA!$E$2:$E$218 - Input!Z54), SA!$A$2:$A$218, " ", 1)
)</f>
        <v>9.75</v>
      </c>
      <c r="AB54" s="16">
        <f t="shared" si="12"/>
        <v>-0.62777777777777821</v>
      </c>
      <c r="AC54" s="16" t="str" cm="1">
        <f t="array" ref="AC54">_xlfn.IFS(AB54=" "," ", AB54&gt;0.5,"Early",AB54&lt;=-0.5,"Late",AND(AB54&gt;=-0.5,AB54&lt;=0.5),"On Time")</f>
        <v>Late</v>
      </c>
      <c r="AD54" s="16" t="str" cm="1">
        <f t="array" ref="AD54">_xlfn.IFS(AB54=" "," ", AB54&gt;1,"Early",AB54&lt;=-1,"Late",AND(AB54&gt;=-1,AB54&lt;=1),"On Time")</f>
        <v>On Time</v>
      </c>
      <c r="AE54" s="16" t="str">
        <f t="shared" si="13"/>
        <v>Pre-PHV</v>
      </c>
      <c r="AF54" s="25">
        <f>Y54 - IFERROR(INDEX(Errors!$B$2:$B$100, MATCH(F54 + 0.5, Errors!$A$2:$A$100, 0)), 0)</f>
        <v>163.60298494705037</v>
      </c>
      <c r="AG54" s="25">
        <f>Y54 + IFERROR(INDEX(Errors!$B$2:$B$100, MATCH(F54 + 0.5, Errors!$A$2:$A$100, 0)), 0)</f>
        <v>168.40298494705038</v>
      </c>
      <c r="AH54" s="25">
        <f>Y54 - IFERROR(INDEX(Errors!$C$2:$C$100, MATCH(F54 + 0.5, Errors!$A$2:$A$100, 0)), 0)</f>
        <v>160.54198494705037</v>
      </c>
      <c r="AI54" s="25">
        <f>Y54 + IFERROR(INDEX(Errors!$C$2:$C$100, MATCH(F54 + 0.5, Errors!$A$2:$A$100, 0)), 0)</f>
        <v>171.46398494705039</v>
      </c>
    </row>
    <row r="55" spans="1:35">
      <c r="A55" s="40">
        <v>54</v>
      </c>
      <c r="B55" s="35" t="s">
        <v>35</v>
      </c>
      <c r="C55" s="37">
        <v>41006</v>
      </c>
      <c r="D55" s="37">
        <v>45662</v>
      </c>
      <c r="E55" s="15">
        <f t="shared" si="0"/>
        <v>12.744444444444444</v>
      </c>
      <c r="F55" s="15">
        <f t="shared" si="1"/>
        <v>12.5</v>
      </c>
      <c r="G55" s="38">
        <v>42.6</v>
      </c>
      <c r="H55" s="16">
        <f t="shared" si="14"/>
        <v>93.933000000000007</v>
      </c>
      <c r="I55" s="35">
        <v>156</v>
      </c>
      <c r="J55" s="16">
        <f>IF(
    Input!B55="Male",
    IFERROR(INDEX('Metric coefficients'!$E$2:$E$29, MATCH(Input!F55, 'Metric coefficients'!$A$2:$A$29, 0)), "Not Found"),
    IF(
        Input!B55="Female",
        IFERROR(INDEX('Metric coefficients'!$O$2:$O$29, MATCH(Input!F55, 'Metric coefficients'!$M$2:$M$29, 0)), "Not Found"),
        ""
    )
)</f>
        <v>0.67386000000000001</v>
      </c>
      <c r="K55" s="16">
        <f t="shared" si="2"/>
        <v>61.417356000000005</v>
      </c>
      <c r="L55" s="16">
        <f>IF(
    Input!B55="Male",
    IFERROR(INDEX('Metric coefficients'!$F$2:$F$29, MATCH(Input!F55, 'Metric coefficients'!$A$2:$A$29, 0)), "Not Found"),
    IF(
        Input!B55="Female",
        IFERROR(INDEX('Metric coefficients'!$P$2:$P$29, MATCH(Input!F55, 'Metric coefficients'!$M$2:$M$29, 0)), "Not Found"),
        ""
    )
)</f>
        <v>-0.23924000000000001</v>
      </c>
      <c r="M55" s="35">
        <v>164</v>
      </c>
      <c r="N55" s="16">
        <f t="shared" si="3"/>
        <v>64.566963999999999</v>
      </c>
      <c r="O55" s="16">
        <f t="shared" si="4"/>
        <v>64.335316691999992</v>
      </c>
      <c r="P55" s="16">
        <f t="shared" si="5"/>
        <v>163.41170439767998</v>
      </c>
      <c r="Q55" s="35">
        <v>174</v>
      </c>
      <c r="R55" s="16">
        <f t="shared" si="6"/>
        <v>68.503973999999999</v>
      </c>
      <c r="S55" s="16">
        <f t="shared" si="7"/>
        <v>67.737295169999996</v>
      </c>
      <c r="T55" s="16">
        <f t="shared" si="8"/>
        <v>172.05272973179999</v>
      </c>
      <c r="U55" s="16">
        <f t="shared" si="9"/>
        <v>167.73221706473998</v>
      </c>
      <c r="V55" s="17">
        <f>IF(
    Input!B55="Male",
    IFERROR(INDEX('Metric coefficients'!$G$2:$G$29, MATCH(Input!F55, 'Metric coefficients'!$A$2:$A$29, 0)), "Not Found"),
    IF(
        Input!B55="Female",
        IFERROR(INDEX('Metric coefficients'!$Q$2:$Q$29, MATCH(Input!F55, 'Metric coefficients'!$M$2:$M$29, 0)), "Not Found"),
        ""
    )
)</f>
        <v>0.35849999999999999</v>
      </c>
      <c r="W55" s="17" cm="1">
        <f t="array" ref="W55">_xlfn.IFS(B55="Male",U55*0.393701+2.5,B55="Female",U55*0.393701-2.5)</f>
        <v>63.536341590605204</v>
      </c>
      <c r="X55" s="16">
        <f>IF(
    Input!B55="Male",
    IFERROR(INDEX('Metric coefficients'!$D$2:$D$29, MATCH(Input!F55, 'Metric coefficients'!$A$2:$A$29, 0)), "Not Found"),
    IF(
        Input!B55="Female",
        IFERROR(INDEX('Metric coefficients'!$N$2:$N$29, MATCH(Input!F55, 'Metric coefficients'!$M$2:$M$29, 0)), "Not Found"),
        ""
    )
)</f>
        <v>10.867900000000001</v>
      </c>
      <c r="Y55" s="25">
        <f t="shared" si="10"/>
        <v>165.93043581770928</v>
      </c>
      <c r="Z55" s="16">
        <f t="shared" si="11"/>
        <v>94.015301792723051</v>
      </c>
      <c r="AA55" s="16" cm="1">
        <f t="array" ref="AA55">_xlfn.IFS(
    B55="Male", _xlfn.XLOOKUP(0, ABS(SA!$C$2:$C$218 - Input!Z55), SA!$A$2:$A$218, " ", 1),
    B55="Female", _xlfn.XLOOKUP(0, ABS(SA!$E$2:$E$218 - Input!Z55), SA!$A$2:$A$218, " ", 1)
)</f>
        <v>12.75</v>
      </c>
      <c r="AB55" s="16">
        <f t="shared" si="12"/>
        <v>5.555555555556424E-3</v>
      </c>
      <c r="AC55" s="16" t="str" cm="1">
        <f t="array" ref="AC55">_xlfn.IFS(AB55=" "," ", AB55&gt;0.5,"Early",AB55&lt;=-0.5,"Late",AND(AB55&gt;=-0.5,AB55&lt;=0.5),"On Time")</f>
        <v>On Time</v>
      </c>
      <c r="AD55" s="16" t="str" cm="1">
        <f t="array" ref="AD55">_xlfn.IFS(AB55=" "," ", AB55&gt;1,"Early",AB55&lt;=-1,"Late",AND(AB55&gt;=-1,AB55&lt;=1),"On Time")</f>
        <v>On Time</v>
      </c>
      <c r="AE55" s="16" t="str">
        <f t="shared" si="13"/>
        <v>Circa-PHV</v>
      </c>
      <c r="AF55" s="25">
        <f>Y55 - IFERROR(INDEX(Errors!$B$2:$B$100, MATCH(F55 + 0.5, Errors!$A$2:$A$100, 0)), 0)</f>
        <v>163.33043581770929</v>
      </c>
      <c r="AG55" s="25">
        <f>Y55 + IFERROR(INDEX(Errors!$B$2:$B$100, MATCH(F55 + 0.5, Errors!$A$2:$A$100, 0)), 0)</f>
        <v>168.53043581770928</v>
      </c>
      <c r="AH55" s="25">
        <f>Y55 - IFERROR(INDEX(Errors!$C$2:$C$100, MATCH(F55 + 0.5, Errors!$A$2:$A$100, 0)), 0)</f>
        <v>158.79303581770927</v>
      </c>
      <c r="AI55" s="25">
        <f>Y55 + IFERROR(INDEX(Errors!$C$2:$C$100, MATCH(F55 + 0.5, Errors!$A$2:$A$100, 0)), 0)</f>
        <v>173.06783581770929</v>
      </c>
    </row>
    <row r="56" spans="1:35">
      <c r="A56" s="40">
        <v>55</v>
      </c>
      <c r="B56" s="34" t="s">
        <v>35</v>
      </c>
      <c r="C56" s="36">
        <v>41905</v>
      </c>
      <c r="D56" s="36">
        <v>45662</v>
      </c>
      <c r="E56" s="15">
        <f t="shared" si="0"/>
        <v>10.283333333333333</v>
      </c>
      <c r="F56" s="15">
        <f t="shared" si="1"/>
        <v>10.5</v>
      </c>
      <c r="G56" s="39">
        <v>36.799999999999997</v>
      </c>
      <c r="H56" s="16">
        <f t="shared" si="14"/>
        <v>81.143999999999991</v>
      </c>
      <c r="I56" s="34">
        <v>142.4</v>
      </c>
      <c r="J56" s="16">
        <f>IF(
    Input!B56="Male",
    IFERROR(INDEX('Metric coefficients'!$E$2:$E$29, MATCH(Input!F56, 'Metric coefficients'!$A$2:$A$29, 0)), "Not Found"),
    IF(
        Input!B56="Female",
        IFERROR(INDEX('Metric coefficients'!$O$2:$O$29, MATCH(Input!F56, 'Metric coefficients'!$M$2:$M$29, 0)), "Not Found"),
        ""
    )
)</f>
        <v>0.74212999999999996</v>
      </c>
      <c r="K56" s="16">
        <f t="shared" si="2"/>
        <v>56.063022400000008</v>
      </c>
      <c r="L56" s="16">
        <f>IF(
    Input!B56="Male",
    IFERROR(INDEX('Metric coefficients'!$F$2:$F$29, MATCH(Input!F56, 'Metric coefficients'!$A$2:$A$29, 0)), "Not Found"),
    IF(
        Input!B56="Female",
        IFERROR(INDEX('Metric coefficients'!$P$2:$P$29, MATCH(Input!F56, 'Metric coefficients'!$M$2:$M$29, 0)), "Not Found"),
        ""
    )
)</f>
        <v>-0.37735999999999997</v>
      </c>
      <c r="M56" s="34">
        <v>167</v>
      </c>
      <c r="N56" s="16">
        <f t="shared" si="3"/>
        <v>65.748067000000006</v>
      </c>
      <c r="O56" s="16">
        <f t="shared" si="4"/>
        <v>65.460907851000002</v>
      </c>
      <c r="P56" s="16">
        <f t="shared" si="5"/>
        <v>166.27070594154</v>
      </c>
      <c r="Q56" s="34">
        <v>179</v>
      </c>
      <c r="R56" s="16">
        <f t="shared" si="6"/>
        <v>70.472479000000007</v>
      </c>
      <c r="S56" s="16">
        <f t="shared" si="7"/>
        <v>69.617217445000009</v>
      </c>
      <c r="T56" s="16">
        <f t="shared" si="8"/>
        <v>176.82773231030004</v>
      </c>
      <c r="U56" s="16">
        <f t="shared" si="9"/>
        <v>171.54921912592002</v>
      </c>
      <c r="V56" s="17">
        <f>IF(
    Input!B56="Male",
    IFERROR(INDEX('Metric coefficients'!$G$2:$G$29, MATCH(Input!F56, 'Metric coefficients'!$A$2:$A$29, 0)), "Not Found"),
    IF(
        Input!B56="Female",
        IFERROR(INDEX('Metric coefficients'!$Q$2:$Q$29, MATCH(Input!F56, 'Metric coefficients'!$M$2:$M$29, 0)), "Not Found"),
        ""
    )
)</f>
        <v>0.40161000000000002</v>
      </c>
      <c r="W56" s="17" cm="1">
        <f t="array" ref="W56">_xlfn.IFS(B56="Male",U56*0.393701+2.5,B56="Female",U56*0.393701-2.5)</f>
        <v>65.039099119093848</v>
      </c>
      <c r="X56" s="16">
        <f>IF(
    Input!B56="Male",
    IFERROR(INDEX('Metric coefficients'!$D$2:$D$29, MATCH(Input!F56, 'Metric coefficients'!$A$2:$A$29, 0)), "Not Found"),
    IF(
        Input!B56="Female",
        IFERROR(INDEX('Metric coefficients'!$N$2:$N$29, MATCH(Input!F56, 'Metric coefficients'!$M$2:$M$29, 0)), "Not Found"),
        ""
    )
)</f>
        <v>5.0130999999999997</v>
      </c>
      <c r="Y56" s="25">
        <f t="shared" si="10"/>
        <v>165.70144589316072</v>
      </c>
      <c r="Z56" s="16">
        <f t="shared" si="11"/>
        <v>85.937693079525218</v>
      </c>
      <c r="AA56" s="16" cm="1">
        <f t="array" ref="AA56">_xlfn.IFS(
    B56="Male", _xlfn.XLOOKUP(0, ABS(SA!$C$2:$C$218 - Input!Z56), SA!$A$2:$A$218, " ", 1),
    B56="Female", _xlfn.XLOOKUP(0, ABS(SA!$E$2:$E$218 - Input!Z56), SA!$A$2:$A$218, " ", 1)
)</f>
        <v>10.417</v>
      </c>
      <c r="AB56" s="16">
        <f t="shared" si="12"/>
        <v>0.1336666666666666</v>
      </c>
      <c r="AC56" s="16" t="str" cm="1">
        <f t="array" ref="AC56">_xlfn.IFS(AB56=" "," ", AB56&gt;0.5,"Early",AB56&lt;=-0.5,"Late",AND(AB56&gt;=-0.5,AB56&lt;=0.5),"On Time")</f>
        <v>On Time</v>
      </c>
      <c r="AD56" s="16" t="str" cm="1">
        <f t="array" ref="AD56">_xlfn.IFS(AB56=" "," ", AB56&gt;1,"Early",AB56&lt;=-1,"Late",AND(AB56&gt;=-1,AB56&lt;=1),"On Time")</f>
        <v>On Time</v>
      </c>
      <c r="AE56" s="16" t="str">
        <f t="shared" si="13"/>
        <v>Pre-PHV</v>
      </c>
      <c r="AF56" s="25">
        <f>Y56 - IFERROR(INDEX(Errors!$B$2:$B$100, MATCH(F56 + 0.5, Errors!$A$2:$A$100, 0)), 0)</f>
        <v>163.30144589316072</v>
      </c>
      <c r="AG56" s="25">
        <f>Y56 + IFERROR(INDEX(Errors!$B$2:$B$100, MATCH(F56 + 0.5, Errors!$A$2:$A$100, 0)), 0)</f>
        <v>168.10144589316073</v>
      </c>
      <c r="AH56" s="25">
        <f>Y56 - IFERROR(INDEX(Errors!$C$2:$C$100, MATCH(F56 + 0.5, Errors!$A$2:$A$100, 0)), 0)</f>
        <v>160.24044589316071</v>
      </c>
      <c r="AI56" s="25">
        <f>Y56 + IFERROR(INDEX(Errors!$C$2:$C$100, MATCH(F56 + 0.5, Errors!$A$2:$A$100, 0)), 0)</f>
        <v>171.16244589316074</v>
      </c>
    </row>
    <row r="57" spans="1:35">
      <c r="A57" s="40">
        <v>56</v>
      </c>
      <c r="B57" s="35" t="s">
        <v>35</v>
      </c>
      <c r="C57" s="37">
        <v>41862</v>
      </c>
      <c r="D57" s="37">
        <v>45662</v>
      </c>
      <c r="E57" s="15">
        <f t="shared" si="0"/>
        <v>10.4</v>
      </c>
      <c r="F57" s="15">
        <f t="shared" si="1"/>
        <v>10.5</v>
      </c>
      <c r="G57" s="38">
        <v>37.799999999999997</v>
      </c>
      <c r="H57" s="16">
        <f t="shared" si="14"/>
        <v>83.34899999999999</v>
      </c>
      <c r="I57" s="35">
        <v>142.5</v>
      </c>
      <c r="J57" s="16">
        <f>IF(
    Input!B57="Male",
    IFERROR(INDEX('Metric coefficients'!$E$2:$E$29, MATCH(Input!F57, 'Metric coefficients'!$A$2:$A$29, 0)), "Not Found"),
    IF(
        Input!B57="Female",
        IFERROR(INDEX('Metric coefficients'!$O$2:$O$29, MATCH(Input!F57, 'Metric coefficients'!$M$2:$M$29, 0)), "Not Found"),
        ""
    )
)</f>
        <v>0.74212999999999996</v>
      </c>
      <c r="K57" s="16">
        <f t="shared" si="2"/>
        <v>56.102392500000001</v>
      </c>
      <c r="L57" s="16">
        <f>IF(
    Input!B57="Male",
    IFERROR(INDEX('Metric coefficients'!$F$2:$F$29, MATCH(Input!F57, 'Metric coefficients'!$A$2:$A$29, 0)), "Not Found"),
    IF(
        Input!B57="Female",
        IFERROR(INDEX('Metric coefficients'!$P$2:$P$29, MATCH(Input!F57, 'Metric coefficients'!$M$2:$M$29, 0)), "Not Found"),
        ""
    )
)</f>
        <v>-0.37735999999999997</v>
      </c>
      <c r="M57" s="35">
        <v>158</v>
      </c>
      <c r="N57" s="16">
        <f t="shared" si="3"/>
        <v>62.204758000000005</v>
      </c>
      <c r="O57" s="16">
        <f t="shared" si="4"/>
        <v>62.084134374000001</v>
      </c>
      <c r="P57" s="16">
        <f t="shared" si="5"/>
        <v>157.69370130996001</v>
      </c>
      <c r="Q57" s="35">
        <v>185.5</v>
      </c>
      <c r="R57" s="16">
        <f t="shared" si="6"/>
        <v>73.031535500000004</v>
      </c>
      <c r="S57" s="16">
        <f t="shared" si="7"/>
        <v>72.061116402500005</v>
      </c>
      <c r="T57" s="16">
        <f t="shared" si="8"/>
        <v>183.03523566235</v>
      </c>
      <c r="U57" s="16">
        <f t="shared" si="9"/>
        <v>170.364468486155</v>
      </c>
      <c r="V57" s="17">
        <f>IF(
    Input!B57="Male",
    IFERROR(INDEX('Metric coefficients'!$G$2:$G$29, MATCH(Input!F57, 'Metric coefficients'!$A$2:$A$29, 0)), "Not Found"),
    IF(
        Input!B57="Female",
        IFERROR(INDEX('Metric coefficients'!$Q$2:$Q$29, MATCH(Input!F57, 'Metric coefficients'!$M$2:$M$29, 0)), "Not Found"),
        ""
    )
)</f>
        <v>0.40161000000000002</v>
      </c>
      <c r="W57" s="17" cm="1">
        <f t="array" ref="W57">_xlfn.IFS(B57="Male",U57*0.393701+2.5,B57="Female",U57*0.393701-2.5)</f>
        <v>64.572661607467722</v>
      </c>
      <c r="X57" s="16">
        <f>IF(
    Input!B57="Male",
    IFERROR(INDEX('Metric coefficients'!$D$2:$D$29, MATCH(Input!F57, 'Metric coefficients'!$A$2:$A$29, 0)), "Not Found"),
    IF(
        Input!B57="Female",
        IFERROR(INDEX('Metric coefficients'!$N$2:$N$29, MATCH(Input!F57, 'Metric coefficients'!$M$2:$M$29, 0)), "Not Found"),
        ""
    )
)</f>
        <v>5.0130999999999997</v>
      </c>
      <c r="Y57" s="25">
        <f t="shared" si="10"/>
        <v>164.92249118872471</v>
      </c>
      <c r="Z57" s="16">
        <f t="shared" si="11"/>
        <v>86.404224780314451</v>
      </c>
      <c r="AA57" s="16" cm="1">
        <f t="array" ref="AA57">_xlfn.IFS(
    B57="Male", _xlfn.XLOOKUP(0, ABS(SA!$C$2:$C$218 - Input!Z57), SA!$A$2:$A$218, " ", 1),
    B57="Female", _xlfn.XLOOKUP(0, ABS(SA!$E$2:$E$218 - Input!Z57), SA!$A$2:$A$218, " ", 1)
)</f>
        <v>10.5</v>
      </c>
      <c r="AB57" s="16">
        <f t="shared" si="12"/>
        <v>9.9999999999999645E-2</v>
      </c>
      <c r="AC57" s="16" t="str" cm="1">
        <f t="array" ref="AC57">_xlfn.IFS(AB57=" "," ", AB57&gt;0.5,"Early",AB57&lt;=-0.5,"Late",AND(AB57&gt;=-0.5,AB57&lt;=0.5),"On Time")</f>
        <v>On Time</v>
      </c>
      <c r="AD57" s="16" t="str" cm="1">
        <f t="array" ref="AD57">_xlfn.IFS(AB57=" "," ", AB57&gt;1,"Early",AB57&lt;=-1,"Late",AND(AB57&gt;=-1,AB57&lt;=1),"On Time")</f>
        <v>On Time</v>
      </c>
      <c r="AE57" s="16" t="str">
        <f t="shared" si="13"/>
        <v>Pre-PHV</v>
      </c>
      <c r="AF57" s="25">
        <f>Y57 - IFERROR(INDEX(Errors!$B$2:$B$100, MATCH(F57 + 0.5, Errors!$A$2:$A$100, 0)), 0)</f>
        <v>162.5224911887247</v>
      </c>
      <c r="AG57" s="25">
        <f>Y57 + IFERROR(INDEX(Errors!$B$2:$B$100, MATCH(F57 + 0.5, Errors!$A$2:$A$100, 0)), 0)</f>
        <v>167.32249118872471</v>
      </c>
      <c r="AH57" s="25">
        <f>Y57 - IFERROR(INDEX(Errors!$C$2:$C$100, MATCH(F57 + 0.5, Errors!$A$2:$A$100, 0)), 0)</f>
        <v>159.46149118872469</v>
      </c>
      <c r="AI57" s="25">
        <f>Y57 + IFERROR(INDEX(Errors!$C$2:$C$100, MATCH(F57 + 0.5, Errors!$A$2:$A$100, 0)), 0)</f>
        <v>170.38349118872472</v>
      </c>
    </row>
    <row r="58" spans="1:35">
      <c r="A58" s="40">
        <v>57</v>
      </c>
      <c r="B58" s="34" t="s">
        <v>35</v>
      </c>
      <c r="C58" s="36">
        <v>41218</v>
      </c>
      <c r="D58" s="36">
        <v>45662</v>
      </c>
      <c r="E58" s="15">
        <f t="shared" si="0"/>
        <v>12.166666666666666</v>
      </c>
      <c r="F58" s="15">
        <f t="shared" si="1"/>
        <v>12</v>
      </c>
      <c r="G58" s="39">
        <v>46.3</v>
      </c>
      <c r="H58" s="16">
        <f t="shared" si="14"/>
        <v>102.0915</v>
      </c>
      <c r="I58" s="34">
        <v>155.19999999999999</v>
      </c>
      <c r="J58" s="16">
        <f>IF(
    Input!B58="Male",
    IFERROR(INDEX('Metric coefficients'!$E$2:$E$29, MATCH(Input!F58, 'Metric coefficients'!$A$2:$A$29, 0)), "Not Found"),
    IF(
        Input!B58="Female",
        IFERROR(INDEX('Metric coefficients'!$O$2:$O$29, MATCH(Input!F58, 'Metric coefficients'!$M$2:$M$29, 0)), "Not Found"),
        ""
    )
)</f>
        <v>0.64451999999999998</v>
      </c>
      <c r="K58" s="16">
        <f t="shared" si="2"/>
        <v>61.102395199999997</v>
      </c>
      <c r="L58" s="16">
        <f>IF(
    Input!B58="Male",
    IFERROR(INDEX('Metric coefficients'!$F$2:$F$29, MATCH(Input!F58, 'Metric coefficients'!$A$2:$A$29, 0)), "Not Found"),
    IF(
        Input!B58="Female",
        IFERROR(INDEX('Metric coefficients'!$P$2:$P$29, MATCH(Input!F58, 'Metric coefficients'!$M$2:$M$29, 0)), "Not Found"),
        ""
    )
)</f>
        <v>-0.27405000000000002</v>
      </c>
      <c r="M58" s="34">
        <v>160</v>
      </c>
      <c r="N58" s="16">
        <f t="shared" si="3"/>
        <v>62.992160000000005</v>
      </c>
      <c r="O58" s="16">
        <f t="shared" si="4"/>
        <v>62.834528480000003</v>
      </c>
      <c r="P58" s="16">
        <f t="shared" si="5"/>
        <v>159.59970233920001</v>
      </c>
      <c r="Q58" s="34">
        <v>168</v>
      </c>
      <c r="R58" s="16">
        <f t="shared" si="6"/>
        <v>66.141767999999999</v>
      </c>
      <c r="S58" s="16">
        <f t="shared" si="7"/>
        <v>65.481388439999989</v>
      </c>
      <c r="T58" s="16">
        <f t="shared" si="8"/>
        <v>166.32272663759997</v>
      </c>
      <c r="U58" s="16">
        <f t="shared" si="9"/>
        <v>162.9612144884</v>
      </c>
      <c r="V58" s="17">
        <f>IF(
    Input!B58="Male",
    IFERROR(INDEX('Metric coefficients'!$G$2:$G$29, MATCH(Input!F58, 'Metric coefficients'!$A$2:$A$29, 0)), "Not Found"),
    IF(
        Input!B58="Female",
        IFERROR(INDEX('Metric coefficients'!$Q$2:$Q$29, MATCH(Input!F58, 'Metric coefficients'!$M$2:$M$29, 0)), "Not Found"),
        ""
    )
)</f>
        <v>0.39489999999999997</v>
      </c>
      <c r="W58" s="17" cm="1">
        <f t="array" ref="W58">_xlfn.IFS(B58="Male",U58*0.393701+2.5,B58="Female",U58*0.393701-2.5)</f>
        <v>61.657993105297578</v>
      </c>
      <c r="X58" s="16">
        <f>IF(
    Input!B58="Male",
    IFERROR(INDEX('Metric coefficients'!$D$2:$D$29, MATCH(Input!F58, 'Metric coefficients'!$A$2:$A$29, 0)), "Not Found"),
    IF(
        Input!B58="Female",
        IFERROR(INDEX('Metric coefficients'!$N$2:$N$29, MATCH(Input!F58, 'Metric coefficients'!$M$2:$M$29, 0)), "Not Found"),
        ""
    )
)</f>
        <v>12.302899999999999</v>
      </c>
      <c r="Y58" s="25">
        <f t="shared" si="10"/>
        <v>163.99727260146915</v>
      </c>
      <c r="Z58" s="16">
        <f t="shared" si="11"/>
        <v>94.635720178805983</v>
      </c>
      <c r="AA58" s="16" cm="1">
        <f t="array" ref="AA58">_xlfn.IFS(
    B58="Male", _xlfn.XLOOKUP(0, ABS(SA!$C$2:$C$218 - Input!Z58), SA!$A$2:$A$218, " ", 1),
    B58="Female", _xlfn.XLOOKUP(0, ABS(SA!$E$2:$E$218 - Input!Z58), SA!$A$2:$A$218, " ", 1)
)</f>
        <v>12.917</v>
      </c>
      <c r="AB58" s="16">
        <f t="shared" si="12"/>
        <v>0.75033333333333374</v>
      </c>
      <c r="AC58" s="16" t="str" cm="1">
        <f t="array" ref="AC58">_xlfn.IFS(AB58=" "," ", AB58&gt;0.5,"Early",AB58&lt;=-0.5,"Late",AND(AB58&gt;=-0.5,AB58&lt;=0.5),"On Time")</f>
        <v>Early</v>
      </c>
      <c r="AD58" s="16" t="str" cm="1">
        <f t="array" ref="AD58">_xlfn.IFS(AB58=" "," ", AB58&gt;1,"Early",AB58&lt;=-1,"Late",AND(AB58&gt;=-1,AB58&lt;=1),"On Time")</f>
        <v>On Time</v>
      </c>
      <c r="AE58" s="16" t="str">
        <f t="shared" si="13"/>
        <v>Circa-PHV</v>
      </c>
      <c r="AF58" s="25">
        <f>Y58 - IFERROR(INDEX(Errors!$B$2:$B$100, MATCH(F58 + 0.5, Errors!$A$2:$A$100, 0)), 0)</f>
        <v>161.49727260146915</v>
      </c>
      <c r="AG58" s="25">
        <f>Y58 + IFERROR(INDEX(Errors!$B$2:$B$100, MATCH(F58 + 0.5, Errors!$A$2:$A$100, 0)), 0)</f>
        <v>166.49727260146915</v>
      </c>
      <c r="AH58" s="25">
        <f>Y58 - IFERROR(INDEX(Errors!$C$2:$C$100, MATCH(F58 + 0.5, Errors!$A$2:$A$100, 0)), 0)</f>
        <v>157.26627260146915</v>
      </c>
      <c r="AI58" s="25">
        <f>Y58 + IFERROR(INDEX(Errors!$C$2:$C$100, MATCH(F58 + 0.5, Errors!$A$2:$A$100, 0)), 0)</f>
        <v>170.72827260146914</v>
      </c>
    </row>
    <row r="59" spans="1:35">
      <c r="A59" s="40">
        <v>58</v>
      </c>
      <c r="B59" s="35" t="s">
        <v>35</v>
      </c>
      <c r="C59" s="37">
        <v>41421</v>
      </c>
      <c r="D59" s="37">
        <v>45662</v>
      </c>
      <c r="E59" s="15">
        <f t="shared" si="0"/>
        <v>11.605555555555556</v>
      </c>
      <c r="F59" s="15">
        <f t="shared" si="1"/>
        <v>11.5</v>
      </c>
      <c r="G59" s="35">
        <v>40.700000000000003</v>
      </c>
      <c r="H59" s="16">
        <f t="shared" si="14"/>
        <v>89.743500000000012</v>
      </c>
      <c r="I59" s="35">
        <v>148.69999999999999</v>
      </c>
      <c r="J59" s="16">
        <f>IF(
    Input!B59="Male",
    IFERROR(INDEX('Metric coefficients'!$E$2:$E$29, MATCH(Input!F59, 'Metric coefficients'!$A$2:$A$29, 0)), "Not Found"),
    IF(
        Input!B59="Female",
        IFERROR(INDEX('Metric coefficients'!$O$2:$O$29, MATCH(Input!F59, 'Metric coefficients'!$M$2:$M$29, 0)), "Not Found"),
        ""
    )
)</f>
        <v>0.64149999999999996</v>
      </c>
      <c r="K59" s="16">
        <f t="shared" si="2"/>
        <v>58.5433387</v>
      </c>
      <c r="L59" s="16">
        <f>IF(
    Input!B59="Male",
    IFERROR(INDEX('Metric coefficients'!$F$2:$F$29, MATCH(Input!F59, 'Metric coefficients'!$A$2:$A$29, 0)), "Not Found"),
    IF(
        Input!B59="Female",
        IFERROR(INDEX('Metric coefficients'!$P$2:$P$29, MATCH(Input!F59, 'Metric coefficients'!$M$2:$M$29, 0)), "Not Found"),
        ""
    )
)</f>
        <v>-0.30897999999999998</v>
      </c>
      <c r="M59" s="35">
        <v>159</v>
      </c>
      <c r="N59" s="16">
        <f t="shared" si="3"/>
        <v>62.598459000000005</v>
      </c>
      <c r="O59" s="16">
        <f t="shared" si="4"/>
        <v>62.459331427000002</v>
      </c>
      <c r="P59" s="16">
        <f t="shared" si="5"/>
        <v>158.64670182458002</v>
      </c>
      <c r="Q59" s="35">
        <v>170</v>
      </c>
      <c r="R59" s="16">
        <f t="shared" si="6"/>
        <v>66.929169999999999</v>
      </c>
      <c r="S59" s="16">
        <f t="shared" si="7"/>
        <v>66.233357349999991</v>
      </c>
      <c r="T59" s="16">
        <f t="shared" si="8"/>
        <v>168.23272766899998</v>
      </c>
      <c r="U59" s="16">
        <f t="shared" si="9"/>
        <v>163.43971474679</v>
      </c>
      <c r="V59" s="17">
        <f>IF(
    Input!B59="Male",
    IFERROR(INDEX('Metric coefficients'!$G$2:$G$29, MATCH(Input!F59, 'Metric coefficients'!$A$2:$A$29, 0)), "Not Found"),
    IF(
        Input!B59="Female",
        IFERROR(INDEX('Metric coefficients'!$Q$2:$Q$29, MATCH(Input!F59, 'Metric coefficients'!$M$2:$M$29, 0)), "Not Found"),
        ""
    )
)</f>
        <v>0.41686000000000001</v>
      </c>
      <c r="W59" s="17" cm="1">
        <f t="array" ref="W59">_xlfn.IFS(B59="Male",U59*0.393701+2.5,B59="Female",U59*0.393701-2.5)</f>
        <v>61.846379135525979</v>
      </c>
      <c r="X59" s="16">
        <f>IF(
    Input!B59="Male",
    IFERROR(INDEX('Metric coefficients'!$D$2:$D$29, MATCH(Input!F59, 'Metric coefficients'!$A$2:$A$29, 0)), "Not Found"),
    IF(
        Input!B59="Female",
        IFERROR(INDEX('Metric coefficients'!$N$2:$N$29, MATCH(Input!F59, 'Metric coefficients'!$M$2:$M$29, 0)), "Not Found"),
        ""
    )
)</f>
        <v>11.626799999999999</v>
      </c>
      <c r="Y59" s="25">
        <f t="shared" si="10"/>
        <v>162.57384348934687</v>
      </c>
      <c r="Z59" s="16">
        <f t="shared" si="11"/>
        <v>91.466128135024377</v>
      </c>
      <c r="AA59" s="16" cm="1">
        <f t="array" ref="AA59">_xlfn.IFS(
    B59="Male", _xlfn.XLOOKUP(0, ABS(SA!$C$2:$C$218 - Input!Z59), SA!$A$2:$A$218, " ", 1),
    B59="Female", _xlfn.XLOOKUP(0, ABS(SA!$E$2:$E$218 - Input!Z59), SA!$A$2:$A$218, " ", 1)
)</f>
        <v>12</v>
      </c>
      <c r="AB59" s="16">
        <f t="shared" si="12"/>
        <v>0.39444444444444393</v>
      </c>
      <c r="AC59" s="16" t="str" cm="1">
        <f t="array" ref="AC59">_xlfn.IFS(AB59=" "," ", AB59&gt;0.5,"Early",AB59&lt;=-0.5,"Late",AND(AB59&gt;=-0.5,AB59&lt;=0.5),"On Time")</f>
        <v>On Time</v>
      </c>
      <c r="AD59" s="16" t="str" cm="1">
        <f t="array" ref="AD59">_xlfn.IFS(AB59=" "," ", AB59&gt;1,"Early",AB59&lt;=-1,"Late",AND(AB59&gt;=-1,AB59&lt;=1),"On Time")</f>
        <v>On Time</v>
      </c>
      <c r="AE59" s="16" t="str">
        <f t="shared" si="13"/>
        <v>Circa-PHV</v>
      </c>
      <c r="AF59" s="25">
        <f>Y59 - IFERROR(INDEX(Errors!$B$2:$B$100, MATCH(F59 + 0.5, Errors!$A$2:$A$100, 0)), 0)</f>
        <v>160.07384348934687</v>
      </c>
      <c r="AG59" s="25">
        <f>Y59 + IFERROR(INDEX(Errors!$B$2:$B$100, MATCH(F59 + 0.5, Errors!$A$2:$A$100, 0)), 0)</f>
        <v>165.07384348934687</v>
      </c>
      <c r="AH59" s="25">
        <f>Y59 - IFERROR(INDEX(Errors!$C$2:$C$100, MATCH(F59 + 0.5, Errors!$A$2:$A$100, 0)), 0)</f>
        <v>156.32544348934687</v>
      </c>
      <c r="AI59" s="25">
        <f>Y59 + IFERROR(INDEX(Errors!$C$2:$C$100, MATCH(F59 + 0.5, Errors!$A$2:$A$100, 0)), 0)</f>
        <v>168.82224348934687</v>
      </c>
    </row>
    <row r="60" spans="1:35">
      <c r="A60" s="40">
        <v>59</v>
      </c>
      <c r="B60" s="34" t="s">
        <v>35</v>
      </c>
      <c r="C60" s="36">
        <v>41559</v>
      </c>
      <c r="D60" s="36">
        <v>45662</v>
      </c>
      <c r="E60" s="15">
        <f t="shared" si="0"/>
        <v>11.230555555555556</v>
      </c>
      <c r="F60" s="15">
        <f t="shared" si="1"/>
        <v>11</v>
      </c>
      <c r="G60" s="39">
        <v>43.7</v>
      </c>
      <c r="H60" s="16">
        <f t="shared" si="14"/>
        <v>96.358500000000006</v>
      </c>
      <c r="I60" s="34">
        <v>145.9</v>
      </c>
      <c r="J60" s="16">
        <f>IF(
    Input!B60="Male",
    IFERROR(INDEX('Metric coefficients'!$E$2:$E$29, MATCH(Input!F60, 'Metric coefficients'!$A$2:$A$29, 0)), "Not Found"),
    IF(
        Input!B60="Female",
        IFERROR(INDEX('Metric coefficients'!$O$2:$O$29, MATCH(Input!F60, 'Metric coefficients'!$M$2:$M$29, 0)), "Not Found"),
        ""
    )
)</f>
        <v>0.67173000000000005</v>
      </c>
      <c r="K60" s="16">
        <f t="shared" si="2"/>
        <v>57.440975900000005</v>
      </c>
      <c r="L60" s="16">
        <f>IF(
    Input!B60="Male",
    IFERROR(INDEX('Metric coefficients'!$F$2:$F$29, MATCH(Input!F60, 'Metric coefficients'!$A$2:$A$29, 0)), "Not Found"),
    IF(
        Input!B60="Female",
        IFERROR(INDEX('Metric coefficients'!$P$2:$P$29, MATCH(Input!F60, 'Metric coefficients'!$M$2:$M$29, 0)), "Not Found"),
        ""
    )
)</f>
        <v>-0.34356999999999999</v>
      </c>
      <c r="M60" s="34">
        <v>160</v>
      </c>
      <c r="N60" s="16">
        <f t="shared" si="3"/>
        <v>62.992160000000005</v>
      </c>
      <c r="O60" s="16">
        <f t="shared" si="4"/>
        <v>62.834528480000003</v>
      </c>
      <c r="P60" s="16">
        <f t="shared" si="5"/>
        <v>159.59970233920001</v>
      </c>
      <c r="Q60" s="34">
        <v>176</v>
      </c>
      <c r="R60" s="16">
        <f t="shared" si="6"/>
        <v>69.291376</v>
      </c>
      <c r="S60" s="16">
        <f t="shared" si="7"/>
        <v>68.489264079999998</v>
      </c>
      <c r="T60" s="16">
        <f t="shared" si="8"/>
        <v>173.9627307632</v>
      </c>
      <c r="U60" s="16">
        <f t="shared" si="9"/>
        <v>166.7812165512</v>
      </c>
      <c r="V60" s="17">
        <f>IF(
    Input!B60="Male",
    IFERROR(INDEX('Metric coefficients'!$G$2:$G$29, MATCH(Input!F60, 'Metric coefficients'!$A$2:$A$29, 0)), "Not Found"),
    IF(
        Input!B60="Female",
        IFERROR(INDEX('Metric coefficients'!$Q$2:$Q$29, MATCH(Input!F60, 'Metric coefficients'!$M$2:$M$29, 0)), "Not Found"),
        ""
    )
)</f>
        <v>0.42042000000000002</v>
      </c>
      <c r="W60" s="17" cm="1">
        <f t="array" ref="W60">_xlfn.IFS(B60="Male",U60*0.393701+2.5,B60="Female",U60*0.393701-2.5)</f>
        <v>63.161931737423998</v>
      </c>
      <c r="X60" s="16">
        <f>IF(
    Input!B60="Male",
    IFERROR(INDEX('Metric coefficients'!$D$2:$D$29, MATCH(Input!F60, 'Metric coefficients'!$A$2:$A$29, 0)), "Not Found"),
    IF(
        Input!B60="Female",
        IFERROR(INDEX('Metric coefficients'!$N$2:$N$29, MATCH(Input!F60, 'Metric coefficients'!$M$2:$M$29, 0)), "Not Found"),
        ""
    )
)</f>
        <v>8.9010999999999996</v>
      </c>
      <c r="Y60" s="25">
        <f t="shared" si="10"/>
        <v>162.01065706245549</v>
      </c>
      <c r="Z60" s="16">
        <f t="shared" si="11"/>
        <v>90.055804133770792</v>
      </c>
      <c r="AA60" s="16" cm="1">
        <f t="array" ref="AA60">_xlfn.IFS(
    B60="Male", _xlfn.XLOOKUP(0, ABS(SA!$C$2:$C$218 - Input!Z60), SA!$A$2:$A$218, " ", 1),
    B60="Female", _xlfn.XLOOKUP(0, ABS(SA!$E$2:$E$218 - Input!Z60), SA!$A$2:$A$218, " ", 1)
)</f>
        <v>11.583</v>
      </c>
      <c r="AB60" s="16">
        <f t="shared" si="12"/>
        <v>0.35244444444444412</v>
      </c>
      <c r="AC60" s="16" t="str" cm="1">
        <f t="array" ref="AC60">_xlfn.IFS(AB60=" "," ", AB60&gt;0.5,"Early",AB60&lt;=-0.5,"Late",AND(AB60&gt;=-0.5,AB60&lt;=0.5),"On Time")</f>
        <v>On Time</v>
      </c>
      <c r="AD60" s="16" t="str" cm="1">
        <f t="array" ref="AD60">_xlfn.IFS(AB60=" "," ", AB60&gt;1,"Early",AB60&lt;=-1,"Late",AND(AB60&gt;=-1,AB60&lt;=1),"On Time")</f>
        <v>On Time</v>
      </c>
      <c r="AE60" s="16" t="str">
        <f t="shared" ref="AE60:AE63" si="15">IF(Z60&lt;=88, "Pre-PHV", IF(Z60&lt;=95, "Circa-PHV", "Post PHV"))</f>
        <v>Circa-PHV</v>
      </c>
      <c r="AF60" s="25">
        <f>Y60 - IFERROR(INDEX(Errors!$B$2:$B$100, MATCH(F60 + 0.5, Errors!$A$2:$A$100, 0)), 0)</f>
        <v>159.61065706245549</v>
      </c>
      <c r="AG60" s="25">
        <f>Y60 + IFERROR(INDEX(Errors!$B$2:$B$100, MATCH(F60 + 0.5, Errors!$A$2:$A$100, 0)), 0)</f>
        <v>164.4106570624555</v>
      </c>
      <c r="AH60" s="25">
        <f>Y60 - IFERROR(INDEX(Errors!$C$2:$C$100, MATCH(F60 + 0.5, Errors!$A$2:$A$100, 0)), 0)</f>
        <v>156.21945706245549</v>
      </c>
      <c r="AI60" s="25">
        <f>Y60 + IFERROR(INDEX(Errors!$C$2:$C$100, MATCH(F60 + 0.5, Errors!$A$2:$A$100, 0)), 0)</f>
        <v>167.8018570624555</v>
      </c>
    </row>
    <row r="61" spans="1:35">
      <c r="A61" s="40">
        <v>60</v>
      </c>
      <c r="B61" s="35" t="s">
        <v>35</v>
      </c>
      <c r="C61" s="37">
        <v>41550</v>
      </c>
      <c r="D61" s="37">
        <v>45662</v>
      </c>
      <c r="E61" s="15">
        <f t="shared" ref="E61:E64" si="16">IF(C61="","",YEARFRAC(C61,D61))</f>
        <v>11.255555555555556</v>
      </c>
      <c r="F61" s="15">
        <f t="shared" ref="F61:F70" si="17">MROUND(E61, 0.5)</f>
        <v>11.5</v>
      </c>
      <c r="G61" s="35">
        <v>32.6</v>
      </c>
      <c r="H61" s="16">
        <f t="shared" ref="H61:H70" si="18">G61*2.205</f>
        <v>71.88300000000001</v>
      </c>
      <c r="I61" s="35">
        <v>140.6</v>
      </c>
      <c r="J61" s="16">
        <f>IF(
    Input!B61="Male",
    IFERROR(INDEX('Metric coefficients'!$E$2:$E$29, MATCH(Input!F61, 'Metric coefficients'!$A$2:$A$29, 0)), "Not Found"),
    IF(
        Input!B61="Female",
        IFERROR(INDEX('Metric coefficients'!$O$2:$O$29, MATCH(Input!F61, 'Metric coefficients'!$M$2:$M$29, 0)), "Not Found"),
        ""
    )
)</f>
        <v>0.64149999999999996</v>
      </c>
      <c r="K61" s="16">
        <f t="shared" ref="K61:K70" si="19">I61*0.393701</f>
        <v>55.3543606</v>
      </c>
      <c r="L61" s="16">
        <f>IF(
    Input!B61="Male",
    IFERROR(INDEX('Metric coefficients'!$F$2:$F$29, MATCH(Input!F61, 'Metric coefficients'!$A$2:$A$29, 0)), "Not Found"),
    IF(
        Input!B61="Female",
        IFERROR(INDEX('Metric coefficients'!$P$2:$P$29, MATCH(Input!F61, 'Metric coefficients'!$M$2:$M$29, 0)), "Not Found"),
        ""
    )
)</f>
        <v>-0.30897999999999998</v>
      </c>
      <c r="M61" s="35">
        <v>163</v>
      </c>
      <c r="N61" s="16">
        <f t="shared" ref="N61:N70" si="20">M61*0.393701</f>
        <v>64.173263000000006</v>
      </c>
      <c r="O61" s="16">
        <f t="shared" ref="O61:O64" si="21">2.803+(0.953*N61)</f>
        <v>63.960119638999998</v>
      </c>
      <c r="P61" s="16">
        <f t="shared" ref="P61:P69" si="22">O61*2.54</f>
        <v>162.45870388306</v>
      </c>
      <c r="Q61" s="35">
        <v>175</v>
      </c>
      <c r="R61" s="16">
        <f t="shared" ref="R61:R64" si="23">Q61*0.393701</f>
        <v>68.897675000000007</v>
      </c>
      <c r="S61" s="16">
        <f t="shared" ref="S61:S64" si="24">2.316+(0.955*R61)</f>
        <v>68.113279625000004</v>
      </c>
      <c r="T61" s="16">
        <f t="shared" ref="T61:T64" si="25">S61*2.54</f>
        <v>173.00773024750001</v>
      </c>
      <c r="U61" s="16">
        <f t="shared" ref="U61:U64" si="26">(P61+T61)/2</f>
        <v>167.73321706528</v>
      </c>
      <c r="V61" s="17">
        <f>IF(
    Input!B61="Male",
    IFERROR(INDEX('Metric coefficients'!$G$2:$G$29, MATCH(Input!F61, 'Metric coefficients'!$A$2:$A$29, 0)), "Not Found"),
    IF(
        Input!B61="Female",
        IFERROR(INDEX('Metric coefficients'!$Q$2:$Q$29, MATCH(Input!F61, 'Metric coefficients'!$M$2:$M$29, 0)), "Not Found"),
        ""
    )
)</f>
        <v>0.41686000000000001</v>
      </c>
      <c r="W61" s="17" cm="1">
        <f t="array" ref="W61">_xlfn.IFS(B61="Male",U61*0.393701+2.5,B61="Female",U61*0.393701-2.5)</f>
        <v>63.536735291817806</v>
      </c>
      <c r="X61" s="16">
        <f>IF(
    Input!B61="Male",
    IFERROR(INDEX('Metric coefficients'!$D$2:$D$29, MATCH(Input!F61, 'Metric coefficients'!$A$2:$A$29, 0)), "Not Found"),
    IF(
        Input!B61="Female",
        IFERROR(INDEX('Metric coefficients'!$N$2:$N$29, MATCH(Input!F61, 'Metric coefficients'!$M$2:$M$29, 0)), "Not Found"),
        ""
    )
)</f>
        <v>11.626799999999999</v>
      </c>
      <c r="Y61" s="25">
        <f t="shared" ref="Y61:Y63" si="27">X61+(J61*I61)+(L61*G61)+(V61*U61)</f>
        <v>161.67022086583262</v>
      </c>
      <c r="Z61" s="16">
        <f t="shared" ref="Z61:Z64" si="28">IF(Y61=" ", " ", (I61/Y61*100))</f>
        <v>86.967160214794021</v>
      </c>
      <c r="AA61" s="16" cm="1">
        <f t="array" ref="AA61">_xlfn.IFS(
    B61="Male", _xlfn.XLOOKUP(0, ABS(SA!$C$2:$C$218 - Input!Z61), SA!$A$2:$A$218, " ", 1),
    B61="Female", _xlfn.XLOOKUP(0, ABS(SA!$E$2:$E$218 - Input!Z61), SA!$A$2:$A$218, " ", 1)
)</f>
        <v>10.667</v>
      </c>
      <c r="AB61" s="16">
        <f t="shared" ref="AB61:AB63" si="29">IF(E61=" ", " ",AA61-E61)</f>
        <v>-0.58855555555555661</v>
      </c>
      <c r="AC61" s="16" t="str" cm="1">
        <f t="array" ref="AC61">_xlfn.IFS(AB61=" "," ", AB61&gt;0.5,"Early",AB61&lt;=-0.5,"Late",AND(AB61&gt;=-0.5,AB61&lt;=0.5),"On Time")</f>
        <v>Late</v>
      </c>
      <c r="AD61" s="16" t="str" cm="1">
        <f t="array" ref="AD61">_xlfn.IFS(AB61=" "," ", AB61&gt;1,"Early",AB61&lt;=-1,"Late",AND(AB61&gt;=-1,AB61&lt;=1),"On Time")</f>
        <v>On Time</v>
      </c>
      <c r="AE61" s="16" t="str">
        <f t="shared" si="15"/>
        <v>Pre-PHV</v>
      </c>
      <c r="AF61" s="25">
        <f>Y61 - IFERROR(INDEX(Errors!$B$2:$B$100, MATCH(F61 + 0.5, Errors!$A$2:$A$100, 0)), 0)</f>
        <v>159.17022086583262</v>
      </c>
      <c r="AG61" s="25">
        <f>Y61 + IFERROR(INDEX(Errors!$B$2:$B$100, MATCH(F61 + 0.5, Errors!$A$2:$A$100, 0)), 0)</f>
        <v>164.17022086583262</v>
      </c>
      <c r="AH61" s="25">
        <f>Y61 - IFERROR(INDEX(Errors!$C$2:$C$100, MATCH(F61 + 0.5, Errors!$A$2:$A$100, 0)), 0)</f>
        <v>155.42182086583261</v>
      </c>
      <c r="AI61" s="25">
        <f>Y61 + IFERROR(INDEX(Errors!$C$2:$C$100, MATCH(F61 + 0.5, Errors!$A$2:$A$100, 0)), 0)</f>
        <v>167.91862086583262</v>
      </c>
    </row>
    <row r="62" spans="1:35">
      <c r="A62" s="40">
        <v>61</v>
      </c>
      <c r="B62" s="34" t="s">
        <v>35</v>
      </c>
      <c r="C62" s="36">
        <v>41842</v>
      </c>
      <c r="D62" s="36">
        <v>45662</v>
      </c>
      <c r="E62" s="15">
        <f t="shared" si="16"/>
        <v>10.452777777777778</v>
      </c>
      <c r="F62" s="15">
        <f t="shared" si="17"/>
        <v>10.5</v>
      </c>
      <c r="G62" s="39">
        <v>29.8</v>
      </c>
      <c r="H62" s="16">
        <f t="shared" si="18"/>
        <v>65.709000000000003</v>
      </c>
      <c r="I62" s="34">
        <v>133.4</v>
      </c>
      <c r="J62" s="16">
        <f>IF(
    Input!B62="Male",
    IFERROR(INDEX('Metric coefficients'!$E$2:$E$29, MATCH(Input!F62, 'Metric coefficients'!$A$2:$A$29, 0)), "Not Found"),
    IF(
        Input!B62="Female",
        IFERROR(INDEX('Metric coefficients'!$O$2:$O$29, MATCH(Input!F62, 'Metric coefficients'!$M$2:$M$29, 0)), "Not Found"),
        ""
    )
)</f>
        <v>0.74212999999999996</v>
      </c>
      <c r="K62" s="16">
        <f t="shared" si="19"/>
        <v>52.519713400000008</v>
      </c>
      <c r="L62" s="16">
        <f>IF(
    Input!B62="Male",
    IFERROR(INDEX('Metric coefficients'!$F$2:$F$29, MATCH(Input!F62, 'Metric coefficients'!$A$2:$A$29, 0)), "Not Found"),
    IF(
        Input!B62="Female",
        IFERROR(INDEX('Metric coefficients'!$P$2:$P$29, MATCH(Input!F62, 'Metric coefficients'!$M$2:$M$29, 0)), "Not Found"),
        ""
    )
)</f>
        <v>-0.37735999999999997</v>
      </c>
      <c r="M62" s="34">
        <v>165</v>
      </c>
      <c r="N62" s="16">
        <f t="shared" si="20"/>
        <v>64.960665000000006</v>
      </c>
      <c r="O62" s="16">
        <f t="shared" si="21"/>
        <v>64.710513745</v>
      </c>
      <c r="P62" s="16">
        <f t="shared" si="22"/>
        <v>164.3647049123</v>
      </c>
      <c r="Q62" s="34">
        <v>176</v>
      </c>
      <c r="R62" s="16">
        <f t="shared" si="23"/>
        <v>69.291376</v>
      </c>
      <c r="S62" s="16">
        <f t="shared" si="24"/>
        <v>68.489264079999998</v>
      </c>
      <c r="T62" s="16">
        <f t="shared" si="25"/>
        <v>173.9627307632</v>
      </c>
      <c r="U62" s="16">
        <f t="shared" si="26"/>
        <v>169.16371783775</v>
      </c>
      <c r="V62" s="17">
        <f>IF(
    Input!B62="Male",
    IFERROR(INDEX('Metric coefficients'!$G$2:$G$29, MATCH(Input!F62, 'Metric coefficients'!$A$2:$A$29, 0)), "Not Found"),
    IF(
        Input!B62="Female",
        IFERROR(INDEX('Metric coefficients'!$Q$2:$Q$29, MATCH(Input!F62, 'Metric coefficients'!$M$2:$M$29, 0)), "Not Found"),
        ""
    )
)</f>
        <v>0.40161000000000002</v>
      </c>
      <c r="W62" s="17" cm="1">
        <f t="array" ref="W62">_xlfn.IFS(B62="Male",U62*0.393701+2.5,B62="Female",U62*0.393701-2.5)</f>
        <v>64.099924876440014</v>
      </c>
      <c r="X62" s="16">
        <f>IF(
    Input!B62="Male",
    IFERROR(INDEX('Metric coefficients'!$D$2:$D$29, MATCH(Input!F62, 'Metric coefficients'!$A$2:$A$29, 0)), "Not Found"),
    IF(
        Input!B62="Female",
        IFERROR(INDEX('Metric coefficients'!$N$2:$N$29, MATCH(Input!F62, 'Metric coefficients'!$M$2:$M$29, 0)), "Not Found"),
        ""
    )
)</f>
        <v>5.0130999999999997</v>
      </c>
      <c r="Y62" s="25">
        <f t="shared" si="27"/>
        <v>160.70575472081879</v>
      </c>
      <c r="Z62" s="16">
        <f t="shared" si="28"/>
        <v>83.008850698436476</v>
      </c>
      <c r="AA62" s="16" cm="1">
        <f t="array" ref="AA62">_xlfn.IFS(
    B62="Male", _xlfn.XLOOKUP(0, ABS(SA!$C$2:$C$218 - Input!Z62), SA!$A$2:$A$218, " ", 1),
    B62="Female", _xlfn.XLOOKUP(0, ABS(SA!$E$2:$E$218 - Input!Z62), SA!$A$2:$A$218, " ", 1)
)</f>
        <v>9.5830000000000002</v>
      </c>
      <c r="AB62" s="16">
        <f t="shared" si="29"/>
        <v>-0.86977777777777732</v>
      </c>
      <c r="AC62" s="16" t="str" cm="1">
        <f t="array" ref="AC62">_xlfn.IFS(AB62=" "," ", AB62&gt;0.5,"Early",AB62&lt;=-0.5,"Late",AND(AB62&gt;=-0.5,AB62&lt;=0.5),"On Time")</f>
        <v>Late</v>
      </c>
      <c r="AD62" s="16" t="str" cm="1">
        <f t="array" ref="AD62">_xlfn.IFS(AB62=" "," ", AB62&gt;1,"Early",AB62&lt;=-1,"Late",AND(AB62&gt;=-1,AB62&lt;=1),"On Time")</f>
        <v>On Time</v>
      </c>
      <c r="AE62" s="16" t="str">
        <f t="shared" si="15"/>
        <v>Pre-PHV</v>
      </c>
      <c r="AF62" s="25">
        <f>Y62 - IFERROR(INDEX(Errors!$B$2:$B$100, MATCH(F62 + 0.5, Errors!$A$2:$A$100, 0)), 0)</f>
        <v>158.30575472081878</v>
      </c>
      <c r="AG62" s="25">
        <f>Y62 + IFERROR(INDEX(Errors!$B$2:$B$100, MATCH(F62 + 0.5, Errors!$A$2:$A$100, 0)), 0)</f>
        <v>163.10575472081879</v>
      </c>
      <c r="AH62" s="25">
        <f>Y62 - IFERROR(INDEX(Errors!$C$2:$C$100, MATCH(F62 + 0.5, Errors!$A$2:$A$100, 0)), 0)</f>
        <v>155.24475472081878</v>
      </c>
      <c r="AI62" s="25">
        <f>Y62 + IFERROR(INDEX(Errors!$C$2:$C$100, MATCH(F62 + 0.5, Errors!$A$2:$A$100, 0)), 0)</f>
        <v>166.1667547208188</v>
      </c>
    </row>
    <row r="63" spans="1:35">
      <c r="A63" s="40">
        <v>62</v>
      </c>
      <c r="B63" s="35" t="s">
        <v>35</v>
      </c>
      <c r="C63" s="37">
        <v>41319</v>
      </c>
      <c r="D63" s="37">
        <v>45662</v>
      </c>
      <c r="E63" s="15">
        <f t="shared" si="16"/>
        <v>11.891666666666667</v>
      </c>
      <c r="F63" s="15">
        <f t="shared" si="17"/>
        <v>12</v>
      </c>
      <c r="G63" s="38">
        <v>56.6</v>
      </c>
      <c r="H63" s="16">
        <f t="shared" si="18"/>
        <v>124.80300000000001</v>
      </c>
      <c r="I63" s="35">
        <v>153.30000000000001</v>
      </c>
      <c r="J63" s="16">
        <f>IF(
    Input!B63="Male",
    IFERROR(INDEX('Metric coefficients'!$E$2:$E$29, MATCH(Input!F63, 'Metric coefficients'!$A$2:$A$29, 0)), "Not Found"),
    IF(
        Input!B63="Female",
        IFERROR(INDEX('Metric coefficients'!$O$2:$O$29, MATCH(Input!F63, 'Metric coefficients'!$M$2:$M$29, 0)), "Not Found"),
        ""
    )
)</f>
        <v>0.64451999999999998</v>
      </c>
      <c r="K63" s="16">
        <f t="shared" si="19"/>
        <v>60.35436330000001</v>
      </c>
      <c r="L63" s="16">
        <f>IF(
    Input!B63="Male",
    IFERROR(INDEX('Metric coefficients'!$F$2:$F$29, MATCH(Input!F63, 'Metric coefficients'!$A$2:$A$29, 0)), "Not Found"),
    IF(
        Input!B63="Female",
        IFERROR(INDEX('Metric coefficients'!$P$2:$P$29, MATCH(Input!F63, 'Metric coefficients'!$M$2:$M$29, 0)), "Not Found"),
        ""
    )
)</f>
        <v>-0.27405000000000002</v>
      </c>
      <c r="M63" s="35">
        <v>155</v>
      </c>
      <c r="N63" s="16">
        <f t="shared" si="20"/>
        <v>61.023655000000005</v>
      </c>
      <c r="O63" s="16">
        <f t="shared" si="21"/>
        <v>60.958543214999999</v>
      </c>
      <c r="P63" s="16">
        <f t="shared" si="22"/>
        <v>154.83469976609999</v>
      </c>
      <c r="Q63" s="35">
        <v>170</v>
      </c>
      <c r="R63" s="16">
        <f t="shared" si="23"/>
        <v>66.929169999999999</v>
      </c>
      <c r="S63" s="16">
        <f t="shared" si="24"/>
        <v>66.233357349999991</v>
      </c>
      <c r="T63" s="16">
        <f t="shared" si="25"/>
        <v>168.23272766899998</v>
      </c>
      <c r="U63" s="16">
        <f t="shared" si="26"/>
        <v>161.53371371754997</v>
      </c>
      <c r="V63" s="17">
        <f>IF(
    Input!B63="Male",
    IFERROR(INDEX('Metric coefficients'!$G$2:$G$29, MATCH(Input!F63, 'Metric coefficients'!$A$2:$A$29, 0)), "Not Found"),
    IF(
        Input!B63="Female",
        IFERROR(INDEX('Metric coefficients'!$Q$2:$Q$29, MATCH(Input!F63, 'Metric coefficients'!$M$2:$M$29, 0)), "Not Found"),
        ""
    )
)</f>
        <v>0.39489999999999997</v>
      </c>
      <c r="W63" s="17" cm="1">
        <f t="array" ref="W63">_xlfn.IFS(B63="Male",U63*0.393701+2.5,B63="Female",U63*0.393701-2.5)</f>
        <v>61.095984624313147</v>
      </c>
      <c r="X63" s="16">
        <f>IF(
    Input!B63="Male",
    IFERROR(INDEX('Metric coefficients'!$D$2:$D$29, MATCH(Input!F63, 'Metric coefficients'!$A$2:$A$29, 0)), "Not Found"),
    IF(
        Input!B63="Female",
        IFERROR(INDEX('Metric coefficients'!$N$2:$N$29, MATCH(Input!F63, 'Metric coefficients'!$M$2:$M$29, 0)), "Not Found"),
        ""
    )
)</f>
        <v>12.302899999999999</v>
      </c>
      <c r="Y63" s="25">
        <f t="shared" si="27"/>
        <v>159.38624954706049</v>
      </c>
      <c r="Z63" s="16">
        <f t="shared" si="28"/>
        <v>96.181446288901199</v>
      </c>
      <c r="AA63" s="16" cm="1">
        <f t="array" ref="AA63">_xlfn.IFS(
    B63="Male", _xlfn.XLOOKUP(0, ABS(SA!$C$2:$C$218 - Input!Z63), SA!$A$2:$A$218, " ", 1),
    B63="Female", _xlfn.XLOOKUP(0, ABS(SA!$E$2:$E$218 - Input!Z63), SA!$A$2:$A$218, " ", 1)
)</f>
        <v>13.417</v>
      </c>
      <c r="AB63" s="16">
        <f t="shared" si="29"/>
        <v>1.5253333333333323</v>
      </c>
      <c r="AC63" s="16" t="str" cm="1">
        <f t="array" ref="AC63">_xlfn.IFS(AB63=" "," ", AB63&gt;0.5,"Early",AB63&lt;=-0.5,"Late",AND(AB63&gt;=-0.5,AB63&lt;=0.5),"On Time")</f>
        <v>Early</v>
      </c>
      <c r="AD63" s="16" t="str" cm="1">
        <f t="array" ref="AD63">_xlfn.IFS(AB63=" "," ", AB63&gt;1,"Early",AB63&lt;=-1,"Late",AND(AB63&gt;=-1,AB63&lt;=1),"On Time")</f>
        <v>Early</v>
      </c>
      <c r="AE63" s="16" t="str">
        <f t="shared" si="15"/>
        <v>Post PHV</v>
      </c>
      <c r="AF63" s="25">
        <f>Y63 - IFERROR(INDEX(Errors!$B$2:$B$100, MATCH(F63 + 0.5, Errors!$A$2:$A$100, 0)), 0)</f>
        <v>156.88624954706049</v>
      </c>
      <c r="AG63" s="25">
        <f>Y63 + IFERROR(INDEX(Errors!$B$2:$B$100, MATCH(F63 + 0.5, Errors!$A$2:$A$100, 0)), 0)</f>
        <v>161.88624954706049</v>
      </c>
      <c r="AH63" s="25">
        <f>Y63 - IFERROR(INDEX(Errors!$C$2:$C$100, MATCH(F63 + 0.5, Errors!$A$2:$A$100, 0)), 0)</f>
        <v>152.65524954706049</v>
      </c>
      <c r="AI63" s="25">
        <f>Y63 + IFERROR(INDEX(Errors!$C$2:$C$100, MATCH(F63 + 0.5, Errors!$A$2:$A$100, 0)), 0)</f>
        <v>166.11724954706048</v>
      </c>
    </row>
    <row r="64" spans="1:35">
      <c r="A64" s="40">
        <v>63</v>
      </c>
      <c r="B64" s="34" t="s">
        <v>35</v>
      </c>
      <c r="C64" s="36">
        <v>41297</v>
      </c>
      <c r="D64" s="36">
        <v>45662</v>
      </c>
      <c r="E64" s="15">
        <f t="shared" si="16"/>
        <v>11.95</v>
      </c>
      <c r="F64" s="15">
        <f t="shared" si="17"/>
        <v>12</v>
      </c>
      <c r="G64" s="39">
        <v>57.3</v>
      </c>
      <c r="H64" s="16">
        <f t="shared" si="18"/>
        <v>126.34649999999999</v>
      </c>
      <c r="I64" s="34">
        <v>151.69999999999999</v>
      </c>
      <c r="J64" s="16">
        <f>IF(
    Input!B64="Male",
    IFERROR(INDEX('Metric coefficients'!$E$2:$E$29, MATCH(Input!F64, 'Metric coefficients'!$A$2:$A$29, 0)), "Not Found"),
    IF(
        Input!B64="Female",
        IFERROR(INDEX('Metric coefficients'!$O$2:$O$29, MATCH(Input!F64, 'Metric coefficients'!$M$2:$M$29, 0)), "Not Found"),
        ""
    )
)</f>
        <v>0.64451999999999998</v>
      </c>
      <c r="K64" s="16">
        <f t="shared" si="19"/>
        <v>59.7244417</v>
      </c>
      <c r="L64" s="16">
        <f>IF(
    Input!B64="Male",
    IFERROR(INDEX('Metric coefficients'!$F$2:$F$29, MATCH(Input!F64, 'Metric coefficients'!$A$2:$A$29, 0)), "Not Found"),
    IF(
        Input!B64="Female",
        IFERROR(INDEX('Metric coefficients'!$P$2:$P$29, MATCH(Input!F64, 'Metric coefficients'!$M$2:$M$29, 0)), "Not Found"),
        ""
    )
)</f>
        <v>-0.27405000000000002</v>
      </c>
      <c r="M64" s="34">
        <v>163</v>
      </c>
      <c r="N64" s="16">
        <f t="shared" si="20"/>
        <v>64.173263000000006</v>
      </c>
      <c r="O64" s="16">
        <f t="shared" si="21"/>
        <v>63.960119638999998</v>
      </c>
      <c r="P64" s="16">
        <f t="shared" si="22"/>
        <v>162.45870388306</v>
      </c>
      <c r="Q64" s="34">
        <v>168</v>
      </c>
      <c r="R64" s="16">
        <f t="shared" si="23"/>
        <v>66.141767999999999</v>
      </c>
      <c r="S64" s="16">
        <f t="shared" si="24"/>
        <v>65.481388439999989</v>
      </c>
      <c r="T64" s="16">
        <f t="shared" si="25"/>
        <v>166.32272663759997</v>
      </c>
      <c r="U64" s="16">
        <f t="shared" si="26"/>
        <v>164.39071526032998</v>
      </c>
      <c r="V64" s="17">
        <f>IF(
    Input!B64="Male",
    IFERROR(INDEX('Metric coefficients'!$G$2:$G$29, MATCH(Input!F64, 'Metric coefficients'!$A$2:$A$29, 0)), "Not Found"),
    IF(
        Input!B64="Female",
        IFERROR(INDEX('Metric coefficients'!$Q$2:$Q$29, MATCH(Input!F64, 'Metric coefficients'!$M$2:$M$29, 0)), "Not Found"),
        ""
    )
)</f>
        <v>0.39489999999999997</v>
      </c>
      <c r="W64" s="17" cm="1">
        <f t="array" ref="W64">_xlfn.IFS(B64="Male",U64*0.393701+2.5,B64="Female",U64*0.393701-2.5)</f>
        <v>62.220788988707184</v>
      </c>
      <c r="X64" s="16">
        <f>IF(
    Input!B64="Male",
    IFERROR(INDEX('Metric coefficients'!$D$2:$D$29, MATCH(Input!F64, 'Metric coefficients'!$A$2:$A$29, 0)), "Not Found"),
    IF(
        Input!B64="Female",
        IFERROR(INDEX('Metric coefficients'!$N$2:$N$29, MATCH(Input!F64, 'Metric coefficients'!$M$2:$M$29, 0)), "Not Found"),
        ""
    )
)</f>
        <v>12.302899999999999</v>
      </c>
      <c r="Y64" s="25">
        <f>X64+(J64*I64)+(L64*G64)+(V64*U64)</f>
        <v>159.2914124563043</v>
      </c>
      <c r="Z64" s="16">
        <f t="shared" si="28"/>
        <v>95.234261320655477</v>
      </c>
      <c r="AA64" s="16" cm="1">
        <f t="array" ref="AA64">_xlfn.IFS(
    B64="Male", _xlfn.XLOOKUP(0, ABS(SA!$C$2:$C$218 - Input!Z64), SA!$A$2:$A$218, " ", 1),
    B64="Female", _xlfn.XLOOKUP(0, ABS(SA!$E$2:$E$218 - Input!Z64), SA!$A$2:$A$218, " ", 1)
)</f>
        <v>13.083</v>
      </c>
      <c r="AB64" s="16">
        <f t="shared" ref="AB64" si="30">IF(E64=" ", " ",AA64-E64)</f>
        <v>1.1330000000000009</v>
      </c>
      <c r="AC64" s="16" t="str" cm="1">
        <f t="array" ref="AC64">_xlfn.IFS(AB64=" "," ", AB64&gt;0.5,"Early",AB64&lt;=-0.5,"Late",AND(AB64&gt;=-0.5,AB64&lt;=0.5),"On Time")</f>
        <v>Early</v>
      </c>
      <c r="AD64" s="16" t="str" cm="1">
        <f t="array" ref="AD64">_xlfn.IFS(AB64=" "," ", AB64&gt;1,"Early",AB64&lt;=-1,"Late",AND(AB64&gt;=-1,AB64&lt;=1),"On Time")</f>
        <v>Early</v>
      </c>
      <c r="AE64" s="16" t="str">
        <f t="shared" ref="AE64" si="31">IF(Z64&lt;=88, "Pre-PHV", IF(Z64&lt;=95, "Circa-PHV", "Post PHV"))</f>
        <v>Post PHV</v>
      </c>
      <c r="AF64" s="25">
        <f>Y64 - IFERROR(INDEX(Errors!$B$2:$B$100, MATCH(F64 + 0.5, Errors!$A$2:$A$100, 0)), 0)</f>
        <v>156.7914124563043</v>
      </c>
      <c r="AG64" s="25">
        <f>Y64 + IFERROR(INDEX(Errors!$B$2:$B$100, MATCH(F64 + 0.5, Errors!$A$2:$A$100, 0)), 0)</f>
        <v>161.7914124563043</v>
      </c>
      <c r="AH64" s="25">
        <f>Y64 - IFERROR(INDEX(Errors!$C$2:$C$100, MATCH(F64 + 0.5, Errors!$A$2:$A$100, 0)), 0)</f>
        <v>152.56041245630431</v>
      </c>
      <c r="AI64" s="25">
        <f>Y64 + IFERROR(INDEX(Errors!$C$2:$C$100, MATCH(F64 + 0.5, Errors!$A$2:$A$100, 0)), 0)</f>
        <v>166.02241245630429</v>
      </c>
    </row>
    <row r="65" spans="6:16">
      <c r="F65" s="15">
        <f t="shared" si="17"/>
        <v>0</v>
      </c>
      <c r="H65" s="16">
        <f t="shared" si="18"/>
        <v>0</v>
      </c>
      <c r="J65" s="16" t="str">
        <f>IF(
    Input!B65="Male",
    IFERROR(INDEX('Metric coefficients'!$E$2:$E$29, MATCH(Input!F65, 'Metric coefficients'!$A$2:$A$29, 0)), "Not Found"),
    IF(
        Input!B65="Female",
        IFERROR(INDEX('Metric coefficients'!$O$2:$O$29, MATCH(Input!F65, 'Metric coefficients'!$M$2:$M$29, 0)), "Not Found"),
        ""
    )
)</f>
        <v/>
      </c>
      <c r="K65" s="16">
        <f t="shared" si="19"/>
        <v>0</v>
      </c>
      <c r="L65" s="16" t="str">
        <f>IF(
    Input!B65="Male",
    IFERROR(INDEX('Metric coefficients'!$F$2:$F$29, MATCH(Input!F65, 'Metric coefficients'!$A$2:$A$29, 0)), "Not Found"),
    IF(
        Input!B65="Female",
        IFERROR(INDEX('Metric coefficients'!$P$2:$P$29, MATCH(Input!F65, 'Metric coefficients'!$M$2:$M$29, 0)), "Not Found"),
        ""
    )
)</f>
        <v/>
      </c>
      <c r="N65" s="16">
        <f t="shared" si="20"/>
        <v>0</v>
      </c>
      <c r="P65" s="16">
        <f t="shared" si="22"/>
        <v>0</v>
      </c>
    </row>
    <row r="66" spans="6:16">
      <c r="F66" s="15">
        <f t="shared" si="17"/>
        <v>0</v>
      </c>
      <c r="H66" s="16">
        <f t="shared" si="18"/>
        <v>0</v>
      </c>
      <c r="J66" s="16" t="str">
        <f>IF(
    Input!B66="Male",
    IFERROR(INDEX('Metric coefficients'!$E$2:$E$29, MATCH(Input!F66, 'Metric coefficients'!$A$2:$A$29, 0)), "Not Found"),
    IF(
        Input!B66="Female",
        IFERROR(INDEX('Metric coefficients'!$O$2:$O$29, MATCH(Input!F66, 'Metric coefficients'!$M$2:$M$29, 0)), "Not Found"),
        ""
    )
)</f>
        <v/>
      </c>
      <c r="K66" s="16">
        <f t="shared" si="19"/>
        <v>0</v>
      </c>
      <c r="L66" s="16" t="str">
        <f>IF(
    Input!B66="Male",
    IFERROR(INDEX('Metric coefficients'!$F$2:$F$29, MATCH(Input!F66, 'Metric coefficients'!$A$2:$A$29, 0)), "Not Found"),
    IF(
        Input!B66="Female",
        IFERROR(INDEX('Metric coefficients'!$P$2:$P$29, MATCH(Input!F66, 'Metric coefficients'!$M$2:$M$29, 0)), "Not Found"),
        ""
    )
)</f>
        <v/>
      </c>
      <c r="N66" s="16">
        <f t="shared" si="20"/>
        <v>0</v>
      </c>
      <c r="P66" s="16">
        <f t="shared" si="22"/>
        <v>0</v>
      </c>
    </row>
    <row r="67" spans="6:16">
      <c r="F67" s="15">
        <f t="shared" si="17"/>
        <v>0</v>
      </c>
      <c r="H67" s="16">
        <f t="shared" si="18"/>
        <v>0</v>
      </c>
      <c r="J67" s="16" t="str">
        <f>IF(
    Input!B67="Male",
    IFERROR(INDEX('Metric coefficients'!$E$2:$E$29, MATCH(Input!F67, 'Metric coefficients'!$A$2:$A$29, 0)), "Not Found"),
    IF(
        Input!B67="Female",
        IFERROR(INDEX('Metric coefficients'!$O$2:$O$29, MATCH(Input!F67, 'Metric coefficients'!$M$2:$M$29, 0)), "Not Found"),
        ""
    )
)</f>
        <v/>
      </c>
      <c r="K67" s="16">
        <f t="shared" si="19"/>
        <v>0</v>
      </c>
      <c r="L67" s="16" t="str">
        <f>IF(
    Input!B67="Male",
    IFERROR(INDEX('Metric coefficients'!$F$2:$F$29, MATCH(Input!F67, 'Metric coefficients'!$A$2:$A$29, 0)), "Not Found"),
    IF(
        Input!B67="Female",
        IFERROR(INDEX('Metric coefficients'!$P$2:$P$29, MATCH(Input!F67, 'Metric coefficients'!$M$2:$M$29, 0)), "Not Found"),
        ""
    )
)</f>
        <v/>
      </c>
      <c r="N67" s="16">
        <f t="shared" si="20"/>
        <v>0</v>
      </c>
      <c r="P67" s="16">
        <f t="shared" si="22"/>
        <v>0</v>
      </c>
    </row>
    <row r="68" spans="6:16">
      <c r="F68" s="15">
        <f t="shared" si="17"/>
        <v>0</v>
      </c>
      <c r="H68" s="16">
        <f t="shared" si="18"/>
        <v>0</v>
      </c>
      <c r="J68" s="16" t="str">
        <f>IF(
    Input!B68="Male",
    IFERROR(INDEX('Metric coefficients'!$E$2:$E$29, MATCH(Input!F68, 'Metric coefficients'!$A$2:$A$29, 0)), "Not Found"),
    IF(
        Input!B68="Female",
        IFERROR(INDEX('Metric coefficients'!$O$2:$O$29, MATCH(Input!F68, 'Metric coefficients'!$M$2:$M$29, 0)), "Not Found"),
        ""
    )
)</f>
        <v/>
      </c>
      <c r="K68" s="16">
        <f t="shared" si="19"/>
        <v>0</v>
      </c>
      <c r="L68" s="16" t="str">
        <f>IF(
    Input!B68="Male",
    IFERROR(INDEX('Metric coefficients'!$F$2:$F$29, MATCH(Input!F68, 'Metric coefficients'!$A$2:$A$29, 0)), "Not Found"),
    IF(
        Input!B68="Female",
        IFERROR(INDEX('Metric coefficients'!$P$2:$P$29, MATCH(Input!F68, 'Metric coefficients'!$M$2:$M$29, 0)), "Not Found"),
        ""
    )
)</f>
        <v/>
      </c>
      <c r="N68" s="16">
        <f t="shared" si="20"/>
        <v>0</v>
      </c>
      <c r="P68" s="16">
        <f t="shared" si="22"/>
        <v>0</v>
      </c>
    </row>
    <row r="69" spans="6:16">
      <c r="F69" s="15">
        <f t="shared" si="17"/>
        <v>0</v>
      </c>
      <c r="H69" s="16">
        <f t="shared" si="18"/>
        <v>0</v>
      </c>
      <c r="J69" s="16" t="str">
        <f>IF(
    Input!B69="Male",
    IFERROR(INDEX('Metric coefficients'!$E$2:$E$29, MATCH(Input!F69, 'Metric coefficients'!$A$2:$A$29, 0)), "Not Found"),
    IF(
        Input!B69="Female",
        IFERROR(INDEX('Metric coefficients'!$O$2:$O$29, MATCH(Input!F69, 'Metric coefficients'!$M$2:$M$29, 0)), "Not Found"),
        ""
    )
)</f>
        <v/>
      </c>
      <c r="K69" s="16">
        <f t="shared" si="19"/>
        <v>0</v>
      </c>
      <c r="L69" s="16" t="str">
        <f>IF(
    Input!B69="Male",
    IFERROR(INDEX('Metric coefficients'!$F$2:$F$29, MATCH(Input!F69, 'Metric coefficients'!$A$2:$A$29, 0)), "Not Found"),
    IF(
        Input!B69="Female",
        IFERROR(INDEX('Metric coefficients'!$P$2:$P$29, MATCH(Input!F69, 'Metric coefficients'!$M$2:$M$29, 0)), "Not Found"),
        ""
    )
)</f>
        <v/>
      </c>
      <c r="N69" s="16">
        <f t="shared" si="20"/>
        <v>0</v>
      </c>
      <c r="P69" s="16">
        <f t="shared" si="22"/>
        <v>0</v>
      </c>
    </row>
    <row r="70" spans="6:16">
      <c r="F70" s="15">
        <f t="shared" si="17"/>
        <v>0</v>
      </c>
      <c r="H70" s="16">
        <f t="shared" si="18"/>
        <v>0</v>
      </c>
      <c r="K70" s="16">
        <f t="shared" si="19"/>
        <v>0</v>
      </c>
      <c r="L70" s="16" t="str">
        <f>IF(
    Input!B70="Male",
    IFERROR(INDEX('Metric coefficients'!$F$2:$F$29, MATCH(Input!F70, 'Metric coefficients'!$A$2:$A$29, 0)), "Not Found"),
    IF(
        Input!B70="Female",
        IFERROR(INDEX('Metric coefficients'!$P$2:$P$29, MATCH(Input!F70, 'Metric coefficients'!$M$2:$M$29, 0)), "Not Found"),
        ""
    )
)</f>
        <v/>
      </c>
      <c r="N70" s="16">
        <f t="shared" si="2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6769-81D8-478F-AF5C-9CA2A32E9CCD}">
  <dimension ref="A1:C19"/>
  <sheetViews>
    <sheetView workbookViewId="0">
      <selection activeCell="D7" sqref="D7"/>
    </sheetView>
  </sheetViews>
  <sheetFormatPr defaultRowHeight="14.4"/>
  <sheetData>
    <row r="1" spans="1:3">
      <c r="A1" s="20" t="s">
        <v>36</v>
      </c>
      <c r="B1" s="21">
        <v>0.5</v>
      </c>
      <c r="C1" s="21">
        <v>0.9</v>
      </c>
    </row>
    <row r="2" spans="1:3">
      <c r="A2" s="23">
        <v>9</v>
      </c>
      <c r="B2" s="23">
        <v>2</v>
      </c>
      <c r="C2" s="24">
        <v>5.1816000000000004</v>
      </c>
    </row>
    <row r="3" spans="1:3">
      <c r="A3" s="20">
        <v>9.5</v>
      </c>
      <c r="B3" s="20">
        <v>2.1</v>
      </c>
      <c r="C3" s="22">
        <v>5.1562000000000001</v>
      </c>
    </row>
    <row r="4" spans="1:3">
      <c r="A4" s="23">
        <v>10</v>
      </c>
      <c r="B4" s="23">
        <v>2.2000000000000002</v>
      </c>
      <c r="C4" s="24">
        <v>5.1562000000000001</v>
      </c>
    </row>
    <row r="5" spans="1:3">
      <c r="A5" s="20">
        <v>10.5</v>
      </c>
      <c r="B5" s="20">
        <v>2.2999999999999998</v>
      </c>
      <c r="C5" s="22">
        <v>5.2577999999999996</v>
      </c>
    </row>
    <row r="6" spans="1:3">
      <c r="A6" s="23">
        <v>11</v>
      </c>
      <c r="B6" s="23">
        <v>2.4</v>
      </c>
      <c r="C6" s="24">
        <v>5.4610000000000003</v>
      </c>
    </row>
    <row r="7" spans="1:3">
      <c r="A7" s="20">
        <v>11.5</v>
      </c>
      <c r="B7" s="20">
        <v>2.4</v>
      </c>
      <c r="C7" s="22">
        <v>5.7911999999999999</v>
      </c>
    </row>
    <row r="8" spans="1:3">
      <c r="A8" s="23">
        <v>12</v>
      </c>
      <c r="B8" s="23">
        <v>2.5</v>
      </c>
      <c r="C8" s="24">
        <v>6.2484000000000002</v>
      </c>
    </row>
    <row r="9" spans="1:3">
      <c r="A9" s="20">
        <v>12.5</v>
      </c>
      <c r="B9" s="20">
        <v>2.5</v>
      </c>
      <c r="C9" s="22">
        <v>6.7309999999999999</v>
      </c>
    </row>
    <row r="10" spans="1:3">
      <c r="A10" s="23">
        <v>13</v>
      </c>
      <c r="B10" s="23">
        <v>2.6</v>
      </c>
      <c r="C10" s="24">
        <v>7.1374000000000004</v>
      </c>
    </row>
    <row r="11" spans="1:3">
      <c r="A11" s="20">
        <v>13.5</v>
      </c>
      <c r="B11" s="20">
        <v>2.7</v>
      </c>
      <c r="C11" s="22">
        <v>7.3151999999999999</v>
      </c>
    </row>
    <row r="12" spans="1:3">
      <c r="A12" s="23">
        <v>14</v>
      </c>
      <c r="B12" s="23">
        <v>2.8</v>
      </c>
      <c r="C12" s="24">
        <v>7.2135999999999996</v>
      </c>
    </row>
    <row r="13" spans="1:3">
      <c r="A13" s="20">
        <v>14.5</v>
      </c>
      <c r="B13" s="20">
        <v>2.7</v>
      </c>
      <c r="C13" s="22">
        <v>6.7309999999999999</v>
      </c>
    </row>
    <row r="14" spans="1:3">
      <c r="A14" s="23">
        <v>15</v>
      </c>
      <c r="B14" s="23">
        <v>2.2999999999999998</v>
      </c>
      <c r="C14" s="24">
        <v>5.8166000000000002</v>
      </c>
    </row>
    <row r="15" spans="1:3">
      <c r="A15" s="20">
        <v>15.5</v>
      </c>
      <c r="B15" s="20">
        <v>1.8</v>
      </c>
      <c r="C15" s="22">
        <v>4.5465999999999998</v>
      </c>
    </row>
    <row r="16" spans="1:3">
      <c r="A16" s="23">
        <v>16</v>
      </c>
      <c r="B16" s="23">
        <v>1.3</v>
      </c>
      <c r="C16" s="24">
        <v>3.5813999999999999</v>
      </c>
    </row>
    <row r="17" spans="1:3">
      <c r="A17" s="20">
        <v>16.5</v>
      </c>
      <c r="B17" s="20">
        <v>0.8</v>
      </c>
      <c r="C17" s="22">
        <v>2.6415999999999999</v>
      </c>
    </row>
    <row r="18" spans="1:3">
      <c r="A18" s="23">
        <v>17</v>
      </c>
      <c r="B18" s="23">
        <v>0.8</v>
      </c>
      <c r="C18" s="24">
        <v>1.905</v>
      </c>
    </row>
    <row r="19" spans="1:3">
      <c r="A19" s="20">
        <v>17.5</v>
      </c>
      <c r="B19" s="20">
        <v>0.6</v>
      </c>
      <c r="C19" s="22">
        <v>1.8795999999999999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13A2-E359-44B1-A1B6-411BFC1A70F9}">
  <dimension ref="A1:E218"/>
  <sheetViews>
    <sheetView tabSelected="1" workbookViewId="0">
      <selection activeCell="E2" sqref="E2"/>
    </sheetView>
  </sheetViews>
  <sheetFormatPr defaultRowHeight="14.4"/>
  <cols>
    <col min="1" max="1" width="8.21875" customWidth="1"/>
    <col min="2" max="2" width="7.44140625" bestFit="1" customWidth="1"/>
    <col min="3" max="3" width="12.77734375" bestFit="1" customWidth="1"/>
    <col min="4" max="4" width="12.77734375" customWidth="1"/>
    <col min="5" max="5" width="17.77734375" customWidth="1"/>
  </cols>
  <sheetData>
    <row r="1" spans="1:5" ht="15.6">
      <c r="A1" s="13" t="s">
        <v>36</v>
      </c>
      <c r="B1" s="13" t="s">
        <v>37</v>
      </c>
      <c r="C1" s="13" t="s">
        <v>38</v>
      </c>
      <c r="D1" s="13" t="s">
        <v>37</v>
      </c>
      <c r="E1" s="13" t="s">
        <v>39</v>
      </c>
    </row>
    <row r="2" spans="1:5" ht="15.6">
      <c r="A2" s="14">
        <v>0</v>
      </c>
      <c r="B2" s="14">
        <v>51.04</v>
      </c>
      <c r="C2" s="14">
        <f t="shared" ref="C2:C65" si="0">(B2/177.55)*100</f>
        <v>28.746831878344125</v>
      </c>
      <c r="D2" s="14">
        <v>50.22</v>
      </c>
      <c r="E2" s="14">
        <f t="shared" ref="E2:E65" si="1">(D2/163.67)*100</f>
        <v>30.683692796480727</v>
      </c>
    </row>
    <row r="3" spans="1:5" ht="15.6">
      <c r="A3" s="14">
        <v>8.3000000000000004E-2</v>
      </c>
      <c r="B3" s="14">
        <v>54.7</v>
      </c>
      <c r="C3" s="14">
        <f t="shared" si="0"/>
        <v>30.80822303576457</v>
      </c>
      <c r="D3" s="14">
        <v>53.69</v>
      </c>
      <c r="E3" s="14">
        <f t="shared" si="1"/>
        <v>32.803812549642572</v>
      </c>
    </row>
    <row r="4" spans="1:5" ht="15.6">
      <c r="A4" s="14">
        <v>0.16700000000000001</v>
      </c>
      <c r="B4" s="14">
        <v>58.09</v>
      </c>
      <c r="C4" s="14">
        <f t="shared" si="0"/>
        <v>32.717544353703182</v>
      </c>
      <c r="D4" s="14">
        <v>56.91</v>
      </c>
      <c r="E4" s="14">
        <f t="shared" si="1"/>
        <v>34.771185922893629</v>
      </c>
    </row>
    <row r="5" spans="1:5" ht="15.6">
      <c r="A5" s="14">
        <v>0.25</v>
      </c>
      <c r="B5" s="14">
        <v>61.07</v>
      </c>
      <c r="C5" s="14">
        <f t="shared" si="0"/>
        <v>34.395944804280482</v>
      </c>
      <c r="D5" s="14">
        <v>59.73</v>
      </c>
      <c r="E5" s="14">
        <f t="shared" si="1"/>
        <v>36.494165088287403</v>
      </c>
    </row>
    <row r="6" spans="1:5" ht="15.6">
      <c r="A6" s="14">
        <v>0.33300000000000002</v>
      </c>
      <c r="B6" s="14">
        <v>63.59</v>
      </c>
      <c r="C6" s="14">
        <f t="shared" si="0"/>
        <v>35.815263306110957</v>
      </c>
      <c r="D6" s="14">
        <v>62.11</v>
      </c>
      <c r="E6" s="14">
        <f t="shared" si="1"/>
        <v>37.948310625038189</v>
      </c>
    </row>
    <row r="7" spans="1:5" ht="15.6">
      <c r="A7" s="14">
        <v>0.41699999999999998</v>
      </c>
      <c r="B7" s="14">
        <v>65.709999999999994</v>
      </c>
      <c r="C7" s="14">
        <f t="shared" si="0"/>
        <v>37.009293156857211</v>
      </c>
      <c r="D7" s="14">
        <v>64.11</v>
      </c>
      <c r="E7" s="14">
        <f t="shared" si="1"/>
        <v>39.170281664324555</v>
      </c>
    </row>
    <row r="8" spans="1:5" ht="15.6">
      <c r="A8" s="14">
        <v>0.5</v>
      </c>
      <c r="B8" s="14">
        <v>67.489999999999995</v>
      </c>
      <c r="C8" s="14">
        <f t="shared" si="0"/>
        <v>38.011827654181914</v>
      </c>
      <c r="D8" s="14">
        <v>65.819999999999993</v>
      </c>
      <c r="E8" s="14">
        <f t="shared" si="1"/>
        <v>40.215066902914401</v>
      </c>
    </row>
    <row r="9" spans="1:5" ht="15.6">
      <c r="A9" s="14">
        <v>0.58299999999999996</v>
      </c>
      <c r="B9" s="14">
        <v>69.040000000000006</v>
      </c>
      <c r="C9" s="14">
        <f t="shared" si="0"/>
        <v>38.884821177133205</v>
      </c>
      <c r="D9" s="14">
        <v>67.36</v>
      </c>
      <c r="E9" s="14">
        <f t="shared" si="1"/>
        <v>41.15598460316491</v>
      </c>
    </row>
    <row r="10" spans="1:5" ht="15.6">
      <c r="A10" s="14">
        <v>0.66700000000000004</v>
      </c>
      <c r="B10" s="14">
        <v>70.45</v>
      </c>
      <c r="C10" s="14">
        <f t="shared" si="0"/>
        <v>39.678963672205015</v>
      </c>
      <c r="D10" s="14">
        <v>68.77</v>
      </c>
      <c r="E10" s="14">
        <f t="shared" si="1"/>
        <v>42.017474185861801</v>
      </c>
    </row>
    <row r="11" spans="1:5" ht="15.6">
      <c r="A11" s="14">
        <v>0.75</v>
      </c>
      <c r="B11" s="14">
        <v>71.78</v>
      </c>
      <c r="C11" s="14">
        <f t="shared" si="0"/>
        <v>40.428048437059985</v>
      </c>
      <c r="D11" s="14">
        <v>70.12</v>
      </c>
      <c r="E11" s="14">
        <f t="shared" si="1"/>
        <v>42.842304637380103</v>
      </c>
    </row>
    <row r="12" spans="1:5" ht="15.6">
      <c r="A12" s="14">
        <v>0.83299999999999996</v>
      </c>
      <c r="B12" s="14">
        <v>73.069999999999993</v>
      </c>
      <c r="C12" s="14">
        <f t="shared" si="0"/>
        <v>41.154604336806528</v>
      </c>
      <c r="D12" s="14">
        <v>71.42</v>
      </c>
      <c r="E12" s="14">
        <f t="shared" si="1"/>
        <v>43.636585812916238</v>
      </c>
    </row>
    <row r="13" spans="1:5" ht="15.6">
      <c r="A13" s="14">
        <v>0.91700000000000004</v>
      </c>
      <c r="B13" s="14">
        <v>74.319999999999993</v>
      </c>
      <c r="C13" s="14">
        <f t="shared" si="0"/>
        <v>41.858631371444652</v>
      </c>
      <c r="D13" s="14">
        <v>72.69</v>
      </c>
      <c r="E13" s="14">
        <f t="shared" si="1"/>
        <v>44.412537422863082</v>
      </c>
    </row>
    <row r="14" spans="1:5" ht="15.6">
      <c r="A14" s="14">
        <v>1</v>
      </c>
      <c r="B14" s="14">
        <v>75.510000000000005</v>
      </c>
      <c r="C14" s="14">
        <f t="shared" si="0"/>
        <v>42.528865108420163</v>
      </c>
      <c r="D14" s="14">
        <v>73.92</v>
      </c>
      <c r="E14" s="14">
        <f t="shared" si="1"/>
        <v>45.164049612024201</v>
      </c>
    </row>
    <row r="15" spans="1:5" ht="15.6">
      <c r="A15" s="14">
        <v>1.083</v>
      </c>
      <c r="B15" s="14">
        <v>76.650000000000006</v>
      </c>
      <c r="C15" s="14">
        <f t="shared" si="0"/>
        <v>43.170937764010134</v>
      </c>
      <c r="D15" s="14">
        <v>75.11</v>
      </c>
      <c r="E15" s="14">
        <f t="shared" si="1"/>
        <v>45.891122380399587</v>
      </c>
    </row>
    <row r="16" spans="1:5" ht="15.6">
      <c r="A16" s="14">
        <v>1.167</v>
      </c>
      <c r="B16" s="14">
        <v>77.739999999999995</v>
      </c>
      <c r="C16" s="14">
        <f t="shared" si="0"/>
        <v>43.784849338214585</v>
      </c>
      <c r="D16" s="14">
        <v>76.27</v>
      </c>
      <c r="E16" s="14">
        <f t="shared" si="1"/>
        <v>46.599865583185682</v>
      </c>
    </row>
    <row r="17" spans="1:5" ht="15.6">
      <c r="A17" s="14">
        <v>1.25</v>
      </c>
      <c r="B17" s="14">
        <v>78.790000000000006</v>
      </c>
      <c r="C17" s="14">
        <f t="shared" si="0"/>
        <v>44.376232047310616</v>
      </c>
      <c r="D17" s="14">
        <v>77.400000000000006</v>
      </c>
      <c r="E17" s="14">
        <f t="shared" si="1"/>
        <v>47.290279220382487</v>
      </c>
    </row>
    <row r="18" spans="1:5" ht="15.6">
      <c r="A18" s="14">
        <v>1.333</v>
      </c>
      <c r="B18" s="14">
        <v>79.81</v>
      </c>
      <c r="C18" s="14">
        <f t="shared" si="0"/>
        <v>44.950718107575327</v>
      </c>
      <c r="D18" s="14">
        <v>78.48</v>
      </c>
      <c r="E18" s="14">
        <f t="shared" si="1"/>
        <v>47.950143581597118</v>
      </c>
    </row>
    <row r="19" spans="1:5" ht="15.6">
      <c r="A19" s="14">
        <v>1.417</v>
      </c>
      <c r="B19" s="14">
        <v>80.790000000000006</v>
      </c>
      <c r="C19" s="14">
        <f t="shared" si="0"/>
        <v>45.502675302731625</v>
      </c>
      <c r="D19" s="14">
        <v>79.53</v>
      </c>
      <c r="E19" s="14">
        <f t="shared" si="1"/>
        <v>48.591678377222465</v>
      </c>
    </row>
    <row r="20" spans="1:5" ht="15.6">
      <c r="A20" s="14">
        <v>1.5</v>
      </c>
      <c r="B20" s="14">
        <v>81.739999999999995</v>
      </c>
      <c r="C20" s="14">
        <f t="shared" si="0"/>
        <v>46.037735849056602</v>
      </c>
      <c r="D20" s="14">
        <v>80.53</v>
      </c>
      <c r="E20" s="14">
        <f t="shared" si="1"/>
        <v>49.202663896865651</v>
      </c>
    </row>
    <row r="21" spans="1:5" ht="15.6">
      <c r="A21" s="14">
        <v>1.583</v>
      </c>
      <c r="B21" s="14">
        <v>82.66</v>
      </c>
      <c r="C21" s="14">
        <f t="shared" si="0"/>
        <v>46.55589974655026</v>
      </c>
      <c r="D21" s="14">
        <v>81.489999999999995</v>
      </c>
      <c r="E21" s="14">
        <f t="shared" si="1"/>
        <v>49.789209995723098</v>
      </c>
    </row>
    <row r="22" spans="1:5" ht="15.6">
      <c r="A22" s="14">
        <v>1.667</v>
      </c>
      <c r="B22" s="14">
        <v>83.54</v>
      </c>
      <c r="C22" s="14">
        <f t="shared" si="0"/>
        <v>47.051534778935512</v>
      </c>
      <c r="D22" s="14">
        <v>82.41</v>
      </c>
      <c r="E22" s="14">
        <f t="shared" si="1"/>
        <v>50.351316673794834</v>
      </c>
    </row>
    <row r="23" spans="1:5" ht="15.6">
      <c r="A23" s="14">
        <v>1.75</v>
      </c>
      <c r="B23" s="14">
        <v>84.4</v>
      </c>
      <c r="C23" s="14">
        <f t="shared" si="0"/>
        <v>47.535905378766543</v>
      </c>
      <c r="D23" s="14">
        <v>83.3</v>
      </c>
      <c r="E23" s="14">
        <f t="shared" si="1"/>
        <v>50.895093786277265</v>
      </c>
    </row>
    <row r="24" spans="1:5" ht="15.6">
      <c r="A24" s="14">
        <v>1.833</v>
      </c>
      <c r="B24" s="14">
        <v>85.22</v>
      </c>
      <c r="C24" s="14">
        <f t="shared" si="0"/>
        <v>47.997747113489154</v>
      </c>
      <c r="D24" s="14">
        <v>84.16</v>
      </c>
      <c r="E24" s="14">
        <f t="shared" si="1"/>
        <v>51.420541333170412</v>
      </c>
    </row>
    <row r="25" spans="1:5" ht="15.6">
      <c r="A25" s="14">
        <v>1.917</v>
      </c>
      <c r="B25" s="14">
        <v>86.02</v>
      </c>
      <c r="C25" s="14">
        <f t="shared" si="0"/>
        <v>48.448324415657559</v>
      </c>
      <c r="D25" s="14">
        <v>85</v>
      </c>
      <c r="E25" s="14">
        <f t="shared" si="1"/>
        <v>51.933769169670683</v>
      </c>
    </row>
    <row r="26" spans="1:5" ht="15.6">
      <c r="A26" s="14">
        <v>2</v>
      </c>
      <c r="B26" s="14">
        <v>86.8</v>
      </c>
      <c r="C26" s="14">
        <f t="shared" si="0"/>
        <v>48.887637285271751</v>
      </c>
      <c r="D26" s="14">
        <v>85.82</v>
      </c>
      <c r="E26" s="14">
        <f t="shared" si="1"/>
        <v>52.43477729577809</v>
      </c>
    </row>
    <row r="27" spans="1:5" ht="15.6">
      <c r="A27" s="14">
        <v>2.0830000000000002</v>
      </c>
      <c r="B27" s="14">
        <v>87.56</v>
      </c>
      <c r="C27" s="14">
        <f t="shared" si="0"/>
        <v>49.315685722331736</v>
      </c>
      <c r="D27" s="14">
        <v>86.62</v>
      </c>
      <c r="E27" s="14">
        <f t="shared" si="1"/>
        <v>52.92356571149265</v>
      </c>
    </row>
    <row r="28" spans="1:5" ht="15.6">
      <c r="A28" s="14">
        <v>2.1669999999999998</v>
      </c>
      <c r="B28" s="14">
        <v>88.31</v>
      </c>
      <c r="C28" s="14">
        <f t="shared" si="0"/>
        <v>49.738101943114614</v>
      </c>
      <c r="D28" s="14">
        <v>87.41</v>
      </c>
      <c r="E28" s="14">
        <f t="shared" si="1"/>
        <v>53.406244272010753</v>
      </c>
    </row>
    <row r="29" spans="1:5" ht="15.6">
      <c r="A29" s="14">
        <v>2.25</v>
      </c>
      <c r="B29" s="14">
        <v>89.04</v>
      </c>
      <c r="C29" s="14">
        <f t="shared" si="0"/>
        <v>50.149253731343279</v>
      </c>
      <c r="D29" s="14">
        <v>88.18</v>
      </c>
      <c r="E29" s="14">
        <f t="shared" si="1"/>
        <v>53.876703122136014</v>
      </c>
    </row>
    <row r="30" spans="1:5" ht="15.6">
      <c r="A30" s="14">
        <v>2.3330000000000002</v>
      </c>
      <c r="B30" s="14">
        <v>89.76</v>
      </c>
      <c r="C30" s="14">
        <f t="shared" si="0"/>
        <v>50.554773303294844</v>
      </c>
      <c r="D30" s="14">
        <v>88.94</v>
      </c>
      <c r="E30" s="14">
        <f t="shared" si="1"/>
        <v>54.341052117064827</v>
      </c>
    </row>
    <row r="31" spans="1:5" ht="15.6">
      <c r="A31" s="14">
        <v>2.4169999999999998</v>
      </c>
      <c r="B31" s="14">
        <v>90.49</v>
      </c>
      <c r="C31" s="14">
        <f t="shared" si="0"/>
        <v>50.965925091523509</v>
      </c>
      <c r="D31" s="14">
        <v>89.68</v>
      </c>
      <c r="E31" s="14">
        <f t="shared" si="1"/>
        <v>54.793181401600791</v>
      </c>
    </row>
    <row r="32" spans="1:5" ht="15.6">
      <c r="A32" s="14">
        <v>2.5</v>
      </c>
      <c r="B32" s="14">
        <v>91.21</v>
      </c>
      <c r="C32" s="14">
        <f t="shared" si="0"/>
        <v>51.371444663475074</v>
      </c>
      <c r="D32" s="14">
        <v>90.42</v>
      </c>
      <c r="E32" s="14">
        <f t="shared" si="1"/>
        <v>55.24531068613674</v>
      </c>
    </row>
    <row r="33" spans="1:5" ht="15.6">
      <c r="A33" s="14">
        <v>2.5830000000000002</v>
      </c>
      <c r="B33" s="14">
        <v>91.93</v>
      </c>
      <c r="C33" s="14">
        <f t="shared" si="0"/>
        <v>51.77696423542664</v>
      </c>
      <c r="D33" s="14">
        <v>91.14</v>
      </c>
      <c r="E33" s="14">
        <f t="shared" si="1"/>
        <v>55.685220260279834</v>
      </c>
    </row>
    <row r="34" spans="1:5" ht="15.6">
      <c r="A34" s="14">
        <v>2.6669999999999998</v>
      </c>
      <c r="B34" s="14">
        <v>92.65</v>
      </c>
      <c r="C34" s="14">
        <f t="shared" si="0"/>
        <v>52.182483807378198</v>
      </c>
      <c r="D34" s="14">
        <v>91.84</v>
      </c>
      <c r="E34" s="14">
        <f t="shared" si="1"/>
        <v>56.112910124030066</v>
      </c>
    </row>
    <row r="35" spans="1:5" ht="15.6">
      <c r="A35" s="14">
        <v>2.75</v>
      </c>
      <c r="B35" s="14">
        <v>93.36</v>
      </c>
      <c r="C35" s="14">
        <f t="shared" si="0"/>
        <v>52.582371163052656</v>
      </c>
      <c r="D35" s="14">
        <v>92.54</v>
      </c>
      <c r="E35" s="14">
        <f t="shared" si="1"/>
        <v>56.540599987780297</v>
      </c>
    </row>
    <row r="36" spans="1:5" ht="15.6">
      <c r="A36" s="14">
        <v>2.8330000000000002</v>
      </c>
      <c r="B36" s="14">
        <v>94.05</v>
      </c>
      <c r="C36" s="14">
        <f t="shared" si="0"/>
        <v>52.970994086172908</v>
      </c>
      <c r="D36" s="14">
        <v>93.21</v>
      </c>
      <c r="E36" s="14">
        <f t="shared" si="1"/>
        <v>56.949960285941224</v>
      </c>
    </row>
    <row r="37" spans="1:5" ht="15.6">
      <c r="A37" s="14">
        <v>2.9169999999999998</v>
      </c>
      <c r="B37" s="14">
        <v>94.74</v>
      </c>
      <c r="C37" s="14">
        <f t="shared" si="0"/>
        <v>53.359617009293146</v>
      </c>
      <c r="D37" s="14">
        <v>93.87</v>
      </c>
      <c r="E37" s="14">
        <f t="shared" si="1"/>
        <v>57.353210728905736</v>
      </c>
    </row>
    <row r="38" spans="1:5" ht="15.6">
      <c r="A38" s="14">
        <v>3</v>
      </c>
      <c r="B38" s="14">
        <v>95.41</v>
      </c>
      <c r="C38" s="14">
        <f t="shared" si="0"/>
        <v>53.736975499859184</v>
      </c>
      <c r="D38" s="14">
        <v>94.52</v>
      </c>
      <c r="E38" s="14">
        <f t="shared" si="1"/>
        <v>57.7503513166738</v>
      </c>
    </row>
    <row r="39" spans="1:5" ht="15.6">
      <c r="A39" s="14">
        <v>3.0830000000000002</v>
      </c>
      <c r="B39" s="14">
        <v>96.06</v>
      </c>
      <c r="C39" s="14">
        <f t="shared" si="0"/>
        <v>54.103069557871017</v>
      </c>
      <c r="D39" s="14">
        <v>95.15</v>
      </c>
      <c r="E39" s="14">
        <f t="shared" si="1"/>
        <v>58.135272194049001</v>
      </c>
    </row>
    <row r="40" spans="1:5" ht="15.6">
      <c r="A40" s="14">
        <v>3.1669999999999998</v>
      </c>
      <c r="B40" s="14">
        <v>96.7</v>
      </c>
      <c r="C40" s="14">
        <f t="shared" si="0"/>
        <v>54.463531399605749</v>
      </c>
      <c r="D40" s="14">
        <v>95.76</v>
      </c>
      <c r="E40" s="14">
        <f t="shared" si="1"/>
        <v>58.507973361031354</v>
      </c>
    </row>
    <row r="41" spans="1:5" ht="15.6">
      <c r="A41" s="14">
        <v>3.25</v>
      </c>
      <c r="B41" s="14">
        <v>97.32</v>
      </c>
      <c r="C41" s="14">
        <f t="shared" si="0"/>
        <v>54.812728808786247</v>
      </c>
      <c r="D41" s="14">
        <v>96.36</v>
      </c>
      <c r="E41" s="14">
        <f t="shared" si="1"/>
        <v>58.87456467281725</v>
      </c>
    </row>
    <row r="42" spans="1:5" ht="15.6">
      <c r="A42" s="14">
        <v>3.3330000000000002</v>
      </c>
      <c r="B42" s="14">
        <v>97.93</v>
      </c>
      <c r="C42" s="14">
        <f t="shared" si="0"/>
        <v>55.156294001689666</v>
      </c>
      <c r="D42" s="14">
        <v>96.95</v>
      </c>
      <c r="E42" s="14">
        <f t="shared" si="1"/>
        <v>59.23504612940674</v>
      </c>
    </row>
    <row r="43" spans="1:5" ht="15.6">
      <c r="A43" s="14">
        <v>3.4169999999999998</v>
      </c>
      <c r="B43" s="14">
        <v>98.53</v>
      </c>
      <c r="C43" s="14">
        <f t="shared" si="0"/>
        <v>55.494226978315965</v>
      </c>
      <c r="D43" s="14">
        <v>97.54</v>
      </c>
      <c r="E43" s="14">
        <f t="shared" si="1"/>
        <v>59.595527585996223</v>
      </c>
    </row>
    <row r="44" spans="1:5" ht="15.6">
      <c r="A44" s="14">
        <v>3.5</v>
      </c>
      <c r="B44" s="14">
        <v>99.11</v>
      </c>
      <c r="C44" s="14">
        <f t="shared" si="0"/>
        <v>55.820895522388057</v>
      </c>
      <c r="D44" s="14">
        <v>98.11</v>
      </c>
      <c r="E44" s="14">
        <f t="shared" si="1"/>
        <v>59.943789332192829</v>
      </c>
    </row>
    <row r="45" spans="1:5" ht="15.6">
      <c r="A45" s="14">
        <v>3.5830000000000002</v>
      </c>
      <c r="B45" s="14">
        <v>99.69</v>
      </c>
      <c r="C45" s="14">
        <f t="shared" si="0"/>
        <v>56.147564066460141</v>
      </c>
      <c r="D45" s="14">
        <v>98.69</v>
      </c>
      <c r="E45" s="14">
        <f t="shared" si="1"/>
        <v>60.298160933585876</v>
      </c>
    </row>
    <row r="46" spans="1:5" ht="15.6">
      <c r="A46" s="14">
        <v>3.6669999999999998</v>
      </c>
      <c r="B46" s="14">
        <v>100.25</v>
      </c>
      <c r="C46" s="14">
        <f t="shared" si="0"/>
        <v>56.462968177978034</v>
      </c>
      <c r="D46" s="14">
        <v>99.26</v>
      </c>
      <c r="E46" s="14">
        <f t="shared" si="1"/>
        <v>60.646422679782496</v>
      </c>
    </row>
    <row r="47" spans="1:5" ht="15.6">
      <c r="A47" s="14">
        <v>3.75</v>
      </c>
      <c r="B47" s="14">
        <v>100.81</v>
      </c>
      <c r="C47" s="14">
        <f t="shared" si="0"/>
        <v>56.778372289495913</v>
      </c>
      <c r="D47" s="14">
        <v>99.82</v>
      </c>
      <c r="E47" s="14">
        <f t="shared" si="1"/>
        <v>60.988574570782674</v>
      </c>
    </row>
    <row r="48" spans="1:5" ht="15.6">
      <c r="A48" s="14">
        <v>3.8330000000000002</v>
      </c>
      <c r="B48" s="14">
        <v>101.37</v>
      </c>
      <c r="C48" s="14">
        <f t="shared" si="0"/>
        <v>57.093776401013798</v>
      </c>
      <c r="D48" s="14">
        <v>100.39</v>
      </c>
      <c r="E48" s="14">
        <f t="shared" si="1"/>
        <v>61.336836316979294</v>
      </c>
    </row>
    <row r="49" spans="1:5" ht="15.6">
      <c r="A49" s="14">
        <v>3.9169999999999998</v>
      </c>
      <c r="B49" s="14">
        <v>101.93</v>
      </c>
      <c r="C49" s="14">
        <f t="shared" si="0"/>
        <v>57.409180512531677</v>
      </c>
      <c r="D49" s="14">
        <v>100.96</v>
      </c>
      <c r="E49" s="14">
        <f t="shared" si="1"/>
        <v>61.6850980631759</v>
      </c>
    </row>
    <row r="50" spans="1:5" ht="15.6">
      <c r="A50" s="14">
        <v>4</v>
      </c>
      <c r="B50" s="14">
        <v>102.49</v>
      </c>
      <c r="C50" s="14">
        <f t="shared" si="0"/>
        <v>57.724584624049555</v>
      </c>
      <c r="D50" s="14">
        <v>101.54</v>
      </c>
      <c r="E50" s="14">
        <f t="shared" si="1"/>
        <v>62.039469664568955</v>
      </c>
    </row>
    <row r="51" spans="1:5" ht="15.6">
      <c r="A51" s="14">
        <v>4.0830000000000002</v>
      </c>
      <c r="B51" s="14">
        <v>103.06</v>
      </c>
      <c r="C51" s="14">
        <f t="shared" si="0"/>
        <v>58.045620951844548</v>
      </c>
      <c r="D51" s="14">
        <v>102.12</v>
      </c>
      <c r="E51" s="14">
        <f t="shared" si="1"/>
        <v>62.393841265962003</v>
      </c>
    </row>
    <row r="52" spans="1:5" ht="15.6">
      <c r="A52" s="14">
        <v>4.1669999999999998</v>
      </c>
      <c r="B52" s="14">
        <v>103.64</v>
      </c>
      <c r="C52" s="14">
        <f t="shared" si="0"/>
        <v>58.37228949591664</v>
      </c>
      <c r="D52" s="14">
        <v>102.71</v>
      </c>
      <c r="E52" s="14">
        <f t="shared" si="1"/>
        <v>62.754322722551478</v>
      </c>
    </row>
    <row r="53" spans="1:5" ht="15.6">
      <c r="A53" s="14">
        <v>4.25</v>
      </c>
      <c r="B53" s="14">
        <v>104.22</v>
      </c>
      <c r="C53" s="14">
        <f t="shared" si="0"/>
        <v>58.698958039988739</v>
      </c>
      <c r="D53" s="14">
        <v>103.31</v>
      </c>
      <c r="E53" s="14">
        <f t="shared" si="1"/>
        <v>63.120914034337396</v>
      </c>
    </row>
    <row r="54" spans="1:5" ht="15.6">
      <c r="A54" s="14">
        <v>4.3330000000000002</v>
      </c>
      <c r="B54" s="14">
        <v>104.8</v>
      </c>
      <c r="C54" s="14">
        <f t="shared" si="0"/>
        <v>59.025626584060817</v>
      </c>
      <c r="D54" s="14">
        <v>103.91</v>
      </c>
      <c r="E54" s="14">
        <f t="shared" si="1"/>
        <v>63.487505346123299</v>
      </c>
    </row>
    <row r="55" spans="1:5" ht="15.6">
      <c r="A55" s="14">
        <v>4.4169999999999998</v>
      </c>
      <c r="B55" s="14">
        <v>105.4</v>
      </c>
      <c r="C55" s="14">
        <f t="shared" si="0"/>
        <v>59.363559560687129</v>
      </c>
      <c r="D55" s="14">
        <v>104.53</v>
      </c>
      <c r="E55" s="14">
        <f t="shared" si="1"/>
        <v>63.86631636830208</v>
      </c>
    </row>
    <row r="56" spans="1:5" ht="15.6">
      <c r="A56" s="14">
        <v>4.5</v>
      </c>
      <c r="B56" s="14">
        <v>106</v>
      </c>
      <c r="C56" s="14">
        <f t="shared" si="0"/>
        <v>59.701492537313428</v>
      </c>
      <c r="D56" s="14">
        <v>105.15</v>
      </c>
      <c r="E56" s="14">
        <f t="shared" si="1"/>
        <v>64.245127390480846</v>
      </c>
    </row>
    <row r="57" spans="1:5" ht="15.6">
      <c r="A57" s="14">
        <v>4.5830000000000002</v>
      </c>
      <c r="B57" s="14">
        <v>106.6</v>
      </c>
      <c r="C57" s="14">
        <f t="shared" si="0"/>
        <v>60.039425513939726</v>
      </c>
      <c r="D57" s="14">
        <v>105.77</v>
      </c>
      <c r="E57" s="14">
        <f t="shared" si="1"/>
        <v>64.623938412659626</v>
      </c>
    </row>
    <row r="58" spans="1:5" ht="15.6">
      <c r="A58" s="14">
        <v>4.6669999999999998</v>
      </c>
      <c r="B58" s="14">
        <v>107.21</v>
      </c>
      <c r="C58" s="14">
        <f t="shared" si="0"/>
        <v>60.382990706843131</v>
      </c>
      <c r="D58" s="14">
        <v>106.4</v>
      </c>
      <c r="E58" s="14">
        <f t="shared" si="1"/>
        <v>65.008859290034835</v>
      </c>
    </row>
    <row r="59" spans="1:5" ht="15.6">
      <c r="A59" s="14">
        <v>4.75</v>
      </c>
      <c r="B59" s="14">
        <v>107.81</v>
      </c>
      <c r="C59" s="14">
        <f t="shared" si="0"/>
        <v>60.720923683469444</v>
      </c>
      <c r="D59" s="14">
        <v>107.02</v>
      </c>
      <c r="E59" s="14">
        <f t="shared" si="1"/>
        <v>65.387670312213615</v>
      </c>
    </row>
    <row r="60" spans="1:5" ht="15.6">
      <c r="A60" s="14">
        <v>4.8330000000000002</v>
      </c>
      <c r="B60" s="14">
        <v>108.41</v>
      </c>
      <c r="C60" s="14">
        <f t="shared" si="0"/>
        <v>61.058856660095742</v>
      </c>
      <c r="D60" s="14">
        <v>107.64</v>
      </c>
      <c r="E60" s="14">
        <f t="shared" si="1"/>
        <v>65.766481334392381</v>
      </c>
    </row>
    <row r="61" spans="1:5" ht="15.6">
      <c r="A61" s="14">
        <v>4.9169999999999998</v>
      </c>
      <c r="B61" s="14">
        <v>109.01</v>
      </c>
      <c r="C61" s="14">
        <f t="shared" si="0"/>
        <v>61.396789636722048</v>
      </c>
      <c r="D61" s="14">
        <v>108.26</v>
      </c>
      <c r="E61" s="14">
        <f t="shared" si="1"/>
        <v>66.145292356571161</v>
      </c>
    </row>
    <row r="62" spans="1:5" ht="15.6">
      <c r="A62" s="14">
        <v>5</v>
      </c>
      <c r="B62" s="14">
        <v>109.59</v>
      </c>
      <c r="C62" s="14">
        <f t="shared" si="0"/>
        <v>61.723458180794147</v>
      </c>
      <c r="D62" s="14">
        <v>108.86</v>
      </c>
      <c r="E62" s="14">
        <f t="shared" si="1"/>
        <v>66.511883668357058</v>
      </c>
    </row>
    <row r="63" spans="1:5" ht="15.6">
      <c r="A63" s="14">
        <v>5.0830000000000002</v>
      </c>
      <c r="B63" s="14">
        <v>110.16</v>
      </c>
      <c r="C63" s="14">
        <f t="shared" si="0"/>
        <v>62.044494508589118</v>
      </c>
      <c r="D63" s="14">
        <v>109.45</v>
      </c>
      <c r="E63" s="14">
        <f t="shared" si="1"/>
        <v>66.872365124946541</v>
      </c>
    </row>
    <row r="64" spans="1:5" ht="15.6">
      <c r="A64" s="14">
        <v>5.1669999999999998</v>
      </c>
      <c r="B64" s="14">
        <v>110.73</v>
      </c>
      <c r="C64" s="14">
        <f t="shared" si="0"/>
        <v>62.365530836384117</v>
      </c>
      <c r="D64" s="14">
        <v>110.03</v>
      </c>
      <c r="E64" s="14">
        <f t="shared" si="1"/>
        <v>67.226736726339581</v>
      </c>
    </row>
    <row r="65" spans="1:5" ht="15.6">
      <c r="A65" s="14">
        <v>5.25</v>
      </c>
      <c r="B65" s="14">
        <v>111.28</v>
      </c>
      <c r="C65" s="14">
        <f t="shared" si="0"/>
        <v>62.675302731624896</v>
      </c>
      <c r="D65" s="14">
        <v>110.6</v>
      </c>
      <c r="E65" s="14">
        <f t="shared" si="1"/>
        <v>67.574998472536208</v>
      </c>
    </row>
    <row r="66" spans="1:5" ht="15.6">
      <c r="A66" s="14">
        <v>5.3330000000000002</v>
      </c>
      <c r="B66" s="14">
        <v>111.81</v>
      </c>
      <c r="C66" s="14">
        <f t="shared" ref="C66:C129" si="2">(B66/177.55)*100</f>
        <v>62.973810194311461</v>
      </c>
      <c r="D66" s="14">
        <v>111.16</v>
      </c>
      <c r="E66" s="14">
        <f t="shared" ref="E66:E129" si="3">(D66/163.67)*100</f>
        <v>67.917150363536379</v>
      </c>
    </row>
    <row r="67" spans="1:5" ht="15.6">
      <c r="A67" s="14">
        <v>5.4169999999999998</v>
      </c>
      <c r="B67" s="14">
        <v>112.35</v>
      </c>
      <c r="C67" s="14">
        <f t="shared" si="2"/>
        <v>63.277949873275134</v>
      </c>
      <c r="D67" s="14">
        <v>111.71</v>
      </c>
      <c r="E67" s="14">
        <f t="shared" si="3"/>
        <v>68.253192399340136</v>
      </c>
    </row>
    <row r="68" spans="1:5" ht="15.6">
      <c r="A68" s="14">
        <v>5.5</v>
      </c>
      <c r="B68" s="14">
        <v>112.87</v>
      </c>
      <c r="C68" s="14">
        <f t="shared" si="2"/>
        <v>63.570825119684592</v>
      </c>
      <c r="D68" s="14">
        <v>112.24</v>
      </c>
      <c r="E68" s="14">
        <f t="shared" si="3"/>
        <v>68.577014724751024</v>
      </c>
    </row>
    <row r="69" spans="1:5" ht="15.6">
      <c r="A69" s="14">
        <v>5.5830000000000002</v>
      </c>
      <c r="B69" s="14">
        <v>113.38</v>
      </c>
      <c r="C69" s="14">
        <f t="shared" si="2"/>
        <v>63.858068149816951</v>
      </c>
      <c r="D69" s="14">
        <v>112.77</v>
      </c>
      <c r="E69" s="14">
        <f t="shared" si="3"/>
        <v>68.900837050161911</v>
      </c>
    </row>
    <row r="70" spans="1:5" ht="15.6">
      <c r="A70" s="14">
        <v>5.6669999999999998</v>
      </c>
      <c r="B70" s="14">
        <v>113.9</v>
      </c>
      <c r="C70" s="14">
        <f t="shared" si="2"/>
        <v>64.15094339622641</v>
      </c>
      <c r="D70" s="14">
        <v>113.29</v>
      </c>
      <c r="E70" s="14">
        <f t="shared" si="3"/>
        <v>69.218549520376371</v>
      </c>
    </row>
    <row r="71" spans="1:5" ht="15.6">
      <c r="A71" s="14">
        <v>5.75</v>
      </c>
      <c r="B71" s="14">
        <v>114.41</v>
      </c>
      <c r="C71" s="14">
        <f t="shared" si="2"/>
        <v>64.438186426358769</v>
      </c>
      <c r="D71" s="14">
        <v>113.81</v>
      </c>
      <c r="E71" s="14">
        <f t="shared" si="3"/>
        <v>69.53626199059083</v>
      </c>
    </row>
    <row r="72" spans="1:5" ht="15.6">
      <c r="A72" s="14">
        <v>5.8330000000000002</v>
      </c>
      <c r="B72" s="14">
        <v>114.92</v>
      </c>
      <c r="C72" s="14">
        <f t="shared" si="2"/>
        <v>64.725429456491128</v>
      </c>
      <c r="D72" s="14">
        <v>114.32</v>
      </c>
      <c r="E72" s="14">
        <f t="shared" si="3"/>
        <v>69.847864605608848</v>
      </c>
    </row>
    <row r="73" spans="1:5" ht="15.6">
      <c r="A73" s="14">
        <v>5.9169999999999998</v>
      </c>
      <c r="B73" s="14">
        <v>115.43</v>
      </c>
      <c r="C73" s="14">
        <f t="shared" si="2"/>
        <v>65.012672486623487</v>
      </c>
      <c r="D73" s="14">
        <v>114.82</v>
      </c>
      <c r="E73" s="14">
        <f t="shared" si="3"/>
        <v>70.153357365430438</v>
      </c>
    </row>
    <row r="74" spans="1:5" ht="15.6">
      <c r="A74" s="14">
        <v>6</v>
      </c>
      <c r="B74" s="14">
        <v>115.93</v>
      </c>
      <c r="C74" s="14">
        <f t="shared" si="2"/>
        <v>65.294283300478739</v>
      </c>
      <c r="D74" s="14">
        <v>115.33</v>
      </c>
      <c r="E74" s="14">
        <f t="shared" si="3"/>
        <v>70.464959980448469</v>
      </c>
    </row>
    <row r="75" spans="1:5" ht="15.6">
      <c r="A75" s="14">
        <v>6.0830000000000002</v>
      </c>
      <c r="B75" s="14">
        <v>116.44</v>
      </c>
      <c r="C75" s="14">
        <f t="shared" si="2"/>
        <v>65.581526330611098</v>
      </c>
      <c r="D75" s="14">
        <v>115.83</v>
      </c>
      <c r="E75" s="14">
        <f t="shared" si="3"/>
        <v>70.770452740270059</v>
      </c>
    </row>
    <row r="76" spans="1:5" ht="15.6">
      <c r="A76" s="14">
        <v>6.1669999999999998</v>
      </c>
      <c r="B76" s="14">
        <v>116.94</v>
      </c>
      <c r="C76" s="14">
        <f t="shared" si="2"/>
        <v>65.86313714446635</v>
      </c>
      <c r="D76" s="14">
        <v>116.33</v>
      </c>
      <c r="E76" s="14">
        <f t="shared" si="3"/>
        <v>71.075945500091649</v>
      </c>
    </row>
    <row r="77" spans="1:5" ht="15.6">
      <c r="A77" s="14">
        <v>6.25</v>
      </c>
      <c r="B77" s="14">
        <v>117.44</v>
      </c>
      <c r="C77" s="14">
        <f t="shared" si="2"/>
        <v>66.144747958321588</v>
      </c>
      <c r="D77" s="14">
        <v>116.82</v>
      </c>
      <c r="E77" s="14">
        <f t="shared" si="3"/>
        <v>71.375328404716811</v>
      </c>
    </row>
    <row r="78" spans="1:5" ht="15.6">
      <c r="A78" s="14">
        <v>6.3330000000000002</v>
      </c>
      <c r="B78" s="14">
        <v>117.94</v>
      </c>
      <c r="C78" s="14">
        <f t="shared" si="2"/>
        <v>66.42635877217684</v>
      </c>
      <c r="D78" s="14">
        <v>117.31</v>
      </c>
      <c r="E78" s="14">
        <f t="shared" si="3"/>
        <v>71.674711309341973</v>
      </c>
    </row>
    <row r="79" spans="1:5" ht="15.6">
      <c r="A79" s="14">
        <v>6.4169999999999998</v>
      </c>
      <c r="B79" s="14">
        <v>118.43</v>
      </c>
      <c r="C79" s="14">
        <f t="shared" si="2"/>
        <v>66.702337369755</v>
      </c>
      <c r="D79" s="14">
        <v>117.81</v>
      </c>
      <c r="E79" s="14">
        <f t="shared" si="3"/>
        <v>71.980204069163563</v>
      </c>
    </row>
    <row r="80" spans="1:5" ht="15.6">
      <c r="A80" s="14">
        <v>6.5</v>
      </c>
      <c r="B80" s="14">
        <v>118.93</v>
      </c>
      <c r="C80" s="14">
        <f t="shared" si="2"/>
        <v>66.983948183610252</v>
      </c>
      <c r="D80" s="14">
        <v>118.3</v>
      </c>
      <c r="E80" s="14">
        <f t="shared" si="3"/>
        <v>72.279586973788724</v>
      </c>
    </row>
    <row r="81" spans="1:5" ht="15.6">
      <c r="A81" s="14">
        <v>6.5830000000000002</v>
      </c>
      <c r="B81" s="14">
        <v>119.42</v>
      </c>
      <c r="C81" s="14">
        <f t="shared" si="2"/>
        <v>67.259926781188398</v>
      </c>
      <c r="D81" s="14">
        <v>118.79</v>
      </c>
      <c r="E81" s="14">
        <f t="shared" si="3"/>
        <v>72.578969878413886</v>
      </c>
    </row>
    <row r="82" spans="1:5" ht="15.6">
      <c r="A82" s="14">
        <v>6.6669999999999998</v>
      </c>
      <c r="B82" s="14">
        <v>119.91</v>
      </c>
      <c r="C82" s="14">
        <f t="shared" si="2"/>
        <v>67.535905378766543</v>
      </c>
      <c r="D82" s="14">
        <v>119.28</v>
      </c>
      <c r="E82" s="14">
        <f t="shared" si="3"/>
        <v>72.878352783039048</v>
      </c>
    </row>
    <row r="83" spans="1:5" ht="15.6">
      <c r="A83" s="14">
        <v>6.75</v>
      </c>
      <c r="B83" s="14">
        <v>120.41</v>
      </c>
      <c r="C83" s="14">
        <f t="shared" si="2"/>
        <v>67.817516192621781</v>
      </c>
      <c r="D83" s="14">
        <v>119.77</v>
      </c>
      <c r="E83" s="14">
        <f t="shared" si="3"/>
        <v>73.177735687664196</v>
      </c>
    </row>
    <row r="84" spans="1:5" ht="15.6">
      <c r="A84" s="14">
        <v>6.8330000000000002</v>
      </c>
      <c r="B84" s="14">
        <v>120.9</v>
      </c>
      <c r="C84" s="14">
        <f t="shared" si="2"/>
        <v>68.093494790199941</v>
      </c>
      <c r="D84" s="14">
        <v>120.26</v>
      </c>
      <c r="E84" s="14">
        <f t="shared" si="3"/>
        <v>73.477118592289372</v>
      </c>
    </row>
    <row r="85" spans="1:5" ht="15.6">
      <c r="A85" s="14">
        <v>6.9169999999999998</v>
      </c>
      <c r="B85" s="14">
        <v>121.4</v>
      </c>
      <c r="C85" s="14">
        <f t="shared" si="2"/>
        <v>68.375105604055193</v>
      </c>
      <c r="D85" s="14">
        <v>120.77</v>
      </c>
      <c r="E85" s="14">
        <f t="shared" si="3"/>
        <v>73.78872120730739</v>
      </c>
    </row>
    <row r="86" spans="1:5" ht="15.6">
      <c r="A86" s="14">
        <v>7</v>
      </c>
      <c r="B86" s="14">
        <v>121.9</v>
      </c>
      <c r="C86" s="14">
        <f t="shared" si="2"/>
        <v>68.656716417910445</v>
      </c>
      <c r="D86" s="14">
        <v>121.27</v>
      </c>
      <c r="E86" s="14">
        <f t="shared" si="3"/>
        <v>74.094213967128979</v>
      </c>
    </row>
    <row r="87" spans="1:5" ht="15.6">
      <c r="A87" s="14">
        <v>7.0830000000000002</v>
      </c>
      <c r="B87" s="14">
        <v>122.4</v>
      </c>
      <c r="C87" s="14">
        <f t="shared" si="2"/>
        <v>68.938327231765697</v>
      </c>
      <c r="D87" s="14">
        <v>121.77</v>
      </c>
      <c r="E87" s="14">
        <f t="shared" si="3"/>
        <v>74.399706726950569</v>
      </c>
    </row>
    <row r="88" spans="1:5" ht="15.6">
      <c r="A88" s="14">
        <v>7.1669999999999998</v>
      </c>
      <c r="B88" s="14">
        <v>122.9</v>
      </c>
      <c r="C88" s="14">
        <f t="shared" si="2"/>
        <v>69.21993804562095</v>
      </c>
      <c r="D88" s="14">
        <v>122.28</v>
      </c>
      <c r="E88" s="14">
        <f t="shared" si="3"/>
        <v>74.711309341968601</v>
      </c>
    </row>
    <row r="89" spans="1:5" ht="15.6">
      <c r="A89" s="14">
        <v>7.25</v>
      </c>
      <c r="B89" s="14">
        <v>123.4</v>
      </c>
      <c r="C89" s="14">
        <f t="shared" si="2"/>
        <v>69.501548859476202</v>
      </c>
      <c r="D89" s="14">
        <v>122.79</v>
      </c>
      <c r="E89" s="14">
        <f t="shared" si="3"/>
        <v>75.022911956986633</v>
      </c>
    </row>
    <row r="90" spans="1:5" ht="15.6">
      <c r="A90" s="14">
        <v>7.3330000000000002</v>
      </c>
      <c r="B90" s="14">
        <v>123.9</v>
      </c>
      <c r="C90" s="14">
        <f t="shared" si="2"/>
        <v>69.783159673331454</v>
      </c>
      <c r="D90" s="14">
        <v>123.31</v>
      </c>
      <c r="E90" s="14">
        <f t="shared" si="3"/>
        <v>75.340624427201092</v>
      </c>
    </row>
    <row r="91" spans="1:5" ht="15.6">
      <c r="A91" s="14">
        <v>7.4169999999999998</v>
      </c>
      <c r="B91" s="14">
        <v>124.4</v>
      </c>
      <c r="C91" s="14">
        <f t="shared" si="2"/>
        <v>70.064770487186706</v>
      </c>
      <c r="D91" s="14">
        <v>123.82</v>
      </c>
      <c r="E91" s="14">
        <f t="shared" si="3"/>
        <v>75.652227042219096</v>
      </c>
    </row>
    <row r="92" spans="1:5" ht="15.6">
      <c r="A92" s="14">
        <v>7.5</v>
      </c>
      <c r="B92" s="14">
        <v>124.9</v>
      </c>
      <c r="C92" s="14">
        <f t="shared" si="2"/>
        <v>70.346381301041959</v>
      </c>
      <c r="D92" s="14">
        <v>124.33</v>
      </c>
      <c r="E92" s="14">
        <f t="shared" si="3"/>
        <v>75.963829657237127</v>
      </c>
    </row>
    <row r="93" spans="1:5" ht="15.6">
      <c r="A93" s="14">
        <v>7.5830000000000002</v>
      </c>
      <c r="B93" s="14">
        <v>125.4</v>
      </c>
      <c r="C93" s="14">
        <f t="shared" si="2"/>
        <v>70.627992114897211</v>
      </c>
      <c r="D93" s="14">
        <v>124.84</v>
      </c>
      <c r="E93" s="14">
        <f t="shared" si="3"/>
        <v>76.275432272255145</v>
      </c>
    </row>
    <row r="94" spans="1:5" ht="15.6">
      <c r="A94" s="14">
        <v>7.6669999999999998</v>
      </c>
      <c r="B94" s="14">
        <v>125.89</v>
      </c>
      <c r="C94" s="14">
        <f t="shared" si="2"/>
        <v>70.903970712475356</v>
      </c>
      <c r="D94" s="14">
        <v>125.34</v>
      </c>
      <c r="E94" s="14">
        <f t="shared" si="3"/>
        <v>76.580925032076749</v>
      </c>
    </row>
    <row r="95" spans="1:5" ht="15.6">
      <c r="A95" s="14">
        <v>7.75</v>
      </c>
      <c r="B95" s="14">
        <v>126.39</v>
      </c>
      <c r="C95" s="14">
        <f t="shared" si="2"/>
        <v>71.185581526330608</v>
      </c>
      <c r="D95" s="14">
        <v>125.85</v>
      </c>
      <c r="E95" s="14">
        <f t="shared" si="3"/>
        <v>76.892527647094767</v>
      </c>
    </row>
    <row r="96" spans="1:5" ht="15.6">
      <c r="A96" s="14">
        <v>7.8330000000000002</v>
      </c>
      <c r="B96" s="14">
        <v>126.87</v>
      </c>
      <c r="C96" s="14">
        <f t="shared" si="2"/>
        <v>71.455927907631661</v>
      </c>
      <c r="D96" s="14">
        <v>126.35</v>
      </c>
      <c r="E96" s="14">
        <f t="shared" si="3"/>
        <v>77.198020406916356</v>
      </c>
    </row>
    <row r="97" spans="1:5" ht="15.6">
      <c r="A97" s="14">
        <v>7.9169999999999998</v>
      </c>
      <c r="B97" s="14">
        <v>127.36</v>
      </c>
      <c r="C97" s="14">
        <f t="shared" si="2"/>
        <v>71.731906505209793</v>
      </c>
      <c r="D97" s="14">
        <v>126.85</v>
      </c>
      <c r="E97" s="14">
        <f t="shared" si="3"/>
        <v>77.503513166737946</v>
      </c>
    </row>
    <row r="98" spans="1:5" ht="15.6">
      <c r="A98" s="14">
        <v>8</v>
      </c>
      <c r="B98" s="14">
        <v>127.85</v>
      </c>
      <c r="C98" s="14">
        <f t="shared" si="2"/>
        <v>72.007885102787938</v>
      </c>
      <c r="D98" s="14">
        <v>127.34</v>
      </c>
      <c r="E98" s="14">
        <f t="shared" si="3"/>
        <v>77.802896071363108</v>
      </c>
    </row>
    <row r="99" spans="1:5" ht="15.6">
      <c r="A99" s="14">
        <v>8.0830000000000002</v>
      </c>
      <c r="B99" s="14">
        <v>128.33000000000001</v>
      </c>
      <c r="C99" s="14">
        <f t="shared" si="2"/>
        <v>72.278231484088991</v>
      </c>
      <c r="D99" s="14">
        <v>127.82</v>
      </c>
      <c r="E99" s="14">
        <f t="shared" si="3"/>
        <v>78.096169120791842</v>
      </c>
    </row>
    <row r="100" spans="1:5" ht="15.6">
      <c r="A100" s="14">
        <v>8.1669999999999998</v>
      </c>
      <c r="B100" s="14">
        <v>128.80000000000001</v>
      </c>
      <c r="C100" s="14">
        <f t="shared" si="2"/>
        <v>72.542945649112937</v>
      </c>
      <c r="D100" s="14">
        <v>128.30000000000001</v>
      </c>
      <c r="E100" s="14">
        <f t="shared" si="3"/>
        <v>78.389442170220576</v>
      </c>
    </row>
    <row r="101" spans="1:5" ht="15.6">
      <c r="A101" s="14">
        <v>8.25</v>
      </c>
      <c r="B101" s="14">
        <v>129.27000000000001</v>
      </c>
      <c r="C101" s="14">
        <f t="shared" si="2"/>
        <v>72.807659814136855</v>
      </c>
      <c r="D101" s="14">
        <v>128.76</v>
      </c>
      <c r="E101" s="14">
        <f t="shared" si="3"/>
        <v>78.670495509256426</v>
      </c>
    </row>
    <row r="102" spans="1:5" ht="15.6">
      <c r="A102" s="14">
        <v>8.3330000000000002</v>
      </c>
      <c r="B102" s="14">
        <v>129.74</v>
      </c>
      <c r="C102" s="14">
        <f t="shared" si="2"/>
        <v>73.072373979160801</v>
      </c>
      <c r="D102" s="14">
        <v>129.22999999999999</v>
      </c>
      <c r="E102" s="14">
        <f t="shared" si="3"/>
        <v>78.957658703488732</v>
      </c>
    </row>
    <row r="103" spans="1:5" ht="15.6">
      <c r="A103" s="14">
        <v>8.4169999999999998</v>
      </c>
      <c r="B103" s="14">
        <v>130.19</v>
      </c>
      <c r="C103" s="14">
        <f t="shared" si="2"/>
        <v>73.32582371163052</v>
      </c>
      <c r="D103" s="14">
        <v>129.69</v>
      </c>
      <c r="E103" s="14">
        <f t="shared" si="3"/>
        <v>79.238712042524597</v>
      </c>
    </row>
    <row r="104" spans="1:5" ht="15.6">
      <c r="A104" s="14">
        <v>8.5</v>
      </c>
      <c r="B104" s="14">
        <v>130.63999999999999</v>
      </c>
      <c r="C104" s="14">
        <f t="shared" si="2"/>
        <v>73.579273444100252</v>
      </c>
      <c r="D104" s="14">
        <v>130.13999999999999</v>
      </c>
      <c r="E104" s="14">
        <f t="shared" si="3"/>
        <v>79.513655526364019</v>
      </c>
    </row>
    <row r="105" spans="1:5" ht="15.6">
      <c r="A105" s="14">
        <v>8.5830000000000002</v>
      </c>
      <c r="B105" s="14">
        <v>131.09</v>
      </c>
      <c r="C105" s="14">
        <f t="shared" si="2"/>
        <v>73.832723176569985</v>
      </c>
      <c r="D105" s="14">
        <v>130.59</v>
      </c>
      <c r="E105" s="14">
        <f t="shared" si="3"/>
        <v>79.78859901020347</v>
      </c>
    </row>
    <row r="106" spans="1:5" ht="15.6">
      <c r="A106" s="14">
        <v>8.6669999999999998</v>
      </c>
      <c r="B106" s="14">
        <v>131.54</v>
      </c>
      <c r="C106" s="14">
        <f t="shared" si="2"/>
        <v>74.086172909039689</v>
      </c>
      <c r="D106" s="14">
        <v>131.03</v>
      </c>
      <c r="E106" s="14">
        <f t="shared" si="3"/>
        <v>80.057432638846464</v>
      </c>
    </row>
    <row r="107" spans="1:5" ht="15.6">
      <c r="A107" s="14">
        <v>8.75</v>
      </c>
      <c r="B107" s="14">
        <v>131.97</v>
      </c>
      <c r="C107" s="14">
        <f t="shared" si="2"/>
        <v>74.328358208955208</v>
      </c>
      <c r="D107" s="14">
        <v>131.47999999999999</v>
      </c>
      <c r="E107" s="14">
        <f t="shared" si="3"/>
        <v>80.332376122685886</v>
      </c>
    </row>
    <row r="108" spans="1:5" ht="15.6">
      <c r="A108" s="14">
        <v>8.8330000000000002</v>
      </c>
      <c r="B108" s="14">
        <v>132.41</v>
      </c>
      <c r="C108" s="14">
        <f t="shared" si="2"/>
        <v>74.576175725147849</v>
      </c>
      <c r="D108" s="14">
        <v>131.91999999999999</v>
      </c>
      <c r="E108" s="14">
        <f t="shared" si="3"/>
        <v>80.601209751328895</v>
      </c>
    </row>
    <row r="109" spans="1:5" ht="15.6">
      <c r="A109" s="14">
        <v>8.9169999999999998</v>
      </c>
      <c r="B109" s="14">
        <v>132.84</v>
      </c>
      <c r="C109" s="14">
        <f t="shared" si="2"/>
        <v>74.818361025063368</v>
      </c>
      <c r="D109" s="14">
        <v>132.37</v>
      </c>
      <c r="E109" s="14">
        <f t="shared" si="3"/>
        <v>80.876153235168331</v>
      </c>
    </row>
    <row r="110" spans="1:5" ht="15.6">
      <c r="A110" s="14">
        <v>9</v>
      </c>
      <c r="B110" s="14">
        <v>133.28</v>
      </c>
      <c r="C110" s="14">
        <f t="shared" si="2"/>
        <v>75.066178541255979</v>
      </c>
      <c r="D110" s="14">
        <v>132.82</v>
      </c>
      <c r="E110" s="14">
        <f t="shared" si="3"/>
        <v>81.151096719007768</v>
      </c>
    </row>
    <row r="111" spans="1:5" ht="15.6">
      <c r="A111" s="14">
        <v>9.0830000000000002</v>
      </c>
      <c r="B111" s="14">
        <v>133.71</v>
      </c>
      <c r="C111" s="14">
        <f t="shared" si="2"/>
        <v>75.308363841171499</v>
      </c>
      <c r="D111" s="14">
        <v>133.27000000000001</v>
      </c>
      <c r="E111" s="14">
        <f t="shared" si="3"/>
        <v>81.426040202847204</v>
      </c>
    </row>
    <row r="112" spans="1:5" ht="15.6">
      <c r="A112" s="14">
        <v>9.1669999999999998</v>
      </c>
      <c r="B112" s="14">
        <v>134.13999999999999</v>
      </c>
      <c r="C112" s="14">
        <f t="shared" si="2"/>
        <v>75.550549141087004</v>
      </c>
      <c r="D112" s="14">
        <v>133.72999999999999</v>
      </c>
      <c r="E112" s="14">
        <f t="shared" si="3"/>
        <v>81.707093541883054</v>
      </c>
    </row>
    <row r="113" spans="1:5" ht="15.6">
      <c r="A113" s="14">
        <v>9.25</v>
      </c>
      <c r="B113" s="14">
        <v>134.57</v>
      </c>
      <c r="C113" s="14">
        <f t="shared" si="2"/>
        <v>75.792734441002523</v>
      </c>
      <c r="D113" s="14">
        <v>134.19</v>
      </c>
      <c r="E113" s="14">
        <f t="shared" si="3"/>
        <v>81.988146880918919</v>
      </c>
    </row>
    <row r="114" spans="1:5" ht="15.6">
      <c r="A114" s="14">
        <v>9.3330000000000002</v>
      </c>
      <c r="B114" s="14">
        <v>134.99</v>
      </c>
      <c r="C114" s="14">
        <f t="shared" si="2"/>
        <v>76.029287524640949</v>
      </c>
      <c r="D114" s="14">
        <v>134.65</v>
      </c>
      <c r="E114" s="14">
        <f t="shared" si="3"/>
        <v>82.269200219954797</v>
      </c>
    </row>
    <row r="115" spans="1:5" ht="15.6">
      <c r="A115" s="14">
        <v>9.4169999999999998</v>
      </c>
      <c r="B115" s="14">
        <v>135.41999999999999</v>
      </c>
      <c r="C115" s="14">
        <f t="shared" si="2"/>
        <v>76.271472824556454</v>
      </c>
      <c r="D115" s="14">
        <v>135.12</v>
      </c>
      <c r="E115" s="14">
        <f t="shared" si="3"/>
        <v>82.556363414187089</v>
      </c>
    </row>
    <row r="116" spans="1:5" ht="15.6">
      <c r="A116" s="14">
        <v>9.5</v>
      </c>
      <c r="B116" s="14">
        <v>135.84</v>
      </c>
      <c r="C116" s="14">
        <f t="shared" si="2"/>
        <v>76.508025908194881</v>
      </c>
      <c r="D116" s="14">
        <v>135.59</v>
      </c>
      <c r="E116" s="14">
        <f t="shared" si="3"/>
        <v>82.843526608419396</v>
      </c>
    </row>
    <row r="117" spans="1:5" ht="15.6">
      <c r="A117" s="14">
        <v>9.5830000000000002</v>
      </c>
      <c r="B117" s="14">
        <v>136.26</v>
      </c>
      <c r="C117" s="14">
        <f t="shared" si="2"/>
        <v>76.744578991833279</v>
      </c>
      <c r="D117" s="14">
        <v>136.06</v>
      </c>
      <c r="E117" s="14">
        <f t="shared" si="3"/>
        <v>83.130689802651688</v>
      </c>
    </row>
    <row r="118" spans="1:5" ht="15.6">
      <c r="A118" s="14">
        <v>9.6669999999999998</v>
      </c>
      <c r="B118" s="14">
        <v>136.68</v>
      </c>
      <c r="C118" s="14">
        <f t="shared" si="2"/>
        <v>76.981132075471692</v>
      </c>
      <c r="D118" s="14">
        <v>136.53</v>
      </c>
      <c r="E118" s="14">
        <f t="shared" si="3"/>
        <v>83.41785299688398</v>
      </c>
    </row>
    <row r="119" spans="1:5" ht="15.6">
      <c r="A119" s="14">
        <v>9.75</v>
      </c>
      <c r="B119" s="14">
        <v>137.1</v>
      </c>
      <c r="C119" s="14">
        <f t="shared" si="2"/>
        <v>77.217685159110104</v>
      </c>
      <c r="D119" s="14">
        <v>137</v>
      </c>
      <c r="E119" s="14">
        <f t="shared" si="3"/>
        <v>83.705016191116272</v>
      </c>
    </row>
    <row r="120" spans="1:5" ht="15.6">
      <c r="A120" s="14">
        <v>9.8330000000000002</v>
      </c>
      <c r="B120" s="14">
        <v>137.53</v>
      </c>
      <c r="C120" s="14">
        <f t="shared" si="2"/>
        <v>77.459870459025623</v>
      </c>
      <c r="D120" s="14">
        <v>137.47999999999999</v>
      </c>
      <c r="E120" s="14">
        <f t="shared" si="3"/>
        <v>83.998289240545006</v>
      </c>
    </row>
    <row r="121" spans="1:5" ht="15.6">
      <c r="A121" s="14">
        <v>9.9169999999999998</v>
      </c>
      <c r="B121" s="14">
        <v>137.96</v>
      </c>
      <c r="C121" s="14">
        <f t="shared" si="2"/>
        <v>77.702055758941142</v>
      </c>
      <c r="D121" s="14">
        <v>137.94999999999999</v>
      </c>
      <c r="E121" s="14">
        <f t="shared" si="3"/>
        <v>84.285452434777298</v>
      </c>
    </row>
    <row r="122" spans="1:5" ht="15.6">
      <c r="A122" s="14">
        <v>10</v>
      </c>
      <c r="B122" s="14">
        <v>138.38999999999999</v>
      </c>
      <c r="C122" s="14">
        <f t="shared" si="2"/>
        <v>77.944241058856647</v>
      </c>
      <c r="D122" s="14">
        <v>138.43</v>
      </c>
      <c r="E122" s="14">
        <f t="shared" si="3"/>
        <v>84.578725484206032</v>
      </c>
    </row>
    <row r="123" spans="1:5" ht="15.6">
      <c r="A123" s="14">
        <v>10.083</v>
      </c>
      <c r="B123" s="14">
        <v>138.82</v>
      </c>
      <c r="C123" s="14">
        <f t="shared" si="2"/>
        <v>78.186426358772167</v>
      </c>
      <c r="D123" s="14">
        <v>138.9</v>
      </c>
      <c r="E123" s="14">
        <f t="shared" si="3"/>
        <v>84.865888678438324</v>
      </c>
    </row>
    <row r="124" spans="1:5" ht="15.6">
      <c r="A124" s="14">
        <v>10.167</v>
      </c>
      <c r="B124" s="14">
        <v>139.26</v>
      </c>
      <c r="C124" s="14">
        <f t="shared" si="2"/>
        <v>78.434243874964793</v>
      </c>
      <c r="D124" s="14">
        <v>139.38</v>
      </c>
      <c r="E124" s="14">
        <f t="shared" si="3"/>
        <v>85.159161727867044</v>
      </c>
    </row>
    <row r="125" spans="1:5" ht="15.6">
      <c r="A125" s="14">
        <v>10.25</v>
      </c>
      <c r="B125" s="14">
        <v>139.69</v>
      </c>
      <c r="C125" s="14">
        <f t="shared" si="2"/>
        <v>78.676429174880312</v>
      </c>
      <c r="D125" s="14">
        <v>139.86000000000001</v>
      </c>
      <c r="E125" s="14">
        <f t="shared" si="3"/>
        <v>85.452434777295792</v>
      </c>
    </row>
    <row r="126" spans="1:5" ht="15.6">
      <c r="A126" s="14">
        <v>10.333</v>
      </c>
      <c r="B126" s="14">
        <v>140.12</v>
      </c>
      <c r="C126" s="14">
        <f t="shared" si="2"/>
        <v>78.918614474795831</v>
      </c>
      <c r="D126" s="14">
        <v>140.33000000000001</v>
      </c>
      <c r="E126" s="14">
        <f t="shared" si="3"/>
        <v>85.739597971528099</v>
      </c>
    </row>
    <row r="127" spans="1:5" ht="15.6">
      <c r="A127" s="14">
        <v>10.417</v>
      </c>
      <c r="B127" s="14">
        <v>140.54</v>
      </c>
      <c r="C127" s="14">
        <f t="shared" si="2"/>
        <v>79.155167558434243</v>
      </c>
      <c r="D127" s="14">
        <v>140.81</v>
      </c>
      <c r="E127" s="14">
        <f t="shared" si="3"/>
        <v>86.032871020956819</v>
      </c>
    </row>
    <row r="128" spans="1:5" ht="15.6">
      <c r="A128" s="14">
        <v>10.5</v>
      </c>
      <c r="B128" s="14">
        <v>140.96</v>
      </c>
      <c r="C128" s="14">
        <f t="shared" si="2"/>
        <v>79.391720642072656</v>
      </c>
      <c r="D128" s="14">
        <v>141.28</v>
      </c>
      <c r="E128" s="14">
        <f t="shared" si="3"/>
        <v>86.320034215189111</v>
      </c>
    </row>
    <row r="129" spans="1:5" ht="15.6">
      <c r="A129" s="14">
        <v>10.583</v>
      </c>
      <c r="B129" s="14">
        <v>141.37</v>
      </c>
      <c r="C129" s="14">
        <f t="shared" si="2"/>
        <v>79.622641509433961</v>
      </c>
      <c r="D129" s="14">
        <v>141.76</v>
      </c>
      <c r="E129" s="14">
        <f t="shared" si="3"/>
        <v>86.613307264617831</v>
      </c>
    </row>
    <row r="130" spans="1:5" ht="15.6">
      <c r="A130" s="14">
        <v>10.667</v>
      </c>
      <c r="B130" s="14">
        <v>141.78</v>
      </c>
      <c r="C130" s="14">
        <f t="shared" ref="C130:C193" si="4">(B130/177.55)*100</f>
        <v>79.853562376795267</v>
      </c>
      <c r="D130" s="14">
        <v>142.22999999999999</v>
      </c>
      <c r="E130" s="14">
        <f t="shared" ref="E130:E193" si="5">(D130/163.67)*100</f>
        <v>86.900470458850123</v>
      </c>
    </row>
    <row r="131" spans="1:5" ht="15.6">
      <c r="A131" s="14">
        <v>10.75</v>
      </c>
      <c r="B131" s="14">
        <v>142.18</v>
      </c>
      <c r="C131" s="14">
        <f t="shared" si="4"/>
        <v>80.078851027879466</v>
      </c>
      <c r="D131" s="14">
        <v>142.71</v>
      </c>
      <c r="E131" s="14">
        <f t="shared" si="5"/>
        <v>87.193743508278871</v>
      </c>
    </row>
    <row r="132" spans="1:5" ht="15.6">
      <c r="A132" s="14">
        <v>10.833</v>
      </c>
      <c r="B132" s="14">
        <v>142.58000000000001</v>
      </c>
      <c r="C132" s="14">
        <f t="shared" si="4"/>
        <v>80.304139678963665</v>
      </c>
      <c r="D132" s="14">
        <v>143.18</v>
      </c>
      <c r="E132" s="14">
        <f t="shared" si="5"/>
        <v>87.480906702511163</v>
      </c>
    </row>
    <row r="133" spans="1:5" ht="15.6">
      <c r="A133" s="14">
        <v>10.917</v>
      </c>
      <c r="B133" s="14">
        <v>142.97999999999999</v>
      </c>
      <c r="C133" s="14">
        <f t="shared" si="4"/>
        <v>80.529428330047864</v>
      </c>
      <c r="D133" s="14">
        <v>143.65</v>
      </c>
      <c r="E133" s="14">
        <f t="shared" si="5"/>
        <v>87.768069896743455</v>
      </c>
    </row>
    <row r="134" spans="1:5" ht="15.6">
      <c r="A134" s="14">
        <v>11</v>
      </c>
      <c r="B134" s="14">
        <v>143.37</v>
      </c>
      <c r="C134" s="14">
        <f t="shared" si="4"/>
        <v>80.74908476485497</v>
      </c>
      <c r="D134" s="14">
        <v>144.12</v>
      </c>
      <c r="E134" s="14">
        <f t="shared" si="5"/>
        <v>88.055233090975747</v>
      </c>
    </row>
    <row r="135" spans="1:5" ht="15.6">
      <c r="A135" s="14">
        <v>11.083</v>
      </c>
      <c r="B135" s="14">
        <v>143.77000000000001</v>
      </c>
      <c r="C135" s="14">
        <f t="shared" si="4"/>
        <v>80.974373415939169</v>
      </c>
      <c r="D135" s="14">
        <v>144.59</v>
      </c>
      <c r="E135" s="14">
        <f t="shared" si="5"/>
        <v>88.342396285208054</v>
      </c>
    </row>
    <row r="136" spans="1:5" ht="15.6">
      <c r="A136" s="14">
        <v>11.167</v>
      </c>
      <c r="B136" s="14">
        <v>144.16</v>
      </c>
      <c r="C136" s="14">
        <f t="shared" si="4"/>
        <v>81.194029850746261</v>
      </c>
      <c r="D136" s="14">
        <v>145.06</v>
      </c>
      <c r="E136" s="14">
        <f t="shared" si="5"/>
        <v>88.629559479440346</v>
      </c>
    </row>
    <row r="137" spans="1:5" ht="15.6">
      <c r="A137" s="14">
        <v>11.25</v>
      </c>
      <c r="B137" s="14">
        <v>144.55000000000001</v>
      </c>
      <c r="C137" s="14">
        <f t="shared" si="4"/>
        <v>81.413686285553368</v>
      </c>
      <c r="D137" s="14">
        <v>145.53</v>
      </c>
      <c r="E137" s="14">
        <f t="shared" si="5"/>
        <v>88.916722673672638</v>
      </c>
    </row>
    <row r="138" spans="1:5" ht="15.6">
      <c r="A138" s="14">
        <v>11.333</v>
      </c>
      <c r="B138" s="14">
        <v>144.94999999999999</v>
      </c>
      <c r="C138" s="14">
        <f t="shared" si="4"/>
        <v>81.638974936637553</v>
      </c>
      <c r="D138" s="14">
        <v>146</v>
      </c>
      <c r="E138" s="14">
        <f t="shared" si="5"/>
        <v>89.203885867904944</v>
      </c>
    </row>
    <row r="139" spans="1:5" ht="15.6">
      <c r="A139" s="14">
        <v>11.417</v>
      </c>
      <c r="B139" s="14">
        <v>145.34</v>
      </c>
      <c r="C139" s="14">
        <f t="shared" si="4"/>
        <v>81.858631371444659</v>
      </c>
      <c r="D139" s="14">
        <v>146.47</v>
      </c>
      <c r="E139" s="14">
        <f t="shared" si="5"/>
        <v>89.491049062137222</v>
      </c>
    </row>
    <row r="140" spans="1:5" ht="15.6">
      <c r="A140" s="14">
        <v>11.5</v>
      </c>
      <c r="B140" s="14">
        <v>145.75</v>
      </c>
      <c r="C140" s="14">
        <f t="shared" si="4"/>
        <v>82.089552238805965</v>
      </c>
      <c r="D140" s="14">
        <v>146.93</v>
      </c>
      <c r="E140" s="14">
        <f t="shared" si="5"/>
        <v>89.7721024011731</v>
      </c>
    </row>
    <row r="141" spans="1:5" ht="15.6">
      <c r="A141" s="14">
        <v>11.583</v>
      </c>
      <c r="B141" s="14">
        <v>146.16</v>
      </c>
      <c r="C141" s="14">
        <f t="shared" si="4"/>
        <v>82.32047310616727</v>
      </c>
      <c r="D141" s="14">
        <v>147.4</v>
      </c>
      <c r="E141" s="14">
        <f t="shared" si="5"/>
        <v>90.059265595405407</v>
      </c>
    </row>
    <row r="142" spans="1:5" ht="15.6">
      <c r="A142" s="14">
        <v>11.667</v>
      </c>
      <c r="B142" s="14">
        <v>146.58000000000001</v>
      </c>
      <c r="C142" s="14">
        <f t="shared" si="4"/>
        <v>82.557026189805697</v>
      </c>
      <c r="D142" s="14">
        <v>147.87</v>
      </c>
      <c r="E142" s="14">
        <f t="shared" si="5"/>
        <v>90.346428789637699</v>
      </c>
    </row>
    <row r="143" spans="1:5" ht="15.6">
      <c r="A143" s="14">
        <v>11.75</v>
      </c>
      <c r="B143" s="14">
        <v>147.02000000000001</v>
      </c>
      <c r="C143" s="14">
        <f t="shared" si="4"/>
        <v>82.804843705998309</v>
      </c>
      <c r="D143" s="14">
        <v>148.34</v>
      </c>
      <c r="E143" s="14">
        <f t="shared" si="5"/>
        <v>90.633591983869991</v>
      </c>
    </row>
    <row r="144" spans="1:5" ht="15.6">
      <c r="A144" s="14">
        <v>11.833</v>
      </c>
      <c r="B144" s="14">
        <v>147.46</v>
      </c>
      <c r="C144" s="14">
        <f t="shared" si="4"/>
        <v>83.05266122219092</v>
      </c>
      <c r="D144" s="14">
        <v>148.82</v>
      </c>
      <c r="E144" s="14">
        <f t="shared" si="5"/>
        <v>90.926865033298711</v>
      </c>
    </row>
    <row r="145" spans="1:5" ht="15.6">
      <c r="A145" s="14">
        <v>11.917</v>
      </c>
      <c r="B145" s="14">
        <v>147.91</v>
      </c>
      <c r="C145" s="14">
        <f t="shared" si="4"/>
        <v>83.306110954660653</v>
      </c>
      <c r="D145" s="14">
        <v>149.28</v>
      </c>
      <c r="E145" s="14">
        <f t="shared" si="5"/>
        <v>91.207918372334589</v>
      </c>
    </row>
    <row r="146" spans="1:5" ht="15.6">
      <c r="A146" s="14">
        <v>12</v>
      </c>
      <c r="B146" s="14">
        <v>148.36000000000001</v>
      </c>
      <c r="C146" s="14">
        <f t="shared" si="4"/>
        <v>83.559560687130386</v>
      </c>
      <c r="D146" s="14">
        <v>149.76</v>
      </c>
      <c r="E146" s="14">
        <f t="shared" si="5"/>
        <v>91.501191421763309</v>
      </c>
    </row>
    <row r="147" spans="1:5" ht="15.6">
      <c r="A147" s="14">
        <v>12.083</v>
      </c>
      <c r="B147" s="14">
        <v>148.83000000000001</v>
      </c>
      <c r="C147" s="14">
        <f t="shared" si="4"/>
        <v>83.824274852154318</v>
      </c>
      <c r="D147" s="14">
        <v>150.24</v>
      </c>
      <c r="E147" s="14">
        <f t="shared" si="5"/>
        <v>91.794464471192043</v>
      </c>
    </row>
    <row r="148" spans="1:5" ht="15.6">
      <c r="A148" s="14">
        <v>12.167</v>
      </c>
      <c r="B148" s="14">
        <v>149.31</v>
      </c>
      <c r="C148" s="14">
        <f t="shared" si="4"/>
        <v>84.094621233455356</v>
      </c>
      <c r="D148" s="14">
        <v>150.71</v>
      </c>
      <c r="E148" s="14">
        <f t="shared" si="5"/>
        <v>92.081627665424335</v>
      </c>
    </row>
    <row r="149" spans="1:5" ht="15.6">
      <c r="A149" s="14">
        <v>12.25</v>
      </c>
      <c r="B149" s="14">
        <v>149.81</v>
      </c>
      <c r="C149" s="14">
        <f t="shared" si="4"/>
        <v>84.376232047310623</v>
      </c>
      <c r="D149" s="14">
        <v>151.18</v>
      </c>
      <c r="E149" s="14">
        <f t="shared" si="5"/>
        <v>92.368790859656642</v>
      </c>
    </row>
    <row r="150" spans="1:5" ht="15.6">
      <c r="A150" s="14">
        <v>12.333</v>
      </c>
      <c r="B150" s="14">
        <v>150.31</v>
      </c>
      <c r="C150" s="14">
        <f t="shared" si="4"/>
        <v>84.657842861165861</v>
      </c>
      <c r="D150" s="14">
        <v>151.66</v>
      </c>
      <c r="E150" s="14">
        <f t="shared" si="5"/>
        <v>92.662063909085362</v>
      </c>
    </row>
    <row r="151" spans="1:5" ht="15.6">
      <c r="A151" s="14">
        <v>12.417</v>
      </c>
      <c r="B151" s="14">
        <v>150.83000000000001</v>
      </c>
      <c r="C151" s="14">
        <f t="shared" si="4"/>
        <v>84.950718107575327</v>
      </c>
      <c r="D151" s="14">
        <v>152.13</v>
      </c>
      <c r="E151" s="14">
        <f t="shared" si="5"/>
        <v>92.949227103317654</v>
      </c>
    </row>
    <row r="152" spans="1:5" ht="15.6">
      <c r="A152" s="14">
        <v>12.5</v>
      </c>
      <c r="B152" s="14">
        <v>151.35</v>
      </c>
      <c r="C152" s="14">
        <f t="shared" si="4"/>
        <v>85.243593353984778</v>
      </c>
      <c r="D152" s="14">
        <v>152.6</v>
      </c>
      <c r="E152" s="14">
        <f t="shared" si="5"/>
        <v>93.23639029754996</v>
      </c>
    </row>
    <row r="153" spans="1:5" ht="15.6">
      <c r="A153" s="14">
        <v>12.583</v>
      </c>
      <c r="B153" s="14">
        <v>151.88999999999999</v>
      </c>
      <c r="C153" s="14">
        <f t="shared" si="4"/>
        <v>85.547733032948443</v>
      </c>
      <c r="D153" s="14">
        <v>153.06</v>
      </c>
      <c r="E153" s="14">
        <f t="shared" si="5"/>
        <v>93.517443636585824</v>
      </c>
    </row>
    <row r="154" spans="1:5" ht="15.6">
      <c r="A154" s="14">
        <v>12.667</v>
      </c>
      <c r="B154" s="14">
        <v>152.44</v>
      </c>
      <c r="C154" s="14">
        <f t="shared" si="4"/>
        <v>85.857504928189229</v>
      </c>
      <c r="D154" s="14">
        <v>153.52000000000001</v>
      </c>
      <c r="E154" s="14">
        <f t="shared" si="5"/>
        <v>93.798496975621688</v>
      </c>
    </row>
    <row r="155" spans="1:5" ht="15.6">
      <c r="A155" s="14">
        <v>12.75</v>
      </c>
      <c r="B155" s="14">
        <v>153</v>
      </c>
      <c r="C155" s="14">
        <f t="shared" si="4"/>
        <v>86.172909039707122</v>
      </c>
      <c r="D155" s="14">
        <v>153.96</v>
      </c>
      <c r="E155" s="14">
        <f t="shared" si="5"/>
        <v>94.067330604264683</v>
      </c>
    </row>
    <row r="156" spans="1:5" ht="15.6">
      <c r="A156" s="14">
        <v>12.833</v>
      </c>
      <c r="B156" s="14">
        <v>153.58000000000001</v>
      </c>
      <c r="C156" s="14">
        <f t="shared" si="4"/>
        <v>86.499577583779214</v>
      </c>
      <c r="D156" s="14">
        <v>154.41</v>
      </c>
      <c r="E156" s="14">
        <f t="shared" si="5"/>
        <v>94.342274088104119</v>
      </c>
    </row>
    <row r="157" spans="1:5" ht="15.6">
      <c r="A157" s="14">
        <v>12.917</v>
      </c>
      <c r="B157" s="14">
        <v>154.16999999999999</v>
      </c>
      <c r="C157" s="14">
        <f t="shared" si="4"/>
        <v>86.831878344128398</v>
      </c>
      <c r="D157" s="14">
        <v>154.85</v>
      </c>
      <c r="E157" s="14">
        <f t="shared" si="5"/>
        <v>94.611107716747114</v>
      </c>
    </row>
    <row r="158" spans="1:5" ht="15.6">
      <c r="A158" s="14">
        <v>13</v>
      </c>
      <c r="B158" s="14">
        <v>154.77000000000001</v>
      </c>
      <c r="C158" s="14">
        <f t="shared" si="4"/>
        <v>87.169811320754718</v>
      </c>
      <c r="D158" s="14">
        <v>155.28</v>
      </c>
      <c r="E158" s="14">
        <f t="shared" si="5"/>
        <v>94.873831490193695</v>
      </c>
    </row>
    <row r="159" spans="1:5" ht="15.6">
      <c r="A159" s="14">
        <v>13.083</v>
      </c>
      <c r="B159" s="14">
        <v>155.38</v>
      </c>
      <c r="C159" s="14">
        <f t="shared" si="4"/>
        <v>87.513376513658116</v>
      </c>
      <c r="D159" s="14">
        <v>155.69999999999999</v>
      </c>
      <c r="E159" s="14">
        <f t="shared" si="5"/>
        <v>95.130445408443819</v>
      </c>
    </row>
    <row r="160" spans="1:5" ht="15.6">
      <c r="A160" s="14">
        <v>13.167</v>
      </c>
      <c r="B160" s="14">
        <v>156</v>
      </c>
      <c r="C160" s="14">
        <f t="shared" si="4"/>
        <v>87.862573922838621</v>
      </c>
      <c r="D160" s="14">
        <v>156.11000000000001</v>
      </c>
      <c r="E160" s="14">
        <f t="shared" si="5"/>
        <v>95.380949471497544</v>
      </c>
    </row>
    <row r="161" spans="1:5" ht="15.6">
      <c r="A161" s="14">
        <v>13.25</v>
      </c>
      <c r="B161" s="14">
        <v>156.63</v>
      </c>
      <c r="C161" s="14">
        <f t="shared" si="4"/>
        <v>88.217403548296247</v>
      </c>
      <c r="D161" s="14">
        <v>156.52000000000001</v>
      </c>
      <c r="E161" s="14">
        <f t="shared" si="5"/>
        <v>95.631453534551241</v>
      </c>
    </row>
    <row r="162" spans="1:5" ht="15.6">
      <c r="A162" s="14">
        <v>13.333</v>
      </c>
      <c r="B162" s="14">
        <v>157.27000000000001</v>
      </c>
      <c r="C162" s="14">
        <f t="shared" si="4"/>
        <v>88.577865390030979</v>
      </c>
      <c r="D162" s="14">
        <v>156.91</v>
      </c>
      <c r="E162" s="14">
        <f t="shared" si="5"/>
        <v>95.869737887212082</v>
      </c>
    </row>
    <row r="163" spans="1:5" ht="15.6">
      <c r="A163" s="14">
        <v>13.417</v>
      </c>
      <c r="B163" s="14">
        <v>157.91</v>
      </c>
      <c r="C163" s="14">
        <f t="shared" si="4"/>
        <v>88.938327231765697</v>
      </c>
      <c r="D163" s="14">
        <v>157.28</v>
      </c>
      <c r="E163" s="14">
        <f t="shared" si="5"/>
        <v>96.095802529480054</v>
      </c>
    </row>
    <row r="164" spans="1:5" ht="15.6">
      <c r="A164" s="14">
        <v>13.5</v>
      </c>
      <c r="B164" s="14">
        <v>158.55000000000001</v>
      </c>
      <c r="C164" s="14">
        <f t="shared" si="4"/>
        <v>89.29878907350043</v>
      </c>
      <c r="D164" s="14">
        <v>157.65</v>
      </c>
      <c r="E164" s="14">
        <f t="shared" si="5"/>
        <v>96.321867171748039</v>
      </c>
    </row>
    <row r="165" spans="1:5" ht="15.6">
      <c r="A165" s="14">
        <v>13.583</v>
      </c>
      <c r="B165" s="14">
        <v>159.19999999999999</v>
      </c>
      <c r="C165" s="14">
        <f t="shared" si="4"/>
        <v>89.664883131512241</v>
      </c>
      <c r="D165" s="14">
        <v>158</v>
      </c>
      <c r="E165" s="14">
        <f t="shared" si="5"/>
        <v>96.535712103623155</v>
      </c>
    </row>
    <row r="166" spans="1:5" ht="15.6">
      <c r="A166" s="14">
        <v>13.667</v>
      </c>
      <c r="B166" s="14">
        <v>159.84</v>
      </c>
      <c r="C166" s="14">
        <f t="shared" si="4"/>
        <v>90.025344973246973</v>
      </c>
      <c r="D166" s="14">
        <v>158.35</v>
      </c>
      <c r="E166" s="14">
        <f t="shared" si="5"/>
        <v>96.74955703549827</v>
      </c>
    </row>
    <row r="167" spans="1:5" ht="15.6">
      <c r="A167" s="14">
        <v>13.75</v>
      </c>
      <c r="B167" s="14">
        <v>160.47</v>
      </c>
      <c r="C167" s="14">
        <f t="shared" si="4"/>
        <v>90.380174598704585</v>
      </c>
      <c r="D167" s="14">
        <v>158.69</v>
      </c>
      <c r="E167" s="14">
        <f t="shared" si="5"/>
        <v>96.957292112176958</v>
      </c>
    </row>
    <row r="168" spans="1:5" ht="15.6">
      <c r="A168" s="14">
        <v>13.833</v>
      </c>
      <c r="B168" s="14">
        <v>161.11000000000001</v>
      </c>
      <c r="C168" s="14">
        <f t="shared" si="4"/>
        <v>90.740636440439317</v>
      </c>
      <c r="D168" s="14">
        <v>159.01</v>
      </c>
      <c r="E168" s="14">
        <f t="shared" si="5"/>
        <v>97.152807478462762</v>
      </c>
    </row>
    <row r="169" spans="1:5" ht="15.6">
      <c r="A169" s="14">
        <v>13.917</v>
      </c>
      <c r="B169" s="14">
        <v>161.74</v>
      </c>
      <c r="C169" s="14">
        <f t="shared" si="4"/>
        <v>91.095466065896929</v>
      </c>
      <c r="D169" s="14">
        <v>159.31</v>
      </c>
      <c r="E169" s="14">
        <f t="shared" si="5"/>
        <v>97.336103134355724</v>
      </c>
    </row>
    <row r="170" spans="1:5" ht="15.6">
      <c r="A170" s="14">
        <v>14</v>
      </c>
      <c r="B170" s="14">
        <v>162.36000000000001</v>
      </c>
      <c r="C170" s="14">
        <f t="shared" si="4"/>
        <v>91.444663475077448</v>
      </c>
      <c r="D170" s="14">
        <v>159.61000000000001</v>
      </c>
      <c r="E170" s="14">
        <f t="shared" si="5"/>
        <v>97.519398790248687</v>
      </c>
    </row>
    <row r="171" spans="1:5" ht="15.6">
      <c r="A171" s="14">
        <v>14.083</v>
      </c>
      <c r="B171" s="14">
        <v>162.97</v>
      </c>
      <c r="C171" s="14">
        <f t="shared" si="4"/>
        <v>91.788228667980846</v>
      </c>
      <c r="D171" s="14">
        <v>159.88999999999999</v>
      </c>
      <c r="E171" s="14">
        <f t="shared" si="5"/>
        <v>97.690474735748765</v>
      </c>
    </row>
    <row r="172" spans="1:5" ht="15.6">
      <c r="A172" s="14">
        <v>14.167</v>
      </c>
      <c r="B172" s="14">
        <v>163.58000000000001</v>
      </c>
      <c r="C172" s="14">
        <f t="shared" si="4"/>
        <v>92.131793860884258</v>
      </c>
      <c r="D172" s="14">
        <v>160.16</v>
      </c>
      <c r="E172" s="14">
        <f t="shared" si="5"/>
        <v>97.85544082605243</v>
      </c>
    </row>
    <row r="173" spans="1:5" ht="15.6">
      <c r="A173" s="14">
        <v>14.25</v>
      </c>
      <c r="B173" s="14">
        <v>164.17</v>
      </c>
      <c r="C173" s="14">
        <f t="shared" si="4"/>
        <v>92.464094621233443</v>
      </c>
      <c r="D173" s="14">
        <v>160.41999999999999</v>
      </c>
      <c r="E173" s="14">
        <f t="shared" si="5"/>
        <v>98.014297061159652</v>
      </c>
    </row>
    <row r="174" spans="1:5" ht="15.6">
      <c r="A174" s="14">
        <v>14.333</v>
      </c>
      <c r="B174" s="14">
        <v>164.75</v>
      </c>
      <c r="C174" s="14">
        <f t="shared" si="4"/>
        <v>92.790763165305549</v>
      </c>
      <c r="D174" s="14">
        <v>160.66999999999999</v>
      </c>
      <c r="E174" s="14">
        <f t="shared" si="5"/>
        <v>98.167043441070447</v>
      </c>
    </row>
    <row r="175" spans="1:5" ht="15.6">
      <c r="A175" s="14">
        <v>14.417</v>
      </c>
      <c r="B175" s="14">
        <v>165.33</v>
      </c>
      <c r="C175" s="14">
        <f t="shared" si="4"/>
        <v>93.117431709377641</v>
      </c>
      <c r="D175" s="14">
        <v>160.9</v>
      </c>
      <c r="E175" s="14">
        <f t="shared" si="5"/>
        <v>98.307570110588387</v>
      </c>
    </row>
    <row r="176" spans="1:5" ht="15.6">
      <c r="A176" s="14">
        <v>14.5</v>
      </c>
      <c r="B176" s="14">
        <v>165.88</v>
      </c>
      <c r="C176" s="14">
        <f t="shared" si="4"/>
        <v>93.427203604618413</v>
      </c>
      <c r="D176" s="14">
        <v>161.12</v>
      </c>
      <c r="E176" s="14">
        <f t="shared" si="5"/>
        <v>98.441986924909884</v>
      </c>
    </row>
    <row r="177" spans="1:5" ht="15.6">
      <c r="A177" s="14">
        <v>14.583</v>
      </c>
      <c r="B177" s="14">
        <v>166.43</v>
      </c>
      <c r="C177" s="14">
        <f t="shared" si="4"/>
        <v>93.736975499859184</v>
      </c>
      <c r="D177" s="14">
        <v>161.32</v>
      </c>
      <c r="E177" s="14">
        <f t="shared" si="5"/>
        <v>98.564184028838525</v>
      </c>
    </row>
    <row r="178" spans="1:5" ht="15.6">
      <c r="A178" s="14">
        <v>14.667</v>
      </c>
      <c r="B178" s="14">
        <v>166.96</v>
      </c>
      <c r="C178" s="14">
        <f t="shared" si="4"/>
        <v>94.035482962545757</v>
      </c>
      <c r="D178" s="14">
        <v>161.52000000000001</v>
      </c>
      <c r="E178" s="14">
        <f t="shared" si="5"/>
        <v>98.686381132767167</v>
      </c>
    </row>
    <row r="179" spans="1:5" ht="15.6">
      <c r="A179" s="14">
        <v>14.75</v>
      </c>
      <c r="B179" s="14">
        <v>167.48</v>
      </c>
      <c r="C179" s="14">
        <f t="shared" si="4"/>
        <v>94.328358208955208</v>
      </c>
      <c r="D179" s="14">
        <v>161.71</v>
      </c>
      <c r="E179" s="14">
        <f t="shared" si="5"/>
        <v>98.802468381499381</v>
      </c>
    </row>
    <row r="180" spans="1:5" ht="15.6">
      <c r="A180" s="14">
        <v>14.833</v>
      </c>
      <c r="B180" s="14">
        <v>167.98</v>
      </c>
      <c r="C180" s="14">
        <f t="shared" si="4"/>
        <v>94.609969022810475</v>
      </c>
      <c r="D180" s="14">
        <v>161.88</v>
      </c>
      <c r="E180" s="14">
        <f t="shared" si="5"/>
        <v>98.90633591983871</v>
      </c>
    </row>
    <row r="181" spans="1:5" ht="15.6">
      <c r="A181" s="14">
        <v>14.917</v>
      </c>
      <c r="B181" s="14">
        <v>168.47</v>
      </c>
      <c r="C181" s="14">
        <f t="shared" si="4"/>
        <v>94.885947620388606</v>
      </c>
      <c r="D181" s="14">
        <v>162.03</v>
      </c>
      <c r="E181" s="14">
        <f t="shared" si="5"/>
        <v>98.997983747785185</v>
      </c>
    </row>
    <row r="182" spans="1:5" ht="15.6">
      <c r="A182" s="14">
        <v>15</v>
      </c>
      <c r="B182" s="14">
        <v>168.94</v>
      </c>
      <c r="C182" s="14">
        <f t="shared" si="4"/>
        <v>95.150661785412552</v>
      </c>
      <c r="D182" s="14">
        <v>162.18</v>
      </c>
      <c r="E182" s="14">
        <f t="shared" si="5"/>
        <v>99.089631575731659</v>
      </c>
    </row>
    <row r="183" spans="1:5" ht="15.6">
      <c r="A183" s="14">
        <v>15.083</v>
      </c>
      <c r="B183" s="14">
        <v>169.4</v>
      </c>
      <c r="C183" s="14">
        <f t="shared" si="4"/>
        <v>95.409743734159392</v>
      </c>
      <c r="D183" s="14">
        <v>162.32</v>
      </c>
      <c r="E183" s="14">
        <f t="shared" si="5"/>
        <v>99.175169548481705</v>
      </c>
    </row>
    <row r="184" spans="1:5" ht="15.6">
      <c r="A184" s="14">
        <v>15.167</v>
      </c>
      <c r="B184" s="14">
        <v>169.84</v>
      </c>
      <c r="C184" s="14">
        <f t="shared" si="4"/>
        <v>95.657561250352003</v>
      </c>
      <c r="D184" s="14">
        <v>162.44</v>
      </c>
      <c r="E184" s="14">
        <f t="shared" si="5"/>
        <v>99.248487810838895</v>
      </c>
    </row>
    <row r="185" spans="1:5" ht="15.6">
      <c r="A185" s="14">
        <v>15.25</v>
      </c>
      <c r="B185" s="14">
        <v>170.26</v>
      </c>
      <c r="C185" s="14">
        <f t="shared" si="4"/>
        <v>95.894114333990416</v>
      </c>
      <c r="D185" s="14">
        <v>162.56</v>
      </c>
      <c r="E185" s="14">
        <f t="shared" si="5"/>
        <v>99.321806073196072</v>
      </c>
    </row>
    <row r="186" spans="1:5" ht="15.6">
      <c r="A186" s="14">
        <v>15.333</v>
      </c>
      <c r="B186" s="14">
        <v>170.67</v>
      </c>
      <c r="C186" s="14">
        <f t="shared" si="4"/>
        <v>96.125035201351722</v>
      </c>
      <c r="D186" s="14">
        <v>162.66</v>
      </c>
      <c r="E186" s="14">
        <f t="shared" si="5"/>
        <v>99.382904625160378</v>
      </c>
    </row>
    <row r="187" spans="1:5" ht="15.6">
      <c r="A187" s="14">
        <v>15.417</v>
      </c>
      <c r="B187" s="14">
        <v>171.06</v>
      </c>
      <c r="C187" s="14">
        <f t="shared" si="4"/>
        <v>96.344691636158814</v>
      </c>
      <c r="D187" s="14">
        <v>162.76</v>
      </c>
      <c r="E187" s="14">
        <f t="shared" si="5"/>
        <v>99.444003177124713</v>
      </c>
    </row>
    <row r="188" spans="1:5" ht="15.6">
      <c r="A188" s="14">
        <v>15.5</v>
      </c>
      <c r="B188" s="14">
        <v>171.43</v>
      </c>
      <c r="C188" s="14">
        <f t="shared" si="4"/>
        <v>96.553083638411707</v>
      </c>
      <c r="D188" s="14">
        <v>162.85</v>
      </c>
      <c r="E188" s="14">
        <f t="shared" si="5"/>
        <v>99.498991873892592</v>
      </c>
    </row>
    <row r="189" spans="1:5" ht="15.6">
      <c r="A189" s="14">
        <v>15.583</v>
      </c>
      <c r="B189" s="14">
        <v>171.79</v>
      </c>
      <c r="C189" s="14">
        <f t="shared" si="4"/>
        <v>96.755843424387493</v>
      </c>
      <c r="D189" s="14">
        <v>162.91999999999999</v>
      </c>
      <c r="E189" s="14">
        <f t="shared" si="5"/>
        <v>99.541760860267615</v>
      </c>
    </row>
    <row r="190" spans="1:5" ht="15.6">
      <c r="A190" s="14">
        <v>15.667</v>
      </c>
      <c r="B190" s="14">
        <v>172.14</v>
      </c>
      <c r="C190" s="14">
        <f t="shared" si="4"/>
        <v>96.952970994086158</v>
      </c>
      <c r="D190" s="14">
        <v>163</v>
      </c>
      <c r="E190" s="14">
        <f t="shared" si="5"/>
        <v>99.590639701839081</v>
      </c>
    </row>
    <row r="191" spans="1:5" ht="15.6">
      <c r="A191" s="14">
        <v>15.75</v>
      </c>
      <c r="B191" s="14">
        <v>172.48</v>
      </c>
      <c r="C191" s="14">
        <f t="shared" si="4"/>
        <v>97.144466347507731</v>
      </c>
      <c r="D191" s="14">
        <v>163.06</v>
      </c>
      <c r="E191" s="14">
        <f t="shared" si="5"/>
        <v>99.627298833017662</v>
      </c>
    </row>
    <row r="192" spans="1:5" ht="15.6">
      <c r="A192" s="14">
        <v>15.833</v>
      </c>
      <c r="B192" s="14">
        <v>172.79</v>
      </c>
      <c r="C192" s="14">
        <f t="shared" si="4"/>
        <v>97.319065052097983</v>
      </c>
      <c r="D192" s="14">
        <v>163.12</v>
      </c>
      <c r="E192" s="14">
        <f t="shared" si="5"/>
        <v>99.663957964196257</v>
      </c>
    </row>
    <row r="193" spans="1:5" ht="15.6">
      <c r="A193" s="14">
        <v>15.917</v>
      </c>
      <c r="B193" s="14">
        <v>173.1</v>
      </c>
      <c r="C193" s="14">
        <f t="shared" si="4"/>
        <v>97.49366375668825</v>
      </c>
      <c r="D193" s="14">
        <v>163.18</v>
      </c>
      <c r="E193" s="14">
        <f t="shared" si="5"/>
        <v>99.700617095374852</v>
      </c>
    </row>
    <row r="194" spans="1:5" ht="15.6">
      <c r="A194" s="14">
        <v>16</v>
      </c>
      <c r="B194" s="14">
        <v>173.39</v>
      </c>
      <c r="C194" s="14">
        <f t="shared" ref="C194:C218" si="6">(B194/177.55)*100</f>
        <v>97.656998028724288</v>
      </c>
      <c r="D194" s="14">
        <v>163.22</v>
      </c>
      <c r="E194" s="14">
        <f t="shared" ref="E194:E218" si="7">(D194/163.67)*100</f>
        <v>99.725056516160578</v>
      </c>
    </row>
    <row r="195" spans="1:5" ht="15.6">
      <c r="A195" s="14">
        <v>16.082999999999998</v>
      </c>
      <c r="B195" s="14">
        <v>173.66</v>
      </c>
      <c r="C195" s="14">
        <f t="shared" si="6"/>
        <v>97.809067868206128</v>
      </c>
      <c r="D195" s="14">
        <v>163.27000000000001</v>
      </c>
      <c r="E195" s="14">
        <f t="shared" si="7"/>
        <v>99.755605792142745</v>
      </c>
    </row>
    <row r="196" spans="1:5" ht="15.6">
      <c r="A196" s="14">
        <v>16.167000000000002</v>
      </c>
      <c r="B196" s="14">
        <v>173.93</v>
      </c>
      <c r="C196" s="14">
        <f t="shared" si="6"/>
        <v>97.961137707687968</v>
      </c>
      <c r="D196" s="14">
        <v>163.30000000000001</v>
      </c>
      <c r="E196" s="14">
        <f t="shared" si="7"/>
        <v>99.773935357732029</v>
      </c>
    </row>
    <row r="197" spans="1:5" ht="15.6">
      <c r="A197" s="14">
        <v>16.25</v>
      </c>
      <c r="B197" s="14">
        <v>174.18</v>
      </c>
      <c r="C197" s="14">
        <f t="shared" si="6"/>
        <v>98.101943114615594</v>
      </c>
      <c r="D197" s="14">
        <v>163.34</v>
      </c>
      <c r="E197" s="14">
        <f t="shared" si="7"/>
        <v>99.798374778517768</v>
      </c>
    </row>
    <row r="198" spans="1:5" ht="15.6">
      <c r="A198" s="14">
        <v>16.332999999999998</v>
      </c>
      <c r="B198" s="14">
        <v>174.42</v>
      </c>
      <c r="C198" s="14">
        <f t="shared" si="6"/>
        <v>98.237116305266099</v>
      </c>
      <c r="D198" s="14">
        <v>163.37</v>
      </c>
      <c r="E198" s="14">
        <f t="shared" si="7"/>
        <v>99.816704344107052</v>
      </c>
    </row>
    <row r="199" spans="1:5" ht="15.6">
      <c r="A199" s="14">
        <v>16.417000000000002</v>
      </c>
      <c r="B199" s="14">
        <v>174.64</v>
      </c>
      <c r="C199" s="14">
        <f t="shared" si="6"/>
        <v>98.361025063362419</v>
      </c>
      <c r="D199" s="14">
        <v>163.4</v>
      </c>
      <c r="E199" s="14">
        <f t="shared" si="7"/>
        <v>99.835033909696349</v>
      </c>
    </row>
    <row r="200" spans="1:5" ht="15.6">
      <c r="A200" s="14">
        <v>16.5</v>
      </c>
      <c r="B200" s="14">
        <v>174.86</v>
      </c>
      <c r="C200" s="14">
        <f t="shared" si="6"/>
        <v>98.484933821458739</v>
      </c>
      <c r="D200" s="14">
        <v>163.41999999999999</v>
      </c>
      <c r="E200" s="14">
        <f t="shared" si="7"/>
        <v>99.847253620089205</v>
      </c>
    </row>
    <row r="201" spans="1:5" ht="15.6">
      <c r="A201" s="14">
        <v>16.582999999999998</v>
      </c>
      <c r="B201" s="14">
        <v>175.06</v>
      </c>
      <c r="C201" s="14">
        <f t="shared" si="6"/>
        <v>98.597578147000846</v>
      </c>
      <c r="D201" s="14">
        <v>163.44999999999999</v>
      </c>
      <c r="E201" s="14">
        <f t="shared" si="7"/>
        <v>99.865583185678503</v>
      </c>
    </row>
    <row r="202" spans="1:5" ht="15.6">
      <c r="A202" s="14">
        <v>16.667000000000002</v>
      </c>
      <c r="B202" s="14">
        <v>175.25</v>
      </c>
      <c r="C202" s="14">
        <f t="shared" si="6"/>
        <v>98.704590256265831</v>
      </c>
      <c r="D202" s="14">
        <v>163.46</v>
      </c>
      <c r="E202" s="14">
        <f t="shared" si="7"/>
        <v>99.871693040874945</v>
      </c>
    </row>
    <row r="203" spans="1:5" ht="15.6">
      <c r="A203" s="14">
        <v>16.75</v>
      </c>
      <c r="B203" s="14">
        <v>175.43</v>
      </c>
      <c r="C203" s="14">
        <f t="shared" si="6"/>
        <v>98.805970149253724</v>
      </c>
      <c r="D203" s="14">
        <v>163.47999999999999</v>
      </c>
      <c r="E203" s="14">
        <f t="shared" si="7"/>
        <v>99.8839127512678</v>
      </c>
    </row>
    <row r="204" spans="1:5" ht="15.6">
      <c r="A204" s="14">
        <v>16.832999999999998</v>
      </c>
      <c r="B204" s="14">
        <v>175.61</v>
      </c>
      <c r="C204" s="14">
        <f t="shared" si="6"/>
        <v>98.907350042241632</v>
      </c>
      <c r="D204" s="14">
        <v>163.49</v>
      </c>
      <c r="E204" s="14">
        <f t="shared" si="7"/>
        <v>99.890022606464228</v>
      </c>
    </row>
    <row r="205" spans="1:5" ht="15.6">
      <c r="A205" s="14">
        <v>16.917000000000002</v>
      </c>
      <c r="B205" s="14">
        <v>175.77</v>
      </c>
      <c r="C205" s="14">
        <f t="shared" si="6"/>
        <v>98.997465502675297</v>
      </c>
      <c r="D205" s="14">
        <v>163.5</v>
      </c>
      <c r="E205" s="14">
        <f t="shared" si="7"/>
        <v>99.89613246166067</v>
      </c>
    </row>
    <row r="206" spans="1:5" ht="15.6">
      <c r="A206" s="14">
        <v>17</v>
      </c>
      <c r="B206" s="14">
        <v>175.92</v>
      </c>
      <c r="C206" s="14">
        <f t="shared" si="6"/>
        <v>99.081948746831856</v>
      </c>
      <c r="D206" s="14">
        <v>163.51</v>
      </c>
      <c r="E206" s="14">
        <f t="shared" si="7"/>
        <v>99.902242316857098</v>
      </c>
    </row>
    <row r="207" spans="1:5" ht="15.6">
      <c r="A207" s="14">
        <v>17.082999999999998</v>
      </c>
      <c r="B207" s="14">
        <v>176.07</v>
      </c>
      <c r="C207" s="14">
        <f t="shared" si="6"/>
        <v>99.166431990988443</v>
      </c>
      <c r="D207" s="14">
        <v>163.51</v>
      </c>
      <c r="E207" s="14">
        <f t="shared" si="7"/>
        <v>99.902242316857098</v>
      </c>
    </row>
    <row r="208" spans="1:5" ht="15.6">
      <c r="A208" s="14">
        <v>17.167000000000002</v>
      </c>
      <c r="B208" s="14">
        <v>176.21</v>
      </c>
      <c r="C208" s="14">
        <f t="shared" si="6"/>
        <v>99.245283018867923</v>
      </c>
      <c r="D208" s="14">
        <v>163.52000000000001</v>
      </c>
      <c r="E208" s="14">
        <f t="shared" si="7"/>
        <v>99.90835217205354</v>
      </c>
    </row>
    <row r="209" spans="1:5" ht="15.6">
      <c r="A209" s="14">
        <v>17.25</v>
      </c>
      <c r="B209" s="14">
        <v>176.33</v>
      </c>
      <c r="C209" s="14">
        <f t="shared" si="6"/>
        <v>99.31286961419319</v>
      </c>
      <c r="D209" s="14">
        <v>163.52000000000001</v>
      </c>
      <c r="E209" s="14">
        <f t="shared" si="7"/>
        <v>99.90835217205354</v>
      </c>
    </row>
    <row r="210" spans="1:5" ht="15.6">
      <c r="A210" s="14">
        <v>17.332999999999998</v>
      </c>
      <c r="B210" s="14">
        <v>176.45</v>
      </c>
      <c r="C210" s="14">
        <f t="shared" si="6"/>
        <v>99.380456209518428</v>
      </c>
      <c r="D210" s="14">
        <v>163.52000000000001</v>
      </c>
      <c r="E210" s="14">
        <f t="shared" si="7"/>
        <v>99.90835217205354</v>
      </c>
    </row>
    <row r="211" spans="1:5" ht="15.6">
      <c r="A211" s="14">
        <v>17.417000000000002</v>
      </c>
      <c r="B211" s="14">
        <v>176.57</v>
      </c>
      <c r="C211" s="14">
        <f t="shared" si="6"/>
        <v>99.448042804843695</v>
      </c>
      <c r="D211" s="14">
        <v>163.52000000000001</v>
      </c>
      <c r="E211" s="14">
        <f t="shared" si="7"/>
        <v>99.90835217205354</v>
      </c>
    </row>
    <row r="212" spans="1:5" ht="15.6">
      <c r="A212" s="14">
        <v>17.5</v>
      </c>
      <c r="B212" s="14">
        <v>176.67</v>
      </c>
      <c r="C212" s="14">
        <f t="shared" si="6"/>
        <v>99.504364967614748</v>
      </c>
      <c r="D212" s="14">
        <v>163.53</v>
      </c>
      <c r="E212" s="14">
        <f t="shared" si="7"/>
        <v>99.914462027249968</v>
      </c>
    </row>
    <row r="213" spans="1:5" ht="15.6">
      <c r="A213" s="14">
        <v>17.582999999999998</v>
      </c>
      <c r="B213" s="14">
        <v>176.76</v>
      </c>
      <c r="C213" s="14">
        <f t="shared" si="6"/>
        <v>99.55505491410868</v>
      </c>
      <c r="D213" s="14">
        <v>163.53</v>
      </c>
      <c r="E213" s="14">
        <f t="shared" si="7"/>
        <v>99.914462027249968</v>
      </c>
    </row>
    <row r="214" spans="1:5" ht="15.6">
      <c r="A214" s="14">
        <v>17.667000000000002</v>
      </c>
      <c r="B214" s="14">
        <v>176.85</v>
      </c>
      <c r="C214" s="14">
        <f t="shared" si="6"/>
        <v>99.605744860602641</v>
      </c>
      <c r="D214" s="14">
        <v>163.54</v>
      </c>
      <c r="E214" s="14">
        <f t="shared" si="7"/>
        <v>99.920571882446382</v>
      </c>
    </row>
    <row r="215" spans="1:5" ht="15.6">
      <c r="A215" s="14">
        <v>17.75</v>
      </c>
      <c r="B215" s="14">
        <v>176.92</v>
      </c>
      <c r="C215" s="14">
        <f t="shared" si="6"/>
        <v>99.645170374542374</v>
      </c>
      <c r="D215" s="14">
        <v>163.55000000000001</v>
      </c>
      <c r="E215" s="14">
        <f t="shared" si="7"/>
        <v>99.926681737642838</v>
      </c>
    </row>
    <row r="216" spans="1:5" ht="15.6">
      <c r="A216" s="14">
        <v>17.832999999999998</v>
      </c>
      <c r="B216" s="14">
        <v>176.99</v>
      </c>
      <c r="C216" s="14">
        <f t="shared" si="6"/>
        <v>99.684595888482121</v>
      </c>
      <c r="D216" s="14">
        <v>163.56</v>
      </c>
      <c r="E216" s="14">
        <f t="shared" si="7"/>
        <v>99.932791592839251</v>
      </c>
    </row>
    <row r="217" spans="1:5" ht="15.6">
      <c r="A217" s="14">
        <v>17.917000000000002</v>
      </c>
      <c r="B217" s="14">
        <v>177.04</v>
      </c>
      <c r="C217" s="14">
        <f t="shared" si="6"/>
        <v>99.712756969867627</v>
      </c>
      <c r="D217" s="14">
        <v>163.57</v>
      </c>
      <c r="E217" s="14">
        <f t="shared" si="7"/>
        <v>99.938901448035693</v>
      </c>
    </row>
    <row r="218" spans="1:5" ht="15.6">
      <c r="A218" s="14">
        <v>18</v>
      </c>
      <c r="B218" s="14">
        <v>177.09</v>
      </c>
      <c r="C218" s="14">
        <f t="shared" si="6"/>
        <v>99.740918051253175</v>
      </c>
      <c r="D218" s="14">
        <v>163.57</v>
      </c>
      <c r="E218" s="14">
        <f t="shared" si="7"/>
        <v>99.938901448035693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08A4-BE96-4C58-858A-B2CD185F584B}">
  <dimension ref="A1:Q29"/>
  <sheetViews>
    <sheetView workbookViewId="0">
      <selection activeCell="P32" sqref="P32"/>
    </sheetView>
  </sheetViews>
  <sheetFormatPr defaultRowHeight="14.4"/>
  <cols>
    <col min="1" max="1" width="15.77734375" customWidth="1"/>
    <col min="2" max="2" width="14.21875" customWidth="1"/>
    <col min="3" max="3" width="12" customWidth="1"/>
    <col min="4" max="4" width="16.5546875" customWidth="1"/>
    <col min="5" max="5" width="14.5546875" customWidth="1"/>
    <col min="6" max="6" width="14.44140625" customWidth="1"/>
    <col min="7" max="7" width="15.44140625" customWidth="1"/>
    <col min="14" max="14" width="12.44140625" customWidth="1"/>
  </cols>
  <sheetData>
    <row r="1" spans="1:17" ht="31.2">
      <c r="A1" s="1" t="s">
        <v>36</v>
      </c>
      <c r="B1" s="1" t="s">
        <v>40</v>
      </c>
      <c r="C1" s="1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41" t="s">
        <v>46</v>
      </c>
      <c r="I1" s="42"/>
      <c r="J1" s="42"/>
      <c r="K1" s="42"/>
      <c r="L1" s="43"/>
      <c r="M1" s="2" t="s">
        <v>36</v>
      </c>
      <c r="N1" s="2" t="s">
        <v>22</v>
      </c>
      <c r="O1" s="2" t="s">
        <v>47</v>
      </c>
      <c r="P1" s="2" t="s">
        <v>48</v>
      </c>
      <c r="Q1" s="2" t="s">
        <v>49</v>
      </c>
    </row>
    <row r="2" spans="1:17" ht="16.8">
      <c r="A2" s="3">
        <v>4</v>
      </c>
      <c r="B2" s="3">
        <v>4</v>
      </c>
      <c r="C2" s="3">
        <v>4.2</v>
      </c>
      <c r="D2" s="18">
        <v>-26.052099999999999</v>
      </c>
      <c r="E2" s="18">
        <v>1.2381200000000001</v>
      </c>
      <c r="F2" s="18">
        <v>-0.48848999999999998</v>
      </c>
      <c r="G2" s="18">
        <v>0.50285999999999997</v>
      </c>
      <c r="H2" s="4">
        <v>4</v>
      </c>
      <c r="I2" s="5">
        <v>4.0999999999999996</v>
      </c>
      <c r="J2" s="5">
        <v>4.2</v>
      </c>
      <c r="K2" s="5"/>
      <c r="L2" s="6"/>
      <c r="M2">
        <v>4</v>
      </c>
      <c r="N2">
        <v>-20.656600000000001</v>
      </c>
      <c r="O2">
        <v>1.2476799999999999</v>
      </c>
      <c r="P2">
        <v>-1.0883</v>
      </c>
      <c r="Q2">
        <v>0.44774000000000003</v>
      </c>
    </row>
    <row r="3" spans="1:17" ht="16.8">
      <c r="A3" s="3">
        <v>5</v>
      </c>
      <c r="B3" s="3">
        <v>4.8</v>
      </c>
      <c r="C3" s="3">
        <v>5.2</v>
      </c>
      <c r="D3" s="19">
        <v>-27.994199999999999</v>
      </c>
      <c r="E3" s="19">
        <v>1.1067400000000001</v>
      </c>
      <c r="F3" s="19">
        <v>-0.36274000000000001</v>
      </c>
      <c r="G3" s="19">
        <v>0.53918999999999995</v>
      </c>
      <c r="H3" s="4">
        <v>4.3</v>
      </c>
      <c r="I3" s="5">
        <v>4.4000000000000004</v>
      </c>
      <c r="J3" s="5">
        <v>4.5</v>
      </c>
      <c r="K3" s="5">
        <v>4.5999999999999996</v>
      </c>
      <c r="L3" s="6">
        <v>4.7</v>
      </c>
      <c r="M3">
        <v>4.5</v>
      </c>
      <c r="N3">
        <v>-16.450500000000002</v>
      </c>
      <c r="O3">
        <v>1.22177</v>
      </c>
      <c r="P3">
        <v>-1.03701</v>
      </c>
      <c r="Q3">
        <v>0.41381000000000001</v>
      </c>
    </row>
    <row r="4" spans="1:17" ht="16.8">
      <c r="A4" s="3">
        <v>5.5</v>
      </c>
      <c r="B4" s="3">
        <v>5.3</v>
      </c>
      <c r="C4" s="3">
        <v>5.7</v>
      </c>
      <c r="D4" s="19">
        <v>-28.3354</v>
      </c>
      <c r="E4" s="19">
        <v>1.0748</v>
      </c>
      <c r="F4" s="19">
        <v>-0.32344000000000001</v>
      </c>
      <c r="G4" s="19">
        <v>0.53691</v>
      </c>
      <c r="H4" s="4">
        <v>4.8</v>
      </c>
      <c r="I4" s="5">
        <v>4.9000000000000004</v>
      </c>
      <c r="J4" s="5">
        <v>5</v>
      </c>
      <c r="K4" s="5">
        <v>5.0999999999999996</v>
      </c>
      <c r="L4" s="6">
        <v>5.2</v>
      </c>
      <c r="M4">
        <v>5</v>
      </c>
      <c r="N4">
        <v>-13.045</v>
      </c>
      <c r="O4">
        <v>1.1993199999999999</v>
      </c>
      <c r="P4">
        <v>-0.98160999999999998</v>
      </c>
      <c r="Q4">
        <v>0.38467000000000001</v>
      </c>
    </row>
    <row r="5" spans="1:17" ht="16.8">
      <c r="A5" s="3">
        <v>6</v>
      </c>
      <c r="B5" s="3">
        <v>5.8</v>
      </c>
      <c r="C5" s="3">
        <v>6.2</v>
      </c>
      <c r="D5" s="19">
        <v>-28.229099999999999</v>
      </c>
      <c r="E5" s="19">
        <v>1.0592299999999999</v>
      </c>
      <c r="F5" s="19">
        <v>-0.29648999999999998</v>
      </c>
      <c r="G5" s="19">
        <v>0.52512999999999999</v>
      </c>
      <c r="H5" s="4">
        <v>5.3</v>
      </c>
      <c r="I5" s="5">
        <v>5.4</v>
      </c>
      <c r="J5" s="5">
        <v>5.5</v>
      </c>
      <c r="K5" s="5">
        <v>5.6</v>
      </c>
      <c r="L5" s="6">
        <v>5.7</v>
      </c>
      <c r="M5">
        <v>5.5</v>
      </c>
      <c r="N5">
        <v>-10.510300000000001</v>
      </c>
      <c r="O5">
        <v>1.1788000000000001</v>
      </c>
      <c r="P5">
        <v>-0.92306999999999995</v>
      </c>
      <c r="Q5">
        <v>0.36038999999999999</v>
      </c>
    </row>
    <row r="6" spans="1:17" ht="16.8">
      <c r="A6" s="3">
        <v>6.5</v>
      </c>
      <c r="B6" s="3">
        <v>6.3</v>
      </c>
      <c r="C6" s="3">
        <v>6.7</v>
      </c>
      <c r="D6" s="19">
        <v>-27.996300000000002</v>
      </c>
      <c r="E6" s="19">
        <v>1.05542</v>
      </c>
      <c r="F6" s="19">
        <v>-0.27938000000000002</v>
      </c>
      <c r="G6" s="19">
        <v>0.50692000000000004</v>
      </c>
      <c r="H6" s="4">
        <v>5.8</v>
      </c>
      <c r="I6" s="5">
        <v>5.9</v>
      </c>
      <c r="J6" s="5">
        <v>6</v>
      </c>
      <c r="K6" s="5">
        <v>6.1</v>
      </c>
      <c r="L6" s="6">
        <v>6.2</v>
      </c>
      <c r="M6">
        <v>6</v>
      </c>
      <c r="N6">
        <v>-8.9163999999999994</v>
      </c>
      <c r="O6">
        <v>1.15866</v>
      </c>
      <c r="P6">
        <v>-0.86236000000000002</v>
      </c>
      <c r="Q6">
        <v>0.34105000000000002</v>
      </c>
    </row>
    <row r="7" spans="1:17" ht="16.8">
      <c r="A7" s="3">
        <v>7</v>
      </c>
      <c r="B7" s="3">
        <v>6.8</v>
      </c>
      <c r="C7" s="3">
        <v>7.2</v>
      </c>
      <c r="D7" s="19">
        <v>-27.9361</v>
      </c>
      <c r="E7" s="19">
        <v>1.05877</v>
      </c>
      <c r="F7" s="19">
        <v>-0.26959</v>
      </c>
      <c r="G7" s="19">
        <v>0.48537999999999998</v>
      </c>
      <c r="H7" s="4">
        <v>6.3</v>
      </c>
      <c r="I7" s="5">
        <v>6.4</v>
      </c>
      <c r="J7" s="5">
        <v>6.5</v>
      </c>
      <c r="K7" s="5">
        <v>6.6</v>
      </c>
      <c r="L7" s="6">
        <v>6.7</v>
      </c>
      <c r="M7">
        <v>6.5</v>
      </c>
      <c r="N7">
        <v>-7.9837999999999996</v>
      </c>
      <c r="O7">
        <v>1.13737</v>
      </c>
      <c r="P7">
        <v>-0.80042999999999997</v>
      </c>
      <c r="Q7">
        <v>0.32672000000000001</v>
      </c>
    </row>
    <row r="8" spans="1:17" ht="16.8">
      <c r="A8" s="3">
        <v>7.5</v>
      </c>
      <c r="B8" s="3">
        <v>7.3</v>
      </c>
      <c r="C8" s="3">
        <v>7.7</v>
      </c>
      <c r="D8" s="19">
        <v>-27.994299999999999</v>
      </c>
      <c r="E8" s="19">
        <v>1.06467</v>
      </c>
      <c r="F8" s="19">
        <v>-0.26462000000000002</v>
      </c>
      <c r="G8" s="19">
        <v>0.46361000000000002</v>
      </c>
      <c r="H8" s="4">
        <v>6.8</v>
      </c>
      <c r="I8" s="5">
        <v>6.9</v>
      </c>
      <c r="J8" s="5">
        <v>7</v>
      </c>
      <c r="K8" s="5">
        <v>7.1</v>
      </c>
      <c r="L8" s="6">
        <v>7.2</v>
      </c>
      <c r="M8">
        <v>7</v>
      </c>
      <c r="N8">
        <v>-7.3061999999999996</v>
      </c>
      <c r="O8">
        <v>1.1134200000000001</v>
      </c>
      <c r="P8">
        <v>-0.73826000000000003</v>
      </c>
      <c r="Q8">
        <v>0.31747999999999998</v>
      </c>
    </row>
    <row r="9" spans="1:17" ht="16.8">
      <c r="A9" s="3">
        <v>8</v>
      </c>
      <c r="B9" s="3">
        <v>7.8</v>
      </c>
      <c r="C9" s="3">
        <v>8.1999999999999993</v>
      </c>
      <c r="D9" s="19">
        <v>-28.116900000000001</v>
      </c>
      <c r="E9" s="19">
        <v>1.06853</v>
      </c>
      <c r="F9" s="19">
        <v>-0.26194000000000001</v>
      </c>
      <c r="G9" s="19">
        <v>0.44468999999999997</v>
      </c>
      <c r="H9" s="7">
        <v>7.3</v>
      </c>
      <c r="I9" s="5">
        <v>7.4</v>
      </c>
      <c r="J9" s="8">
        <v>7.5</v>
      </c>
      <c r="K9" s="5">
        <v>7.6</v>
      </c>
      <c r="L9" s="9">
        <v>7.7</v>
      </c>
      <c r="M9">
        <v>7.5</v>
      </c>
      <c r="N9">
        <v>-6.7637999999999998</v>
      </c>
      <c r="O9">
        <v>1.08525</v>
      </c>
      <c r="P9">
        <v>-0.67679999999999996</v>
      </c>
      <c r="Q9">
        <v>0.31340000000000001</v>
      </c>
    </row>
    <row r="10" spans="1:17" ht="16.8">
      <c r="A10" s="3">
        <v>8.5</v>
      </c>
      <c r="B10" s="3">
        <v>8.3000000000000007</v>
      </c>
      <c r="C10" s="3">
        <v>8.6999999999999993</v>
      </c>
      <c r="D10" s="19">
        <v>-28.2499</v>
      </c>
      <c r="E10" s="19">
        <v>1.06572</v>
      </c>
      <c r="F10" s="19">
        <v>-0.25905</v>
      </c>
      <c r="G10" s="19">
        <v>0.43170999999999998</v>
      </c>
      <c r="H10" s="7">
        <v>7.8</v>
      </c>
      <c r="I10" s="5">
        <v>7.9</v>
      </c>
      <c r="J10" s="8">
        <v>8</v>
      </c>
      <c r="K10" s="5">
        <v>8.1</v>
      </c>
      <c r="L10" s="9">
        <v>8.1999999999999993</v>
      </c>
      <c r="M10">
        <v>8</v>
      </c>
      <c r="N10">
        <v>-6.2371999999999996</v>
      </c>
      <c r="O10">
        <v>1.05135</v>
      </c>
      <c r="P10">
        <v>-0.61704000000000003</v>
      </c>
      <c r="Q10">
        <v>0.31457000000000002</v>
      </c>
    </row>
    <row r="11" spans="1:17" ht="16.8">
      <c r="A11" s="3">
        <v>9</v>
      </c>
      <c r="B11" s="3">
        <v>8.8000000000000007</v>
      </c>
      <c r="C11" s="3">
        <v>9.1999999999999993</v>
      </c>
      <c r="D11" s="19">
        <v>-28.339200000000002</v>
      </c>
      <c r="E11" s="19">
        <v>1.05166</v>
      </c>
      <c r="F11" s="19">
        <v>-0.25341000000000002</v>
      </c>
      <c r="G11" s="19">
        <v>0.42775999999999997</v>
      </c>
      <c r="H11" s="7">
        <v>8.3000000000000007</v>
      </c>
      <c r="I11" s="5">
        <v>8.4</v>
      </c>
      <c r="J11" s="8">
        <v>8.5</v>
      </c>
      <c r="K11" s="5">
        <v>8.6</v>
      </c>
      <c r="L11" s="9">
        <v>8.6999999999999993</v>
      </c>
      <c r="M11">
        <v>8.5</v>
      </c>
      <c r="N11">
        <v>-5.6064999999999996</v>
      </c>
      <c r="O11">
        <v>1.0101800000000001</v>
      </c>
      <c r="P11">
        <v>-0.55993000000000004</v>
      </c>
      <c r="Q11">
        <v>0.32105</v>
      </c>
    </row>
    <row r="12" spans="1:17" ht="16.8">
      <c r="A12" s="3">
        <v>9.5</v>
      </c>
      <c r="B12" s="3">
        <v>9.3000000000000007</v>
      </c>
      <c r="C12" s="3">
        <v>9.6999999999999993</v>
      </c>
      <c r="D12" s="19">
        <v>-28.297000000000001</v>
      </c>
      <c r="E12" s="19">
        <v>1.0217400000000001</v>
      </c>
      <c r="F12" s="19">
        <v>-0.24253</v>
      </c>
      <c r="G12" s="19">
        <v>0.43592999999999998</v>
      </c>
      <c r="H12" s="7">
        <v>8.8000000000000007</v>
      </c>
      <c r="I12" s="5">
        <v>8.9</v>
      </c>
      <c r="J12" s="8">
        <v>9</v>
      </c>
      <c r="K12" s="5">
        <v>9.1</v>
      </c>
      <c r="L12" s="9">
        <v>9.1999999999999993</v>
      </c>
      <c r="M12">
        <v>9</v>
      </c>
      <c r="N12">
        <v>-4.7523</v>
      </c>
      <c r="O12">
        <v>0.96020000000000005</v>
      </c>
      <c r="P12">
        <v>-0.50644</v>
      </c>
      <c r="Q12">
        <v>0.33290999999999998</v>
      </c>
    </row>
    <row r="13" spans="1:17" ht="16.8">
      <c r="A13" s="3">
        <v>10</v>
      </c>
      <c r="B13" s="3">
        <v>9.8000000000000007</v>
      </c>
      <c r="C13" s="3">
        <v>10.199999999999999</v>
      </c>
      <c r="D13" s="19">
        <v>-28.0365</v>
      </c>
      <c r="E13" s="19">
        <v>0.97135000000000005</v>
      </c>
      <c r="F13" s="19">
        <v>-0.22388</v>
      </c>
      <c r="G13" s="19">
        <v>0.45932000000000001</v>
      </c>
      <c r="H13" s="7">
        <v>9.3000000000000007</v>
      </c>
      <c r="I13" s="5">
        <v>9.4</v>
      </c>
      <c r="J13" s="8">
        <v>9.5</v>
      </c>
      <c r="K13" s="5">
        <v>9.6</v>
      </c>
      <c r="L13" s="9">
        <v>9.6999999999999993</v>
      </c>
      <c r="M13">
        <v>9.5</v>
      </c>
      <c r="N13">
        <v>-2.7008000000000001</v>
      </c>
      <c r="O13">
        <v>0.89988999999999997</v>
      </c>
      <c r="P13">
        <v>-0.45754</v>
      </c>
      <c r="Q13">
        <v>0.35025000000000001</v>
      </c>
    </row>
    <row r="14" spans="1:17" ht="16.8">
      <c r="A14" s="3">
        <v>10.5</v>
      </c>
      <c r="B14" s="3">
        <v>10.3</v>
      </c>
      <c r="C14" s="3">
        <v>10.7</v>
      </c>
      <c r="D14" s="19">
        <v>-27.5047</v>
      </c>
      <c r="E14" s="19">
        <v>0.89588999999999996</v>
      </c>
      <c r="F14" s="19">
        <v>-0.19495000000000001</v>
      </c>
      <c r="G14" s="19">
        <v>0.50100999999999996</v>
      </c>
      <c r="H14" s="7">
        <v>9.8000000000000007</v>
      </c>
      <c r="I14" s="5">
        <v>9.9</v>
      </c>
      <c r="J14" s="8">
        <v>10</v>
      </c>
      <c r="K14" s="5">
        <v>10.1</v>
      </c>
      <c r="L14" s="9">
        <v>10.199999999999999</v>
      </c>
      <c r="M14">
        <v>10</v>
      </c>
      <c r="N14">
        <v>0.85009999999999997</v>
      </c>
      <c r="O14">
        <v>0.82770999999999995</v>
      </c>
      <c r="P14">
        <v>-0.41419</v>
      </c>
      <c r="Q14">
        <v>0.37312000000000001</v>
      </c>
    </row>
    <row r="15" spans="1:17" ht="16.8">
      <c r="A15" s="3">
        <v>11</v>
      </c>
      <c r="B15" s="3">
        <v>10.8</v>
      </c>
      <c r="C15" s="3">
        <v>11.2</v>
      </c>
      <c r="D15" s="19">
        <v>-26.649000000000001</v>
      </c>
      <c r="E15" s="19">
        <v>0.81238999999999995</v>
      </c>
      <c r="F15" s="19">
        <v>-0.16267000000000001</v>
      </c>
      <c r="G15" s="19">
        <v>0.54781000000000002</v>
      </c>
      <c r="H15" s="7">
        <v>10.3</v>
      </c>
      <c r="I15" s="5">
        <v>10.4</v>
      </c>
      <c r="J15" s="8">
        <v>10.5</v>
      </c>
      <c r="K15" s="5">
        <v>10.6</v>
      </c>
      <c r="L15" s="9">
        <v>10.7</v>
      </c>
      <c r="M15">
        <v>10.5</v>
      </c>
      <c r="N15">
        <v>5.0130999999999997</v>
      </c>
      <c r="O15">
        <v>0.74212999999999996</v>
      </c>
      <c r="P15">
        <v>-0.37735999999999997</v>
      </c>
      <c r="Q15">
        <v>0.40161000000000002</v>
      </c>
    </row>
    <row r="16" spans="1:17" ht="16.8">
      <c r="A16" s="3">
        <v>11.5</v>
      </c>
      <c r="B16" s="3">
        <v>11.3</v>
      </c>
      <c r="C16" s="3">
        <v>11.7</v>
      </c>
      <c r="D16" s="19">
        <v>-25.416499999999999</v>
      </c>
      <c r="E16" s="19">
        <v>0.74134</v>
      </c>
      <c r="F16" s="19">
        <v>-0.13533000000000001</v>
      </c>
      <c r="G16" s="19">
        <v>0.58409</v>
      </c>
      <c r="H16" s="7">
        <v>10.8</v>
      </c>
      <c r="I16" s="5">
        <v>10.9</v>
      </c>
      <c r="J16" s="8">
        <v>11</v>
      </c>
      <c r="K16" s="5">
        <v>11.1</v>
      </c>
      <c r="L16" s="9">
        <v>11.2</v>
      </c>
      <c r="M16">
        <v>11</v>
      </c>
      <c r="N16">
        <v>8.9010999999999996</v>
      </c>
      <c r="O16">
        <v>0.67173000000000005</v>
      </c>
      <c r="P16">
        <v>-0.34356999999999999</v>
      </c>
      <c r="Q16">
        <v>0.42042000000000002</v>
      </c>
    </row>
    <row r="17" spans="1:17" ht="16.8">
      <c r="A17" s="3">
        <v>12</v>
      </c>
      <c r="B17" s="3">
        <v>11.8</v>
      </c>
      <c r="C17" s="3">
        <v>12.2</v>
      </c>
      <c r="D17" s="19">
        <v>-23.7546</v>
      </c>
      <c r="E17" s="19">
        <v>0.68325000000000002</v>
      </c>
      <c r="F17" s="19">
        <v>-0.11242000000000001</v>
      </c>
      <c r="G17" s="19">
        <v>0.60926999999999998</v>
      </c>
      <c r="H17" s="7">
        <v>11.3</v>
      </c>
      <c r="I17" s="5">
        <v>11.4</v>
      </c>
      <c r="J17" s="8">
        <v>11.5</v>
      </c>
      <c r="K17" s="5">
        <v>11.6</v>
      </c>
      <c r="L17" s="9">
        <v>11.7</v>
      </c>
      <c r="M17">
        <v>11.5</v>
      </c>
      <c r="N17">
        <v>11.626799999999999</v>
      </c>
      <c r="O17">
        <v>0.64149999999999996</v>
      </c>
      <c r="P17">
        <v>-0.30897999999999998</v>
      </c>
      <c r="Q17">
        <v>0.41686000000000001</v>
      </c>
    </row>
    <row r="18" spans="1:17" ht="16.8">
      <c r="A18" s="3">
        <v>12.5</v>
      </c>
      <c r="B18" s="3">
        <v>12.3</v>
      </c>
      <c r="C18" s="3">
        <v>12.7</v>
      </c>
      <c r="D18" s="19">
        <v>-21.858000000000001</v>
      </c>
      <c r="E18" s="19">
        <v>0.63868999999999998</v>
      </c>
      <c r="F18" s="19">
        <v>-9.3410000000000007E-2</v>
      </c>
      <c r="G18" s="19">
        <v>0.62278999999999995</v>
      </c>
      <c r="H18" s="4">
        <v>11.8</v>
      </c>
      <c r="I18" s="5">
        <v>11.9</v>
      </c>
      <c r="J18" s="5">
        <v>12</v>
      </c>
      <c r="K18" s="5">
        <v>12.1</v>
      </c>
      <c r="L18" s="6">
        <v>12.2</v>
      </c>
      <c r="M18">
        <v>12</v>
      </c>
      <c r="N18">
        <v>12.302899999999999</v>
      </c>
      <c r="O18">
        <v>0.64451999999999998</v>
      </c>
      <c r="P18">
        <v>-0.27405000000000002</v>
      </c>
      <c r="Q18">
        <v>0.39489999999999997</v>
      </c>
    </row>
    <row r="19" spans="1:17" ht="16.8">
      <c r="A19" s="3">
        <v>13</v>
      </c>
      <c r="B19" s="3">
        <v>12.8</v>
      </c>
      <c r="C19" s="3">
        <v>13.2</v>
      </c>
      <c r="D19" s="19">
        <v>-19.9726</v>
      </c>
      <c r="E19" s="19">
        <v>0.60818000000000005</v>
      </c>
      <c r="F19" s="19">
        <v>-7.7810000000000004E-2</v>
      </c>
      <c r="G19" s="19">
        <v>0.62407000000000001</v>
      </c>
      <c r="H19" s="4">
        <v>12.3</v>
      </c>
      <c r="I19" s="5">
        <v>12.4</v>
      </c>
      <c r="J19" s="5">
        <v>12.5</v>
      </c>
      <c r="K19" s="5">
        <v>12.6</v>
      </c>
      <c r="L19" s="6">
        <v>12.7</v>
      </c>
      <c r="M19">
        <v>12.5</v>
      </c>
      <c r="N19">
        <v>10.867900000000001</v>
      </c>
      <c r="O19">
        <v>0.67386000000000001</v>
      </c>
      <c r="P19">
        <v>-0.23924000000000001</v>
      </c>
      <c r="Q19">
        <v>0.35849999999999999</v>
      </c>
    </row>
    <row r="20" spans="1:17" ht="16.8">
      <c r="A20" s="3">
        <v>13.5</v>
      </c>
      <c r="B20" s="3">
        <v>13.3</v>
      </c>
      <c r="C20" s="3">
        <v>13.7</v>
      </c>
      <c r="D20" s="19">
        <v>-18.122499999999999</v>
      </c>
      <c r="E20" s="19">
        <v>0.59228000000000003</v>
      </c>
      <c r="F20" s="19">
        <v>-6.5089999999999995E-2</v>
      </c>
      <c r="G20" s="19">
        <v>0.61253000000000002</v>
      </c>
      <c r="H20" s="4">
        <v>12.8</v>
      </c>
      <c r="I20" s="5">
        <v>12.9</v>
      </c>
      <c r="J20" s="5">
        <v>13</v>
      </c>
      <c r="K20" s="5">
        <v>13.1</v>
      </c>
      <c r="L20" s="6">
        <v>13.2</v>
      </c>
      <c r="M20">
        <v>13</v>
      </c>
      <c r="N20">
        <v>8.1639999999999997</v>
      </c>
      <c r="O20">
        <v>0.72260000000000002</v>
      </c>
      <c r="P20">
        <v>-0.20499000000000001</v>
      </c>
      <c r="Q20">
        <v>0.31163000000000002</v>
      </c>
    </row>
    <row r="21" spans="1:17" ht="16.8">
      <c r="A21" s="3">
        <v>14</v>
      </c>
      <c r="B21" s="3">
        <v>13.8</v>
      </c>
      <c r="C21" s="3">
        <v>14.2</v>
      </c>
      <c r="D21" s="19">
        <v>-16.331900000000001</v>
      </c>
      <c r="E21" s="19">
        <v>0.59150999999999998</v>
      </c>
      <c r="F21" s="19">
        <v>-5.4739999999999997E-2</v>
      </c>
      <c r="G21" s="19">
        <v>0.58762000000000003</v>
      </c>
      <c r="H21" s="4">
        <v>13.3</v>
      </c>
      <c r="I21" s="5">
        <v>13.4</v>
      </c>
      <c r="J21" s="5">
        <v>13.5</v>
      </c>
      <c r="K21" s="5">
        <v>13.6</v>
      </c>
      <c r="L21" s="6">
        <v>13.7</v>
      </c>
      <c r="M21">
        <v>13.5</v>
      </c>
      <c r="N21">
        <v>4.6597999999999997</v>
      </c>
      <c r="O21">
        <v>0.78383000000000003</v>
      </c>
      <c r="P21">
        <v>-0.17175000000000001</v>
      </c>
      <c r="Q21">
        <v>0.25825999999999999</v>
      </c>
    </row>
    <row r="22" spans="1:17" ht="16.8">
      <c r="A22" s="3">
        <v>14.5</v>
      </c>
      <c r="B22" s="3">
        <v>14.3</v>
      </c>
      <c r="C22" s="3">
        <v>14.7</v>
      </c>
      <c r="D22" s="19">
        <v>-14.6249</v>
      </c>
      <c r="E22" s="19">
        <v>0.60643000000000002</v>
      </c>
      <c r="F22" s="19">
        <v>-4.6260000000000003E-2</v>
      </c>
      <c r="G22" s="19">
        <v>0.54874999999999996</v>
      </c>
      <c r="H22" s="4">
        <v>13.8</v>
      </c>
      <c r="I22" s="5">
        <v>13.9</v>
      </c>
      <c r="J22" s="5">
        <v>14</v>
      </c>
      <c r="K22" s="5">
        <v>14.1</v>
      </c>
      <c r="L22" s="6">
        <v>14.2</v>
      </c>
      <c r="M22">
        <v>14</v>
      </c>
      <c r="N22">
        <v>0.8236</v>
      </c>
      <c r="O22">
        <v>0.85062000000000004</v>
      </c>
      <c r="P22">
        <v>-0.13999</v>
      </c>
      <c r="Q22">
        <v>0.20235</v>
      </c>
    </row>
    <row r="23" spans="1:17" ht="16.8">
      <c r="A23" s="3">
        <v>15</v>
      </c>
      <c r="B23" s="3">
        <v>14.8</v>
      </c>
      <c r="C23" s="3">
        <v>15.2</v>
      </c>
      <c r="D23" s="19">
        <v>-13.025600000000001</v>
      </c>
      <c r="E23" s="19">
        <v>0.63756999999999997</v>
      </c>
      <c r="F23" s="19">
        <v>-3.9129999999999998E-2</v>
      </c>
      <c r="G23" s="19">
        <v>0.49536000000000002</v>
      </c>
      <c r="H23" s="4">
        <v>14.3</v>
      </c>
      <c r="I23" s="5">
        <v>14.4</v>
      </c>
      <c r="J23" s="5">
        <v>14.5</v>
      </c>
      <c r="K23" s="5">
        <v>14.6</v>
      </c>
      <c r="L23" s="6">
        <v>14.7</v>
      </c>
      <c r="M23">
        <v>14.5</v>
      </c>
      <c r="N23">
        <v>-2.8759000000000001</v>
      </c>
      <c r="O23">
        <v>0.91605000000000003</v>
      </c>
      <c r="P23">
        <v>-0.11015</v>
      </c>
      <c r="Q23">
        <v>0.14787</v>
      </c>
    </row>
    <row r="24" spans="1:17" ht="16.8">
      <c r="A24" s="3">
        <v>15.5</v>
      </c>
      <c r="B24" s="3">
        <v>15.3</v>
      </c>
      <c r="C24" s="3">
        <v>15.7</v>
      </c>
      <c r="D24" s="19">
        <v>-11.4535</v>
      </c>
      <c r="E24" s="19">
        <v>0.68547999999999998</v>
      </c>
      <c r="F24" s="19">
        <v>-3.2829999999999998E-2</v>
      </c>
      <c r="G24" s="19">
        <v>0.42687000000000003</v>
      </c>
      <c r="H24" s="4">
        <v>14.8</v>
      </c>
      <c r="I24" s="5">
        <v>14.9</v>
      </c>
      <c r="J24" s="5">
        <v>15</v>
      </c>
      <c r="K24" s="5">
        <v>15.1</v>
      </c>
      <c r="L24" s="6">
        <v>15.2</v>
      </c>
      <c r="M24">
        <v>15</v>
      </c>
      <c r="N24">
        <v>-5.9703999999999997</v>
      </c>
      <c r="O24">
        <v>0.97319</v>
      </c>
      <c r="P24">
        <v>-8.2680000000000003E-2</v>
      </c>
      <c r="Q24">
        <v>9.8799999999999999E-2</v>
      </c>
    </row>
    <row r="25" spans="1:17" ht="16.8">
      <c r="A25" s="3">
        <v>16</v>
      </c>
      <c r="B25" s="3">
        <v>15.8</v>
      </c>
      <c r="C25" s="3">
        <v>16.2</v>
      </c>
      <c r="D25" s="19">
        <v>-9.9801000000000002</v>
      </c>
      <c r="E25" s="19">
        <v>0.75068999999999997</v>
      </c>
      <c r="F25" s="19">
        <v>-2.6849999999999999E-2</v>
      </c>
      <c r="G25" s="19">
        <v>0.34271000000000001</v>
      </c>
      <c r="H25" s="4">
        <v>15.3</v>
      </c>
      <c r="I25" s="5">
        <v>15.4</v>
      </c>
      <c r="J25" s="5">
        <v>15.5</v>
      </c>
      <c r="K25" s="5">
        <v>15.6</v>
      </c>
      <c r="L25" s="6">
        <v>15.7</v>
      </c>
      <c r="M25">
        <v>15.5</v>
      </c>
      <c r="N25">
        <v>-7.8822999999999999</v>
      </c>
      <c r="O25">
        <v>1.0151399999999999</v>
      </c>
      <c r="P25">
        <v>-5.8049999999999997E-2</v>
      </c>
      <c r="Q25">
        <v>5.9089999999999997E-2</v>
      </c>
    </row>
    <row r="26" spans="1:17" ht="16.8">
      <c r="A26" s="3">
        <v>16.5</v>
      </c>
      <c r="B26" s="3">
        <v>16.3</v>
      </c>
      <c r="C26" s="3">
        <v>16.7</v>
      </c>
      <c r="D26" s="19">
        <v>-8.8576999999999995</v>
      </c>
      <c r="E26" s="19">
        <v>0.83374999999999999</v>
      </c>
      <c r="F26" s="19">
        <v>-2.069E-2</v>
      </c>
      <c r="G26" s="19">
        <v>0.24231</v>
      </c>
      <c r="H26" s="4">
        <v>15.8</v>
      </c>
      <c r="I26" s="5">
        <v>15.9</v>
      </c>
      <c r="J26" s="5">
        <v>16</v>
      </c>
      <c r="K26" s="5">
        <v>16.100000000000001</v>
      </c>
      <c r="L26" s="6">
        <v>16.2</v>
      </c>
      <c r="M26">
        <v>16</v>
      </c>
      <c r="N26">
        <v>-8.0742999999999991</v>
      </c>
      <c r="O26">
        <v>1.0349600000000001</v>
      </c>
      <c r="P26">
        <v>-3.669E-2</v>
      </c>
      <c r="Q26">
        <v>3.2719999999999999E-2</v>
      </c>
    </row>
    <row r="27" spans="1:17" ht="16.8">
      <c r="A27" s="3">
        <v>17</v>
      </c>
      <c r="B27" s="3">
        <v>16.8</v>
      </c>
      <c r="C27" s="3">
        <v>17.2</v>
      </c>
      <c r="D27" s="19">
        <v>-8.3388000000000009</v>
      </c>
      <c r="E27" s="19">
        <v>0.93520000000000003</v>
      </c>
      <c r="F27" s="19">
        <v>-1.383E-2</v>
      </c>
      <c r="G27" s="19">
        <v>0.12509999999999999</v>
      </c>
      <c r="H27" s="4">
        <v>16.3</v>
      </c>
      <c r="I27" s="5">
        <v>16.399999999999999</v>
      </c>
      <c r="J27" s="5">
        <v>16.5</v>
      </c>
      <c r="K27" s="5">
        <v>16.600000000000001</v>
      </c>
      <c r="L27" s="6">
        <v>16.7</v>
      </c>
      <c r="M27">
        <v>16.5</v>
      </c>
      <c r="N27">
        <v>-6.1380999999999997</v>
      </c>
      <c r="O27">
        <v>1.02573</v>
      </c>
      <c r="P27">
        <v>-1.9060000000000001E-2</v>
      </c>
      <c r="Q27">
        <v>2.3640000000000001E-2</v>
      </c>
    </row>
    <row r="28" spans="1:17" ht="16.8">
      <c r="A28" s="3">
        <v>17.5</v>
      </c>
      <c r="B28" s="3">
        <v>17.3</v>
      </c>
      <c r="C28" s="3">
        <v>17.7</v>
      </c>
      <c r="D28" s="19">
        <v>-8.6755999999999993</v>
      </c>
      <c r="E28" s="19">
        <v>1.05558</v>
      </c>
      <c r="F28" s="19">
        <v>-5.7499999999999999E-3</v>
      </c>
      <c r="G28" s="19">
        <v>-9.4999999999999998E-3</v>
      </c>
      <c r="H28" s="4">
        <v>16.8</v>
      </c>
      <c r="I28" s="5">
        <v>16.899999999999999</v>
      </c>
      <c r="J28" s="5">
        <v>17</v>
      </c>
      <c r="K28" s="5">
        <v>17.100000000000001</v>
      </c>
      <c r="L28" s="6">
        <v>17.2</v>
      </c>
      <c r="M28">
        <v>17</v>
      </c>
      <c r="N28">
        <v>-1.6657</v>
      </c>
      <c r="O28">
        <v>0.98053999999999997</v>
      </c>
      <c r="P28">
        <v>-5.62E-3</v>
      </c>
      <c r="Q28">
        <v>3.5839999999999997E-2</v>
      </c>
    </row>
    <row r="29" spans="1:17" ht="17.399999999999999" thickBot="1">
      <c r="D29" s="19"/>
      <c r="E29" s="19"/>
      <c r="F29" s="19"/>
      <c r="G29" s="19"/>
      <c r="H29" s="10">
        <v>17.3</v>
      </c>
      <c r="I29" s="11">
        <v>17.399999999999999</v>
      </c>
      <c r="J29" s="11">
        <v>17.5</v>
      </c>
      <c r="K29" s="11">
        <v>17.600000000000001</v>
      </c>
      <c r="L29" s="12">
        <v>17.7</v>
      </c>
      <c r="M29">
        <v>17.5</v>
      </c>
      <c r="N29">
        <v>5.7512999999999996</v>
      </c>
      <c r="O29">
        <v>0.89246000000000003</v>
      </c>
      <c r="P29">
        <v>3.1800000000000001E-3</v>
      </c>
      <c r="Q29">
        <v>7.3270000000000002E-2</v>
      </c>
    </row>
  </sheetData>
  <mergeCells count="1"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Errors</vt:lpstr>
      <vt:lpstr>SA</vt:lpstr>
      <vt:lpstr>Metric coefficients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keenan Dundas</dc:creator>
  <cp:keywords/>
  <dc:description/>
  <cp:lastModifiedBy>Kenneth Mcmillan</cp:lastModifiedBy>
  <cp:revision/>
  <dcterms:created xsi:type="dcterms:W3CDTF">2025-01-19T11:29:02Z</dcterms:created>
  <dcterms:modified xsi:type="dcterms:W3CDTF">2025-02-07T15:11:50Z</dcterms:modified>
  <cp:category/>
  <cp:contentStatus/>
</cp:coreProperties>
</file>