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QB Data" sheetId="1" r:id="rId1"/>
    <sheet name="QB Summary" sheetId="4" r:id="rId2"/>
    <sheet name="RB Data" sheetId="7" r:id="rId3"/>
    <sheet name="RB Data (old)" sheetId="5" r:id="rId4"/>
    <sheet name="RB Summary" sheetId="6" r:id="rId5"/>
    <sheet name="Sheet2" sheetId="2" r:id="rId6"/>
    <sheet name="Sheet3" sheetId="3" r:id="rId7"/>
  </sheets>
  <calcPr calcId="145621"/>
</workbook>
</file>

<file path=xl/calcChain.xml><?xml version="1.0" encoding="utf-8"?>
<calcChain xmlns="http://schemas.openxmlformats.org/spreadsheetml/2006/main">
  <c r="D22" i="1" l="1"/>
  <c r="L16" i="7" l="1"/>
  <c r="M16" i="7"/>
  <c r="N16" i="7"/>
  <c r="O16" i="7"/>
  <c r="P16" i="7"/>
  <c r="Q16" i="7"/>
  <c r="L11" i="7"/>
  <c r="M11" i="7"/>
  <c r="N11" i="7"/>
  <c r="O11" i="7"/>
  <c r="P11" i="7"/>
  <c r="Q11" i="7"/>
  <c r="L8" i="7"/>
  <c r="M8" i="7"/>
  <c r="N8" i="7"/>
  <c r="O8" i="7"/>
  <c r="P8" i="7"/>
  <c r="Q8" i="7"/>
  <c r="L19" i="7"/>
  <c r="M19" i="7"/>
  <c r="N19" i="7"/>
  <c r="O19" i="7"/>
  <c r="P19" i="7"/>
  <c r="Q19" i="7"/>
  <c r="L15" i="7"/>
  <c r="M15" i="7"/>
  <c r="N15" i="7"/>
  <c r="O15" i="7"/>
  <c r="P15" i="7"/>
  <c r="Q15" i="7"/>
  <c r="L6" i="7"/>
  <c r="M6" i="7"/>
  <c r="N6" i="7"/>
  <c r="O6" i="7"/>
  <c r="P6" i="7"/>
  <c r="Q6" i="7"/>
  <c r="L20" i="7"/>
  <c r="M20" i="7"/>
  <c r="N20" i="7"/>
  <c r="O20" i="7"/>
  <c r="P20" i="7"/>
  <c r="Q20" i="7"/>
  <c r="L12" i="7"/>
  <c r="M12" i="7"/>
  <c r="N12" i="7"/>
  <c r="O12" i="7"/>
  <c r="P12" i="7"/>
  <c r="Q12" i="7"/>
  <c r="L14" i="7"/>
  <c r="M14" i="7"/>
  <c r="N14" i="7"/>
  <c r="O14" i="7"/>
  <c r="P14" i="7"/>
  <c r="Q14" i="7"/>
  <c r="L2" i="7"/>
  <c r="M2" i="7"/>
  <c r="N2" i="7"/>
  <c r="O2" i="7"/>
  <c r="P2" i="7"/>
  <c r="Q2" i="7"/>
  <c r="L22" i="7"/>
  <c r="M22" i="7"/>
  <c r="N22" i="7"/>
  <c r="O22" i="7"/>
  <c r="P22" i="7"/>
  <c r="Q22" i="7"/>
  <c r="L24" i="7"/>
  <c r="M24" i="7"/>
  <c r="N24" i="7"/>
  <c r="O24" i="7"/>
  <c r="P24" i="7"/>
  <c r="Q24" i="7"/>
  <c r="L17" i="7"/>
  <c r="M17" i="7"/>
  <c r="N17" i="7"/>
  <c r="O17" i="7"/>
  <c r="P17" i="7"/>
  <c r="Q17" i="7"/>
  <c r="L5" i="7"/>
  <c r="M5" i="7"/>
  <c r="N5" i="7"/>
  <c r="O5" i="7"/>
  <c r="P5" i="7"/>
  <c r="Q5" i="7"/>
  <c r="L4" i="7"/>
  <c r="M4" i="7"/>
  <c r="N4" i="7"/>
  <c r="O4" i="7"/>
  <c r="P4" i="7"/>
  <c r="Q4" i="7"/>
  <c r="L3" i="7"/>
  <c r="M3" i="7"/>
  <c r="N3" i="7"/>
  <c r="O3" i="7"/>
  <c r="P3" i="7"/>
  <c r="Q3" i="7"/>
  <c r="L9" i="7"/>
  <c r="M9" i="7"/>
  <c r="N9" i="7"/>
  <c r="O9" i="7"/>
  <c r="P9" i="7"/>
  <c r="Q9" i="7"/>
  <c r="L18" i="7"/>
  <c r="M18" i="7"/>
  <c r="N18" i="7"/>
  <c r="O18" i="7"/>
  <c r="P18" i="7"/>
  <c r="Q18" i="7"/>
  <c r="L13" i="7"/>
  <c r="M13" i="7"/>
  <c r="N13" i="7"/>
  <c r="O13" i="7"/>
  <c r="P13" i="7"/>
  <c r="Q13" i="7"/>
  <c r="L21" i="7"/>
  <c r="M21" i="7"/>
  <c r="N21" i="7"/>
  <c r="O21" i="7"/>
  <c r="P21" i="7"/>
  <c r="Q21" i="7"/>
  <c r="L10" i="7"/>
  <c r="M10" i="7"/>
  <c r="N10" i="7"/>
  <c r="O10" i="7"/>
  <c r="P10" i="7"/>
  <c r="Q10" i="7"/>
  <c r="L7" i="7"/>
  <c r="M7" i="7"/>
  <c r="N7" i="7"/>
  <c r="O7" i="7"/>
  <c r="P7" i="7"/>
  <c r="Q7" i="7"/>
  <c r="L23" i="7"/>
  <c r="M23" i="7"/>
  <c r="N23" i="7"/>
  <c r="O23" i="7"/>
  <c r="P23" i="7"/>
  <c r="Q23" i="7"/>
  <c r="Q25" i="7"/>
  <c r="P25" i="7"/>
  <c r="O25" i="7"/>
  <c r="N25" i="7"/>
  <c r="G18" i="7"/>
  <c r="G23" i="7"/>
  <c r="G4" i="7"/>
  <c r="G24" i="7"/>
  <c r="G3" i="7"/>
  <c r="G5" i="7"/>
  <c r="G8" i="7"/>
  <c r="G11" i="7"/>
  <c r="G20" i="7"/>
  <c r="G21" i="7"/>
  <c r="G12" i="7"/>
  <c r="G15" i="7"/>
  <c r="G19" i="7"/>
  <c r="G13" i="7"/>
  <c r="G25" i="7"/>
  <c r="G16" i="7"/>
  <c r="G6" i="7"/>
  <c r="G10" i="7"/>
  <c r="G7" i="7"/>
  <c r="G9" i="7"/>
  <c r="G2" i="7"/>
  <c r="G22" i="7"/>
  <c r="G14" i="7"/>
  <c r="G17" i="7"/>
  <c r="L25" i="7"/>
  <c r="M25" i="7"/>
  <c r="K18" i="7"/>
  <c r="K23" i="7"/>
  <c r="K4" i="7"/>
  <c r="K24" i="7"/>
  <c r="K3" i="7"/>
  <c r="K5" i="7"/>
  <c r="K8" i="7"/>
  <c r="K11" i="7"/>
  <c r="K20" i="7"/>
  <c r="K21" i="7"/>
  <c r="K12" i="7"/>
  <c r="K15" i="7"/>
  <c r="K19" i="7"/>
  <c r="K13" i="7"/>
  <c r="K25" i="7"/>
  <c r="K16" i="7"/>
  <c r="K6" i="7"/>
  <c r="K10" i="7"/>
  <c r="K7" i="7"/>
  <c r="K9" i="7"/>
  <c r="K2" i="7"/>
  <c r="K22" i="7"/>
  <c r="K14" i="7"/>
  <c r="K17" i="7"/>
  <c r="E2" i="5"/>
  <c r="D2" i="5"/>
  <c r="F3" i="5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U22" i="1"/>
  <c r="S22" i="1"/>
  <c r="Q22" i="1"/>
  <c r="O22" i="1"/>
  <c r="M22" i="1"/>
  <c r="J22" i="1"/>
  <c r="H22" i="1"/>
  <c r="T22" i="1"/>
  <c r="R22" i="1"/>
  <c r="P22" i="1"/>
  <c r="N22" i="1"/>
  <c r="L22" i="1"/>
  <c r="K22" i="1"/>
  <c r="I22" i="1"/>
  <c r="D9" i="7" l="1"/>
  <c r="E9" i="7" s="1"/>
  <c r="D15" i="7"/>
  <c r="E15" i="7" s="1"/>
  <c r="D24" i="7"/>
  <c r="E24" i="7" s="1"/>
  <c r="D6" i="7"/>
  <c r="E6" i="7" s="1"/>
  <c r="D20" i="7"/>
  <c r="E20" i="7" s="1"/>
  <c r="D14" i="7"/>
  <c r="E14" i="7" s="1"/>
  <c r="D7" i="7"/>
  <c r="E7" i="7" s="1"/>
  <c r="D25" i="7"/>
  <c r="E25" i="7" s="1"/>
  <c r="D12" i="7"/>
  <c r="E12" i="7" s="1"/>
  <c r="D8" i="7"/>
  <c r="E8" i="7" s="1"/>
  <c r="D4" i="7"/>
  <c r="E4" i="7" s="1"/>
  <c r="D22" i="7"/>
  <c r="E22" i="7" s="1"/>
  <c r="D10" i="7"/>
  <c r="E10" i="7" s="1"/>
  <c r="D13" i="7"/>
  <c r="E13" i="7" s="1"/>
  <c r="D21" i="7"/>
  <c r="E21" i="7" s="1"/>
  <c r="D5" i="7"/>
  <c r="E5" i="7" s="1"/>
  <c r="D23" i="7"/>
  <c r="E23" i="7" s="1"/>
  <c r="D2" i="7"/>
  <c r="E2" i="7" s="1"/>
  <c r="D19" i="7"/>
  <c r="E19" i="7" s="1"/>
  <c r="D3" i="7"/>
  <c r="E3" i="7" s="1"/>
  <c r="D18" i="7"/>
  <c r="E18" i="7" s="1"/>
  <c r="D17" i="7"/>
  <c r="E17" i="7" s="1"/>
  <c r="D16" i="7"/>
  <c r="E16" i="7" s="1"/>
  <c r="D11" i="7"/>
  <c r="E11" i="7" s="1"/>
  <c r="D19" i="1" l="1"/>
  <c r="E19" i="1" s="1"/>
  <c r="D18" i="1"/>
  <c r="E18" i="1" s="1"/>
  <c r="D9" i="1"/>
  <c r="E9" i="1" s="1"/>
  <c r="D7" i="1"/>
  <c r="E7" i="1" s="1"/>
  <c r="D8" i="1"/>
  <c r="E8" i="1" s="1"/>
  <c r="G13" i="1"/>
  <c r="D13" i="1" s="1"/>
  <c r="E13" i="1" s="1"/>
  <c r="G11" i="1"/>
  <c r="D11" i="1" s="1"/>
  <c r="E11" i="1" s="1"/>
  <c r="G3" i="1"/>
  <c r="D3" i="1" s="1"/>
  <c r="E3" i="1" s="1"/>
  <c r="G21" i="1"/>
  <c r="D21" i="1" s="1"/>
  <c r="E21" i="1" s="1"/>
  <c r="G14" i="1"/>
  <c r="D14" i="1" s="1"/>
  <c r="E14" i="1" s="1"/>
  <c r="G18" i="1"/>
  <c r="G15" i="1"/>
  <c r="D15" i="1" s="1"/>
  <c r="E15" i="1" s="1"/>
  <c r="G7" i="1"/>
  <c r="G4" i="1"/>
  <c r="D4" i="1" s="1"/>
  <c r="E4" i="1" s="1"/>
  <c r="G5" i="1"/>
  <c r="D5" i="1" s="1"/>
  <c r="E5" i="1" s="1"/>
  <c r="G8" i="1"/>
  <c r="G20" i="1"/>
  <c r="D20" i="1" s="1"/>
  <c r="E20" i="1" s="1"/>
  <c r="G12" i="1"/>
  <c r="D12" i="1" s="1"/>
  <c r="E12" i="1" s="1"/>
  <c r="G9" i="1"/>
  <c r="G2" i="1"/>
  <c r="D2" i="1" s="1"/>
  <c r="E2" i="1" s="1"/>
  <c r="G19" i="1"/>
  <c r="G6" i="4" l="1"/>
  <c r="F6" i="4"/>
  <c r="G6" i="6"/>
  <c r="F6" i="6"/>
  <c r="G14" i="6"/>
  <c r="G13" i="6"/>
  <c r="G12" i="6"/>
  <c r="F14" i="6"/>
  <c r="F13" i="6"/>
  <c r="F12" i="6"/>
  <c r="G11" i="6"/>
  <c r="F11" i="6"/>
  <c r="G10" i="6"/>
  <c r="F10" i="6"/>
  <c r="E10" i="6"/>
  <c r="E11" i="6"/>
  <c r="E12" i="6"/>
  <c r="E13" i="6"/>
  <c r="E14" i="6"/>
  <c r="D14" i="6"/>
  <c r="D13" i="6"/>
  <c r="D12" i="6"/>
  <c r="D11" i="6"/>
  <c r="D10" i="6"/>
  <c r="G9" i="6"/>
  <c r="F9" i="6"/>
  <c r="E9" i="6"/>
  <c r="D9" i="6"/>
  <c r="G8" i="6"/>
  <c r="F8" i="6"/>
  <c r="E8" i="6"/>
  <c r="D8" i="6"/>
  <c r="G7" i="6"/>
  <c r="F7" i="6"/>
  <c r="E7" i="6"/>
  <c r="D7" i="6"/>
  <c r="E6" i="6"/>
  <c r="D6" i="6"/>
  <c r="G5" i="6"/>
  <c r="F5" i="6"/>
  <c r="E5" i="6"/>
  <c r="D5" i="6"/>
  <c r="G4" i="6"/>
  <c r="F4" i="6"/>
  <c r="E4" i="6"/>
  <c r="D4" i="6"/>
  <c r="G3" i="6"/>
  <c r="F3" i="6"/>
  <c r="E3" i="6"/>
  <c r="D3" i="6"/>
  <c r="G2" i="6"/>
  <c r="F2" i="6"/>
  <c r="E2" i="6"/>
  <c r="D2" i="6"/>
  <c r="D2" i="4"/>
  <c r="D3" i="4"/>
  <c r="D4" i="4"/>
  <c r="D5" i="4"/>
  <c r="D6" i="4"/>
  <c r="D7" i="4"/>
  <c r="D8" i="4"/>
  <c r="D9" i="4"/>
  <c r="E9" i="4"/>
  <c r="G5" i="4"/>
  <c r="F5" i="4"/>
  <c r="E5" i="4"/>
  <c r="G9" i="4"/>
  <c r="F9" i="4"/>
  <c r="G8" i="4"/>
  <c r="F8" i="4"/>
  <c r="E8" i="4"/>
  <c r="G7" i="4"/>
  <c r="F7" i="4"/>
  <c r="E7" i="4"/>
  <c r="E6" i="4"/>
  <c r="G4" i="4"/>
  <c r="F4" i="4"/>
  <c r="E4" i="4"/>
  <c r="G3" i="4"/>
  <c r="F3" i="4"/>
  <c r="E3" i="4"/>
  <c r="G2" i="4"/>
  <c r="F2" i="4"/>
  <c r="E2" i="4"/>
  <c r="F51" i="5" l="1"/>
  <c r="F52" i="5" s="1"/>
  <c r="F47" i="5"/>
  <c r="F48" i="5" s="1"/>
  <c r="F43" i="5"/>
  <c r="F44" i="5" s="1"/>
  <c r="F39" i="5"/>
  <c r="F40" i="5" s="1"/>
  <c r="F35" i="5"/>
  <c r="F36" i="5" s="1"/>
  <c r="F31" i="5"/>
  <c r="F32" i="5" s="1"/>
  <c r="F27" i="5"/>
  <c r="F28" i="5" s="1"/>
  <c r="F23" i="5"/>
  <c r="F24" i="5" s="1"/>
  <c r="F19" i="5"/>
  <c r="F20" i="5" s="1"/>
  <c r="F15" i="5"/>
  <c r="F16" i="5" s="1"/>
  <c r="F11" i="5"/>
  <c r="F12" i="5" s="1"/>
  <c r="F7" i="5"/>
  <c r="F8" i="5" s="1"/>
  <c r="G18" i="5" l="1"/>
  <c r="G50" i="5" l="1"/>
  <c r="G46" i="5"/>
  <c r="G42" i="5"/>
  <c r="G38" i="5"/>
  <c r="G34" i="5"/>
  <c r="G30" i="5"/>
  <c r="G26" i="5"/>
  <c r="G22" i="5"/>
  <c r="G10" i="5"/>
  <c r="G6" i="5"/>
  <c r="G2" i="5"/>
  <c r="F4" i="5" l="1"/>
  <c r="G14" i="5"/>
  <c r="G22" i="1" l="1"/>
  <c r="G16" i="1" l="1"/>
  <c r="D16" i="1" s="1"/>
  <c r="E16" i="1" s="1"/>
  <c r="G24" i="1"/>
  <c r="D24" i="1" s="1"/>
  <c r="E24" i="1" s="1"/>
  <c r="G23" i="1"/>
  <c r="D23" i="1" s="1"/>
  <c r="E23" i="1" s="1"/>
  <c r="G10" i="1"/>
  <c r="D10" i="1" s="1"/>
  <c r="E10" i="1" s="1"/>
  <c r="G6" i="1"/>
  <c r="D6" i="1" s="1"/>
  <c r="E6" i="1" s="1"/>
  <c r="G25" i="1"/>
  <c r="D25" i="1" s="1"/>
  <c r="E25" i="1" s="1"/>
  <c r="G17" i="1" l="1"/>
  <c r="D17" i="1" s="1"/>
  <c r="E17" i="1" s="1"/>
  <c r="E22" i="1"/>
</calcChain>
</file>

<file path=xl/sharedStrings.xml><?xml version="1.0" encoding="utf-8"?>
<sst xmlns="http://schemas.openxmlformats.org/spreadsheetml/2006/main" count="446" uniqueCount="125">
  <si>
    <t>QB</t>
  </si>
  <si>
    <t>DK Salary</t>
  </si>
  <si>
    <t>Log DK Salary</t>
  </si>
  <si>
    <t>Andrew Luck</t>
  </si>
  <si>
    <t>Prediction</t>
  </si>
  <si>
    <t>Dak Prescott</t>
  </si>
  <si>
    <t>Nick Foles</t>
  </si>
  <si>
    <t>Philip Rivers</t>
  </si>
  <si>
    <t>Patrick Mahomes</t>
  </si>
  <si>
    <t>Jared Goff</t>
  </si>
  <si>
    <t>Drew Brees</t>
  </si>
  <si>
    <t>Tom Brady</t>
  </si>
  <si>
    <t>FirstD</t>
  </si>
  <si>
    <t>PointTotal</t>
  </si>
  <si>
    <t>PassPct</t>
  </si>
  <si>
    <t>Turnovers</t>
  </si>
  <si>
    <t>3DPct</t>
  </si>
  <si>
    <t>FirstDOpp</t>
  </si>
  <si>
    <t>3DPctOpp</t>
  </si>
  <si>
    <t>PassPctOpp</t>
  </si>
  <si>
    <t>TurnoversOpp</t>
  </si>
  <si>
    <t>Ratio</t>
  </si>
  <si>
    <t>RB</t>
  </si>
  <si>
    <t>Marlon Mack</t>
  </si>
  <si>
    <t>Damian Williams</t>
  </si>
  <si>
    <t>Ezekiel Elliott</t>
  </si>
  <si>
    <t>Todd Gurley</t>
  </si>
  <si>
    <t>Melvin Gordon</t>
  </si>
  <si>
    <t>Austin Ekeler</t>
  </si>
  <si>
    <t>Sony Michel</t>
  </si>
  <si>
    <t>James White</t>
  </si>
  <si>
    <t>Darren Sproles</t>
  </si>
  <si>
    <t>Wendell Smallwood</t>
  </si>
  <si>
    <t>Josh Adams</t>
  </si>
  <si>
    <t>Alvin Kamara</t>
  </si>
  <si>
    <t>Mark Ingram</t>
  </si>
  <si>
    <t>Sqrt DK Salary</t>
  </si>
  <si>
    <t>CompPct</t>
  </si>
  <si>
    <t>CompPctOpp</t>
  </si>
  <si>
    <t>Venue</t>
  </si>
  <si>
    <t>Sacked</t>
  </si>
  <si>
    <t>RunPct</t>
  </si>
  <si>
    <t>RunPctOpp</t>
  </si>
  <si>
    <t>Games</t>
  </si>
  <si>
    <t>SnapTotal</t>
  </si>
  <si>
    <t>Road</t>
  </si>
  <si>
    <t>SackedOpp</t>
  </si>
  <si>
    <t>Home</t>
  </si>
  <si>
    <t>Player</t>
  </si>
  <si>
    <t>Salary</t>
  </si>
  <si>
    <t>DK Pred</t>
  </si>
  <si>
    <t>Lamar Jackson</t>
  </si>
  <si>
    <t>Deshaun Watson</t>
  </si>
  <si>
    <t>Russell Wilson</t>
  </si>
  <si>
    <t>Kyler Murray</t>
  </si>
  <si>
    <t>Matt Ryan</t>
  </si>
  <si>
    <t>Baker Mayfield</t>
  </si>
  <si>
    <t>Jameis Winston</t>
  </si>
  <si>
    <t>Josh Allen</t>
  </si>
  <si>
    <t>Matthew Stafford</t>
  </si>
  <si>
    <t>Jacoby Brissett</t>
  </si>
  <si>
    <t>Derek Carr</t>
  </si>
  <si>
    <t>Daniel Jones</t>
  </si>
  <si>
    <t>Gardner Minshew</t>
  </si>
  <si>
    <t>Kyle Allen</t>
  </si>
  <si>
    <t>Marcus Mariota</t>
  </si>
  <si>
    <t>Kirk Cousins</t>
  </si>
  <si>
    <t>Mitchell Tribusky</t>
  </si>
  <si>
    <t>Case Keenum</t>
  </si>
  <si>
    <t>Joe Flacco</t>
  </si>
  <si>
    <t>Josh Rosen</t>
  </si>
  <si>
    <t>Team</t>
  </si>
  <si>
    <t>Kansas City</t>
  </si>
  <si>
    <t>Baltimore</t>
  </si>
  <si>
    <t>New England</t>
  </si>
  <si>
    <t>Houston</t>
  </si>
  <si>
    <t>LA Rams</t>
  </si>
  <si>
    <t>LA Chargers</t>
  </si>
  <si>
    <t>Seattle</t>
  </si>
  <si>
    <t>Arizona</t>
  </si>
  <si>
    <t>Atlanta</t>
  </si>
  <si>
    <t>Cleveland</t>
  </si>
  <si>
    <t>Tampa Bay</t>
  </si>
  <si>
    <t>Buffalo</t>
  </si>
  <si>
    <t>Detroit</t>
  </si>
  <si>
    <t>Indianapolis</t>
  </si>
  <si>
    <t>Oakland</t>
  </si>
  <si>
    <t>NY Giants</t>
  </si>
  <si>
    <t>Jacksonville</t>
  </si>
  <si>
    <t>Carolina</t>
  </si>
  <si>
    <t>Tennessee</t>
  </si>
  <si>
    <t>Minnesota</t>
  </si>
  <si>
    <t>Chicago</t>
  </si>
  <si>
    <t>Washington</t>
  </si>
  <si>
    <t>Denver</t>
  </si>
  <si>
    <t>Miami</t>
  </si>
  <si>
    <t>Cincinnati</t>
  </si>
  <si>
    <t>Dallas</t>
  </si>
  <si>
    <t>Green Bay</t>
  </si>
  <si>
    <t>New Orleans</t>
  </si>
  <si>
    <t>NY Jets</t>
  </si>
  <si>
    <t>Philadelphia</t>
  </si>
  <si>
    <t>Pittsburgh</t>
  </si>
  <si>
    <t>San Francisco</t>
  </si>
  <si>
    <t>Opponent</t>
  </si>
  <si>
    <t>Bye</t>
  </si>
  <si>
    <t>LeSean McCoy</t>
  </si>
  <si>
    <t>Carlos Hyde</t>
  </si>
  <si>
    <t>Chris Carson</t>
  </si>
  <si>
    <t>David Johnson</t>
  </si>
  <si>
    <t>Devonta Freeman</t>
  </si>
  <si>
    <t>Nick Chubb</t>
  </si>
  <si>
    <t>Peyton Barber</t>
  </si>
  <si>
    <t>Kerryon Johnson</t>
  </si>
  <si>
    <t>Josh Jacobs</t>
  </si>
  <si>
    <t>Wayne Gallman</t>
  </si>
  <si>
    <t>Leonard Fournette</t>
  </si>
  <si>
    <t>Christian McCaffrey</t>
  </si>
  <si>
    <t>Derrick Henry</t>
  </si>
  <si>
    <t>Dalvin Cook</t>
  </si>
  <si>
    <t>Adrian Peterson</t>
  </si>
  <si>
    <t>Kenyan Drake</t>
  </si>
  <si>
    <t>Frank Gore</t>
  </si>
  <si>
    <t>Phillip Lindsay</t>
  </si>
  <si>
    <t>David Montgomery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</si>
</sst>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9" sqref="J29"/>
    </sheetView>
  </sheetViews>
  <sheetFormatPr defaultRowHeight="14.4" x14ac:dyDescent="0.3"/>
  <cols>
    <col min="1" max="1" width="17.88671875" customWidth="1"/>
    <col min="2" max="3" width="16.21875" customWidth="1"/>
    <col min="4" max="4" width="11.44140625" customWidth="1"/>
    <col min="5" max="5" width="8.6640625" customWidth="1"/>
    <col min="6" max="7" width="12.77734375" style="1" customWidth="1"/>
    <col min="8" max="8" width="8" style="1" customWidth="1"/>
    <col min="9" max="9" width="7.5546875" style="1" customWidth="1"/>
    <col min="10" max="10" width="9.44140625" style="1" customWidth="1"/>
    <col min="11" max="11" width="10.5546875" style="1" customWidth="1"/>
    <col min="12" max="12" width="8.33203125" style="1" customWidth="1"/>
    <col min="13" max="13" width="11.44140625" style="1" customWidth="1"/>
    <col min="14" max="14" width="10.6640625" style="1" customWidth="1"/>
    <col min="15" max="15" width="12.77734375" style="1" customWidth="1"/>
    <col min="16" max="16" width="10" style="1" customWidth="1"/>
    <col min="17" max="17" width="10.21875" style="1" customWidth="1"/>
    <col min="18" max="18" width="9.21875" customWidth="1"/>
    <col min="19" max="19" width="12.109375" customWidth="1"/>
    <col min="21" max="21" width="9.77734375" customWidth="1"/>
  </cols>
  <sheetData>
    <row r="1" spans="1:21" x14ac:dyDescent="0.3">
      <c r="A1" t="s">
        <v>0</v>
      </c>
      <c r="B1" t="s">
        <v>71</v>
      </c>
      <c r="C1" t="s">
        <v>104</v>
      </c>
      <c r="D1" t="s">
        <v>4</v>
      </c>
      <c r="E1" t="s">
        <v>21</v>
      </c>
      <c r="F1" s="1" t="s">
        <v>1</v>
      </c>
      <c r="G1" s="1" t="s">
        <v>2</v>
      </c>
      <c r="H1" s="1" t="s">
        <v>39</v>
      </c>
      <c r="I1" s="1" t="s">
        <v>12</v>
      </c>
      <c r="J1" s="1" t="s">
        <v>17</v>
      </c>
      <c r="K1" s="1" t="s">
        <v>13</v>
      </c>
      <c r="L1" s="1" t="s">
        <v>14</v>
      </c>
      <c r="M1" s="1" t="s">
        <v>19</v>
      </c>
      <c r="N1" s="1" t="s">
        <v>15</v>
      </c>
      <c r="O1" s="1" t="s">
        <v>20</v>
      </c>
      <c r="P1" s="1" t="s">
        <v>16</v>
      </c>
      <c r="Q1" s="1" t="s">
        <v>18</v>
      </c>
      <c r="R1" s="1" t="s">
        <v>37</v>
      </c>
      <c r="S1" s="1" t="s">
        <v>38</v>
      </c>
      <c r="T1" s="1" t="s">
        <v>40</v>
      </c>
      <c r="U1" s="1" t="s">
        <v>46</v>
      </c>
    </row>
    <row r="2" spans="1:21" x14ac:dyDescent="0.3">
      <c r="A2" t="s">
        <v>56</v>
      </c>
      <c r="B2" t="s">
        <v>81</v>
      </c>
      <c r="C2" t="s">
        <v>73</v>
      </c>
      <c r="D2">
        <f t="shared" ref="D2:D25" si="0">-195.2+21.55*G2-0.5725*IF(H2="Road",1,0)+0.3938*((I2+J2)/2)+0.1747*K2+0.1054*((L2+M2)/2)-0.6011*((N2+O2)/6)+0.05368*((P2+Q2)/2)+0.04573*((R2+S2)/2)-0.1156*((T2+U2)/6)</f>
        <v>16.831117783718703</v>
      </c>
      <c r="E2" s="1">
        <f t="shared" ref="E2:E25" si="1">D2/(F2/1000)</f>
        <v>2.9019168592618456</v>
      </c>
      <c r="F2" s="1">
        <v>5800</v>
      </c>
      <c r="G2" s="1">
        <f t="shared" ref="G2:G25" si="2">LN(F2)</f>
        <v>8.66561319653451</v>
      </c>
      <c r="H2" s="1" t="str">
        <f>VLOOKUP($B2,Sheet2!$A$2:$O$33,2,FALSE)</f>
        <v>Road</v>
      </c>
      <c r="I2" s="1">
        <f>VLOOKUP($B2,Sheet2!$A$2:$O$33,3,FALSE)</f>
        <v>17.7</v>
      </c>
      <c r="J2" s="1">
        <f>VLOOKUP($C2,Sheet2!$A$2:$O$33,4,FALSE)</f>
        <v>18</v>
      </c>
      <c r="K2" s="1">
        <f>VLOOKUP($B2,Sheet2!$A$2:$O$33,5,FALSE)</f>
        <v>48.570171999999999</v>
      </c>
      <c r="L2" s="1">
        <f>100*VLOOKUP($B2,Sheet2!$A$2:$O$33,6,FALSE)</f>
        <v>64.86</v>
      </c>
      <c r="M2" s="1">
        <f>100*VLOOKUP($C2,Sheet2!$A$2:$O$33,7,FALSE)</f>
        <v>70.73</v>
      </c>
      <c r="N2" s="1">
        <f>3*VLOOKUP($B2,Sheet2!$A$2:$O$33,8,FALSE)</f>
        <v>5.0999999999999996</v>
      </c>
      <c r="O2" s="1">
        <f>3*VLOOKUP($C2,Sheet2!$A$2:$O$33,9,FALSE)</f>
        <v>3</v>
      </c>
      <c r="P2" s="1">
        <f>100*VLOOKUP($B2,Sheet2!$A$2:$O$33,10,FALSE)</f>
        <v>28.21</v>
      </c>
      <c r="Q2" s="1">
        <f>100*VLOOKUP($C2,Sheet2!$A$2:$O$33,11,FALSE)</f>
        <v>33.33</v>
      </c>
      <c r="R2" s="1">
        <f>100*VLOOKUP($B2,Sheet2!$A$2:$O$33,12,FALSE)</f>
        <v>56.879999999999995</v>
      </c>
      <c r="S2" s="1">
        <f>100*VLOOKUP($C2,Sheet2!$A$2:$O$33,13,FALSE)</f>
        <v>61.47</v>
      </c>
      <c r="T2" s="1">
        <f>3*VLOOKUP($B2,Sheet2!$A$2:$O$33,14,FALSE)</f>
        <v>11.100000000000001</v>
      </c>
      <c r="U2" s="1">
        <f>3*VLOOKUP($C2,Sheet2!$A$2:$O$33,15,FALSE)</f>
        <v>6.8999999999999995</v>
      </c>
    </row>
    <row r="3" spans="1:21" x14ac:dyDescent="0.3">
      <c r="A3" t="s">
        <v>68</v>
      </c>
      <c r="B3" t="s">
        <v>93</v>
      </c>
      <c r="C3" t="s">
        <v>87</v>
      </c>
      <c r="D3">
        <f t="shared" si="0"/>
        <v>16.591540611127396</v>
      </c>
      <c r="E3" s="1">
        <f t="shared" si="1"/>
        <v>3.3860286961484478</v>
      </c>
      <c r="F3" s="1">
        <v>4900</v>
      </c>
      <c r="G3" s="1">
        <f t="shared" si="2"/>
        <v>8.4969904840987187</v>
      </c>
      <c r="H3" s="1" t="str">
        <f>VLOOKUP($B3,Sheet2!$A$2:$O$33,2,FALSE)</f>
        <v>Road</v>
      </c>
      <c r="I3" s="1">
        <f>VLOOKUP($B3,Sheet2!$A$2:$O$33,3,FALSE)</f>
        <v>19.7</v>
      </c>
      <c r="J3" s="1">
        <f>VLOOKUP($C3,Sheet2!$A$2:$O$33,4,FALSE)</f>
        <v>23.7</v>
      </c>
      <c r="K3" s="1">
        <f>VLOOKUP($B3,Sheet2!$A$2:$O$33,5,FALSE)</f>
        <v>56.784903999999997</v>
      </c>
      <c r="L3" s="1">
        <f>100*VLOOKUP($B3,Sheet2!$A$2:$O$33,6,FALSE)</f>
        <v>71.819999999999993</v>
      </c>
      <c r="M3" s="1">
        <f>100*VLOOKUP($C3,Sheet2!$A$2:$O$33,7,FALSE)</f>
        <v>52.480000000000004</v>
      </c>
      <c r="N3" s="1">
        <f>3*VLOOKUP($B3,Sheet2!$A$2:$O$33,8,FALSE)</f>
        <v>5.0999999999999996</v>
      </c>
      <c r="O3" s="1">
        <f>3*VLOOKUP($C3,Sheet2!$A$2:$O$33,9,FALSE)</f>
        <v>0.89999999999999991</v>
      </c>
      <c r="P3" s="1">
        <f>100*VLOOKUP($B3,Sheet2!$A$2:$O$33,10,FALSE)</f>
        <v>32.26</v>
      </c>
      <c r="Q3" s="1">
        <f>100*VLOOKUP($C3,Sheet2!$A$2:$O$33,11,FALSE)</f>
        <v>40.54</v>
      </c>
      <c r="R3" s="1">
        <f>100*VLOOKUP($B3,Sheet2!$A$2:$O$33,12,FALSE)</f>
        <v>69.349999999999994</v>
      </c>
      <c r="S3" s="1">
        <f>100*VLOOKUP($C3,Sheet2!$A$2:$O$33,13,FALSE)</f>
        <v>67.679999999999993</v>
      </c>
      <c r="T3" s="1">
        <f>3*VLOOKUP($B3,Sheet2!$A$2:$O$33,14,FALSE)</f>
        <v>6</v>
      </c>
      <c r="U3" s="1">
        <f>3*VLOOKUP($C3,Sheet2!$A$2:$O$33,15,FALSE)</f>
        <v>6.8999999999999995</v>
      </c>
    </row>
    <row r="4" spans="1:21" x14ac:dyDescent="0.3">
      <c r="A4" t="s">
        <v>62</v>
      </c>
      <c r="B4" t="s">
        <v>87</v>
      </c>
      <c r="C4" t="s">
        <v>93</v>
      </c>
      <c r="D4">
        <f t="shared" si="0"/>
        <v>19.450258823891584</v>
      </c>
      <c r="E4" s="1">
        <f t="shared" si="1"/>
        <v>3.6698601554512424</v>
      </c>
      <c r="F4" s="1">
        <v>5300</v>
      </c>
      <c r="G4" s="1">
        <f t="shared" si="2"/>
        <v>8.5754620995402124</v>
      </c>
      <c r="H4" s="1" t="str">
        <f>VLOOKUP($B4,Sheet2!$A$2:$O$33,2,FALSE)</f>
        <v>Home</v>
      </c>
      <c r="I4" s="1">
        <f>VLOOKUP($B4,Sheet2!$A$2:$O$33,3,FALSE)</f>
        <v>21</v>
      </c>
      <c r="J4" s="1">
        <f>VLOOKUP($C4,Sheet2!$A$2:$O$33,4,FALSE)</f>
        <v>22.7</v>
      </c>
      <c r="K4" s="1">
        <f>VLOOKUP($B4,Sheet2!$A$2:$O$33,5,FALSE)</f>
        <v>56.784903999999997</v>
      </c>
      <c r="L4" s="1">
        <f>100*VLOOKUP($B4,Sheet2!$A$2:$O$33,6,FALSE)</f>
        <v>70.83</v>
      </c>
      <c r="M4" s="1">
        <f>100*VLOOKUP($C4,Sheet2!$A$2:$O$33,7,FALSE)</f>
        <v>54.120000000000005</v>
      </c>
      <c r="N4" s="1">
        <f>3*VLOOKUP($B4,Sheet2!$A$2:$O$33,8,FALSE)</f>
        <v>6</v>
      </c>
      <c r="O4" s="1">
        <f>3*VLOOKUP($C4,Sheet2!$A$2:$O$33,9,FALSE)</f>
        <v>2.0999999999999996</v>
      </c>
      <c r="P4" s="1">
        <f>100*VLOOKUP($B4,Sheet2!$A$2:$O$33,10,FALSE)</f>
        <v>30.56</v>
      </c>
      <c r="Q4" s="1">
        <f>100*VLOOKUP($C4,Sheet2!$A$2:$O$33,11,FALSE)</f>
        <v>63.41</v>
      </c>
      <c r="R4" s="1">
        <f>100*VLOOKUP($B4,Sheet2!$A$2:$O$33,12,FALSE)</f>
        <v>63.570000000000007</v>
      </c>
      <c r="S4" s="1">
        <f>100*VLOOKUP($C4,Sheet2!$A$2:$O$33,13,FALSE)</f>
        <v>79</v>
      </c>
      <c r="T4" s="1">
        <f>3*VLOOKUP($B4,Sheet2!$A$2:$O$33,14,FALSE)</f>
        <v>6.8999999999999995</v>
      </c>
      <c r="U4" s="1">
        <f>3*VLOOKUP($C4,Sheet2!$A$2:$O$33,15,FALSE)</f>
        <v>5.0999999999999996</v>
      </c>
    </row>
    <row r="5" spans="1:21" x14ac:dyDescent="0.3">
      <c r="A5" t="s">
        <v>61</v>
      </c>
      <c r="B5" t="s">
        <v>86</v>
      </c>
      <c r="C5" t="s">
        <v>85</v>
      </c>
      <c r="D5">
        <f t="shared" si="0"/>
        <v>18.496340953891579</v>
      </c>
      <c r="E5" s="1">
        <f t="shared" si="1"/>
        <v>3.4898756516776563</v>
      </c>
      <c r="F5" s="1">
        <v>5300</v>
      </c>
      <c r="G5" s="1">
        <f t="shared" si="2"/>
        <v>8.5754620995402124</v>
      </c>
      <c r="H5" s="1" t="str">
        <f>VLOOKUP($B5,Sheet2!$A$2:$O$33,2,FALSE)</f>
        <v>Road</v>
      </c>
      <c r="I5" s="1">
        <f>VLOOKUP($B5,Sheet2!$A$2:$O$33,3,FALSE)</f>
        <v>18.3</v>
      </c>
      <c r="J5" s="1">
        <f>VLOOKUP($C5,Sheet2!$A$2:$O$33,4,FALSE)</f>
        <v>22.7</v>
      </c>
      <c r="K5" s="1">
        <f>VLOOKUP($B5,Sheet2!$A$2:$O$33,5,FALSE)</f>
        <v>55.597803999999996</v>
      </c>
      <c r="L5" s="1">
        <f>100*VLOOKUP($B5,Sheet2!$A$2:$O$33,6,FALSE)</f>
        <v>61.050000000000004</v>
      </c>
      <c r="M5" s="1">
        <f>100*VLOOKUP($C5,Sheet2!$A$2:$O$33,7,FALSE)</f>
        <v>61.539999999999992</v>
      </c>
      <c r="N5" s="1">
        <f>3*VLOOKUP($B5,Sheet2!$A$2:$O$33,8,FALSE)</f>
        <v>3</v>
      </c>
      <c r="O5" s="1">
        <f>3*VLOOKUP($C5,Sheet2!$A$2:$O$33,9,FALSE)</f>
        <v>3</v>
      </c>
      <c r="P5" s="1">
        <f>100*VLOOKUP($B5,Sheet2!$A$2:$O$33,10,FALSE)</f>
        <v>48.72</v>
      </c>
      <c r="Q5" s="1">
        <f>100*VLOOKUP($C5,Sheet2!$A$2:$O$33,11,FALSE)</f>
        <v>51.61</v>
      </c>
      <c r="R5" s="1">
        <f>100*VLOOKUP($B5,Sheet2!$A$2:$O$33,12,FALSE)</f>
        <v>73.47</v>
      </c>
      <c r="S5" s="1">
        <f>100*VLOOKUP($C5,Sheet2!$A$2:$O$33,13,FALSE)</f>
        <v>76.039999999999992</v>
      </c>
      <c r="T5" s="1">
        <f>3*VLOOKUP($B5,Sheet2!$A$2:$O$33,14,FALSE)</f>
        <v>6.8999999999999995</v>
      </c>
      <c r="U5" s="1">
        <f>3*VLOOKUP($C5,Sheet2!$A$2:$O$33,15,FALSE)</f>
        <v>8.1000000000000014</v>
      </c>
    </row>
    <row r="6" spans="1:21" x14ac:dyDescent="0.3">
      <c r="A6" t="s">
        <v>52</v>
      </c>
      <c r="B6" t="s">
        <v>75</v>
      </c>
      <c r="C6" t="s">
        <v>89</v>
      </c>
      <c r="D6">
        <f t="shared" si="0"/>
        <v>20.342004242844286</v>
      </c>
      <c r="E6" s="1">
        <f t="shared" si="1"/>
        <v>3.1784381629444196</v>
      </c>
      <c r="F6" s="1">
        <v>6400</v>
      </c>
      <c r="G6" s="1">
        <f t="shared" si="2"/>
        <v>8.7640532693477624</v>
      </c>
      <c r="H6" s="1" t="str">
        <f>VLOOKUP($B6,Sheet2!$A$2:$O$33,2,FALSE)</f>
        <v>Home</v>
      </c>
      <c r="I6" s="1">
        <f>VLOOKUP($B6,Sheet2!$A$2:$O$33,3,FALSE)</f>
        <v>19.7</v>
      </c>
      <c r="J6" s="1">
        <f>VLOOKUP($C6,Sheet2!$A$2:$O$33,4,FALSE)</f>
        <v>19.7</v>
      </c>
      <c r="K6" s="1">
        <f>VLOOKUP($B6,Sheet2!$A$2:$O$33,5,FALSE)</f>
        <v>46.987372000000001</v>
      </c>
      <c r="L6" s="1">
        <f>100*VLOOKUP($B6,Sheet2!$A$2:$O$33,6,FALSE)</f>
        <v>59.319999999999993</v>
      </c>
      <c r="M6" s="1">
        <f>100*VLOOKUP($C6,Sheet2!$A$2:$O$33,7,FALSE)</f>
        <v>58.330000000000005</v>
      </c>
      <c r="N6" s="1">
        <f>3*VLOOKUP($B6,Sheet2!$A$2:$O$33,8,FALSE)</f>
        <v>2.0999999999999996</v>
      </c>
      <c r="O6" s="1">
        <f>3*VLOOKUP($C6,Sheet2!$A$2:$O$33,9,FALSE)</f>
        <v>3</v>
      </c>
      <c r="P6" s="1">
        <f>100*VLOOKUP($B6,Sheet2!$A$2:$O$33,10,FALSE)</f>
        <v>50</v>
      </c>
      <c r="Q6" s="1">
        <f>100*VLOOKUP($C6,Sheet2!$A$2:$O$33,11,FALSE)</f>
        <v>43.480000000000004</v>
      </c>
      <c r="R6" s="1">
        <f>100*VLOOKUP($B6,Sheet2!$A$2:$O$33,12,FALSE)</f>
        <v>65.59</v>
      </c>
      <c r="S6" s="1">
        <f>100*VLOOKUP($C6,Sheet2!$A$2:$O$33,13,FALSE)</f>
        <v>64.490000000000009</v>
      </c>
      <c r="T6" s="1">
        <f>3*VLOOKUP($B6,Sheet2!$A$2:$O$33,14,FALSE)</f>
        <v>12</v>
      </c>
      <c r="U6" s="1">
        <f>3*VLOOKUP($C6,Sheet2!$A$2:$O$33,15,FALSE)</f>
        <v>12</v>
      </c>
    </row>
    <row r="7" spans="1:21" x14ac:dyDescent="0.3">
      <c r="A7" t="s">
        <v>63</v>
      </c>
      <c r="B7" t="s">
        <v>88</v>
      </c>
      <c r="C7" t="s">
        <v>94</v>
      </c>
      <c r="D7">
        <f t="shared" si="0"/>
        <v>14.717159917873159</v>
      </c>
      <c r="E7" s="1">
        <f t="shared" si="1"/>
        <v>2.8302230611294537</v>
      </c>
      <c r="F7" s="1">
        <v>5200</v>
      </c>
      <c r="G7" s="1">
        <f t="shared" si="2"/>
        <v>8.5564139045695189</v>
      </c>
      <c r="H7" s="1" t="str">
        <f>VLOOKUP($B7,Sheet2!$A$2:$O$33,2,FALSE)</f>
        <v>Road</v>
      </c>
      <c r="I7" s="1">
        <f>VLOOKUP($B7,Sheet2!$A$2:$O$33,3,FALSE)</f>
        <v>15.3</v>
      </c>
      <c r="J7" s="1">
        <f>VLOOKUP($C7,Sheet2!$A$2:$O$33,4,FALSE)</f>
        <v>17.7</v>
      </c>
      <c r="K7" s="1">
        <f>VLOOKUP($B7,Sheet2!$A$2:$O$33,5,FALSE)</f>
        <v>50.311251999999996</v>
      </c>
      <c r="L7" s="1">
        <f>100*VLOOKUP($B7,Sheet2!$A$2:$O$33,6,FALSE)</f>
        <v>63.92</v>
      </c>
      <c r="M7" s="1">
        <f>100*VLOOKUP($C7,Sheet2!$A$2:$O$33,7,FALSE)</f>
        <v>50.62</v>
      </c>
      <c r="N7" s="1">
        <f>3*VLOOKUP($B7,Sheet2!$A$2:$O$33,8,FALSE)</f>
        <v>3</v>
      </c>
      <c r="O7" s="1">
        <f>3*VLOOKUP($C7,Sheet2!$A$2:$O$33,9,FALSE)</f>
        <v>0</v>
      </c>
      <c r="P7" s="1">
        <f>100*VLOOKUP($B7,Sheet2!$A$2:$O$33,10,FALSE)</f>
        <v>29.409999999999997</v>
      </c>
      <c r="Q7" s="1">
        <f>100*VLOOKUP($C7,Sheet2!$A$2:$O$33,11,FALSE)</f>
        <v>44.12</v>
      </c>
      <c r="R7" s="1">
        <f>100*VLOOKUP($B7,Sheet2!$A$2:$O$33,12,FALSE)</f>
        <v>72.92</v>
      </c>
      <c r="S7" s="1">
        <f>100*VLOOKUP($C7,Sheet2!$A$2:$O$33,13,FALSE)</f>
        <v>67.069999999999993</v>
      </c>
      <c r="T7" s="1">
        <f>3*VLOOKUP($B7,Sheet2!$A$2:$O$33,14,FALSE)</f>
        <v>5.0999999999999996</v>
      </c>
      <c r="U7" s="1">
        <f>3*VLOOKUP($C7,Sheet2!$A$2:$O$33,15,FALSE)</f>
        <v>0</v>
      </c>
    </row>
    <row r="8" spans="1:21" x14ac:dyDescent="0.3">
      <c r="A8" t="s">
        <v>60</v>
      </c>
      <c r="B8" t="s">
        <v>85</v>
      </c>
      <c r="C8" t="s">
        <v>86</v>
      </c>
      <c r="D8">
        <f t="shared" si="0"/>
        <v>19.912140720303523</v>
      </c>
      <c r="E8" s="1">
        <f t="shared" si="1"/>
        <v>3.6874334667228741</v>
      </c>
      <c r="F8" s="1">
        <v>5400</v>
      </c>
      <c r="G8" s="1">
        <f t="shared" si="2"/>
        <v>8.5941542325523663</v>
      </c>
      <c r="H8" s="1" t="str">
        <f>VLOOKUP($B8,Sheet2!$A$2:$O$33,2,FALSE)</f>
        <v>Home</v>
      </c>
      <c r="I8" s="1">
        <f>VLOOKUP($B8,Sheet2!$A$2:$O$33,3,FALSE)</f>
        <v>24</v>
      </c>
      <c r="J8" s="1">
        <f>VLOOKUP($C8,Sheet2!$A$2:$O$33,4,FALSE)</f>
        <v>21.7</v>
      </c>
      <c r="K8" s="1">
        <f>VLOOKUP($B8,Sheet2!$A$2:$O$33,5,FALSE)</f>
        <v>55.597803999999996</v>
      </c>
      <c r="L8" s="1">
        <f>100*VLOOKUP($B8,Sheet2!$A$2:$O$33,6,FALSE)</f>
        <v>51.849999999999994</v>
      </c>
      <c r="M8" s="1">
        <f>100*VLOOKUP($C8,Sheet2!$A$2:$O$33,7,FALSE)</f>
        <v>54.890000000000008</v>
      </c>
      <c r="N8" s="1">
        <f>3*VLOOKUP($B8,Sheet2!$A$2:$O$33,8,FALSE)</f>
        <v>2.0999999999999996</v>
      </c>
      <c r="O8" s="1">
        <f>3*VLOOKUP($C8,Sheet2!$A$2:$O$33,9,FALSE)</f>
        <v>0.89999999999999991</v>
      </c>
      <c r="P8" s="1">
        <f>100*VLOOKUP($B8,Sheet2!$A$2:$O$33,10,FALSE)</f>
        <v>54.290000000000006</v>
      </c>
      <c r="Q8" s="1">
        <f>100*VLOOKUP($C8,Sheet2!$A$2:$O$33,11,FALSE)</f>
        <v>52.78</v>
      </c>
      <c r="R8" s="1">
        <f>100*VLOOKUP($B8,Sheet2!$A$2:$O$33,12,FALSE)</f>
        <v>71.740000000000009</v>
      </c>
      <c r="S8" s="1">
        <f>100*VLOOKUP($C8,Sheet2!$A$2:$O$33,13,FALSE)</f>
        <v>68.75</v>
      </c>
      <c r="T8" s="1">
        <f>3*VLOOKUP($B8,Sheet2!$A$2:$O$33,14,FALSE)</f>
        <v>6</v>
      </c>
      <c r="U8" s="1">
        <f>3*VLOOKUP($C8,Sheet2!$A$2:$O$33,15,FALSE)</f>
        <v>5.0999999999999996</v>
      </c>
    </row>
    <row r="9" spans="1:21" x14ac:dyDescent="0.3">
      <c r="A9" t="s">
        <v>57</v>
      </c>
      <c r="B9" t="s">
        <v>82</v>
      </c>
      <c r="C9" t="s">
        <v>76</v>
      </c>
      <c r="D9">
        <f t="shared" si="0"/>
        <v>14.374067589077935</v>
      </c>
      <c r="E9" s="1">
        <f t="shared" si="1"/>
        <v>2.5217662436978832</v>
      </c>
      <c r="F9" s="1">
        <v>5700</v>
      </c>
      <c r="G9" s="1">
        <f t="shared" si="2"/>
        <v>8.6482214538226412</v>
      </c>
      <c r="H9" s="1" t="str">
        <f>VLOOKUP($B9,Sheet2!$A$2:$O$33,2,FALSE)</f>
        <v>Road</v>
      </c>
      <c r="I9" s="1">
        <f>VLOOKUP($B9,Sheet2!$A$2:$O$33,3,FALSE)</f>
        <v>20.3</v>
      </c>
      <c r="J9" s="1">
        <f>VLOOKUP($C9,Sheet2!$A$2:$O$33,4,FALSE)</f>
        <v>18</v>
      </c>
      <c r="K9" s="1">
        <f>VLOOKUP($B9,Sheet2!$A$2:$O$33,5,FALSE)</f>
        <v>39.279135999999994</v>
      </c>
      <c r="L9" s="1">
        <f>100*VLOOKUP($B9,Sheet2!$A$2:$O$33,6,FALSE)</f>
        <v>54.82</v>
      </c>
      <c r="M9" s="1">
        <f>100*VLOOKUP($C9,Sheet2!$A$2:$O$33,7,FALSE)</f>
        <v>63.59</v>
      </c>
      <c r="N9" s="1">
        <f>3*VLOOKUP($B9,Sheet2!$A$2:$O$33,8,FALSE)</f>
        <v>5.0999999999999996</v>
      </c>
      <c r="O9" s="1">
        <f>3*VLOOKUP($C9,Sheet2!$A$2:$O$33,9,FALSE)</f>
        <v>5.0999999999999996</v>
      </c>
      <c r="P9" s="1">
        <f>100*VLOOKUP($B9,Sheet2!$A$2:$O$33,10,FALSE)</f>
        <v>29.73</v>
      </c>
      <c r="Q9" s="1">
        <f>100*VLOOKUP($C9,Sheet2!$A$2:$O$33,11,FALSE)</f>
        <v>37.5</v>
      </c>
      <c r="R9" s="1">
        <f>100*VLOOKUP($B9,Sheet2!$A$2:$O$33,12,FALSE)</f>
        <v>60.199999999999996</v>
      </c>
      <c r="S9" s="1">
        <f>100*VLOOKUP($C9,Sheet2!$A$2:$O$33,13,FALSE)</f>
        <v>57.8</v>
      </c>
      <c r="T9" s="1">
        <f>3*VLOOKUP($B9,Sheet2!$A$2:$O$33,14,FALSE)</f>
        <v>9.8999999999999986</v>
      </c>
      <c r="U9" s="1">
        <f>3*VLOOKUP($C9,Sheet2!$A$2:$O$33,15,FALSE)</f>
        <v>8.1000000000000014</v>
      </c>
    </row>
    <row r="10" spans="1:21" x14ac:dyDescent="0.3">
      <c r="A10" t="s">
        <v>9</v>
      </c>
      <c r="B10" t="s">
        <v>76</v>
      </c>
      <c r="C10" t="s">
        <v>82</v>
      </c>
      <c r="D10">
        <f t="shared" si="0"/>
        <v>17.745638670980913</v>
      </c>
      <c r="E10" s="1">
        <f t="shared" si="1"/>
        <v>2.8167680430128432</v>
      </c>
      <c r="F10" s="1">
        <v>6300</v>
      </c>
      <c r="G10" s="1">
        <f t="shared" si="2"/>
        <v>8.7483049123796235</v>
      </c>
      <c r="H10" s="1" t="str">
        <f>VLOOKUP($B10,Sheet2!$A$2:$O$33,2,FALSE)</f>
        <v>Home</v>
      </c>
      <c r="I10" s="1">
        <f>VLOOKUP($B10,Sheet2!$A$2:$O$33,3,FALSE)</f>
        <v>20.7</v>
      </c>
      <c r="J10" s="1">
        <f>VLOOKUP($C10,Sheet2!$A$2:$O$33,4,FALSE)</f>
        <v>18</v>
      </c>
      <c r="K10" s="1">
        <f>VLOOKUP($B10,Sheet2!$A$2:$O$33,5,FALSE)</f>
        <v>39.279135999999994</v>
      </c>
      <c r="L10" s="1">
        <f>100*VLOOKUP($B10,Sheet2!$A$2:$O$33,6,FALSE)</f>
        <v>56.35</v>
      </c>
      <c r="M10" s="1">
        <f>100*VLOOKUP($C10,Sheet2!$A$2:$O$33,7,FALSE)</f>
        <v>63.73</v>
      </c>
      <c r="N10" s="1">
        <f>3*VLOOKUP($B10,Sheet2!$A$2:$O$33,8,FALSE)</f>
        <v>5.0999999999999996</v>
      </c>
      <c r="O10" s="1">
        <f>3*VLOOKUP($C10,Sheet2!$A$2:$O$33,9,FALSE)</f>
        <v>5.0999999999999996</v>
      </c>
      <c r="P10" s="1">
        <f>100*VLOOKUP($B10,Sheet2!$A$2:$O$33,10,FALSE)</f>
        <v>45.45</v>
      </c>
      <c r="Q10" s="1">
        <f>100*VLOOKUP($C10,Sheet2!$A$2:$O$33,11,FALSE)</f>
        <v>35</v>
      </c>
      <c r="R10" s="1">
        <f>100*VLOOKUP($B10,Sheet2!$A$2:$O$33,12,FALSE)</f>
        <v>62.860000000000007</v>
      </c>
      <c r="S10" s="1">
        <f>100*VLOOKUP($C10,Sheet2!$A$2:$O$33,13,FALSE)</f>
        <v>57.89</v>
      </c>
      <c r="T10" s="1">
        <f>3*VLOOKUP($B10,Sheet2!$A$2:$O$33,14,FALSE)</f>
        <v>6</v>
      </c>
      <c r="U10" s="1">
        <f>3*VLOOKUP($C10,Sheet2!$A$2:$O$33,15,FALSE)</f>
        <v>9</v>
      </c>
    </row>
    <row r="11" spans="1:21" x14ac:dyDescent="0.3">
      <c r="A11" t="s">
        <v>69</v>
      </c>
      <c r="B11" t="s">
        <v>94</v>
      </c>
      <c r="C11" t="s">
        <v>88</v>
      </c>
      <c r="D11">
        <f t="shared" si="0"/>
        <v>14.227885076783386</v>
      </c>
      <c r="E11" s="1">
        <f t="shared" si="1"/>
        <v>3.09301849495291</v>
      </c>
      <c r="F11" s="1">
        <v>4600</v>
      </c>
      <c r="G11" s="1">
        <f t="shared" si="2"/>
        <v>8.4338115824771869</v>
      </c>
      <c r="H11" s="1" t="str">
        <f>VLOOKUP($B11,Sheet2!$A$2:$O$33,2,FALSE)</f>
        <v>Home</v>
      </c>
      <c r="I11" s="1">
        <f>VLOOKUP($B11,Sheet2!$A$2:$O$33,3,FALSE)</f>
        <v>21.7</v>
      </c>
      <c r="J11" s="1">
        <f>VLOOKUP($C11,Sheet2!$A$2:$O$33,4,FALSE)</f>
        <v>20.7</v>
      </c>
      <c r="K11" s="1">
        <f>VLOOKUP($B11,Sheet2!$A$2:$O$33,5,FALSE)</f>
        <v>50.311251999999996</v>
      </c>
      <c r="L11" s="1">
        <f>100*VLOOKUP($B11,Sheet2!$A$2:$O$33,6,FALSE)</f>
        <v>58.74</v>
      </c>
      <c r="M11" s="1">
        <f>100*VLOOKUP($C11,Sheet2!$A$2:$O$33,7,FALSE)</f>
        <v>58.589999999999996</v>
      </c>
      <c r="N11" s="1">
        <f>3*VLOOKUP($B11,Sheet2!$A$2:$O$33,8,FALSE)</f>
        <v>3.9000000000000004</v>
      </c>
      <c r="O11" s="1">
        <f>3*VLOOKUP($C11,Sheet2!$A$2:$O$33,9,FALSE)</f>
        <v>0.89999999999999991</v>
      </c>
      <c r="P11" s="1">
        <f>100*VLOOKUP($B11,Sheet2!$A$2:$O$33,10,FALSE)</f>
        <v>40.479999999999997</v>
      </c>
      <c r="Q11" s="1">
        <f>100*VLOOKUP($C11,Sheet2!$A$2:$O$33,11,FALSE)</f>
        <v>45.24</v>
      </c>
      <c r="R11" s="1">
        <f>100*VLOOKUP($B11,Sheet2!$A$2:$O$33,12,FALSE)</f>
        <v>69.089999999999989</v>
      </c>
      <c r="S11" s="1">
        <f>100*VLOOKUP($C11,Sheet2!$A$2:$O$33,13,FALSE)</f>
        <v>62.139999999999993</v>
      </c>
      <c r="T11" s="1">
        <f>3*VLOOKUP($B11,Sheet2!$A$2:$O$33,14,FALSE)</f>
        <v>11.100000000000001</v>
      </c>
      <c r="U11" s="1">
        <f>3*VLOOKUP($C11,Sheet2!$A$2:$O$33,15,FALSE)</f>
        <v>12.899999999999999</v>
      </c>
    </row>
    <row r="12" spans="1:21" x14ac:dyDescent="0.3">
      <c r="A12" t="s">
        <v>58</v>
      </c>
      <c r="B12" t="s">
        <v>83</v>
      </c>
      <c r="C12" t="s">
        <v>74</v>
      </c>
      <c r="D12">
        <f t="shared" si="0"/>
        <v>13.677898821785886</v>
      </c>
      <c r="E12" s="1">
        <f t="shared" si="1"/>
        <v>2.4424819324617655</v>
      </c>
      <c r="F12" s="1">
        <v>5600</v>
      </c>
      <c r="G12" s="1">
        <f t="shared" si="2"/>
        <v>8.6305218767232414</v>
      </c>
      <c r="H12" s="1" t="str">
        <f>VLOOKUP($B12,Sheet2!$A$2:$O$33,2,FALSE)</f>
        <v>Home</v>
      </c>
      <c r="I12" s="1">
        <f>VLOOKUP($B12,Sheet2!$A$2:$O$33,3,FALSE)</f>
        <v>24</v>
      </c>
      <c r="J12" s="1">
        <f>VLOOKUP($C12,Sheet2!$A$2:$O$33,4,FALSE)</f>
        <v>10.7</v>
      </c>
      <c r="K12" s="1">
        <f>VLOOKUP($B12,Sheet2!$A$2:$O$33,5,FALSE)</f>
        <v>39.469071999999997</v>
      </c>
      <c r="L12" s="1">
        <f>100*VLOOKUP($B12,Sheet2!$A$2:$O$33,6,FALSE)</f>
        <v>53.2</v>
      </c>
      <c r="M12" s="1">
        <f>100*VLOOKUP($C12,Sheet2!$A$2:$O$33,7,FALSE)</f>
        <v>71.599999999999994</v>
      </c>
      <c r="N12" s="1">
        <f>3*VLOOKUP($B12,Sheet2!$A$2:$O$33,8,FALSE)</f>
        <v>6</v>
      </c>
      <c r="O12" s="1">
        <f>3*VLOOKUP($C12,Sheet2!$A$2:$O$33,9,FALSE)</f>
        <v>6</v>
      </c>
      <c r="P12" s="1">
        <f>100*VLOOKUP($B12,Sheet2!$A$2:$O$33,10,FALSE)</f>
        <v>41.67</v>
      </c>
      <c r="Q12" s="1">
        <f>100*VLOOKUP($C12,Sheet2!$A$2:$O$33,11,FALSE)</f>
        <v>12.82</v>
      </c>
      <c r="R12" s="1">
        <f>100*VLOOKUP($B12,Sheet2!$A$2:$O$33,12,FALSE)</f>
        <v>64.08</v>
      </c>
      <c r="S12" s="1">
        <f>100*VLOOKUP($C12,Sheet2!$A$2:$O$33,13,FALSE)</f>
        <v>52.78</v>
      </c>
      <c r="T12" s="1">
        <f>3*VLOOKUP($B12,Sheet2!$A$2:$O$33,14,FALSE)</f>
        <v>5.0999999999999996</v>
      </c>
      <c r="U12" s="1">
        <f>3*VLOOKUP($C12,Sheet2!$A$2:$O$33,15,FALSE)</f>
        <v>12.899999999999999</v>
      </c>
    </row>
    <row r="13" spans="1:21" x14ac:dyDescent="0.3">
      <c r="A13" t="s">
        <v>70</v>
      </c>
      <c r="B13" t="s">
        <v>95</v>
      </c>
      <c r="C13" t="s">
        <v>77</v>
      </c>
      <c r="D13">
        <f t="shared" si="0"/>
        <v>11.574283761793781</v>
      </c>
      <c r="E13" s="1">
        <f t="shared" si="1"/>
        <v>2.5720630581763957</v>
      </c>
      <c r="F13" s="1">
        <v>4500</v>
      </c>
      <c r="G13" s="1">
        <f t="shared" si="2"/>
        <v>8.4118326757584114</v>
      </c>
      <c r="H13" s="1" t="str">
        <f>VLOOKUP($B13,Sheet2!$A$2:$O$33,2,FALSE)</f>
        <v>Home</v>
      </c>
      <c r="I13" s="1">
        <f>VLOOKUP($B13,Sheet2!$A$2:$O$33,3,FALSE)</f>
        <v>13.3</v>
      </c>
      <c r="J13" s="1">
        <f>VLOOKUP($C13,Sheet2!$A$2:$O$33,4,FALSE)</f>
        <v>20.3</v>
      </c>
      <c r="K13" s="1">
        <f>VLOOKUP($B13,Sheet2!$A$2:$O$33,5,FALSE)</f>
        <v>51.545836000000001</v>
      </c>
      <c r="L13" s="1">
        <f>100*VLOOKUP($B13,Sheet2!$A$2:$O$33,6,FALSE)</f>
        <v>71.02000000000001</v>
      </c>
      <c r="M13" s="1">
        <f>100*VLOOKUP($C13,Sheet2!$A$2:$O$33,7,FALSE)</f>
        <v>54.290000000000006</v>
      </c>
      <c r="N13" s="1">
        <f>3*VLOOKUP($B13,Sheet2!$A$2:$O$33,8,FALSE)</f>
        <v>8.1000000000000014</v>
      </c>
      <c r="O13" s="1">
        <f>3*VLOOKUP($C13,Sheet2!$A$2:$O$33,9,FALSE)</f>
        <v>3</v>
      </c>
      <c r="P13" s="1">
        <f>100*VLOOKUP($B13,Sheet2!$A$2:$O$33,10,FALSE)</f>
        <v>20</v>
      </c>
      <c r="Q13" s="1">
        <f>100*VLOOKUP($C13,Sheet2!$A$2:$O$33,11,FALSE)</f>
        <v>51.519999999999996</v>
      </c>
      <c r="R13" s="1">
        <f>100*VLOOKUP($B13,Sheet2!$A$2:$O$33,12,FALSE)</f>
        <v>47.32</v>
      </c>
      <c r="S13" s="1">
        <f>100*VLOOKUP($C13,Sheet2!$A$2:$O$33,13,FALSE)</f>
        <v>74.72999999999999</v>
      </c>
      <c r="T13" s="1">
        <f>3*VLOOKUP($B13,Sheet2!$A$2:$O$33,14,FALSE)</f>
        <v>12.899999999999999</v>
      </c>
      <c r="U13" s="1">
        <f>3*VLOOKUP($C13,Sheet2!$A$2:$O$33,15,FALSE)</f>
        <v>3.9000000000000004</v>
      </c>
    </row>
    <row r="14" spans="1:21" x14ac:dyDescent="0.3">
      <c r="A14" t="s">
        <v>66</v>
      </c>
      <c r="B14" t="s">
        <v>91</v>
      </c>
      <c r="C14" t="s">
        <v>92</v>
      </c>
      <c r="D14">
        <f t="shared" si="0"/>
        <v>12.230650616619956</v>
      </c>
      <c r="E14" s="1">
        <f t="shared" si="1"/>
        <v>2.4461301233239912</v>
      </c>
      <c r="F14" s="1">
        <v>5000</v>
      </c>
      <c r="G14" s="1">
        <f t="shared" si="2"/>
        <v>8.5171931914162382</v>
      </c>
      <c r="H14" s="1" t="str">
        <f>VLOOKUP($B14,Sheet2!$A$2:$O$33,2,FALSE)</f>
        <v>Road</v>
      </c>
      <c r="I14" s="1">
        <f>VLOOKUP($B14,Sheet2!$A$2:$O$33,3,FALSE)</f>
        <v>18.7</v>
      </c>
      <c r="J14" s="1">
        <f>VLOOKUP($C14,Sheet2!$A$2:$O$33,4,FALSE)</f>
        <v>21.7</v>
      </c>
      <c r="K14" s="1">
        <f>VLOOKUP($B14,Sheet2!$A$2:$O$33,5,FALSE)</f>
        <v>43.062027999999998</v>
      </c>
      <c r="L14" s="1">
        <f>100*VLOOKUP($B14,Sheet2!$A$2:$O$33,6,FALSE)</f>
        <v>38.690000000000005</v>
      </c>
      <c r="M14" s="1">
        <f>100*VLOOKUP($C14,Sheet2!$A$2:$O$33,7,FALSE)</f>
        <v>66.67</v>
      </c>
      <c r="N14" s="1">
        <f>3*VLOOKUP($B14,Sheet2!$A$2:$O$33,8,FALSE)</f>
        <v>3.9000000000000004</v>
      </c>
      <c r="O14" s="1">
        <f>3*VLOOKUP($C14,Sheet2!$A$2:$O$33,9,FALSE)</f>
        <v>6</v>
      </c>
      <c r="P14" s="1">
        <f>100*VLOOKUP($B14,Sheet2!$A$2:$O$33,10,FALSE)</f>
        <v>43.75</v>
      </c>
      <c r="Q14" s="1">
        <f>100*VLOOKUP($C14,Sheet2!$A$2:$O$33,11,FALSE)</f>
        <v>22.86</v>
      </c>
      <c r="R14" s="1">
        <f>100*VLOOKUP($B14,Sheet2!$A$2:$O$33,12,FALSE)</f>
        <v>58.730000000000004</v>
      </c>
      <c r="S14" s="1">
        <f>100*VLOOKUP($C14,Sheet2!$A$2:$O$33,13,FALSE)</f>
        <v>67.47999999999999</v>
      </c>
      <c r="T14" s="1">
        <f>3*VLOOKUP($B14,Sheet2!$A$2:$O$33,14,FALSE)</f>
        <v>2.0999999999999996</v>
      </c>
      <c r="U14" s="1">
        <f>3*VLOOKUP($C14,Sheet2!$A$2:$O$33,15,FALSE)</f>
        <v>11.100000000000001</v>
      </c>
    </row>
    <row r="15" spans="1:21" x14ac:dyDescent="0.3">
      <c r="A15" t="s">
        <v>64</v>
      </c>
      <c r="B15" t="s">
        <v>89</v>
      </c>
      <c r="C15" t="s">
        <v>75</v>
      </c>
      <c r="D15">
        <f t="shared" si="0"/>
        <v>15.74619938187316</v>
      </c>
      <c r="E15" s="1">
        <f t="shared" si="1"/>
        <v>3.0281152657448382</v>
      </c>
      <c r="F15" s="1">
        <v>5200</v>
      </c>
      <c r="G15" s="1">
        <f t="shared" si="2"/>
        <v>8.5564139045695189</v>
      </c>
      <c r="H15" s="1" t="str">
        <f>VLOOKUP($B15,Sheet2!$A$2:$O$33,2,FALSE)</f>
        <v>Road</v>
      </c>
      <c r="I15" s="1">
        <f>VLOOKUP($B15,Sheet2!$A$2:$O$33,3,FALSE)</f>
        <v>20.7</v>
      </c>
      <c r="J15" s="1">
        <f>VLOOKUP($C15,Sheet2!$A$2:$O$33,4,FALSE)</f>
        <v>21</v>
      </c>
      <c r="K15" s="1">
        <f>VLOOKUP($B15,Sheet2!$A$2:$O$33,5,FALSE)</f>
        <v>46.987372000000001</v>
      </c>
      <c r="L15" s="1">
        <f>100*VLOOKUP($B15,Sheet2!$A$2:$O$33,6,FALSE)</f>
        <v>62.760000000000005</v>
      </c>
      <c r="M15" s="1">
        <f>100*VLOOKUP($C15,Sheet2!$A$2:$O$33,7,FALSE)</f>
        <v>68.75</v>
      </c>
      <c r="N15" s="1">
        <f>3*VLOOKUP($B15,Sheet2!$A$2:$O$33,8,FALSE)</f>
        <v>5.0999999999999996</v>
      </c>
      <c r="O15" s="1">
        <f>3*VLOOKUP($C15,Sheet2!$A$2:$O$33,9,FALSE)</f>
        <v>3</v>
      </c>
      <c r="P15" s="1">
        <f>100*VLOOKUP($B15,Sheet2!$A$2:$O$33,10,FALSE)</f>
        <v>34.29</v>
      </c>
      <c r="Q15" s="1">
        <f>100*VLOOKUP($C15,Sheet2!$A$2:$O$33,11,FALSE)</f>
        <v>38.46</v>
      </c>
      <c r="R15" s="1">
        <f>100*VLOOKUP($B15,Sheet2!$A$2:$O$33,12,FALSE)</f>
        <v>60</v>
      </c>
      <c r="S15" s="1">
        <f>100*VLOOKUP($C15,Sheet2!$A$2:$O$33,13,FALSE)</f>
        <v>70.489999999999995</v>
      </c>
      <c r="T15" s="1">
        <f>3*VLOOKUP($B15,Sheet2!$A$2:$O$33,14,FALSE)</f>
        <v>8.1000000000000014</v>
      </c>
      <c r="U15" s="1">
        <f>3*VLOOKUP($C15,Sheet2!$A$2:$O$33,15,FALSE)</f>
        <v>9.8999999999999986</v>
      </c>
    </row>
    <row r="16" spans="1:21" x14ac:dyDescent="0.3">
      <c r="A16" t="s">
        <v>54</v>
      </c>
      <c r="B16" t="s">
        <v>79</v>
      </c>
      <c r="C16" t="s">
        <v>78</v>
      </c>
      <c r="D16">
        <f t="shared" si="0"/>
        <v>19.522655480329636</v>
      </c>
      <c r="E16" s="1">
        <f t="shared" si="1"/>
        <v>3.2537759133882727</v>
      </c>
      <c r="F16" s="1">
        <v>6000</v>
      </c>
      <c r="G16" s="1">
        <f t="shared" si="2"/>
        <v>8.6995147482101913</v>
      </c>
      <c r="H16" s="1" t="str">
        <f>VLOOKUP($B16,Sheet2!$A$2:$O$33,2,FALSE)</f>
        <v>Home</v>
      </c>
      <c r="I16" s="1">
        <f>VLOOKUP($B16,Sheet2!$A$2:$O$33,3,FALSE)</f>
        <v>19</v>
      </c>
      <c r="J16" s="1">
        <f>VLOOKUP($C16,Sheet2!$A$2:$O$33,4,FALSE)</f>
        <v>18</v>
      </c>
      <c r="K16" s="1">
        <f>VLOOKUP($B16,Sheet2!$A$2:$O$33,5,FALSE)</f>
        <v>50.627811999999999</v>
      </c>
      <c r="L16" s="1">
        <f>100*VLOOKUP($B16,Sheet2!$A$2:$O$33,6,FALSE)</f>
        <v>73.209999999999994</v>
      </c>
      <c r="M16" s="1">
        <f>100*VLOOKUP($C16,Sheet2!$A$2:$O$33,7,FALSE)</f>
        <v>69.010000000000005</v>
      </c>
      <c r="N16" s="1">
        <f>3*VLOOKUP($B16,Sheet2!$A$2:$O$33,8,FALSE)</f>
        <v>3</v>
      </c>
      <c r="O16" s="1">
        <f>3*VLOOKUP($C16,Sheet2!$A$2:$O$33,9,FALSE)</f>
        <v>5.0999999999999996</v>
      </c>
      <c r="P16" s="1">
        <f>100*VLOOKUP($B16,Sheet2!$A$2:$O$33,10,FALSE)</f>
        <v>40</v>
      </c>
      <c r="Q16" s="1">
        <f>100*VLOOKUP($C16,Sheet2!$A$2:$O$33,11,FALSE)</f>
        <v>32.43</v>
      </c>
      <c r="R16" s="1">
        <f>100*VLOOKUP($B16,Sheet2!$A$2:$O$33,12,FALSE)</f>
        <v>61.309999999999995</v>
      </c>
      <c r="S16" s="1">
        <f>100*VLOOKUP($C16,Sheet2!$A$2:$O$33,13,FALSE)</f>
        <v>66.069999999999993</v>
      </c>
      <c r="T16" s="1">
        <f>3*VLOOKUP($B16,Sheet2!$A$2:$O$33,14,FALSE)</f>
        <v>15.899999999999999</v>
      </c>
      <c r="U16" s="1">
        <f>3*VLOOKUP($C16,Sheet2!$A$2:$O$33,15,FALSE)</f>
        <v>6</v>
      </c>
    </row>
    <row r="17" spans="1:21" x14ac:dyDescent="0.3">
      <c r="A17" t="s">
        <v>51</v>
      </c>
      <c r="B17" t="s">
        <v>73</v>
      </c>
      <c r="C17" t="s">
        <v>81</v>
      </c>
      <c r="D17">
        <f t="shared" si="0"/>
        <v>22.985175730514332</v>
      </c>
      <c r="E17" s="1">
        <f t="shared" si="1"/>
        <v>3.3311848884803377</v>
      </c>
      <c r="F17" s="1">
        <v>6900</v>
      </c>
      <c r="G17" s="1">
        <f t="shared" si="2"/>
        <v>8.8392766905853506</v>
      </c>
      <c r="H17" s="1" t="str">
        <f>VLOOKUP($B17,Sheet2!$A$2:$O$33,2,FALSE)</f>
        <v>Home</v>
      </c>
      <c r="I17" s="1">
        <f>VLOOKUP($B17,Sheet2!$A$2:$O$33,3,FALSE)</f>
        <v>28.7</v>
      </c>
      <c r="J17" s="1">
        <f>VLOOKUP($C17,Sheet2!$A$2:$O$33,4,FALSE)</f>
        <v>18</v>
      </c>
      <c r="K17" s="1">
        <f>VLOOKUP($B17,Sheet2!$A$2:$O$33,5,FALSE)</f>
        <v>48.570171999999999</v>
      </c>
      <c r="L17" s="1">
        <f>100*VLOOKUP($B17,Sheet2!$A$2:$O$33,6,FALSE)</f>
        <v>50.22</v>
      </c>
      <c r="M17" s="1">
        <f>100*VLOOKUP($C17,Sheet2!$A$2:$O$33,7,FALSE)</f>
        <v>57.54</v>
      </c>
      <c r="N17" s="1">
        <f>3*VLOOKUP($B17,Sheet2!$A$2:$O$33,8,FALSE)</f>
        <v>0</v>
      </c>
      <c r="O17" s="1">
        <f>3*VLOOKUP($C17,Sheet2!$A$2:$O$33,9,FALSE)</f>
        <v>3.9000000000000004</v>
      </c>
      <c r="P17" s="1">
        <f>100*VLOOKUP($B17,Sheet2!$A$2:$O$33,10,FALSE)</f>
        <v>50</v>
      </c>
      <c r="Q17" s="1">
        <f>100*VLOOKUP($C17,Sheet2!$A$2:$O$33,11,FALSE)</f>
        <v>26.32</v>
      </c>
      <c r="R17" s="1">
        <f>100*VLOOKUP($B17,Sheet2!$A$2:$O$33,12,FALSE)</f>
        <v>65.09</v>
      </c>
      <c r="S17" s="1">
        <f>100*VLOOKUP($C17,Sheet2!$A$2:$O$33,13,FALSE)</f>
        <v>65.59</v>
      </c>
      <c r="T17" s="1">
        <f>3*VLOOKUP($B17,Sheet2!$A$2:$O$33,14,FALSE)</f>
        <v>6</v>
      </c>
      <c r="U17" s="1">
        <f>3*VLOOKUP($C17,Sheet2!$A$2:$O$33,15,FALSE)</f>
        <v>9.8999999999999986</v>
      </c>
    </row>
    <row r="18" spans="1:21" x14ac:dyDescent="0.3">
      <c r="A18" t="s">
        <v>65</v>
      </c>
      <c r="B18" t="s">
        <v>90</v>
      </c>
      <c r="C18" t="s">
        <v>80</v>
      </c>
      <c r="D18">
        <f t="shared" si="0"/>
        <v>14.691549411652622</v>
      </c>
      <c r="E18" s="1">
        <f t="shared" si="1"/>
        <v>2.8806959630691416</v>
      </c>
      <c r="F18" s="1">
        <v>5100</v>
      </c>
      <c r="G18" s="1">
        <f t="shared" si="2"/>
        <v>8.536995818712418</v>
      </c>
      <c r="H18" s="1" t="str">
        <f>VLOOKUP($B18,Sheet2!$A$2:$O$33,2,FALSE)</f>
        <v>Road</v>
      </c>
      <c r="I18" s="1">
        <f>VLOOKUP($B18,Sheet2!$A$2:$O$33,3,FALSE)</f>
        <v>20</v>
      </c>
      <c r="J18" s="1">
        <f>VLOOKUP($C18,Sheet2!$A$2:$O$33,4,FALSE)</f>
        <v>21.7</v>
      </c>
      <c r="K18" s="1">
        <f>VLOOKUP($B18,Sheet2!$A$2:$O$33,5,FALSE)</f>
        <v>45.800272</v>
      </c>
      <c r="L18" s="1">
        <f>100*VLOOKUP($B18,Sheet2!$A$2:$O$33,6,FALSE)</f>
        <v>58.29</v>
      </c>
      <c r="M18" s="1">
        <f>100*VLOOKUP($C18,Sheet2!$A$2:$O$33,7,FALSE)</f>
        <v>54.64</v>
      </c>
      <c r="N18" s="1">
        <f>3*VLOOKUP($B18,Sheet2!$A$2:$O$33,8,FALSE)</f>
        <v>0.89999999999999991</v>
      </c>
      <c r="O18" s="1">
        <f>3*VLOOKUP($C18,Sheet2!$A$2:$O$33,9,FALSE)</f>
        <v>3</v>
      </c>
      <c r="P18" s="1">
        <f>100*VLOOKUP($B18,Sheet2!$A$2:$O$33,10,FALSE)</f>
        <v>29.73</v>
      </c>
      <c r="Q18" s="1">
        <f>100*VLOOKUP($C18,Sheet2!$A$2:$O$33,11,FALSE)</f>
        <v>52.78</v>
      </c>
      <c r="R18" s="1">
        <f>100*VLOOKUP($B18,Sheet2!$A$2:$O$33,12,FALSE)</f>
        <v>60.870000000000005</v>
      </c>
      <c r="S18" s="1">
        <f>100*VLOOKUP($C18,Sheet2!$A$2:$O$33,13,FALSE)</f>
        <v>67.36999999999999</v>
      </c>
      <c r="T18" s="1">
        <f>3*VLOOKUP($B18,Sheet2!$A$2:$O$33,14,FALSE)</f>
        <v>17.100000000000001</v>
      </c>
      <c r="U18" s="1">
        <f>3*VLOOKUP($C18,Sheet2!$A$2:$O$33,15,FALSE)</f>
        <v>5.0999999999999996</v>
      </c>
    </row>
    <row r="19" spans="1:21" x14ac:dyDescent="0.3">
      <c r="A19" t="s">
        <v>55</v>
      </c>
      <c r="B19" t="s">
        <v>80</v>
      </c>
      <c r="C19" t="s">
        <v>90</v>
      </c>
      <c r="D19">
        <f t="shared" si="0"/>
        <v>18.459822042611638</v>
      </c>
      <c r="E19" s="1">
        <f t="shared" si="1"/>
        <v>3.1287833970528198</v>
      </c>
      <c r="F19" s="1">
        <v>5900</v>
      </c>
      <c r="G19" s="1">
        <f t="shared" si="2"/>
        <v>8.6827076298938106</v>
      </c>
      <c r="H19" s="1" t="str">
        <f>VLOOKUP($B19,Sheet2!$A$2:$O$33,2,FALSE)</f>
        <v>Home</v>
      </c>
      <c r="I19" s="1">
        <f>VLOOKUP($B19,Sheet2!$A$2:$O$33,3,FALSE)</f>
        <v>23.7</v>
      </c>
      <c r="J19" s="1">
        <f>VLOOKUP($C19,Sheet2!$A$2:$O$33,4,FALSE)</f>
        <v>17.3</v>
      </c>
      <c r="K19" s="1">
        <f>VLOOKUP($B19,Sheet2!$A$2:$O$33,5,FALSE)</f>
        <v>45.800272</v>
      </c>
      <c r="L19" s="1">
        <f>100*VLOOKUP($B19,Sheet2!$A$2:$O$33,6,FALSE)</f>
        <v>70.33</v>
      </c>
      <c r="M19" s="1">
        <f>100*VLOOKUP($C19,Sheet2!$A$2:$O$33,7,FALSE)</f>
        <v>58.430000000000007</v>
      </c>
      <c r="N19" s="1">
        <f>3*VLOOKUP($B19,Sheet2!$A$2:$O$33,8,FALSE)</f>
        <v>6.8999999999999995</v>
      </c>
      <c r="O19" s="1">
        <f>3*VLOOKUP($C19,Sheet2!$A$2:$O$33,9,FALSE)</f>
        <v>5.0999999999999996</v>
      </c>
      <c r="P19" s="1">
        <f>100*VLOOKUP($B19,Sheet2!$A$2:$O$33,10,FALSE)</f>
        <v>46.43</v>
      </c>
      <c r="Q19" s="1">
        <f>100*VLOOKUP($C19,Sheet2!$A$2:$O$33,11,FALSE)</f>
        <v>28.57</v>
      </c>
      <c r="R19" s="1">
        <f>100*VLOOKUP($B19,Sheet2!$A$2:$O$33,12,FALSE)</f>
        <v>72.36</v>
      </c>
      <c r="S19" s="1">
        <f>100*VLOOKUP($C19,Sheet2!$A$2:$O$33,13,FALSE)</f>
        <v>64.58</v>
      </c>
      <c r="T19" s="1">
        <f>3*VLOOKUP($B19,Sheet2!$A$2:$O$33,14,FALSE)</f>
        <v>5.0999999999999996</v>
      </c>
      <c r="U19" s="1">
        <f>3*VLOOKUP($C19,Sheet2!$A$2:$O$33,15,FALSE)</f>
        <v>8.1000000000000014</v>
      </c>
    </row>
    <row r="20" spans="1:21" x14ac:dyDescent="0.3">
      <c r="A20" t="s">
        <v>59</v>
      </c>
      <c r="B20" t="s">
        <v>84</v>
      </c>
      <c r="C20" t="s">
        <v>72</v>
      </c>
      <c r="D20">
        <f t="shared" si="0"/>
        <v>18.609616034603132</v>
      </c>
      <c r="E20" s="1">
        <f t="shared" si="1"/>
        <v>3.3835665517460241</v>
      </c>
      <c r="F20" s="1">
        <v>5500</v>
      </c>
      <c r="G20" s="1">
        <f t="shared" si="2"/>
        <v>8.6125033712205621</v>
      </c>
      <c r="H20" s="1" t="str">
        <f>VLOOKUP($B20,Sheet2!$A$2:$O$33,2,FALSE)</f>
        <v>Home</v>
      </c>
      <c r="I20" s="1">
        <f>VLOOKUP($B20,Sheet2!$A$2:$O$33,3,FALSE)</f>
        <v>19.3</v>
      </c>
      <c r="J20" s="1">
        <f>VLOOKUP($C20,Sheet2!$A$2:$O$33,4,FALSE)</f>
        <v>22</v>
      </c>
      <c r="K20" s="1">
        <f>VLOOKUP($B20,Sheet2!$A$2:$O$33,5,FALSE)</f>
        <v>55.360383999999996</v>
      </c>
      <c r="L20" s="1">
        <f>100*VLOOKUP($B20,Sheet2!$A$2:$O$33,6,FALSE)</f>
        <v>55.559999999999995</v>
      </c>
      <c r="M20" s="1">
        <f>100*VLOOKUP($C20,Sheet2!$A$2:$O$33,7,FALSE)</f>
        <v>64.36</v>
      </c>
      <c r="N20" s="1">
        <f>3*VLOOKUP($B20,Sheet2!$A$2:$O$33,8,FALSE)</f>
        <v>3.9000000000000004</v>
      </c>
      <c r="O20" s="1">
        <f>3*VLOOKUP($C20,Sheet2!$A$2:$O$33,9,FALSE)</f>
        <v>3.9000000000000004</v>
      </c>
      <c r="P20" s="1">
        <f>100*VLOOKUP($B20,Sheet2!$A$2:$O$33,10,FALSE)</f>
        <v>38.1</v>
      </c>
      <c r="Q20" s="1">
        <f>100*VLOOKUP($C20,Sheet2!$A$2:$O$33,11,FALSE)</f>
        <v>43.24</v>
      </c>
      <c r="R20" s="1">
        <f>100*VLOOKUP($B20,Sheet2!$A$2:$O$33,12,FALSE)</f>
        <v>62.62</v>
      </c>
      <c r="S20" s="1">
        <f>100*VLOOKUP($C20,Sheet2!$A$2:$O$33,13,FALSE)</f>
        <v>63.160000000000004</v>
      </c>
      <c r="T20" s="1">
        <f>3*VLOOKUP($B20,Sheet2!$A$2:$O$33,14,FALSE)</f>
        <v>3</v>
      </c>
      <c r="U20" s="1">
        <f>3*VLOOKUP($C20,Sheet2!$A$2:$O$33,15,FALSE)</f>
        <v>6.8999999999999995</v>
      </c>
    </row>
    <row r="21" spans="1:21" x14ac:dyDescent="0.3">
      <c r="A21" t="s">
        <v>67</v>
      </c>
      <c r="B21" t="s">
        <v>92</v>
      </c>
      <c r="C21" t="s">
        <v>91</v>
      </c>
      <c r="D21">
        <f t="shared" si="0"/>
        <v>14.028883666619956</v>
      </c>
      <c r="E21" s="1">
        <f t="shared" si="1"/>
        <v>2.8057767333239911</v>
      </c>
      <c r="F21" s="1">
        <v>5000</v>
      </c>
      <c r="G21" s="1">
        <f t="shared" si="2"/>
        <v>8.5171931914162382</v>
      </c>
      <c r="H21" s="1" t="str">
        <f>VLOOKUP($B21,Sheet2!$A$2:$O$33,2,FALSE)</f>
        <v>Home</v>
      </c>
      <c r="I21" s="1">
        <f>VLOOKUP($B21,Sheet2!$A$2:$O$33,3,FALSE)</f>
        <v>18.3</v>
      </c>
      <c r="J21" s="1">
        <f>VLOOKUP($C21,Sheet2!$A$2:$O$33,4,FALSE)</f>
        <v>21.3</v>
      </c>
      <c r="K21" s="1">
        <f>VLOOKUP($B21,Sheet2!$A$2:$O$33,5,FALSE)</f>
        <v>43.062027999999998</v>
      </c>
      <c r="L21" s="1">
        <f>100*VLOOKUP($B21,Sheet2!$A$2:$O$33,6,FALSE)</f>
        <v>62.01</v>
      </c>
      <c r="M21" s="1">
        <f>100*VLOOKUP($C21,Sheet2!$A$2:$O$33,7,FALSE)</f>
        <v>63.92</v>
      </c>
      <c r="N21" s="1">
        <f>3*VLOOKUP($B21,Sheet2!$A$2:$O$33,8,FALSE)</f>
        <v>2.0999999999999996</v>
      </c>
      <c r="O21" s="1">
        <f>3*VLOOKUP($C21,Sheet2!$A$2:$O$33,9,FALSE)</f>
        <v>6</v>
      </c>
      <c r="P21" s="1">
        <f>100*VLOOKUP($B21,Sheet2!$A$2:$O$33,10,FALSE)</f>
        <v>35.9</v>
      </c>
      <c r="Q21" s="1">
        <f>100*VLOOKUP($C21,Sheet2!$A$2:$O$33,11,FALSE)</f>
        <v>29.409999999999997</v>
      </c>
      <c r="R21" s="1">
        <f>100*VLOOKUP($B21,Sheet2!$A$2:$O$33,12,FALSE)</f>
        <v>65.05</v>
      </c>
      <c r="S21" s="1">
        <f>100*VLOOKUP($C21,Sheet2!$A$2:$O$33,13,FALSE)</f>
        <v>71.930000000000007</v>
      </c>
      <c r="T21" s="1">
        <f>3*VLOOKUP($B21,Sheet2!$A$2:$O$33,14,FALSE)</f>
        <v>8.1000000000000014</v>
      </c>
      <c r="U21" s="1">
        <f>3*VLOOKUP($C21,Sheet2!$A$2:$O$33,15,FALSE)</f>
        <v>9.8999999999999986</v>
      </c>
    </row>
    <row r="22" spans="1:21" x14ac:dyDescent="0.3">
      <c r="A22" t="s">
        <v>8</v>
      </c>
      <c r="B22" t="s">
        <v>72</v>
      </c>
      <c r="C22" t="s">
        <v>84</v>
      </c>
      <c r="D22">
        <f>-195.2+21.55*G22-0.5725*IF(H22="Road",1,0)+0.3938*((I22+J22)/2)+0.1747*K22+0.1054*((L22+M22)/2)-0.6011*((N22+O22)/6)+0.05368*((P22+Q22)/2)+0.04573*((R22+S22)/2)-0.1156*((T22+U22)/6)</f>
        <v>26.638908539550865</v>
      </c>
      <c r="E22" s="1">
        <f t="shared" si="1"/>
        <v>3.5518544719401155</v>
      </c>
      <c r="F22" s="1">
        <v>7500</v>
      </c>
      <c r="G22" s="1">
        <f t="shared" si="2"/>
        <v>8.9226582995244019</v>
      </c>
      <c r="H22" s="1" t="str">
        <f>VLOOKUP($B22,Sheet2!$A$2:$O$33,2,FALSE)</f>
        <v>Road</v>
      </c>
      <c r="I22" s="1">
        <f>VLOOKUP($B22,Sheet2!$A$2:$O$33,3,FALSE)</f>
        <v>25</v>
      </c>
      <c r="J22" s="1">
        <f>VLOOKUP($C22,Sheet2!$A$2:$O$33,4,FALSE)</f>
        <v>21.3</v>
      </c>
      <c r="K22" s="1">
        <f>VLOOKUP($B22,Sheet2!$A$2:$O$33,5,FALSE)</f>
        <v>55.360383999999996</v>
      </c>
      <c r="L22" s="1">
        <f>100*VLOOKUP($B22,Sheet2!$A$2:$O$33,6,FALSE)</f>
        <v>61.78</v>
      </c>
      <c r="M22" s="1">
        <f>100*VLOOKUP($C22,Sheet2!$A$2:$O$33,7,FALSE)</f>
        <v>63.38</v>
      </c>
      <c r="N22" s="1">
        <f>3*VLOOKUP($B22,Sheet2!$A$2:$O$33,8,FALSE)</f>
        <v>0.89999999999999991</v>
      </c>
      <c r="O22" s="1">
        <f>3*VLOOKUP($C22,Sheet2!$A$2:$O$33,9,FALSE)</f>
        <v>5.0999999999999996</v>
      </c>
      <c r="P22" s="1">
        <f>100*VLOOKUP($B22,Sheet2!$A$2:$O$33,10,FALSE)</f>
        <v>54.55</v>
      </c>
      <c r="Q22" s="1">
        <f>100*VLOOKUP($C22,Sheet2!$A$2:$O$33,11,FALSE)</f>
        <v>45.83</v>
      </c>
      <c r="R22" s="1">
        <f>100*VLOOKUP($B22,Sheet2!$A$2:$O$33,12,FALSE)</f>
        <v>71.3</v>
      </c>
      <c r="S22" s="1">
        <f>100*VLOOKUP($C22,Sheet2!$A$2:$O$33,13,FALSE)</f>
        <v>54.76</v>
      </c>
      <c r="T22" s="1">
        <f>3*VLOOKUP($B22,Sheet2!$A$2:$O$33,14,FALSE)</f>
        <v>3</v>
      </c>
      <c r="U22" s="1">
        <f>3*VLOOKUP($C22,Sheet2!$A$2:$O$33,15,FALSE)</f>
        <v>9</v>
      </c>
    </row>
    <row r="23" spans="1:21" x14ac:dyDescent="0.3">
      <c r="A23" t="s">
        <v>7</v>
      </c>
      <c r="B23" t="s">
        <v>77</v>
      </c>
      <c r="C23" t="s">
        <v>95</v>
      </c>
      <c r="D23">
        <f t="shared" si="0"/>
        <v>22.270307604965094</v>
      </c>
      <c r="E23" s="1">
        <f t="shared" si="1"/>
        <v>3.5919850975750149</v>
      </c>
      <c r="F23" s="1">
        <v>6200</v>
      </c>
      <c r="G23" s="1">
        <f t="shared" si="2"/>
        <v>8.7323045710331826</v>
      </c>
      <c r="H23" s="1" t="str">
        <f>VLOOKUP($B23,Sheet2!$A$2:$O$33,2,FALSE)</f>
        <v>Road</v>
      </c>
      <c r="I23" s="1">
        <f>VLOOKUP($B23,Sheet2!$A$2:$O$33,3,FALSE)</f>
        <v>22.7</v>
      </c>
      <c r="J23" s="1">
        <f>VLOOKUP($C23,Sheet2!$A$2:$O$33,4,FALSE)</f>
        <v>28.7</v>
      </c>
      <c r="K23" s="1">
        <f>VLOOKUP($B23,Sheet2!$A$2:$O$33,5,FALSE)</f>
        <v>51.545836000000001</v>
      </c>
      <c r="L23" s="1">
        <f>100*VLOOKUP($B23,Sheet2!$A$2:$O$33,6,FALSE)</f>
        <v>66.320000000000007</v>
      </c>
      <c r="M23" s="1">
        <f>100*VLOOKUP($C23,Sheet2!$A$2:$O$33,7,FALSE)</f>
        <v>43.9</v>
      </c>
      <c r="N23" s="1">
        <f>3*VLOOKUP($B23,Sheet2!$A$2:$O$33,8,FALSE)</f>
        <v>5.0999999999999996</v>
      </c>
      <c r="O23" s="1">
        <f>3*VLOOKUP($C23,Sheet2!$A$2:$O$33,9,FALSE)</f>
        <v>2.0999999999999996</v>
      </c>
      <c r="P23" s="1">
        <f>100*VLOOKUP($B23,Sheet2!$A$2:$O$33,10,FALSE)</f>
        <v>46.150000000000006</v>
      </c>
      <c r="Q23" s="1">
        <f>100*VLOOKUP($C23,Sheet2!$A$2:$O$33,11,FALSE)</f>
        <v>56.25</v>
      </c>
      <c r="R23" s="1">
        <f>100*VLOOKUP($B23,Sheet2!$A$2:$O$33,12,FALSE)</f>
        <v>66.38</v>
      </c>
      <c r="S23" s="1">
        <f>100*VLOOKUP($C23,Sheet2!$A$2:$O$33,13,FALSE)</f>
        <v>72.09</v>
      </c>
      <c r="T23" s="1">
        <f>3*VLOOKUP($B23,Sheet2!$A$2:$O$33,14,FALSE)</f>
        <v>9.8999999999999986</v>
      </c>
      <c r="U23" s="1">
        <f>3*VLOOKUP($C23,Sheet2!$A$2:$O$33,15,FALSE)</f>
        <v>3.9000000000000004</v>
      </c>
    </row>
    <row r="24" spans="1:21" x14ac:dyDescent="0.3">
      <c r="A24" t="s">
        <v>53</v>
      </c>
      <c r="B24" t="s">
        <v>78</v>
      </c>
      <c r="C24" t="s">
        <v>79</v>
      </c>
      <c r="D24">
        <f t="shared" si="0"/>
        <v>19.705521837378246</v>
      </c>
      <c r="E24" s="1">
        <f t="shared" si="1"/>
        <v>3.2304134159636471</v>
      </c>
      <c r="F24" s="1">
        <v>6100</v>
      </c>
      <c r="G24" s="1">
        <f t="shared" si="2"/>
        <v>8.7160440501614023</v>
      </c>
      <c r="H24" s="1" t="str">
        <f>VLOOKUP($B24,Sheet2!$A$2:$O$33,2,FALSE)</f>
        <v>Road</v>
      </c>
      <c r="I24" s="1">
        <f>VLOOKUP($B24,Sheet2!$A$2:$O$33,3,FALSE)</f>
        <v>21</v>
      </c>
      <c r="J24" s="1">
        <f>VLOOKUP($C24,Sheet2!$A$2:$O$33,4,FALSE)</f>
        <v>23.3</v>
      </c>
      <c r="K24" s="1">
        <f>VLOOKUP($B24,Sheet2!$A$2:$O$33,5,FALSE)</f>
        <v>50.627811999999999</v>
      </c>
      <c r="L24" s="1">
        <f>100*VLOOKUP($B24,Sheet2!$A$2:$O$33,6,FALSE)</f>
        <v>57.36</v>
      </c>
      <c r="M24" s="1">
        <f>100*VLOOKUP($C24,Sheet2!$A$2:$O$33,7,FALSE)</f>
        <v>54.500000000000007</v>
      </c>
      <c r="N24" s="1">
        <f>3*VLOOKUP($B24,Sheet2!$A$2:$O$33,8,FALSE)</f>
        <v>3.9000000000000004</v>
      </c>
      <c r="O24" s="1">
        <f>3*VLOOKUP($C24,Sheet2!$A$2:$O$33,9,FALSE)</f>
        <v>3</v>
      </c>
      <c r="P24" s="1">
        <f>100*VLOOKUP($B24,Sheet2!$A$2:$O$33,10,FALSE)</f>
        <v>35.9</v>
      </c>
      <c r="Q24" s="1">
        <f>100*VLOOKUP($C24,Sheet2!$A$2:$O$33,11,FALSE)</f>
        <v>40.479999999999997</v>
      </c>
      <c r="R24" s="1">
        <f>100*VLOOKUP($B24,Sheet2!$A$2:$O$33,12,FALSE)</f>
        <v>71.430000000000007</v>
      </c>
      <c r="S24" s="1">
        <f>100*VLOOKUP($C24,Sheet2!$A$2:$O$33,13,FALSE)</f>
        <v>64.81</v>
      </c>
      <c r="T24" s="1">
        <f>3*VLOOKUP($B24,Sheet2!$A$2:$O$33,14,FALSE)</f>
        <v>8.1000000000000014</v>
      </c>
      <c r="U24" s="1">
        <f>3*VLOOKUP($C24,Sheet2!$A$2:$O$33,15,FALSE)</f>
        <v>6.8999999999999995</v>
      </c>
    </row>
    <row r="25" spans="1:21" x14ac:dyDescent="0.3">
      <c r="A25" t="s">
        <v>11</v>
      </c>
      <c r="B25" t="s">
        <v>74</v>
      </c>
      <c r="C25" t="s">
        <v>83</v>
      </c>
      <c r="D25">
        <f t="shared" si="0"/>
        <v>19.40074767711285</v>
      </c>
      <c r="E25" s="1">
        <f t="shared" si="1"/>
        <v>2.9395072238049775</v>
      </c>
      <c r="F25" s="1">
        <v>6600</v>
      </c>
      <c r="G25" s="1">
        <f t="shared" si="2"/>
        <v>8.794824928014517</v>
      </c>
      <c r="H25" s="1" t="str">
        <f>VLOOKUP($B25,Sheet2!$A$2:$O$33,2,FALSE)</f>
        <v>Road</v>
      </c>
      <c r="I25" s="1">
        <f>VLOOKUP($B25,Sheet2!$A$2:$O$33,3,FALSE)</f>
        <v>24</v>
      </c>
      <c r="J25" s="1">
        <f>VLOOKUP($C25,Sheet2!$A$2:$O$33,4,FALSE)</f>
        <v>18.3</v>
      </c>
      <c r="K25" s="1">
        <f>VLOOKUP($B25,Sheet2!$A$2:$O$33,5,FALSE)</f>
        <v>39.469071999999997</v>
      </c>
      <c r="L25" s="1">
        <f>100*VLOOKUP($B25,Sheet2!$A$2:$O$33,6,FALSE)</f>
        <v>55.610000000000007</v>
      </c>
      <c r="M25" s="1">
        <f>100*VLOOKUP($C25,Sheet2!$A$2:$O$33,7,FALSE)</f>
        <v>68.25</v>
      </c>
      <c r="N25" s="1">
        <f>3*VLOOKUP($B25,Sheet2!$A$2:$O$33,8,FALSE)</f>
        <v>3</v>
      </c>
      <c r="O25" s="1">
        <f>3*VLOOKUP($C25,Sheet2!$A$2:$O$33,9,FALSE)</f>
        <v>6.8999999999999995</v>
      </c>
      <c r="P25" s="1">
        <f>100*VLOOKUP($B25,Sheet2!$A$2:$O$33,10,FALSE)</f>
        <v>47.5</v>
      </c>
      <c r="Q25" s="1">
        <f>100*VLOOKUP($C25,Sheet2!$A$2:$O$33,11,FALSE)</f>
        <v>32.5</v>
      </c>
      <c r="R25" s="1">
        <f>100*VLOOKUP($B25,Sheet2!$A$2:$O$33,12,FALSE)</f>
        <v>68.179999999999993</v>
      </c>
      <c r="S25" s="1">
        <f>100*VLOOKUP($C25,Sheet2!$A$2:$O$33,13,FALSE)</f>
        <v>60.660000000000004</v>
      </c>
      <c r="T25" s="1">
        <f>3*VLOOKUP($B25,Sheet2!$A$2:$O$33,14,FALSE)</f>
        <v>3.9000000000000004</v>
      </c>
      <c r="U25" s="1">
        <f>3*VLOOKUP($C25,Sheet2!$A$2:$O$33,15,FALSE)</f>
        <v>6.8999999999999995</v>
      </c>
    </row>
  </sheetData>
  <sortState ref="A2:U2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" sqref="J2:K14"/>
    </sheetView>
  </sheetViews>
  <sheetFormatPr defaultRowHeight="14.4" x14ac:dyDescent="0.3"/>
  <cols>
    <col min="1" max="1" width="17.88671875" customWidth="1"/>
    <col min="2" max="3" width="12.77734375" customWidth="1"/>
    <col min="4" max="4" width="15.21875" customWidth="1"/>
    <col min="5" max="5" width="11.33203125" customWidth="1"/>
    <col min="9" max="9" width="18.77734375" customWidth="1"/>
    <col min="11" max="12" width="10.88671875" customWidth="1"/>
  </cols>
  <sheetData>
    <row r="1" spans="1:12" x14ac:dyDescent="0.3">
      <c r="A1" t="s">
        <v>0</v>
      </c>
      <c r="B1" t="s">
        <v>1</v>
      </c>
      <c r="D1" t="s">
        <v>48</v>
      </c>
      <c r="E1" t="s">
        <v>49</v>
      </c>
      <c r="F1" t="s">
        <v>50</v>
      </c>
      <c r="G1" t="s">
        <v>21</v>
      </c>
      <c r="I1" t="s">
        <v>48</v>
      </c>
      <c r="J1" t="s">
        <v>49</v>
      </c>
      <c r="K1" t="s">
        <v>50</v>
      </c>
      <c r="L1" t="s">
        <v>21</v>
      </c>
    </row>
    <row r="2" spans="1:12" x14ac:dyDescent="0.3">
      <c r="A2" t="s">
        <v>3</v>
      </c>
      <c r="B2">
        <v>6200</v>
      </c>
      <c r="D2" s="2" t="str">
        <f>A2</f>
        <v>Andrew Luck</v>
      </c>
      <c r="E2" s="2">
        <f>B2</f>
        <v>6200</v>
      </c>
      <c r="F2" s="2">
        <f>B3</f>
        <v>22.050705291965095</v>
      </c>
      <c r="G2" s="2">
        <f>B4</f>
        <v>3.5565653696717892</v>
      </c>
      <c r="I2" t="s">
        <v>23</v>
      </c>
      <c r="J2">
        <v>5800</v>
      </c>
      <c r="K2">
        <v>13.574091912955568</v>
      </c>
      <c r="L2">
        <v>2.3403606746475116</v>
      </c>
    </row>
    <row r="3" spans="1:12" x14ac:dyDescent="0.3">
      <c r="A3" t="s">
        <v>4</v>
      </c>
      <c r="B3">
        <v>22.050705291965095</v>
      </c>
      <c r="D3" t="str">
        <f>A6</f>
        <v>Patrick Mahomes</v>
      </c>
      <c r="E3">
        <f>B6</f>
        <v>7000</v>
      </c>
      <c r="F3">
        <f>B7</f>
        <v>24.133171285407059</v>
      </c>
      <c r="G3">
        <f>B8</f>
        <v>3.4475958979152943</v>
      </c>
      <c r="I3" s="2" t="s">
        <v>24</v>
      </c>
      <c r="J3" s="2">
        <v>5100</v>
      </c>
      <c r="K3" s="2">
        <v>12.734651648888425</v>
      </c>
      <c r="L3" s="2">
        <v>2.4969905193898874</v>
      </c>
    </row>
    <row r="4" spans="1:12" x14ac:dyDescent="0.3">
      <c r="A4" t="s">
        <v>21</v>
      </c>
      <c r="B4">
        <v>3.5565653696717892</v>
      </c>
      <c r="D4" t="str">
        <f>A10</f>
        <v>Dak Prescott</v>
      </c>
      <c r="E4">
        <f>B10</f>
        <v>5200</v>
      </c>
      <c r="F4">
        <f>B11</f>
        <v>15.061135744073161</v>
      </c>
      <c r="G4">
        <f>B12</f>
        <v>2.8963722584756075</v>
      </c>
      <c r="I4" t="s">
        <v>25</v>
      </c>
      <c r="J4">
        <v>8200</v>
      </c>
      <c r="K4">
        <v>19.43253798483547</v>
      </c>
      <c r="L4">
        <v>2.3698217054677406</v>
      </c>
    </row>
    <row r="5" spans="1:12" x14ac:dyDescent="0.3">
      <c r="D5" t="str">
        <f>A14</f>
        <v>Jared Goff</v>
      </c>
      <c r="E5">
        <f>B14</f>
        <v>5500</v>
      </c>
      <c r="F5">
        <f>B15</f>
        <v>17.923935250403133</v>
      </c>
      <c r="G5">
        <f>B16</f>
        <v>3.2588973182551153</v>
      </c>
      <c r="I5" s="2" t="s">
        <v>26</v>
      </c>
      <c r="J5" s="2">
        <v>8000</v>
      </c>
      <c r="K5" s="2">
        <v>19.658304932821096</v>
      </c>
      <c r="L5" s="2">
        <v>2.457288116602637</v>
      </c>
    </row>
    <row r="6" spans="1:12" x14ac:dyDescent="0.3">
      <c r="A6" t="s">
        <v>8</v>
      </c>
      <c r="B6">
        <v>7000</v>
      </c>
      <c r="D6" t="str">
        <f>A18</f>
        <v>Philip Rivers</v>
      </c>
      <c r="E6">
        <f>B18</f>
        <v>5700</v>
      </c>
      <c r="F6">
        <f>B19</f>
        <v>17.747109188877939</v>
      </c>
      <c r="G6">
        <f>B20</f>
        <v>3.1135279278733226</v>
      </c>
      <c r="I6" t="s">
        <v>27</v>
      </c>
      <c r="J6">
        <v>6200</v>
      </c>
      <c r="K6">
        <v>13.679204240758418</v>
      </c>
      <c r="L6">
        <v>2.2063232646384545</v>
      </c>
    </row>
    <row r="7" spans="1:12" x14ac:dyDescent="0.3">
      <c r="A7" t="s">
        <v>4</v>
      </c>
      <c r="B7">
        <v>24.133171285407059</v>
      </c>
      <c r="D7" t="str">
        <f>A22</f>
        <v>Tom Brady</v>
      </c>
      <c r="E7">
        <f>B22</f>
        <v>5600</v>
      </c>
      <c r="F7">
        <f>B23</f>
        <v>18.067880177385884</v>
      </c>
      <c r="G7">
        <f>B24</f>
        <v>3.2264071745331937</v>
      </c>
      <c r="I7" t="s">
        <v>28</v>
      </c>
      <c r="J7">
        <v>4500</v>
      </c>
      <c r="K7">
        <v>8.2058638644115334</v>
      </c>
      <c r="L7">
        <v>1.8235253032025629</v>
      </c>
    </row>
    <row r="8" spans="1:12" x14ac:dyDescent="0.3">
      <c r="A8" t="s">
        <v>21</v>
      </c>
      <c r="B8">
        <v>3.4475958979152943</v>
      </c>
      <c r="D8" t="str">
        <f>A26</f>
        <v>Nick Foles</v>
      </c>
      <c r="E8">
        <f>B26</f>
        <v>5400</v>
      </c>
      <c r="F8">
        <f>B27</f>
        <v>16.960914636503521</v>
      </c>
      <c r="G8">
        <f>B28</f>
        <v>3.1409101178710221</v>
      </c>
      <c r="I8" s="2" t="s">
        <v>29</v>
      </c>
      <c r="J8" s="2">
        <v>4700</v>
      </c>
      <c r="K8" s="2">
        <v>11.875537069837119</v>
      </c>
      <c r="L8" s="2">
        <v>2.5267100148589612</v>
      </c>
    </row>
    <row r="9" spans="1:12" x14ac:dyDescent="0.3">
      <c r="D9" t="str">
        <f>A30</f>
        <v>Drew Brees</v>
      </c>
      <c r="E9">
        <f>B30</f>
        <v>6700</v>
      </c>
      <c r="F9">
        <f>B31</f>
        <v>22.298127230918674</v>
      </c>
      <c r="G9">
        <f>B32</f>
        <v>3.3280786911818914</v>
      </c>
      <c r="I9" t="s">
        <v>30</v>
      </c>
      <c r="J9">
        <v>4900</v>
      </c>
      <c r="K9">
        <v>11.318210178219999</v>
      </c>
      <c r="L9">
        <v>2.3098388118816322</v>
      </c>
    </row>
    <row r="10" spans="1:12" x14ac:dyDescent="0.3">
      <c r="A10" t="s">
        <v>5</v>
      </c>
      <c r="B10">
        <v>5200</v>
      </c>
      <c r="I10" t="s">
        <v>31</v>
      </c>
      <c r="J10">
        <v>4400</v>
      </c>
      <c r="K10">
        <v>8.1397988207863428</v>
      </c>
      <c r="L10">
        <v>1.8499542774514415</v>
      </c>
    </row>
    <row r="11" spans="1:12" x14ac:dyDescent="0.3">
      <c r="A11" t="s">
        <v>4</v>
      </c>
      <c r="B11">
        <v>15.061135744073161</v>
      </c>
      <c r="I11" t="s">
        <v>32</v>
      </c>
      <c r="J11">
        <v>3900</v>
      </c>
      <c r="K11">
        <v>5.1631863490983578</v>
      </c>
      <c r="L11">
        <v>1.3238939356662456</v>
      </c>
    </row>
    <row r="12" spans="1:12" x14ac:dyDescent="0.3">
      <c r="A12" t="s">
        <v>21</v>
      </c>
      <c r="B12">
        <v>2.8963722584756075</v>
      </c>
      <c r="I12" t="s">
        <v>33</v>
      </c>
      <c r="J12">
        <v>3200</v>
      </c>
      <c r="K12">
        <v>4.7338226141086919</v>
      </c>
      <c r="L12">
        <v>1.479319566908966</v>
      </c>
    </row>
    <row r="13" spans="1:12" x14ac:dyDescent="0.3">
      <c r="I13" t="s">
        <v>34</v>
      </c>
      <c r="J13">
        <v>7300</v>
      </c>
      <c r="K13">
        <v>15.003397206648522</v>
      </c>
      <c r="L13">
        <v>2.0552598913217155</v>
      </c>
    </row>
    <row r="14" spans="1:12" x14ac:dyDescent="0.3">
      <c r="A14" t="s">
        <v>9</v>
      </c>
      <c r="B14">
        <v>5500</v>
      </c>
      <c r="I14" t="s">
        <v>35</v>
      </c>
      <c r="J14">
        <v>5200</v>
      </c>
      <c r="K14">
        <v>9.3566353685422392</v>
      </c>
      <c r="L14">
        <v>1.7993529554888921</v>
      </c>
    </row>
    <row r="15" spans="1:12" x14ac:dyDescent="0.3">
      <c r="A15" t="s">
        <v>4</v>
      </c>
      <c r="B15">
        <v>17.923935250403133</v>
      </c>
    </row>
    <row r="16" spans="1:12" x14ac:dyDescent="0.3">
      <c r="A16" t="s">
        <v>21</v>
      </c>
      <c r="B16">
        <v>3.2588973182551153</v>
      </c>
    </row>
    <row r="18" spans="1:2" x14ac:dyDescent="0.3">
      <c r="A18" t="s">
        <v>7</v>
      </c>
      <c r="B18">
        <v>5700</v>
      </c>
    </row>
    <row r="19" spans="1:2" x14ac:dyDescent="0.3">
      <c r="A19" t="s">
        <v>4</v>
      </c>
      <c r="B19">
        <v>17.747109188877939</v>
      </c>
    </row>
    <row r="20" spans="1:2" x14ac:dyDescent="0.3">
      <c r="A20" t="s">
        <v>21</v>
      </c>
      <c r="B20">
        <v>3.1135279278733226</v>
      </c>
    </row>
    <row r="22" spans="1:2" x14ac:dyDescent="0.3">
      <c r="A22" t="s">
        <v>11</v>
      </c>
      <c r="B22">
        <v>5600</v>
      </c>
    </row>
    <row r="23" spans="1:2" x14ac:dyDescent="0.3">
      <c r="A23" t="s">
        <v>4</v>
      </c>
      <c r="B23">
        <v>18.067880177385884</v>
      </c>
    </row>
    <row r="24" spans="1:2" x14ac:dyDescent="0.3">
      <c r="A24" t="s">
        <v>21</v>
      </c>
      <c r="B24">
        <v>3.2264071745331937</v>
      </c>
    </row>
    <row r="26" spans="1:2" x14ac:dyDescent="0.3">
      <c r="A26" t="s">
        <v>6</v>
      </c>
      <c r="B26">
        <v>5400</v>
      </c>
    </row>
    <row r="27" spans="1:2" x14ac:dyDescent="0.3">
      <c r="A27" t="s">
        <v>4</v>
      </c>
      <c r="B27">
        <v>16.960914636503521</v>
      </c>
    </row>
    <row r="28" spans="1:2" x14ac:dyDescent="0.3">
      <c r="A28" t="s">
        <v>21</v>
      </c>
      <c r="B28">
        <v>3.1409101178710221</v>
      </c>
    </row>
    <row r="30" spans="1:2" x14ac:dyDescent="0.3">
      <c r="A30" t="s">
        <v>10</v>
      </c>
      <c r="B30">
        <v>6700</v>
      </c>
    </row>
    <row r="31" spans="1:2" x14ac:dyDescent="0.3">
      <c r="A31" t="s">
        <v>4</v>
      </c>
      <c r="B31">
        <v>22.298127230918674</v>
      </c>
    </row>
    <row r="32" spans="1:2" x14ac:dyDescent="0.3">
      <c r="A32" t="s">
        <v>21</v>
      </c>
      <c r="B32">
        <v>3.3280786911818914</v>
      </c>
    </row>
  </sheetData>
  <sortState ref="D2:E9">
    <sortCondition descending="1" ref="E2:E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4.4" x14ac:dyDescent="0.3"/>
  <cols>
    <col min="1" max="1" width="17.88671875" customWidth="1"/>
    <col min="2" max="3" width="16.21875" customWidth="1"/>
    <col min="4" max="4" width="11.44140625" customWidth="1"/>
    <col min="5" max="5" width="8.6640625" customWidth="1"/>
    <col min="6" max="7" width="12.77734375" style="1" customWidth="1"/>
    <col min="8" max="8" width="8" style="1" customWidth="1"/>
    <col min="9" max="9" width="7.5546875" style="1" customWidth="1"/>
    <col min="10" max="10" width="9.44140625" style="1" customWidth="1"/>
    <col min="11" max="11" width="10.5546875" style="1" customWidth="1"/>
    <col min="12" max="12" width="8.33203125" style="1" customWidth="1"/>
    <col min="13" max="13" width="11.44140625" style="1" customWidth="1"/>
    <col min="14" max="14" width="9.21875" customWidth="1"/>
    <col min="15" max="15" width="12.109375" customWidth="1"/>
    <col min="17" max="17" width="9.77734375" customWidth="1"/>
  </cols>
  <sheetData>
    <row r="1" spans="1:17" x14ac:dyDescent="0.3">
      <c r="A1" t="s">
        <v>22</v>
      </c>
      <c r="B1" t="s">
        <v>71</v>
      </c>
      <c r="C1" t="s">
        <v>104</v>
      </c>
      <c r="D1" t="s">
        <v>4</v>
      </c>
      <c r="E1" t="s">
        <v>21</v>
      </c>
      <c r="F1" s="1" t="s">
        <v>1</v>
      </c>
      <c r="G1" s="1" t="s">
        <v>36</v>
      </c>
      <c r="H1" s="1" t="s">
        <v>39</v>
      </c>
      <c r="I1" s="1" t="s">
        <v>43</v>
      </c>
      <c r="J1" s="1" t="s">
        <v>44</v>
      </c>
      <c r="K1" s="1" t="s">
        <v>13</v>
      </c>
      <c r="L1" s="1" t="s">
        <v>41</v>
      </c>
      <c r="M1" s="1" t="s">
        <v>42</v>
      </c>
      <c r="N1" s="1" t="s">
        <v>37</v>
      </c>
      <c r="O1" s="1" t="s">
        <v>38</v>
      </c>
      <c r="P1" s="1" t="s">
        <v>40</v>
      </c>
      <c r="Q1" s="1" t="s">
        <v>46</v>
      </c>
    </row>
    <row r="2" spans="1:17" x14ac:dyDescent="0.3">
      <c r="A2" t="s">
        <v>120</v>
      </c>
      <c r="B2" t="s">
        <v>93</v>
      </c>
      <c r="C2" t="s">
        <v>87</v>
      </c>
      <c r="D2">
        <f t="shared" ref="D2:D25" si="0">-10.099824+0.109493*G2+0.28615*(J2/I2)+0.034902*((N2+O2)/2)+0.012506*K2-0.345557*IF(H2="Road",1,0)-0.097606*((P2+Q2)/6)+0.015135*((L2+M2)/2)</f>
        <v>9.7373578861713224</v>
      </c>
      <c r="E2" s="1">
        <f t="shared" ref="E2:E25" si="1">D2/(F2/1000)</f>
        <v>2.2645018339933309</v>
      </c>
      <c r="F2" s="1">
        <v>4300</v>
      </c>
      <c r="G2" s="1">
        <f t="shared" ref="G2:G25" si="2">SQRT(F2)</f>
        <v>65.574385243020004</v>
      </c>
      <c r="H2" s="1" t="s">
        <v>45</v>
      </c>
      <c r="I2" s="1">
        <v>3</v>
      </c>
      <c r="J2" s="1">
        <v>100</v>
      </c>
      <c r="K2" s="1">
        <f>VLOOKUP($B2,Sheet2!$A$2:$O$33,5,FALSE)</f>
        <v>56.784903999999997</v>
      </c>
      <c r="L2" s="1">
        <f>100*(1-VLOOKUP($B2,Sheet2!$A$2:$O$33,6,FALSE))</f>
        <v>28.180000000000007</v>
      </c>
      <c r="M2" s="1">
        <f>100*(1-VLOOKUP($C2,Sheet2!$A$2:$O$33,7,FALSE))</f>
        <v>47.519999999999996</v>
      </c>
      <c r="N2" s="1">
        <f>100*VLOOKUP($B2,Sheet2!$A$2:$O$33,12,FALSE)</f>
        <v>69.349999999999994</v>
      </c>
      <c r="O2" s="1">
        <f>100*VLOOKUP($C2,Sheet2!$A$2:$O$33,13,FALSE)</f>
        <v>67.679999999999993</v>
      </c>
      <c r="P2" s="1">
        <f>3*VLOOKUP($B2,Sheet2!$A$2:$O$33,14,FALSE)</f>
        <v>6</v>
      </c>
      <c r="Q2" s="1">
        <f>3*VLOOKUP($C2,Sheet2!$A$2:$O$33,15,FALSE)</f>
        <v>6.8999999999999995</v>
      </c>
    </row>
    <row r="3" spans="1:17" x14ac:dyDescent="0.3">
      <c r="A3" t="s">
        <v>28</v>
      </c>
      <c r="B3" t="s">
        <v>77</v>
      </c>
      <c r="C3" t="s">
        <v>95</v>
      </c>
      <c r="D3">
        <f t="shared" si="0"/>
        <v>16.789925854098044</v>
      </c>
      <c r="E3" s="1">
        <f t="shared" si="1"/>
        <v>2.0987407317622555</v>
      </c>
      <c r="F3" s="1">
        <v>8000</v>
      </c>
      <c r="G3" s="1">
        <f t="shared" si="2"/>
        <v>89.442719099991592</v>
      </c>
      <c r="H3" s="1" t="s">
        <v>45</v>
      </c>
      <c r="I3" s="1">
        <v>3</v>
      </c>
      <c r="J3" s="1">
        <v>146</v>
      </c>
      <c r="K3" s="1">
        <f>VLOOKUP($B3,Sheet2!$A$2:$O$33,5,FALSE)</f>
        <v>51.545836000000001</v>
      </c>
      <c r="L3" s="1">
        <f>100*(1-VLOOKUP($B3,Sheet2!$A$2:$O$33,6,FALSE))</f>
        <v>33.68</v>
      </c>
      <c r="M3" s="1">
        <f>100*(1-VLOOKUP($C3,Sheet2!$A$2:$O$33,7,FALSE))</f>
        <v>56.099999999999994</v>
      </c>
      <c r="N3" s="1">
        <f>100*VLOOKUP($B3,Sheet2!$A$2:$O$33,12,FALSE)</f>
        <v>66.38</v>
      </c>
      <c r="O3" s="1">
        <f>100*VLOOKUP($C3,Sheet2!$A$2:$O$33,13,FALSE)</f>
        <v>72.09</v>
      </c>
      <c r="P3" s="1">
        <f>3*VLOOKUP($B3,Sheet2!$A$2:$O$33,14,FALSE)</f>
        <v>9.8999999999999986</v>
      </c>
      <c r="Q3" s="1">
        <f>3*VLOOKUP($C3,Sheet2!$A$2:$O$33,15,FALSE)</f>
        <v>3.9000000000000004</v>
      </c>
    </row>
    <row r="4" spans="1:17" x14ac:dyDescent="0.3">
      <c r="A4" t="s">
        <v>107</v>
      </c>
      <c r="B4" t="s">
        <v>75</v>
      </c>
      <c r="C4" t="s">
        <v>89</v>
      </c>
      <c r="D4">
        <f t="shared" si="0"/>
        <v>9.3273219426459892</v>
      </c>
      <c r="E4" s="1">
        <f t="shared" si="1"/>
        <v>2.1691446378246488</v>
      </c>
      <c r="F4" s="1">
        <v>4300</v>
      </c>
      <c r="G4" s="1">
        <f t="shared" si="2"/>
        <v>65.574385243020004</v>
      </c>
      <c r="H4" s="1" t="s">
        <v>47</v>
      </c>
      <c r="I4" s="1">
        <v>3</v>
      </c>
      <c r="J4" s="1">
        <v>96</v>
      </c>
      <c r="K4" s="1">
        <f>VLOOKUP($B4,Sheet2!$A$2:$O$33,5,FALSE)</f>
        <v>46.987372000000001</v>
      </c>
      <c r="L4" s="1">
        <f>100*(1-VLOOKUP($B4,Sheet2!$A$2:$O$33,6,FALSE))</f>
        <v>40.680000000000007</v>
      </c>
      <c r="M4" s="1">
        <f>100*(1-VLOOKUP($C4,Sheet2!$A$2:$O$33,7,FALSE))</f>
        <v>41.669999999999995</v>
      </c>
      <c r="N4" s="1">
        <f>100*VLOOKUP($B4,Sheet2!$A$2:$O$33,12,FALSE)</f>
        <v>65.59</v>
      </c>
      <c r="O4" s="1">
        <f>100*VLOOKUP($C4,Sheet2!$A$2:$O$33,13,FALSE)</f>
        <v>64.490000000000009</v>
      </c>
      <c r="P4" s="1">
        <f>3*VLOOKUP($B4,Sheet2!$A$2:$O$33,14,FALSE)</f>
        <v>12</v>
      </c>
      <c r="Q4" s="1">
        <f>3*VLOOKUP($C4,Sheet2!$A$2:$O$33,15,FALSE)</f>
        <v>12</v>
      </c>
    </row>
    <row r="5" spans="1:17" x14ac:dyDescent="0.3">
      <c r="A5" t="s">
        <v>108</v>
      </c>
      <c r="B5" t="s">
        <v>78</v>
      </c>
      <c r="C5" t="s">
        <v>79</v>
      </c>
      <c r="D5">
        <f t="shared" si="0"/>
        <v>12.796202658416338</v>
      </c>
      <c r="E5" s="1">
        <f t="shared" si="1"/>
        <v>2.2449478348098837</v>
      </c>
      <c r="F5" s="1">
        <v>5700</v>
      </c>
      <c r="G5" s="1">
        <f t="shared" si="2"/>
        <v>75.498344352707491</v>
      </c>
      <c r="H5" s="1" t="s">
        <v>45</v>
      </c>
      <c r="I5" s="1">
        <v>3</v>
      </c>
      <c r="J5" s="1">
        <v>121</v>
      </c>
      <c r="K5" s="1">
        <f>VLOOKUP($B5,Sheet2!$A$2:$O$33,5,FALSE)</f>
        <v>50.627811999999999</v>
      </c>
      <c r="L5" s="1">
        <f>100*(1-VLOOKUP($B5,Sheet2!$A$2:$O$33,6,FALSE))</f>
        <v>42.64</v>
      </c>
      <c r="M5" s="1">
        <f>100*(1-VLOOKUP($C5,Sheet2!$A$2:$O$33,7,FALSE))</f>
        <v>45.499999999999993</v>
      </c>
      <c r="N5" s="1">
        <f>100*VLOOKUP($B5,Sheet2!$A$2:$O$33,12,FALSE)</f>
        <v>71.430000000000007</v>
      </c>
      <c r="O5" s="1">
        <f>100*VLOOKUP($C5,Sheet2!$A$2:$O$33,13,FALSE)</f>
        <v>64.81</v>
      </c>
      <c r="P5" s="1">
        <f>3*VLOOKUP($B5,Sheet2!$A$2:$O$33,14,FALSE)</f>
        <v>8.1000000000000014</v>
      </c>
      <c r="Q5" s="1">
        <f>3*VLOOKUP($C5,Sheet2!$A$2:$O$33,15,FALSE)</f>
        <v>6.8999999999999995</v>
      </c>
    </row>
    <row r="6" spans="1:17" x14ac:dyDescent="0.3">
      <c r="A6" t="s">
        <v>117</v>
      </c>
      <c r="B6" t="s">
        <v>89</v>
      </c>
      <c r="C6" t="s">
        <v>75</v>
      </c>
      <c r="D6">
        <f t="shared" si="0"/>
        <v>22.374457995038938</v>
      </c>
      <c r="E6" s="1">
        <f t="shared" si="1"/>
        <v>2.5425520448907881</v>
      </c>
      <c r="F6" s="1">
        <v>8800</v>
      </c>
      <c r="G6" s="1">
        <f t="shared" si="2"/>
        <v>93.808315196468598</v>
      </c>
      <c r="H6" s="1" t="s">
        <v>45</v>
      </c>
      <c r="I6" s="1">
        <v>3</v>
      </c>
      <c r="J6" s="1">
        <v>204</v>
      </c>
      <c r="K6" s="1">
        <f>VLOOKUP($B6,Sheet2!$A$2:$O$33,5,FALSE)</f>
        <v>46.987372000000001</v>
      </c>
      <c r="L6" s="1">
        <f>100*(1-VLOOKUP($B6,Sheet2!$A$2:$O$33,6,FALSE))</f>
        <v>37.239999999999995</v>
      </c>
      <c r="M6" s="1">
        <f>100*(1-VLOOKUP($C6,Sheet2!$A$2:$O$33,7,FALSE))</f>
        <v>31.25</v>
      </c>
      <c r="N6" s="1">
        <f>100*VLOOKUP($B6,Sheet2!$A$2:$O$33,12,FALSE)</f>
        <v>60</v>
      </c>
      <c r="O6" s="1">
        <f>100*VLOOKUP($C6,Sheet2!$A$2:$O$33,13,FALSE)</f>
        <v>70.489999999999995</v>
      </c>
      <c r="P6" s="1">
        <f>3*VLOOKUP($B6,Sheet2!$A$2:$O$33,14,FALSE)</f>
        <v>8.1000000000000014</v>
      </c>
      <c r="Q6" s="1">
        <f>3*VLOOKUP($C6,Sheet2!$A$2:$O$33,15,FALSE)</f>
        <v>9.8999999999999986</v>
      </c>
    </row>
    <row r="7" spans="1:17" x14ac:dyDescent="0.3">
      <c r="A7" t="s">
        <v>119</v>
      </c>
      <c r="B7" t="s">
        <v>91</v>
      </c>
      <c r="C7" t="s">
        <v>92</v>
      </c>
      <c r="D7">
        <f t="shared" si="0"/>
        <v>14.313768804313801</v>
      </c>
      <c r="E7" s="1">
        <f t="shared" si="1"/>
        <v>1.7245504583510602</v>
      </c>
      <c r="F7" s="1">
        <v>8300</v>
      </c>
      <c r="G7" s="1">
        <f t="shared" si="2"/>
        <v>91.104335791442992</v>
      </c>
      <c r="H7" s="1" t="s">
        <v>45</v>
      </c>
      <c r="I7" s="1">
        <v>3</v>
      </c>
      <c r="J7" s="1">
        <v>121</v>
      </c>
      <c r="K7" s="1">
        <f>VLOOKUP($B7,Sheet2!$A$2:$O$33,5,FALSE)</f>
        <v>43.062027999999998</v>
      </c>
      <c r="L7" s="1">
        <f>100*(1-VLOOKUP($B7,Sheet2!$A$2:$O$33,6,FALSE))</f>
        <v>61.309999999999995</v>
      </c>
      <c r="M7" s="1">
        <f>100*(1-VLOOKUP($C7,Sheet2!$A$2:$O$33,7,FALSE))</f>
        <v>33.330000000000005</v>
      </c>
      <c r="N7" s="1">
        <f>100*VLOOKUP($B7,Sheet2!$A$2:$O$33,12,FALSE)</f>
        <v>58.730000000000004</v>
      </c>
      <c r="O7" s="1">
        <f>100*VLOOKUP($C7,Sheet2!$A$2:$O$33,13,FALSE)</f>
        <v>67.47999999999999</v>
      </c>
      <c r="P7" s="1">
        <f>3*VLOOKUP($B7,Sheet2!$A$2:$O$33,14,FALSE)</f>
        <v>2.0999999999999996</v>
      </c>
      <c r="Q7" s="1">
        <f>3*VLOOKUP($C7,Sheet2!$A$2:$O$33,15,FALSE)</f>
        <v>11.100000000000001</v>
      </c>
    </row>
    <row r="8" spans="1:17" x14ac:dyDescent="0.3">
      <c r="A8" t="s">
        <v>109</v>
      </c>
      <c r="B8" t="s">
        <v>79</v>
      </c>
      <c r="C8" t="s">
        <v>78</v>
      </c>
      <c r="D8">
        <f t="shared" si="0"/>
        <v>18.844481465520428</v>
      </c>
      <c r="E8" s="1">
        <f t="shared" si="1"/>
        <v>2.7712472743412393</v>
      </c>
      <c r="F8" s="1">
        <v>6800</v>
      </c>
      <c r="G8" s="1">
        <f t="shared" si="2"/>
        <v>82.462112512353215</v>
      </c>
      <c r="H8" s="1" t="s">
        <v>47</v>
      </c>
      <c r="I8" s="1">
        <v>3</v>
      </c>
      <c r="J8" s="1">
        <v>178</v>
      </c>
      <c r="K8" s="1">
        <f>VLOOKUP($B8,Sheet2!$A$2:$O$33,5,FALSE)</f>
        <v>50.627811999999999</v>
      </c>
      <c r="L8" s="1">
        <f>100*(1-VLOOKUP($B8,Sheet2!$A$2:$O$33,6,FALSE))</f>
        <v>26.790000000000003</v>
      </c>
      <c r="M8" s="1">
        <f>100*(1-VLOOKUP($C8,Sheet2!$A$2:$O$33,7,FALSE))</f>
        <v>30.989999999999995</v>
      </c>
      <c r="N8" s="1">
        <f>100*VLOOKUP($B8,Sheet2!$A$2:$O$33,12,FALSE)</f>
        <v>61.309999999999995</v>
      </c>
      <c r="O8" s="1">
        <f>100*VLOOKUP($C8,Sheet2!$A$2:$O$33,13,FALSE)</f>
        <v>66.069999999999993</v>
      </c>
      <c r="P8" s="1">
        <f>3*VLOOKUP($B8,Sheet2!$A$2:$O$33,14,FALSE)</f>
        <v>15.899999999999999</v>
      </c>
      <c r="Q8" s="1">
        <f>3*VLOOKUP($C8,Sheet2!$A$2:$O$33,15,FALSE)</f>
        <v>6</v>
      </c>
    </row>
    <row r="9" spans="1:17" x14ac:dyDescent="0.3">
      <c r="A9" t="s">
        <v>124</v>
      </c>
      <c r="B9" t="s">
        <v>92</v>
      </c>
      <c r="C9" t="s">
        <v>91</v>
      </c>
      <c r="D9">
        <f t="shared" si="0"/>
        <v>9.9659809955913499</v>
      </c>
      <c r="E9" s="1">
        <f t="shared" si="1"/>
        <v>2.1665176077372501</v>
      </c>
      <c r="F9" s="1">
        <v>4600</v>
      </c>
      <c r="G9" s="1">
        <f t="shared" si="2"/>
        <v>67.823299831252683</v>
      </c>
      <c r="H9" s="1" t="s">
        <v>47</v>
      </c>
      <c r="I9" s="1">
        <v>3</v>
      </c>
      <c r="J9" s="1">
        <v>99</v>
      </c>
      <c r="K9" s="1">
        <f>VLOOKUP($B9,Sheet2!$A$2:$O$33,5,FALSE)</f>
        <v>43.062027999999998</v>
      </c>
      <c r="L9" s="1">
        <f>100*(1-VLOOKUP($B9,Sheet2!$A$2:$O$33,6,FALSE))</f>
        <v>37.99</v>
      </c>
      <c r="M9" s="1">
        <f>100*(1-VLOOKUP($C9,Sheet2!$A$2:$O$33,7,FALSE))</f>
        <v>36.08</v>
      </c>
      <c r="N9" s="1">
        <f>100*VLOOKUP($B9,Sheet2!$A$2:$O$33,12,FALSE)</f>
        <v>65.05</v>
      </c>
      <c r="O9" s="1">
        <f>100*VLOOKUP($C9,Sheet2!$A$2:$O$33,13,FALSE)</f>
        <v>71.930000000000007</v>
      </c>
      <c r="P9" s="1">
        <f>3*VLOOKUP($B9,Sheet2!$A$2:$O$33,14,FALSE)</f>
        <v>8.1000000000000014</v>
      </c>
      <c r="Q9" s="1">
        <f>3*VLOOKUP($C9,Sheet2!$A$2:$O$33,15,FALSE)</f>
        <v>9.8999999999999986</v>
      </c>
    </row>
    <row r="10" spans="1:17" x14ac:dyDescent="0.3">
      <c r="A10" t="s">
        <v>118</v>
      </c>
      <c r="B10" t="s">
        <v>90</v>
      </c>
      <c r="C10" t="s">
        <v>80</v>
      </c>
      <c r="D10">
        <f t="shared" si="0"/>
        <v>11.273677582370523</v>
      </c>
      <c r="E10" s="1">
        <f t="shared" si="1"/>
        <v>1.7894726321223053</v>
      </c>
      <c r="F10" s="1">
        <v>6300</v>
      </c>
      <c r="G10" s="1">
        <f t="shared" si="2"/>
        <v>79.372539331937716</v>
      </c>
      <c r="H10" s="1" t="s">
        <v>45</v>
      </c>
      <c r="I10" s="1">
        <v>3</v>
      </c>
      <c r="J10" s="1">
        <v>104</v>
      </c>
      <c r="K10" s="1">
        <f>VLOOKUP($B10,Sheet2!$A$2:$O$33,5,FALSE)</f>
        <v>45.800272</v>
      </c>
      <c r="L10" s="1">
        <f>100*(1-VLOOKUP($B10,Sheet2!$A$2:$O$33,6,FALSE))</f>
        <v>41.71</v>
      </c>
      <c r="M10" s="1">
        <f>100*(1-VLOOKUP($C10,Sheet2!$A$2:$O$33,7,FALSE))</f>
        <v>45.36</v>
      </c>
      <c r="N10" s="1">
        <f>100*VLOOKUP($B10,Sheet2!$A$2:$O$33,12,FALSE)</f>
        <v>60.870000000000005</v>
      </c>
      <c r="O10" s="1">
        <f>100*VLOOKUP($C10,Sheet2!$A$2:$O$33,13,FALSE)</f>
        <v>67.36999999999999</v>
      </c>
      <c r="P10" s="1">
        <f>3*VLOOKUP($B10,Sheet2!$A$2:$O$33,14,FALSE)</f>
        <v>17.100000000000001</v>
      </c>
      <c r="Q10" s="1">
        <f>3*VLOOKUP($C10,Sheet2!$A$2:$O$33,15,FALSE)</f>
        <v>5.0999999999999996</v>
      </c>
    </row>
    <row r="11" spans="1:17" x14ac:dyDescent="0.3">
      <c r="A11" t="s">
        <v>110</v>
      </c>
      <c r="B11" t="s">
        <v>80</v>
      </c>
      <c r="C11" t="s">
        <v>90</v>
      </c>
      <c r="D11">
        <f t="shared" si="0"/>
        <v>13.806143920877867</v>
      </c>
      <c r="E11" s="1">
        <f t="shared" si="1"/>
        <v>2.7612287841755734</v>
      </c>
      <c r="F11" s="1">
        <v>5000</v>
      </c>
      <c r="G11" s="1">
        <f t="shared" si="2"/>
        <v>70.710678118654755</v>
      </c>
      <c r="H11" s="1" t="s">
        <v>47</v>
      </c>
      <c r="I11" s="1">
        <v>3</v>
      </c>
      <c r="J11" s="1">
        <v>135</v>
      </c>
      <c r="K11" s="1">
        <f>VLOOKUP($B11,Sheet2!$A$2:$O$33,5,FALSE)</f>
        <v>45.800272</v>
      </c>
      <c r="L11" s="1">
        <f>100*(1-VLOOKUP($B11,Sheet2!$A$2:$O$33,6,FALSE))</f>
        <v>29.669999999999995</v>
      </c>
      <c r="M11" s="1">
        <f>100*(1-VLOOKUP($C11,Sheet2!$A$2:$O$33,7,FALSE))</f>
        <v>41.569999999999993</v>
      </c>
      <c r="N11" s="1">
        <f>100*VLOOKUP($B11,Sheet2!$A$2:$O$33,12,FALSE)</f>
        <v>72.36</v>
      </c>
      <c r="O11" s="1">
        <f>100*VLOOKUP($C11,Sheet2!$A$2:$O$33,13,FALSE)</f>
        <v>64.58</v>
      </c>
      <c r="P11" s="1">
        <f>3*VLOOKUP($B11,Sheet2!$A$2:$O$33,14,FALSE)</f>
        <v>5.0999999999999996</v>
      </c>
      <c r="Q11" s="1">
        <f>3*VLOOKUP($C11,Sheet2!$A$2:$O$33,15,FALSE)</f>
        <v>8.1000000000000014</v>
      </c>
    </row>
    <row r="12" spans="1:17" x14ac:dyDescent="0.3">
      <c r="A12" t="s">
        <v>122</v>
      </c>
      <c r="B12" t="s">
        <v>83</v>
      </c>
      <c r="C12" t="s">
        <v>74</v>
      </c>
      <c r="D12">
        <f t="shared" si="0"/>
        <v>10.750618704506344</v>
      </c>
      <c r="E12" s="1">
        <f t="shared" si="1"/>
        <v>2.4433224328423506</v>
      </c>
      <c r="F12" s="1">
        <v>4400</v>
      </c>
      <c r="G12" s="1">
        <f t="shared" si="2"/>
        <v>66.332495807108003</v>
      </c>
      <c r="H12" s="1" t="s">
        <v>47</v>
      </c>
      <c r="I12" s="1">
        <v>3</v>
      </c>
      <c r="J12" s="1">
        <v>113</v>
      </c>
      <c r="K12" s="1">
        <f>VLOOKUP($B12,Sheet2!$A$2:$O$33,5,FALSE)</f>
        <v>39.469071999999997</v>
      </c>
      <c r="L12" s="1">
        <f>100*(1-VLOOKUP($B12,Sheet2!$A$2:$O$33,6,FALSE))</f>
        <v>46.8</v>
      </c>
      <c r="M12" s="1">
        <f>100*(1-VLOOKUP($C12,Sheet2!$A$2:$O$33,7,FALSE))</f>
        <v>28.400000000000002</v>
      </c>
      <c r="N12" s="1">
        <f>100*VLOOKUP($B12,Sheet2!$A$2:$O$33,12,FALSE)</f>
        <v>64.08</v>
      </c>
      <c r="O12" s="1">
        <f>100*VLOOKUP($C12,Sheet2!$A$2:$O$33,13,FALSE)</f>
        <v>52.78</v>
      </c>
      <c r="P12" s="1">
        <f>3*VLOOKUP($B12,Sheet2!$A$2:$O$33,14,FALSE)</f>
        <v>5.0999999999999996</v>
      </c>
      <c r="Q12" s="1">
        <f>3*VLOOKUP($C12,Sheet2!$A$2:$O$33,15,FALSE)</f>
        <v>12.899999999999999</v>
      </c>
    </row>
    <row r="13" spans="1:17" x14ac:dyDescent="0.3">
      <c r="A13" t="s">
        <v>114</v>
      </c>
      <c r="B13" t="s">
        <v>86</v>
      </c>
      <c r="C13" t="s">
        <v>85</v>
      </c>
      <c r="D13">
        <f t="shared" si="0"/>
        <v>10.36774021775509</v>
      </c>
      <c r="E13" s="1">
        <f t="shared" si="1"/>
        <v>2.0328902387755079</v>
      </c>
      <c r="F13" s="1">
        <v>5100</v>
      </c>
      <c r="G13" s="1">
        <f t="shared" si="2"/>
        <v>71.414284285428494</v>
      </c>
      <c r="H13" s="1" t="s">
        <v>45</v>
      </c>
      <c r="I13" s="1">
        <v>3</v>
      </c>
      <c r="J13" s="1">
        <v>98</v>
      </c>
      <c r="K13" s="1">
        <f>VLOOKUP($B13,Sheet2!$A$2:$O$33,5,FALSE)</f>
        <v>55.597803999999996</v>
      </c>
      <c r="L13" s="1">
        <f>100*(1-VLOOKUP($B13,Sheet2!$A$2:$O$33,6,FALSE))</f>
        <v>38.949999999999996</v>
      </c>
      <c r="M13" s="1">
        <f>100*(1-VLOOKUP($C13,Sheet2!$A$2:$O$33,7,FALSE))</f>
        <v>38.460000000000008</v>
      </c>
      <c r="N13" s="1">
        <f>100*VLOOKUP($B13,Sheet2!$A$2:$O$33,12,FALSE)</f>
        <v>73.47</v>
      </c>
      <c r="O13" s="1">
        <f>100*VLOOKUP($C13,Sheet2!$A$2:$O$33,13,FALSE)</f>
        <v>76.039999999999992</v>
      </c>
      <c r="P13" s="1">
        <f>3*VLOOKUP($B13,Sheet2!$A$2:$O$33,14,FALSE)</f>
        <v>6.8999999999999995</v>
      </c>
      <c r="Q13" s="1">
        <f>3*VLOOKUP($C13,Sheet2!$A$2:$O$33,15,FALSE)</f>
        <v>8.1000000000000014</v>
      </c>
    </row>
    <row r="14" spans="1:17" x14ac:dyDescent="0.3">
      <c r="A14" t="s">
        <v>121</v>
      </c>
      <c r="B14" t="s">
        <v>95</v>
      </c>
      <c r="C14" t="s">
        <v>77</v>
      </c>
      <c r="D14">
        <f t="shared" si="0"/>
        <v>10.268596629590382</v>
      </c>
      <c r="E14" s="1">
        <f t="shared" si="1"/>
        <v>2.4449039594262811</v>
      </c>
      <c r="F14" s="1">
        <v>4200</v>
      </c>
      <c r="G14" s="1">
        <f t="shared" si="2"/>
        <v>64.807406984078597</v>
      </c>
      <c r="H14" s="1" t="s">
        <v>47</v>
      </c>
      <c r="I14" s="1">
        <v>3</v>
      </c>
      <c r="J14" s="1">
        <v>107</v>
      </c>
      <c r="K14" s="1">
        <f>VLOOKUP($B14,Sheet2!$A$2:$O$33,5,FALSE)</f>
        <v>51.545836000000001</v>
      </c>
      <c r="L14" s="1">
        <f>100*(1-VLOOKUP($B14,Sheet2!$A$2:$O$33,6,FALSE))</f>
        <v>28.979999999999993</v>
      </c>
      <c r="M14" s="1">
        <f>100*(1-VLOOKUP($C14,Sheet2!$A$2:$O$33,7,FALSE))</f>
        <v>45.709999999999994</v>
      </c>
      <c r="N14" s="1">
        <f>100*VLOOKUP($B14,Sheet2!$A$2:$O$33,12,FALSE)</f>
        <v>47.32</v>
      </c>
      <c r="O14" s="1">
        <f>100*VLOOKUP($C14,Sheet2!$A$2:$O$33,13,FALSE)</f>
        <v>74.72999999999999</v>
      </c>
      <c r="P14" s="1">
        <f>3*VLOOKUP($B14,Sheet2!$A$2:$O$33,14,FALSE)</f>
        <v>12.899999999999999</v>
      </c>
      <c r="Q14" s="1">
        <f>3*VLOOKUP($C14,Sheet2!$A$2:$O$33,15,FALSE)</f>
        <v>3.9000000000000004</v>
      </c>
    </row>
    <row r="15" spans="1:17" x14ac:dyDescent="0.3">
      <c r="A15" t="s">
        <v>113</v>
      </c>
      <c r="B15" t="s">
        <v>84</v>
      </c>
      <c r="C15" t="s">
        <v>72</v>
      </c>
      <c r="D15">
        <f t="shared" si="0"/>
        <v>13.773731321167423</v>
      </c>
      <c r="E15" s="1">
        <f t="shared" si="1"/>
        <v>2.5506909854013746</v>
      </c>
      <c r="F15" s="1">
        <v>5400</v>
      </c>
      <c r="G15" s="1">
        <f t="shared" si="2"/>
        <v>73.484692283495349</v>
      </c>
      <c r="H15" s="1" t="s">
        <v>47</v>
      </c>
      <c r="I15" s="1">
        <v>3</v>
      </c>
      <c r="J15" s="1">
        <v>131</v>
      </c>
      <c r="K15" s="1">
        <f>VLOOKUP($B15,Sheet2!$A$2:$O$33,5,FALSE)</f>
        <v>55.360383999999996</v>
      </c>
      <c r="L15" s="1">
        <f>100*(1-VLOOKUP($B15,Sheet2!$A$2:$O$33,6,FALSE))</f>
        <v>44.440000000000005</v>
      </c>
      <c r="M15" s="1">
        <f>100*(1-VLOOKUP($C15,Sheet2!$A$2:$O$33,7,FALSE))</f>
        <v>35.640000000000008</v>
      </c>
      <c r="N15" s="1">
        <f>100*VLOOKUP($B15,Sheet2!$A$2:$O$33,12,FALSE)</f>
        <v>62.62</v>
      </c>
      <c r="O15" s="1">
        <f>100*VLOOKUP($C15,Sheet2!$A$2:$O$33,13,FALSE)</f>
        <v>63.160000000000004</v>
      </c>
      <c r="P15" s="1">
        <f>3*VLOOKUP($B15,Sheet2!$A$2:$O$33,14,FALSE)</f>
        <v>3</v>
      </c>
      <c r="Q15" s="1">
        <f>3*VLOOKUP($C15,Sheet2!$A$2:$O$33,15,FALSE)</f>
        <v>6.8999999999999995</v>
      </c>
    </row>
    <row r="16" spans="1:17" x14ac:dyDescent="0.3">
      <c r="A16" t="s">
        <v>116</v>
      </c>
      <c r="B16" t="s">
        <v>88</v>
      </c>
      <c r="C16" t="s">
        <v>94</v>
      </c>
      <c r="D16">
        <f t="shared" si="0"/>
        <v>17.791605101371108</v>
      </c>
      <c r="E16" s="1">
        <f t="shared" si="1"/>
        <v>2.9652675168951848</v>
      </c>
      <c r="F16" s="1">
        <v>6000</v>
      </c>
      <c r="G16" s="1">
        <f t="shared" si="2"/>
        <v>77.459666924148337</v>
      </c>
      <c r="H16" s="1" t="s">
        <v>45</v>
      </c>
      <c r="I16" s="1">
        <v>3</v>
      </c>
      <c r="J16" s="1">
        <v>169</v>
      </c>
      <c r="K16" s="1">
        <f>VLOOKUP($B16,Sheet2!$A$2:$O$33,5,FALSE)</f>
        <v>50.311251999999996</v>
      </c>
      <c r="L16" s="1">
        <f>100*(1-VLOOKUP($B16,Sheet2!$A$2:$O$33,6,FALSE))</f>
        <v>36.08</v>
      </c>
      <c r="M16" s="1">
        <f>100*(1-VLOOKUP($C16,Sheet2!$A$2:$O$33,7,FALSE))</f>
        <v>49.38</v>
      </c>
      <c r="N16" s="1">
        <f>100*VLOOKUP($B16,Sheet2!$A$2:$O$33,12,FALSE)</f>
        <v>72.92</v>
      </c>
      <c r="O16" s="1">
        <f>100*VLOOKUP($C16,Sheet2!$A$2:$O$33,13,FALSE)</f>
        <v>67.069999999999993</v>
      </c>
      <c r="P16" s="1">
        <f>3*VLOOKUP($B16,Sheet2!$A$2:$O$33,14,FALSE)</f>
        <v>5.0999999999999996</v>
      </c>
      <c r="Q16" s="1">
        <f>3*VLOOKUP($C16,Sheet2!$A$2:$O$33,15,FALSE)</f>
        <v>0</v>
      </c>
    </row>
    <row r="17" spans="1:17" x14ac:dyDescent="0.3">
      <c r="A17" t="s">
        <v>106</v>
      </c>
      <c r="B17" t="s">
        <v>72</v>
      </c>
      <c r="C17" t="s">
        <v>84</v>
      </c>
      <c r="D17">
        <f t="shared" si="0"/>
        <v>12.457674567304785</v>
      </c>
      <c r="E17" s="1">
        <f t="shared" si="1"/>
        <v>2.2245847441615689</v>
      </c>
      <c r="F17" s="1">
        <v>5600</v>
      </c>
      <c r="G17" s="1">
        <f t="shared" si="2"/>
        <v>74.833147735478832</v>
      </c>
      <c r="H17" s="1" t="s">
        <v>45</v>
      </c>
      <c r="I17" s="1">
        <v>3</v>
      </c>
      <c r="J17" s="1">
        <v>120</v>
      </c>
      <c r="K17" s="1">
        <f>VLOOKUP($B17,Sheet2!$A$2:$O$33,5,FALSE)</f>
        <v>55.360383999999996</v>
      </c>
      <c r="L17" s="1">
        <f>100*(1-VLOOKUP($B17,Sheet2!$A$2:$O$33,6,FALSE))</f>
        <v>38.22</v>
      </c>
      <c r="M17" s="1">
        <f>100*(1-VLOOKUP($C17,Sheet2!$A$2:$O$33,7,FALSE))</f>
        <v>36.619999999999997</v>
      </c>
      <c r="N17" s="1">
        <f>100*VLOOKUP($B17,Sheet2!$A$2:$O$33,12,FALSE)</f>
        <v>71.3</v>
      </c>
      <c r="O17" s="1">
        <f>100*VLOOKUP($C17,Sheet2!$A$2:$O$33,13,FALSE)</f>
        <v>54.76</v>
      </c>
      <c r="P17" s="1">
        <f>3*VLOOKUP($B17,Sheet2!$A$2:$O$33,14,FALSE)</f>
        <v>3</v>
      </c>
      <c r="Q17" s="1">
        <f>3*VLOOKUP($C17,Sheet2!$A$2:$O$33,15,FALSE)</f>
        <v>9</v>
      </c>
    </row>
    <row r="18" spans="1:17" x14ac:dyDescent="0.3">
      <c r="A18" t="s">
        <v>35</v>
      </c>
      <c r="B18" t="s">
        <v>73</v>
      </c>
      <c r="C18" t="s">
        <v>81</v>
      </c>
      <c r="D18">
        <f t="shared" si="0"/>
        <v>13.664098254753384</v>
      </c>
      <c r="E18" s="1">
        <f t="shared" si="1"/>
        <v>2.0703179173868764</v>
      </c>
      <c r="F18" s="1">
        <v>6600</v>
      </c>
      <c r="G18" s="1">
        <f t="shared" si="2"/>
        <v>81.240384046359608</v>
      </c>
      <c r="H18" s="1" t="s">
        <v>47</v>
      </c>
      <c r="I18" s="1">
        <v>3</v>
      </c>
      <c r="J18" s="1">
        <v>121</v>
      </c>
      <c r="K18" s="1">
        <f>VLOOKUP($B18,Sheet2!$A$2:$O$33,5,FALSE)</f>
        <v>48.570171999999999</v>
      </c>
      <c r="L18" s="1">
        <f>100*(1-VLOOKUP($B18,Sheet2!$A$2:$O$33,6,FALSE))</f>
        <v>49.78</v>
      </c>
      <c r="M18" s="1">
        <f>100*(1-VLOOKUP($C18,Sheet2!$A$2:$O$33,7,FALSE))</f>
        <v>42.46</v>
      </c>
      <c r="N18" s="1">
        <f>100*VLOOKUP($B18,Sheet2!$A$2:$O$33,12,FALSE)</f>
        <v>65.09</v>
      </c>
      <c r="O18" s="1">
        <f>100*VLOOKUP($C18,Sheet2!$A$2:$O$33,13,FALSE)</f>
        <v>65.59</v>
      </c>
      <c r="P18" s="1">
        <f>3*VLOOKUP($B18,Sheet2!$A$2:$O$33,14,FALSE)</f>
        <v>6</v>
      </c>
      <c r="Q18" s="1">
        <f>3*VLOOKUP($C18,Sheet2!$A$2:$O$33,15,FALSE)</f>
        <v>9.8999999999999986</v>
      </c>
    </row>
    <row r="19" spans="1:17" x14ac:dyDescent="0.3">
      <c r="A19" t="s">
        <v>23</v>
      </c>
      <c r="B19" t="s">
        <v>85</v>
      </c>
      <c r="C19" t="s">
        <v>86</v>
      </c>
      <c r="D19">
        <f t="shared" si="0"/>
        <v>15.573073754464472</v>
      </c>
      <c r="E19" s="1">
        <f t="shared" si="1"/>
        <v>2.5529629105679463</v>
      </c>
      <c r="F19" s="1">
        <v>6100</v>
      </c>
      <c r="G19" s="1">
        <f t="shared" si="2"/>
        <v>78.10249675906654</v>
      </c>
      <c r="H19" s="1" t="s">
        <v>47</v>
      </c>
      <c r="I19" s="1">
        <v>3</v>
      </c>
      <c r="J19" s="1">
        <v>141</v>
      </c>
      <c r="K19" s="1">
        <f>VLOOKUP($B19,Sheet2!$A$2:$O$33,5,FALSE)</f>
        <v>55.597803999999996</v>
      </c>
      <c r="L19" s="1">
        <f>100*(1-VLOOKUP($B19,Sheet2!$A$2:$O$33,6,FALSE))</f>
        <v>48.150000000000006</v>
      </c>
      <c r="M19" s="1">
        <f>100*(1-VLOOKUP($C19,Sheet2!$A$2:$O$33,7,FALSE))</f>
        <v>45.109999999999992</v>
      </c>
      <c r="N19" s="1">
        <f>100*VLOOKUP($B19,Sheet2!$A$2:$O$33,12,FALSE)</f>
        <v>71.740000000000009</v>
      </c>
      <c r="O19" s="1">
        <f>100*VLOOKUP($C19,Sheet2!$A$2:$O$33,13,FALSE)</f>
        <v>68.75</v>
      </c>
      <c r="P19" s="1">
        <f>3*VLOOKUP($B19,Sheet2!$A$2:$O$33,14,FALSE)</f>
        <v>6</v>
      </c>
      <c r="Q19" s="1">
        <f>3*VLOOKUP($C19,Sheet2!$A$2:$O$33,15,FALSE)</f>
        <v>5.0999999999999996</v>
      </c>
    </row>
    <row r="20" spans="1:17" x14ac:dyDescent="0.3">
      <c r="A20" t="s">
        <v>111</v>
      </c>
      <c r="B20" t="s">
        <v>81</v>
      </c>
      <c r="C20" t="s">
        <v>73</v>
      </c>
      <c r="D20">
        <f t="shared" si="0"/>
        <v>16.442741429365338</v>
      </c>
      <c r="E20" s="1">
        <f t="shared" si="1"/>
        <v>2.5691783483383337</v>
      </c>
      <c r="F20" s="1">
        <v>6400</v>
      </c>
      <c r="G20" s="1">
        <f t="shared" si="2"/>
        <v>80</v>
      </c>
      <c r="H20" s="1" t="s">
        <v>45</v>
      </c>
      <c r="I20" s="1">
        <v>3</v>
      </c>
      <c r="J20" s="1">
        <v>160</v>
      </c>
      <c r="K20" s="1">
        <f>VLOOKUP($B20,Sheet2!$A$2:$O$33,5,FALSE)</f>
        <v>48.570171999999999</v>
      </c>
      <c r="L20" s="1">
        <f>100*(1-VLOOKUP($B20,Sheet2!$A$2:$O$33,6,FALSE))</f>
        <v>35.140000000000008</v>
      </c>
      <c r="M20" s="1">
        <f>100*(1-VLOOKUP($C20,Sheet2!$A$2:$O$33,7,FALSE))</f>
        <v>29.269999999999996</v>
      </c>
      <c r="N20" s="1">
        <f>100*VLOOKUP($B20,Sheet2!$A$2:$O$33,12,FALSE)</f>
        <v>56.879999999999995</v>
      </c>
      <c r="O20" s="1">
        <f>100*VLOOKUP($C20,Sheet2!$A$2:$O$33,13,FALSE)</f>
        <v>61.47</v>
      </c>
      <c r="P20" s="1">
        <f>3*VLOOKUP($B20,Sheet2!$A$2:$O$33,14,FALSE)</f>
        <v>11.100000000000001</v>
      </c>
      <c r="Q20" s="1">
        <f>3*VLOOKUP($C20,Sheet2!$A$2:$O$33,15,FALSE)</f>
        <v>6.8999999999999995</v>
      </c>
    </row>
    <row r="21" spans="1:17" x14ac:dyDescent="0.3">
      <c r="A21" t="s">
        <v>112</v>
      </c>
      <c r="B21" t="s">
        <v>82</v>
      </c>
      <c r="C21" t="s">
        <v>76</v>
      </c>
      <c r="D21">
        <f t="shared" si="0"/>
        <v>8.6710290298966566</v>
      </c>
      <c r="E21" s="1">
        <f t="shared" si="1"/>
        <v>2.0165183790457344</v>
      </c>
      <c r="F21" s="1">
        <v>4300</v>
      </c>
      <c r="G21" s="1">
        <f t="shared" si="2"/>
        <v>65.574385243020004</v>
      </c>
      <c r="H21" s="1" t="s">
        <v>45</v>
      </c>
      <c r="I21" s="1">
        <v>3</v>
      </c>
      <c r="J21" s="1">
        <v>95</v>
      </c>
      <c r="K21" s="1">
        <f>VLOOKUP($B21,Sheet2!$A$2:$O$33,5,FALSE)</f>
        <v>39.279135999999994</v>
      </c>
      <c r="L21" s="1">
        <f>100*(1-VLOOKUP($B21,Sheet2!$A$2:$O$33,6,FALSE))</f>
        <v>45.18</v>
      </c>
      <c r="M21" s="1">
        <f>100*(1-VLOOKUP($C21,Sheet2!$A$2:$O$33,7,FALSE))</f>
        <v>36.409999999999997</v>
      </c>
      <c r="N21" s="1">
        <f>100*VLOOKUP($B21,Sheet2!$A$2:$O$33,12,FALSE)</f>
        <v>60.199999999999996</v>
      </c>
      <c r="O21" s="1">
        <f>100*VLOOKUP($C21,Sheet2!$A$2:$O$33,13,FALSE)</f>
        <v>57.8</v>
      </c>
      <c r="P21" s="1">
        <f>3*VLOOKUP($B21,Sheet2!$A$2:$O$33,14,FALSE)</f>
        <v>9.8999999999999986</v>
      </c>
      <c r="Q21" s="1">
        <f>3*VLOOKUP($C21,Sheet2!$A$2:$O$33,15,FALSE)</f>
        <v>8.1000000000000014</v>
      </c>
    </row>
    <row r="22" spans="1:17" x14ac:dyDescent="0.3">
      <c r="A22" t="s">
        <v>123</v>
      </c>
      <c r="B22" t="s">
        <v>94</v>
      </c>
      <c r="C22" t="s">
        <v>88</v>
      </c>
      <c r="D22">
        <f t="shared" si="0"/>
        <v>11.823996988599571</v>
      </c>
      <c r="E22" s="1">
        <f t="shared" si="1"/>
        <v>2.2738455747306867</v>
      </c>
      <c r="F22" s="1">
        <v>5200</v>
      </c>
      <c r="G22" s="1">
        <f t="shared" si="2"/>
        <v>72.111025509279784</v>
      </c>
      <c r="H22" s="1" t="s">
        <v>47</v>
      </c>
      <c r="I22" s="1">
        <v>3</v>
      </c>
      <c r="J22" s="1">
        <v>114</v>
      </c>
      <c r="K22" s="1">
        <f>VLOOKUP($B22,Sheet2!$A$2:$O$33,5,FALSE)</f>
        <v>50.311251999999996</v>
      </c>
      <c r="L22" s="1">
        <f>100*(1-VLOOKUP($B22,Sheet2!$A$2:$O$33,6,FALSE))</f>
        <v>41.26</v>
      </c>
      <c r="M22" s="1">
        <f>100*(1-VLOOKUP($C22,Sheet2!$A$2:$O$33,7,FALSE))</f>
        <v>41.410000000000004</v>
      </c>
      <c r="N22" s="1">
        <f>100*VLOOKUP($B22,Sheet2!$A$2:$O$33,12,FALSE)</f>
        <v>69.089999999999989</v>
      </c>
      <c r="O22" s="1">
        <f>100*VLOOKUP($C22,Sheet2!$A$2:$O$33,13,FALSE)</f>
        <v>62.139999999999993</v>
      </c>
      <c r="P22" s="1">
        <f>3*VLOOKUP($B22,Sheet2!$A$2:$O$33,14,FALSE)</f>
        <v>11.100000000000001</v>
      </c>
      <c r="Q22" s="1">
        <f>3*VLOOKUP($C22,Sheet2!$A$2:$O$33,15,FALSE)</f>
        <v>12.899999999999999</v>
      </c>
    </row>
    <row r="23" spans="1:17" x14ac:dyDescent="0.3">
      <c r="A23" t="s">
        <v>29</v>
      </c>
      <c r="B23" t="s">
        <v>74</v>
      </c>
      <c r="C23" t="s">
        <v>83</v>
      </c>
      <c r="D23">
        <f t="shared" si="0"/>
        <v>7.9710729139076548</v>
      </c>
      <c r="E23" s="1">
        <f t="shared" si="1"/>
        <v>1.4492859843468464</v>
      </c>
      <c r="F23" s="1">
        <v>5500</v>
      </c>
      <c r="G23" s="1">
        <f t="shared" si="2"/>
        <v>74.16198487095663</v>
      </c>
      <c r="H23" s="1" t="s">
        <v>45</v>
      </c>
      <c r="I23" s="1">
        <v>3</v>
      </c>
      <c r="J23" s="1">
        <v>75</v>
      </c>
      <c r="K23" s="1">
        <f>VLOOKUP($B23,Sheet2!$A$2:$O$33,5,FALSE)</f>
        <v>39.469071999999997</v>
      </c>
      <c r="L23" s="1">
        <f>100*(1-VLOOKUP($B23,Sheet2!$A$2:$O$33,6,FALSE))</f>
        <v>44.389999999999993</v>
      </c>
      <c r="M23" s="1">
        <f>100*(1-VLOOKUP($C23,Sheet2!$A$2:$O$33,7,FALSE))</f>
        <v>31.75</v>
      </c>
      <c r="N23" s="1">
        <f>100*VLOOKUP($B23,Sheet2!$A$2:$O$33,12,FALSE)</f>
        <v>68.179999999999993</v>
      </c>
      <c r="O23" s="1">
        <f>100*VLOOKUP($C23,Sheet2!$A$2:$O$33,13,FALSE)</f>
        <v>60.660000000000004</v>
      </c>
      <c r="P23" s="1">
        <f>3*VLOOKUP($B23,Sheet2!$A$2:$O$33,14,FALSE)</f>
        <v>3.9000000000000004</v>
      </c>
      <c r="Q23" s="1">
        <f>3*VLOOKUP($C23,Sheet2!$A$2:$O$33,15,FALSE)</f>
        <v>6.8999999999999995</v>
      </c>
    </row>
    <row r="24" spans="1:17" x14ac:dyDescent="0.3">
      <c r="A24" t="s">
        <v>26</v>
      </c>
      <c r="B24" t="s">
        <v>76</v>
      </c>
      <c r="C24" t="s">
        <v>82</v>
      </c>
      <c r="D24">
        <f t="shared" si="0"/>
        <v>15.946197020012223</v>
      </c>
      <c r="E24" s="1">
        <f t="shared" si="1"/>
        <v>2.2780281457160316</v>
      </c>
      <c r="F24" s="1">
        <v>7000</v>
      </c>
      <c r="G24" s="1">
        <f t="shared" si="2"/>
        <v>83.66600265340756</v>
      </c>
      <c r="H24" s="1" t="s">
        <v>47</v>
      </c>
      <c r="I24" s="1">
        <v>3</v>
      </c>
      <c r="J24" s="1">
        <v>146</v>
      </c>
      <c r="K24" s="1">
        <f>VLOOKUP($B24,Sheet2!$A$2:$O$33,5,FALSE)</f>
        <v>39.279135999999994</v>
      </c>
      <c r="L24" s="1">
        <f>100*(1-VLOOKUP($B24,Sheet2!$A$2:$O$33,6,FALSE))</f>
        <v>43.65</v>
      </c>
      <c r="M24" s="1">
        <f>100*(1-VLOOKUP($C24,Sheet2!$A$2:$O$33,7,FALSE))</f>
        <v>36.270000000000003</v>
      </c>
      <c r="N24" s="1">
        <f>100*VLOOKUP($B24,Sheet2!$A$2:$O$33,12,FALSE)</f>
        <v>62.860000000000007</v>
      </c>
      <c r="O24" s="1">
        <f>100*VLOOKUP($C24,Sheet2!$A$2:$O$33,13,FALSE)</f>
        <v>57.89</v>
      </c>
      <c r="P24" s="1">
        <f>3*VLOOKUP($B24,Sheet2!$A$2:$O$33,14,FALSE)</f>
        <v>6</v>
      </c>
      <c r="Q24" s="1">
        <f>3*VLOOKUP($C24,Sheet2!$A$2:$O$33,15,FALSE)</f>
        <v>9</v>
      </c>
    </row>
    <row r="25" spans="1:17" x14ac:dyDescent="0.3">
      <c r="A25" t="s">
        <v>115</v>
      </c>
      <c r="B25" t="s">
        <v>87</v>
      </c>
      <c r="C25" t="s">
        <v>93</v>
      </c>
      <c r="D25">
        <f t="shared" si="0"/>
        <v>14.250889189514016</v>
      </c>
      <c r="E25" s="1">
        <f t="shared" si="1"/>
        <v>3.0980193890247865</v>
      </c>
      <c r="F25" s="1">
        <v>4600</v>
      </c>
      <c r="G25" s="1">
        <f t="shared" si="2"/>
        <v>67.823299831252683</v>
      </c>
      <c r="H25" s="1" t="s">
        <v>47</v>
      </c>
      <c r="I25" s="1">
        <v>3</v>
      </c>
      <c r="J25" s="1">
        <v>140</v>
      </c>
      <c r="K25" s="1">
        <f>VLOOKUP($B25,Sheet2!$A$2:$O$33,5,FALSE)</f>
        <v>56.784903999999997</v>
      </c>
      <c r="L25" s="1">
        <f>100*(1-VLOOKUP($B25,Sheet2!$A$2:$O$33,6,FALSE))</f>
        <v>29.169999999999995</v>
      </c>
      <c r="M25" s="1">
        <f>100*(1-VLOOKUP($C25,Sheet2!$A$2:$O$33,7,FALSE))</f>
        <v>45.879999999999995</v>
      </c>
      <c r="N25" s="1">
        <f>100*VLOOKUP($B25,Sheet2!$A$2:$O$33,12,FALSE)</f>
        <v>63.570000000000007</v>
      </c>
      <c r="O25" s="1">
        <f>100*VLOOKUP($C25,Sheet2!$A$2:$O$33,13,FALSE)</f>
        <v>79</v>
      </c>
      <c r="P25" s="1">
        <f>3*VLOOKUP($B25,Sheet2!$A$2:$O$33,14,FALSE)</f>
        <v>6.8999999999999995</v>
      </c>
      <c r="Q25" s="1">
        <f>3*VLOOKUP($C25,Sheet2!$A$2:$O$33,15,FALSE)</f>
        <v>5.0999999999999996</v>
      </c>
    </row>
  </sheetData>
  <sortState ref="A2:Q25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defaultRowHeight="14.4" x14ac:dyDescent="0.3"/>
  <cols>
    <col min="1" max="1" width="17.88671875" customWidth="1"/>
    <col min="2" max="5" width="12.77734375" customWidth="1"/>
    <col min="6" max="17" width="12.77734375" style="1" customWidth="1"/>
  </cols>
  <sheetData>
    <row r="1" spans="1:17" x14ac:dyDescent="0.3">
      <c r="A1" t="s">
        <v>22</v>
      </c>
      <c r="B1" t="s">
        <v>71</v>
      </c>
      <c r="C1" t="s">
        <v>104</v>
      </c>
      <c r="D1" t="s">
        <v>4</v>
      </c>
      <c r="E1" t="s">
        <v>21</v>
      </c>
      <c r="F1" s="1" t="s">
        <v>1</v>
      </c>
      <c r="G1" s="1" t="s">
        <v>36</v>
      </c>
      <c r="H1" s="1" t="s">
        <v>43</v>
      </c>
      <c r="I1" s="1" t="s">
        <v>44</v>
      </c>
      <c r="J1" s="1" t="s">
        <v>37</v>
      </c>
      <c r="K1" s="1" t="s">
        <v>38</v>
      </c>
      <c r="L1" s="1" t="s">
        <v>13</v>
      </c>
      <c r="M1" s="1" t="s">
        <v>39</v>
      </c>
      <c r="N1" s="1" t="s">
        <v>40</v>
      </c>
      <c r="O1" s="1" t="s">
        <v>46</v>
      </c>
      <c r="P1" s="1" t="s">
        <v>41</v>
      </c>
      <c r="Q1" s="1" t="s">
        <v>42</v>
      </c>
    </row>
    <row r="2" spans="1:17" x14ac:dyDescent="0.3">
      <c r="A2" t="s">
        <v>23</v>
      </c>
      <c r="D2">
        <f>-10.099824+0.109493*G2+0.28615*(I2/H2)+0.034902*((J2+K2)/2)+0.012506*L2-0.345557*IF(M2="Road",1,0)-0.097606*((N2+O2)/32)+0.015135*((P2+Q2)/2)</f>
        <v>13.574091912955568</v>
      </c>
      <c r="E2">
        <f>D2/(F2/1000)</f>
        <v>2.3403606746475116</v>
      </c>
      <c r="F2" s="1">
        <v>5800</v>
      </c>
      <c r="G2" s="1">
        <f>SQRT(F2)</f>
        <v>76.157731058639087</v>
      </c>
      <c r="H2" s="1">
        <v>10</v>
      </c>
      <c r="I2" s="1">
        <v>445</v>
      </c>
      <c r="J2" s="1">
        <v>67.3</v>
      </c>
      <c r="K2" s="1">
        <v>64.2</v>
      </c>
      <c r="L2" s="1">
        <v>22.465192000000002</v>
      </c>
      <c r="M2" s="1" t="s">
        <v>45</v>
      </c>
      <c r="N2" s="1">
        <v>18</v>
      </c>
      <c r="O2" s="1">
        <v>52</v>
      </c>
      <c r="P2" s="1">
        <v>38.96</v>
      </c>
      <c r="Q2" s="1">
        <v>38.32</v>
      </c>
    </row>
    <row r="3" spans="1:17" x14ac:dyDescent="0.3">
      <c r="A3" t="s">
        <v>4</v>
      </c>
      <c r="F3" s="1">
        <f>-10.099824+0.109493*G2+0.28615*(I2/H2)+0.034902*((J2+K2)/2)+0.012506*L2-0.345557*IF(M2="Road",1,0)-0.097606*((N2+O2)/32)+0.015135*((P2+Q2)/2)</f>
        <v>13.574091912955568</v>
      </c>
    </row>
    <row r="4" spans="1:17" x14ac:dyDescent="0.3">
      <c r="A4" t="s">
        <v>21</v>
      </c>
      <c r="F4" s="1">
        <f>F3/(F2/1000)</f>
        <v>2.3403606746475116</v>
      </c>
    </row>
    <row r="6" spans="1:17" x14ac:dyDescent="0.3">
      <c r="A6" t="s">
        <v>24</v>
      </c>
      <c r="F6" s="1">
        <v>5100</v>
      </c>
      <c r="G6" s="1">
        <f>SQRT(F6)</f>
        <v>71.414284285428494</v>
      </c>
      <c r="H6" s="1">
        <v>5</v>
      </c>
      <c r="I6" s="1">
        <v>207</v>
      </c>
      <c r="J6" s="1">
        <v>66</v>
      </c>
      <c r="K6" s="1">
        <v>70.8</v>
      </c>
      <c r="L6" s="1">
        <v>30.024104000000001</v>
      </c>
      <c r="M6" s="1" t="s">
        <v>47</v>
      </c>
      <c r="N6" s="1">
        <v>26</v>
      </c>
      <c r="O6" s="1">
        <v>38</v>
      </c>
      <c r="P6" s="1">
        <v>38.86</v>
      </c>
      <c r="Q6" s="1">
        <v>40.549999999999997</v>
      </c>
    </row>
    <row r="7" spans="1:17" x14ac:dyDescent="0.3">
      <c r="A7" t="s">
        <v>4</v>
      </c>
      <c r="F7" s="1">
        <f>-10.099824+0.109493*G6+0.28615*(I6/H6)+0.034902*((J6+K6)/2)+0.012506*L6-0.345557*IF(M6="Road",1,0)-0.097606*((N6+O6)/32)+0.015135*((P6+Q6)/2)</f>
        <v>12.734651648888425</v>
      </c>
    </row>
    <row r="8" spans="1:17" x14ac:dyDescent="0.3">
      <c r="A8" t="s">
        <v>21</v>
      </c>
      <c r="F8" s="1">
        <f>F7/(F6/1000)</f>
        <v>2.4969905193898874</v>
      </c>
    </row>
    <row r="10" spans="1:17" x14ac:dyDescent="0.3">
      <c r="A10" t="s">
        <v>25</v>
      </c>
      <c r="F10" s="1">
        <v>8200</v>
      </c>
      <c r="G10" s="1">
        <f>SQRT(F10)</f>
        <v>90.553851381374173</v>
      </c>
      <c r="H10" s="1">
        <v>15</v>
      </c>
      <c r="I10" s="1">
        <v>895</v>
      </c>
      <c r="J10" s="1">
        <v>67.7</v>
      </c>
      <c r="K10" s="1">
        <v>65.099999999999994</v>
      </c>
      <c r="L10" s="1">
        <v>18.792728000000004</v>
      </c>
      <c r="M10" s="1" t="s">
        <v>45</v>
      </c>
      <c r="N10" s="1">
        <v>56</v>
      </c>
      <c r="O10" s="1">
        <v>41</v>
      </c>
      <c r="P10" s="1">
        <v>43.39</v>
      </c>
      <c r="Q10" s="1">
        <v>40.21</v>
      </c>
    </row>
    <row r="11" spans="1:17" x14ac:dyDescent="0.3">
      <c r="A11" t="s">
        <v>4</v>
      </c>
      <c r="F11" s="1">
        <f>-10.099824+0.109493*G10+0.28615*(I10/H10)+0.034902*((J10+K10)/2)+0.012506*L10-0.345557*IF(M10="Road",1,0)-0.097606*((N10+O10)/32)+0.015135*((P10+Q10)/2)</f>
        <v>19.43253798483547</v>
      </c>
    </row>
    <row r="12" spans="1:17" x14ac:dyDescent="0.3">
      <c r="A12" t="s">
        <v>21</v>
      </c>
      <c r="F12" s="1">
        <f>F11/(F10/1000)</f>
        <v>2.3698217054677406</v>
      </c>
    </row>
    <row r="14" spans="1:17" x14ac:dyDescent="0.3">
      <c r="A14" t="s">
        <v>26</v>
      </c>
      <c r="F14" s="1">
        <v>8000</v>
      </c>
      <c r="G14" s="1">
        <f>SQRT(F14)</f>
        <v>89.442719099991592</v>
      </c>
      <c r="H14" s="1">
        <v>14</v>
      </c>
      <c r="I14" s="1">
        <v>825</v>
      </c>
      <c r="J14" s="1">
        <v>64.900000000000006</v>
      </c>
      <c r="K14" s="1">
        <v>67.7</v>
      </c>
      <c r="L14" s="1">
        <v>29.558520000000001</v>
      </c>
      <c r="M14" s="1" t="s">
        <v>47</v>
      </c>
      <c r="N14" s="1">
        <v>33</v>
      </c>
      <c r="O14" s="1">
        <v>39</v>
      </c>
      <c r="P14" s="1">
        <v>43.3</v>
      </c>
      <c r="Q14" s="1">
        <v>41.05</v>
      </c>
    </row>
    <row r="15" spans="1:17" x14ac:dyDescent="0.3">
      <c r="A15" t="s">
        <v>4</v>
      </c>
      <c r="F15" s="1">
        <f>-10.099824+0.109493*G14+0.28615*(I14/H14)+0.034902*((J14+K14)/2)+0.012506*L14-0.345557*IF(M14="Road",1,0)-0.097606*((N14+O14)/32)+0.015135*((P14+Q14)/2)</f>
        <v>19.658304932821096</v>
      </c>
    </row>
    <row r="16" spans="1:17" x14ac:dyDescent="0.3">
      <c r="A16" t="s">
        <v>21</v>
      </c>
      <c r="F16" s="1">
        <f>F15/(F14/1000)</f>
        <v>2.457288116602637</v>
      </c>
    </row>
    <row r="18" spans="1:17" x14ac:dyDescent="0.3">
      <c r="A18" t="s">
        <v>27</v>
      </c>
      <c r="F18" s="1">
        <v>6200</v>
      </c>
      <c r="G18" s="1">
        <f>SQRT(F18)</f>
        <v>78.740078740118108</v>
      </c>
      <c r="H18" s="1">
        <v>12</v>
      </c>
      <c r="I18" s="1">
        <v>524</v>
      </c>
      <c r="J18" s="1">
        <v>68.3</v>
      </c>
      <c r="K18" s="1">
        <v>61.2</v>
      </c>
      <c r="L18" s="1">
        <v>26.909600000000005</v>
      </c>
      <c r="M18" s="1" t="s">
        <v>45</v>
      </c>
      <c r="N18" s="1">
        <v>32</v>
      </c>
      <c r="O18" s="1">
        <v>30</v>
      </c>
      <c r="P18" s="1">
        <v>42.73</v>
      </c>
      <c r="Q18" s="1">
        <v>36.630000000000003</v>
      </c>
    </row>
    <row r="19" spans="1:17" x14ac:dyDescent="0.3">
      <c r="A19" t="s">
        <v>4</v>
      </c>
      <c r="F19" s="1">
        <f>-10.099824+0.109493*G18+0.28615*(I18/H18)+0.034902*((J18+K18)/2)+0.012506*L18-0.345557*IF(M18="Road",1,0)-0.097606*((N18+O18)/32)+0.015135*((P18+Q18)/2)</f>
        <v>13.679204240758418</v>
      </c>
    </row>
    <row r="20" spans="1:17" x14ac:dyDescent="0.3">
      <c r="A20" t="s">
        <v>21</v>
      </c>
      <c r="F20" s="1">
        <f>F19/(F18/1000)</f>
        <v>2.2063232646384545</v>
      </c>
    </row>
    <row r="22" spans="1:17" x14ac:dyDescent="0.3">
      <c r="A22" t="s">
        <v>28</v>
      </c>
      <c r="F22" s="1">
        <v>4500</v>
      </c>
      <c r="G22" s="1">
        <f>SQRT(F22)</f>
        <v>67.082039324993687</v>
      </c>
      <c r="H22" s="1">
        <v>12</v>
      </c>
      <c r="I22" s="1">
        <v>348</v>
      </c>
      <c r="J22" s="1">
        <v>68.3</v>
      </c>
      <c r="K22" s="1">
        <v>61.2</v>
      </c>
      <c r="L22" s="1">
        <v>26.909600000000005</v>
      </c>
      <c r="M22" s="1" t="s">
        <v>45</v>
      </c>
      <c r="N22" s="1">
        <v>32</v>
      </c>
      <c r="O22" s="1">
        <v>30</v>
      </c>
      <c r="P22" s="1">
        <v>42.73</v>
      </c>
      <c r="Q22" s="1">
        <v>36.630000000000003</v>
      </c>
    </row>
    <row r="23" spans="1:17" x14ac:dyDescent="0.3">
      <c r="A23" t="s">
        <v>4</v>
      </c>
      <c r="F23" s="1">
        <f>-10.099824+0.109493*G22+0.28615*(I22/H22)+0.034902*((J22+K22)/2)+0.012506*L22-0.345557*IF(M22="Road",1,0)-0.097606*((N22+O22)/32)+0.015135*((P22+Q22)/2)</f>
        <v>8.2058638644115334</v>
      </c>
    </row>
    <row r="24" spans="1:17" x14ac:dyDescent="0.3">
      <c r="A24" t="s">
        <v>21</v>
      </c>
      <c r="F24" s="1">
        <f>F23/(F22/1000)</f>
        <v>1.8235253032025629</v>
      </c>
    </row>
    <row r="26" spans="1:17" x14ac:dyDescent="0.3">
      <c r="A26" t="s">
        <v>29</v>
      </c>
      <c r="F26" s="1">
        <v>4700</v>
      </c>
      <c r="G26" s="1">
        <f>SQRT(F26)</f>
        <v>68.556546004010443</v>
      </c>
      <c r="H26" s="1">
        <v>8</v>
      </c>
      <c r="I26" s="1">
        <v>320</v>
      </c>
      <c r="J26" s="1">
        <v>65.8</v>
      </c>
      <c r="K26" s="1">
        <v>64.099999999999994</v>
      </c>
      <c r="L26" s="1">
        <v>23.56512</v>
      </c>
      <c r="M26" s="1" t="s">
        <v>47</v>
      </c>
      <c r="N26" s="1">
        <v>21</v>
      </c>
      <c r="O26" s="1">
        <v>38</v>
      </c>
      <c r="P26" s="1">
        <v>44.55</v>
      </c>
      <c r="Q26" s="1">
        <v>40.19</v>
      </c>
    </row>
    <row r="27" spans="1:17" x14ac:dyDescent="0.3">
      <c r="A27" t="s">
        <v>4</v>
      </c>
      <c r="F27" s="1">
        <f>-10.099824+0.109493*G26+0.28615*(I26/H26)+0.034902*((J26+K26)/2)+0.012506*L26-0.345557*IF(M26="Road",1,0)-0.097606*((N26+O26)/32)+0.015135*((P26+Q26)/2)</f>
        <v>11.875537069837119</v>
      </c>
    </row>
    <row r="28" spans="1:17" x14ac:dyDescent="0.3">
      <c r="A28" t="s">
        <v>21</v>
      </c>
      <c r="F28" s="1">
        <f>F27/(F26/1000)</f>
        <v>2.5267100148589612</v>
      </c>
    </row>
    <row r="30" spans="1:17" x14ac:dyDescent="0.3">
      <c r="A30" t="s">
        <v>30</v>
      </c>
      <c r="F30" s="1">
        <v>4900</v>
      </c>
      <c r="G30" s="1">
        <f>SQRT(F30)</f>
        <v>70</v>
      </c>
      <c r="H30" s="1">
        <v>16</v>
      </c>
      <c r="I30" s="1">
        <v>600</v>
      </c>
      <c r="J30" s="1">
        <v>65.8</v>
      </c>
      <c r="K30" s="1">
        <v>64.099999999999994</v>
      </c>
      <c r="L30" s="1">
        <v>23.56512</v>
      </c>
      <c r="M30" s="1" t="s">
        <v>47</v>
      </c>
      <c r="N30" s="1">
        <v>21</v>
      </c>
      <c r="O30" s="1">
        <v>38</v>
      </c>
      <c r="P30" s="1">
        <v>44.55</v>
      </c>
      <c r="Q30" s="1">
        <v>40.19</v>
      </c>
    </row>
    <row r="31" spans="1:17" x14ac:dyDescent="0.3">
      <c r="A31" t="s">
        <v>4</v>
      </c>
      <c r="F31" s="1">
        <f>-10.099824+0.109493*G30+0.28615*(I30/H30)+0.034902*((J30+K30)/2)+0.012506*L30-0.345557*IF(M30="Road",1,0)-0.097606*((N30+O30)/32)+0.015135*((P30+Q30)/2)</f>
        <v>11.318210178219999</v>
      </c>
    </row>
    <row r="32" spans="1:17" x14ac:dyDescent="0.3">
      <c r="A32" t="s">
        <v>21</v>
      </c>
      <c r="F32" s="1">
        <f>F31/(F30/1000)</f>
        <v>2.3098388118816322</v>
      </c>
    </row>
    <row r="34" spans="1:17" x14ac:dyDescent="0.3">
      <c r="A34" t="s">
        <v>31</v>
      </c>
      <c r="F34" s="1">
        <v>4400</v>
      </c>
      <c r="G34" s="1">
        <f>SQRT(F34)</f>
        <v>66.332495807108003</v>
      </c>
      <c r="H34" s="1">
        <v>6</v>
      </c>
      <c r="I34" s="1">
        <v>175</v>
      </c>
      <c r="J34" s="1">
        <v>72.3</v>
      </c>
      <c r="K34" s="1">
        <v>67</v>
      </c>
      <c r="L34" s="1">
        <v>20.142202000000005</v>
      </c>
      <c r="M34" s="1" t="s">
        <v>45</v>
      </c>
      <c r="N34" s="1">
        <v>40</v>
      </c>
      <c r="O34" s="1">
        <v>49</v>
      </c>
      <c r="P34" s="1">
        <v>38.24</v>
      </c>
      <c r="Q34" s="1">
        <v>36.4</v>
      </c>
    </row>
    <row r="35" spans="1:17" x14ac:dyDescent="0.3">
      <c r="A35" t="s">
        <v>4</v>
      </c>
      <c r="F35" s="1">
        <f>-10.099824+0.109493*G34+0.28615*(I34/H34)+0.034902*((J34+K34)/2)+0.012506*L34-0.345557*IF(M34="Road",1,0)-0.097606*((N34+O34)/32)+0.015135*((P34+Q34)/2)</f>
        <v>8.1397988207863428</v>
      </c>
    </row>
    <row r="36" spans="1:17" x14ac:dyDescent="0.3">
      <c r="A36" t="s">
        <v>21</v>
      </c>
      <c r="F36" s="1">
        <f>F35/(F34/1000)</f>
        <v>1.8499542774514415</v>
      </c>
    </row>
    <row r="38" spans="1:17" x14ac:dyDescent="0.3">
      <c r="A38" t="s">
        <v>32</v>
      </c>
      <c r="F38" s="1">
        <v>3900</v>
      </c>
      <c r="G38" s="1">
        <f>SQRT(F38)</f>
        <v>62.44997998398398</v>
      </c>
      <c r="H38" s="1">
        <v>16</v>
      </c>
      <c r="I38" s="1">
        <v>324</v>
      </c>
      <c r="J38" s="1">
        <v>72.3</v>
      </c>
      <c r="K38" s="1">
        <v>67</v>
      </c>
      <c r="L38" s="1">
        <v>20.142202000000005</v>
      </c>
      <c r="M38" s="1" t="s">
        <v>45</v>
      </c>
      <c r="N38" s="1">
        <v>40</v>
      </c>
      <c r="O38" s="1">
        <v>49</v>
      </c>
      <c r="P38" s="1">
        <v>38.24</v>
      </c>
      <c r="Q38" s="1">
        <v>36.4</v>
      </c>
    </row>
    <row r="39" spans="1:17" x14ac:dyDescent="0.3">
      <c r="A39" t="s">
        <v>4</v>
      </c>
      <c r="F39" s="1">
        <f>-10.099824+0.109493*G38+0.28615*(I38/H38)+0.034902*((J38+K38)/2)+0.012506*L38-0.345557*IF(M38="Road",1,0)-0.097606*((N38+O38)/32)+0.015135*((P38+Q38)/2)</f>
        <v>5.1631863490983578</v>
      </c>
    </row>
    <row r="40" spans="1:17" x14ac:dyDescent="0.3">
      <c r="A40" t="s">
        <v>21</v>
      </c>
      <c r="F40" s="1">
        <f>F39/(F38/1000)</f>
        <v>1.3238939356662456</v>
      </c>
    </row>
    <row r="42" spans="1:17" x14ac:dyDescent="0.3">
      <c r="A42" t="s">
        <v>33</v>
      </c>
      <c r="F42" s="1">
        <v>3200</v>
      </c>
      <c r="G42" s="1">
        <f>SQRT(F42)</f>
        <v>56.568542494923804</v>
      </c>
      <c r="H42" s="1">
        <v>12</v>
      </c>
      <c r="I42" s="1">
        <v>252</v>
      </c>
      <c r="J42" s="1">
        <v>72.3</v>
      </c>
      <c r="K42" s="1">
        <v>67</v>
      </c>
      <c r="L42" s="1">
        <v>20.142202000000005</v>
      </c>
      <c r="M42" s="1" t="s">
        <v>45</v>
      </c>
      <c r="N42" s="1">
        <v>40</v>
      </c>
      <c r="O42" s="1">
        <v>49</v>
      </c>
      <c r="P42" s="1">
        <v>38.24</v>
      </c>
      <c r="Q42" s="1">
        <v>36.4</v>
      </c>
    </row>
    <row r="43" spans="1:17" x14ac:dyDescent="0.3">
      <c r="A43" t="s">
        <v>4</v>
      </c>
      <c r="F43" s="1">
        <f>-10.099824+0.109493*G42+0.28615*(I42/H42)+0.034902*((J42+K42)/2)+0.012506*L42-0.345557*IF(M42="Road",1,0)-0.097606*((N42+O42)/32)+0.015135*((P42+Q42)/2)</f>
        <v>4.7338226141086919</v>
      </c>
    </row>
    <row r="44" spans="1:17" x14ac:dyDescent="0.3">
      <c r="A44" t="s">
        <v>21</v>
      </c>
      <c r="F44" s="1">
        <f>F43/(F42/1000)</f>
        <v>1.479319566908966</v>
      </c>
    </row>
    <row r="46" spans="1:17" x14ac:dyDescent="0.3">
      <c r="A46" t="s">
        <v>34</v>
      </c>
      <c r="F46" s="1">
        <v>7300</v>
      </c>
      <c r="G46" s="1">
        <f>SQRT(F46)</f>
        <v>85.440037453175307</v>
      </c>
      <c r="H46" s="1">
        <v>15</v>
      </c>
      <c r="I46" s="1">
        <v>657</v>
      </c>
      <c r="J46" s="1">
        <v>74.400000000000006</v>
      </c>
      <c r="K46" s="1">
        <v>66.599999999999994</v>
      </c>
      <c r="L46" s="1">
        <v>27.814298000000001</v>
      </c>
      <c r="M46" s="1" t="s">
        <v>47</v>
      </c>
      <c r="N46" s="1">
        <v>20</v>
      </c>
      <c r="O46" s="1">
        <v>44</v>
      </c>
      <c r="P46" s="1">
        <v>46.63</v>
      </c>
      <c r="Q46" s="1">
        <v>32.86</v>
      </c>
    </row>
    <row r="47" spans="1:17" x14ac:dyDescent="0.3">
      <c r="A47" t="s">
        <v>4</v>
      </c>
      <c r="F47" s="1">
        <f>-10.099824+0.109493*G46+0.28615*(I46/H46)+0.034902*((J46+K46)/2)+0.012506*L46-0.345557*IF(M46="Road",1,0)-0.097606*((N46+O46)/32)+0.015135*((P46+Q46)/2)</f>
        <v>15.003397206648522</v>
      </c>
    </row>
    <row r="48" spans="1:17" x14ac:dyDescent="0.3">
      <c r="A48" t="s">
        <v>21</v>
      </c>
      <c r="F48" s="1">
        <f>F47/(F46/1000)</f>
        <v>2.0552598913217155</v>
      </c>
    </row>
    <row r="50" spans="1:17" x14ac:dyDescent="0.3">
      <c r="A50" t="s">
        <v>35</v>
      </c>
      <c r="F50" s="1">
        <v>5200</v>
      </c>
      <c r="G50" s="1">
        <f>SQRT(F50)</f>
        <v>72.111025509279784</v>
      </c>
      <c r="H50" s="1">
        <v>12</v>
      </c>
      <c r="I50" s="1">
        <v>350</v>
      </c>
      <c r="J50" s="1">
        <v>74.400000000000006</v>
      </c>
      <c r="K50" s="1">
        <v>66.599999999999994</v>
      </c>
      <c r="L50" s="1">
        <v>27.814298000000001</v>
      </c>
      <c r="M50" s="1" t="s">
        <v>47</v>
      </c>
      <c r="N50" s="1">
        <v>20</v>
      </c>
      <c r="O50" s="1">
        <v>44</v>
      </c>
      <c r="P50" s="1">
        <v>46.63</v>
      </c>
      <c r="Q50" s="1">
        <v>32.86</v>
      </c>
    </row>
    <row r="51" spans="1:17" x14ac:dyDescent="0.3">
      <c r="A51" t="s">
        <v>4</v>
      </c>
      <c r="F51" s="1">
        <f>-10.099824+0.109493*G50+0.28615*(I50/H50)+0.034902*((J50+K50)/2)+0.012506*L50-0.345557*IF(M50="Road",1,0)-0.097606*((N50+O50)/32)+0.015135*((P50+Q50)/2)</f>
        <v>9.3566353685422392</v>
      </c>
    </row>
    <row r="52" spans="1:17" x14ac:dyDescent="0.3">
      <c r="A52" t="s">
        <v>21</v>
      </c>
      <c r="F52" s="1">
        <f>F51/(F50/1000)</f>
        <v>1.7993529554888921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:G14"/>
    </sheetView>
  </sheetViews>
  <sheetFormatPr defaultRowHeight="14.4" x14ac:dyDescent="0.3"/>
  <cols>
    <col min="1" max="1" width="17.88671875" customWidth="1"/>
    <col min="2" max="3" width="12.77734375" customWidth="1"/>
    <col min="4" max="4" width="18.21875" customWidth="1"/>
    <col min="5" max="5" width="11.33203125" customWidth="1"/>
  </cols>
  <sheetData>
    <row r="1" spans="1:7" x14ac:dyDescent="0.3">
      <c r="A1" t="s">
        <v>22</v>
      </c>
      <c r="B1" t="s">
        <v>1</v>
      </c>
      <c r="D1" t="s">
        <v>48</v>
      </c>
      <c r="E1" t="s">
        <v>49</v>
      </c>
      <c r="F1" t="s">
        <v>50</v>
      </c>
      <c r="G1" t="s">
        <v>21</v>
      </c>
    </row>
    <row r="2" spans="1:7" x14ac:dyDescent="0.3">
      <c r="A2" t="s">
        <v>23</v>
      </c>
      <c r="B2">
        <v>5800</v>
      </c>
      <c r="D2" t="str">
        <f>A2</f>
        <v>Marlon Mack</v>
      </c>
      <c r="E2">
        <f>B2</f>
        <v>5800</v>
      </c>
      <c r="F2">
        <f>B3</f>
        <v>13.574091912955568</v>
      </c>
      <c r="G2">
        <f>B4</f>
        <v>2.3403606746475116</v>
      </c>
    </row>
    <row r="3" spans="1:7" x14ac:dyDescent="0.3">
      <c r="A3" t="s">
        <v>4</v>
      </c>
      <c r="B3">
        <v>13.574091912955568</v>
      </c>
      <c r="D3" s="2" t="str">
        <f>A6</f>
        <v>Damian Williams</v>
      </c>
      <c r="E3" s="2">
        <f>B6</f>
        <v>5100</v>
      </c>
      <c r="F3" s="2">
        <f>B7</f>
        <v>12.734651648888425</v>
      </c>
      <c r="G3" s="2">
        <f>B8</f>
        <v>2.4969905193898874</v>
      </c>
    </row>
    <row r="4" spans="1:7" x14ac:dyDescent="0.3">
      <c r="A4" t="s">
        <v>21</v>
      </c>
      <c r="B4">
        <v>2.3403606746475116</v>
      </c>
      <c r="D4" t="str">
        <f>A10</f>
        <v>Ezekiel Elliott</v>
      </c>
      <c r="E4">
        <f>B10</f>
        <v>8200</v>
      </c>
      <c r="F4">
        <f>B11</f>
        <v>19.43253798483547</v>
      </c>
      <c r="G4">
        <f>B12</f>
        <v>2.3698217054677406</v>
      </c>
    </row>
    <row r="5" spans="1:7" x14ac:dyDescent="0.3">
      <c r="D5" s="2" t="str">
        <f>A14</f>
        <v>Todd Gurley</v>
      </c>
      <c r="E5" s="2">
        <f>B14</f>
        <v>8000</v>
      </c>
      <c r="F5" s="2">
        <f>B15</f>
        <v>19.658304932821096</v>
      </c>
      <c r="G5" s="2">
        <f>B16</f>
        <v>2.457288116602637</v>
      </c>
    </row>
    <row r="6" spans="1:7" x14ac:dyDescent="0.3">
      <c r="A6" t="s">
        <v>24</v>
      </c>
      <c r="B6">
        <v>5100</v>
      </c>
      <c r="D6" t="str">
        <f>A18</f>
        <v>Melvin Gordon</v>
      </c>
      <c r="E6">
        <f>B18</f>
        <v>6200</v>
      </c>
      <c r="F6">
        <f>B19</f>
        <v>13.679204240758418</v>
      </c>
      <c r="G6">
        <f>B20</f>
        <v>2.2063232646384545</v>
      </c>
    </row>
    <row r="7" spans="1:7" x14ac:dyDescent="0.3">
      <c r="A7" t="s">
        <v>4</v>
      </c>
      <c r="B7">
        <v>12.734651648888425</v>
      </c>
      <c r="D7" t="str">
        <f>A22</f>
        <v>Austin Ekeler</v>
      </c>
      <c r="E7">
        <f>B22</f>
        <v>4500</v>
      </c>
      <c r="F7">
        <f>B23</f>
        <v>8.2058638644115334</v>
      </c>
      <c r="G7">
        <f>B24</f>
        <v>1.8235253032025629</v>
      </c>
    </row>
    <row r="8" spans="1:7" x14ac:dyDescent="0.3">
      <c r="A8" t="s">
        <v>21</v>
      </c>
      <c r="B8">
        <v>2.4969905193898874</v>
      </c>
      <c r="D8" s="2" t="str">
        <f>A26</f>
        <v>Sony Michel</v>
      </c>
      <c r="E8" s="2">
        <f>B26</f>
        <v>4700</v>
      </c>
      <c r="F8" s="2">
        <f>B27</f>
        <v>11.875537069837119</v>
      </c>
      <c r="G8" s="2">
        <f>B28</f>
        <v>2.5267100148589612</v>
      </c>
    </row>
    <row r="9" spans="1:7" x14ac:dyDescent="0.3">
      <c r="D9" t="str">
        <f>A30</f>
        <v>James White</v>
      </c>
      <c r="E9">
        <f>B30</f>
        <v>4900</v>
      </c>
      <c r="F9">
        <f>B31</f>
        <v>11.318210178219999</v>
      </c>
      <c r="G9">
        <f>B32</f>
        <v>2.3098388118816322</v>
      </c>
    </row>
    <row r="10" spans="1:7" x14ac:dyDescent="0.3">
      <c r="A10" t="s">
        <v>25</v>
      </c>
      <c r="B10">
        <v>8200</v>
      </c>
      <c r="D10" t="str">
        <f>A34</f>
        <v>Darren Sproles</v>
      </c>
      <c r="E10">
        <f>B34</f>
        <v>4400</v>
      </c>
      <c r="F10">
        <f>B35</f>
        <v>8.1397988207863428</v>
      </c>
      <c r="G10">
        <f>B36</f>
        <v>1.8499542774514415</v>
      </c>
    </row>
    <row r="11" spans="1:7" x14ac:dyDescent="0.3">
      <c r="A11" t="s">
        <v>4</v>
      </c>
      <c r="B11">
        <v>19.43253798483547</v>
      </c>
      <c r="D11" t="str">
        <f>A38</f>
        <v>Wendell Smallwood</v>
      </c>
      <c r="E11">
        <f>B38</f>
        <v>3900</v>
      </c>
      <c r="F11">
        <f>B39</f>
        <v>5.1631863490983578</v>
      </c>
      <c r="G11">
        <f>B40</f>
        <v>1.3238939356662456</v>
      </c>
    </row>
    <row r="12" spans="1:7" x14ac:dyDescent="0.3">
      <c r="A12" t="s">
        <v>21</v>
      </c>
      <c r="B12">
        <v>2.3698217054677406</v>
      </c>
      <c r="D12" t="str">
        <f>A42</f>
        <v>Josh Adams</v>
      </c>
      <c r="E12">
        <f>B42</f>
        <v>3200</v>
      </c>
      <c r="F12">
        <f>B43</f>
        <v>4.7338226141086919</v>
      </c>
      <c r="G12">
        <f>B44</f>
        <v>1.479319566908966</v>
      </c>
    </row>
    <row r="13" spans="1:7" x14ac:dyDescent="0.3">
      <c r="D13" t="str">
        <f>A46</f>
        <v>Alvin Kamara</v>
      </c>
      <c r="E13">
        <f>B46</f>
        <v>7300</v>
      </c>
      <c r="F13">
        <f>B47</f>
        <v>15.003397206648522</v>
      </c>
      <c r="G13">
        <f>B48</f>
        <v>2.0552598913217155</v>
      </c>
    </row>
    <row r="14" spans="1:7" x14ac:dyDescent="0.3">
      <c r="A14" t="s">
        <v>26</v>
      </c>
      <c r="B14">
        <v>8000</v>
      </c>
      <c r="D14" t="str">
        <f>A50</f>
        <v>Mark Ingram</v>
      </c>
      <c r="E14">
        <f>B50</f>
        <v>5200</v>
      </c>
      <c r="F14">
        <f>B51</f>
        <v>9.3566353685422392</v>
      </c>
      <c r="G14">
        <f>B52</f>
        <v>1.7993529554888921</v>
      </c>
    </row>
    <row r="15" spans="1:7" x14ac:dyDescent="0.3">
      <c r="A15" t="s">
        <v>4</v>
      </c>
      <c r="B15">
        <v>19.658304932821096</v>
      </c>
    </row>
    <row r="16" spans="1:7" x14ac:dyDescent="0.3">
      <c r="A16" t="s">
        <v>21</v>
      </c>
      <c r="B16">
        <v>2.457288116602637</v>
      </c>
    </row>
    <row r="18" spans="1:2" x14ac:dyDescent="0.3">
      <c r="A18" t="s">
        <v>27</v>
      </c>
      <c r="B18">
        <v>6200</v>
      </c>
    </row>
    <row r="19" spans="1:2" x14ac:dyDescent="0.3">
      <c r="A19" t="s">
        <v>4</v>
      </c>
      <c r="B19">
        <v>13.679204240758418</v>
      </c>
    </row>
    <row r="20" spans="1:2" x14ac:dyDescent="0.3">
      <c r="A20" t="s">
        <v>21</v>
      </c>
      <c r="B20">
        <v>2.2063232646384545</v>
      </c>
    </row>
    <row r="22" spans="1:2" x14ac:dyDescent="0.3">
      <c r="A22" t="s">
        <v>28</v>
      </c>
      <c r="B22">
        <v>4500</v>
      </c>
    </row>
    <row r="23" spans="1:2" x14ac:dyDescent="0.3">
      <c r="A23" t="s">
        <v>4</v>
      </c>
      <c r="B23">
        <v>8.2058638644115334</v>
      </c>
    </row>
    <row r="24" spans="1:2" x14ac:dyDescent="0.3">
      <c r="A24" t="s">
        <v>21</v>
      </c>
      <c r="B24">
        <v>1.8235253032025629</v>
      </c>
    </row>
    <row r="26" spans="1:2" x14ac:dyDescent="0.3">
      <c r="A26" t="s">
        <v>29</v>
      </c>
      <c r="B26">
        <v>4700</v>
      </c>
    </row>
    <row r="27" spans="1:2" x14ac:dyDescent="0.3">
      <c r="A27" t="s">
        <v>4</v>
      </c>
      <c r="B27">
        <v>11.875537069837119</v>
      </c>
    </row>
    <row r="28" spans="1:2" x14ac:dyDescent="0.3">
      <c r="A28" t="s">
        <v>21</v>
      </c>
      <c r="B28">
        <v>2.5267100148589612</v>
      </c>
    </row>
    <row r="30" spans="1:2" x14ac:dyDescent="0.3">
      <c r="A30" t="s">
        <v>30</v>
      </c>
      <c r="B30">
        <v>4900</v>
      </c>
    </row>
    <row r="31" spans="1:2" x14ac:dyDescent="0.3">
      <c r="A31" t="s">
        <v>4</v>
      </c>
      <c r="B31">
        <v>11.318210178219999</v>
      </c>
    </row>
    <row r="32" spans="1:2" x14ac:dyDescent="0.3">
      <c r="A32" t="s">
        <v>21</v>
      </c>
      <c r="B32">
        <v>2.3098388118816322</v>
      </c>
    </row>
    <row r="34" spans="1:2" x14ac:dyDescent="0.3">
      <c r="A34" t="s">
        <v>31</v>
      </c>
      <c r="B34">
        <v>4400</v>
      </c>
    </row>
    <row r="35" spans="1:2" x14ac:dyDescent="0.3">
      <c r="A35" t="s">
        <v>4</v>
      </c>
      <c r="B35">
        <v>8.1397988207863428</v>
      </c>
    </row>
    <row r="36" spans="1:2" x14ac:dyDescent="0.3">
      <c r="A36" t="s">
        <v>21</v>
      </c>
      <c r="B36">
        <v>1.8499542774514415</v>
      </c>
    </row>
    <row r="38" spans="1:2" x14ac:dyDescent="0.3">
      <c r="A38" t="s">
        <v>32</v>
      </c>
      <c r="B38">
        <v>3900</v>
      </c>
    </row>
    <row r="39" spans="1:2" x14ac:dyDescent="0.3">
      <c r="A39" t="s">
        <v>4</v>
      </c>
      <c r="B39">
        <v>5.1631863490983578</v>
      </c>
    </row>
    <row r="40" spans="1:2" x14ac:dyDescent="0.3">
      <c r="A40" t="s">
        <v>21</v>
      </c>
      <c r="B40">
        <v>1.3238939356662456</v>
      </c>
    </row>
    <row r="42" spans="1:2" x14ac:dyDescent="0.3">
      <c r="A42" t="s">
        <v>33</v>
      </c>
      <c r="B42">
        <v>3200</v>
      </c>
    </row>
    <row r="43" spans="1:2" x14ac:dyDescent="0.3">
      <c r="A43" t="s">
        <v>4</v>
      </c>
      <c r="B43">
        <v>4.7338226141086919</v>
      </c>
    </row>
    <row r="44" spans="1:2" x14ac:dyDescent="0.3">
      <c r="A44" t="s">
        <v>21</v>
      </c>
      <c r="B44">
        <v>1.479319566908966</v>
      </c>
    </row>
    <row r="46" spans="1:2" x14ac:dyDescent="0.3">
      <c r="A46" t="s">
        <v>34</v>
      </c>
      <c r="B46">
        <v>7300</v>
      </c>
    </row>
    <row r="47" spans="1:2" x14ac:dyDescent="0.3">
      <c r="A47" t="s">
        <v>4</v>
      </c>
      <c r="B47">
        <v>15.003397206648522</v>
      </c>
    </row>
    <row r="48" spans="1:2" x14ac:dyDescent="0.3">
      <c r="A48" t="s">
        <v>21</v>
      </c>
      <c r="B48">
        <v>2.0552598913217155</v>
      </c>
    </row>
    <row r="50" spans="1:2" x14ac:dyDescent="0.3">
      <c r="A50" t="s">
        <v>35</v>
      </c>
      <c r="B50">
        <v>5200</v>
      </c>
    </row>
    <row r="51" spans="1:2" x14ac:dyDescent="0.3">
      <c r="A51" t="s">
        <v>4</v>
      </c>
      <c r="B51">
        <v>9.3566353685422392</v>
      </c>
    </row>
    <row r="52" spans="1:2" x14ac:dyDescent="0.3">
      <c r="A52" t="s">
        <v>21</v>
      </c>
      <c r="B52">
        <v>1.7993529554888921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2" workbookViewId="0">
      <selection activeCell="N32" sqref="N32"/>
    </sheetView>
  </sheetViews>
  <sheetFormatPr defaultRowHeight="14.4" x14ac:dyDescent="0.3"/>
  <cols>
    <col min="1" max="1" width="13.44140625" customWidth="1"/>
  </cols>
  <sheetData>
    <row r="1" spans="1:15" x14ac:dyDescent="0.3">
      <c r="A1" t="s">
        <v>71</v>
      </c>
      <c r="B1" t="s">
        <v>39</v>
      </c>
      <c r="C1" t="s">
        <v>12</v>
      </c>
      <c r="D1" t="s">
        <v>17</v>
      </c>
      <c r="E1" t="s">
        <v>13</v>
      </c>
      <c r="F1" t="s">
        <v>14</v>
      </c>
      <c r="G1" t="s">
        <v>19</v>
      </c>
      <c r="H1" t="s">
        <v>15</v>
      </c>
      <c r="I1" t="s">
        <v>20</v>
      </c>
      <c r="J1" t="s">
        <v>16</v>
      </c>
      <c r="K1" t="s">
        <v>18</v>
      </c>
      <c r="L1" t="s">
        <v>37</v>
      </c>
      <c r="M1" t="s">
        <v>38</v>
      </c>
      <c r="N1" t="s">
        <v>40</v>
      </c>
      <c r="O1" t="s">
        <v>46</v>
      </c>
    </row>
    <row r="2" spans="1:15" x14ac:dyDescent="0.3">
      <c r="A2" t="s">
        <v>79</v>
      </c>
      <c r="B2" t="s">
        <v>47</v>
      </c>
      <c r="C2">
        <v>19</v>
      </c>
      <c r="D2">
        <v>23.3</v>
      </c>
      <c r="E2">
        <v>50.627811999999999</v>
      </c>
      <c r="F2">
        <v>0.73209999999999997</v>
      </c>
      <c r="G2">
        <v>0.54500000000000004</v>
      </c>
      <c r="H2">
        <v>1</v>
      </c>
      <c r="I2">
        <v>1</v>
      </c>
      <c r="J2">
        <v>0.4</v>
      </c>
      <c r="K2">
        <v>0.40479999999999999</v>
      </c>
      <c r="L2">
        <v>0.61309999999999998</v>
      </c>
      <c r="M2">
        <v>0.64810000000000001</v>
      </c>
      <c r="N2">
        <v>5.3</v>
      </c>
      <c r="O2">
        <v>2.2999999999999998</v>
      </c>
    </row>
    <row r="3" spans="1:15" x14ac:dyDescent="0.3">
      <c r="A3" t="s">
        <v>80</v>
      </c>
      <c r="B3" t="s">
        <v>47</v>
      </c>
      <c r="C3">
        <v>23.7</v>
      </c>
      <c r="D3">
        <v>21.7</v>
      </c>
      <c r="E3">
        <v>45.800272</v>
      </c>
      <c r="F3">
        <v>0.70330000000000004</v>
      </c>
      <c r="G3">
        <v>0.5464</v>
      </c>
      <c r="H3">
        <v>2.2999999999999998</v>
      </c>
      <c r="I3">
        <v>1</v>
      </c>
      <c r="J3">
        <v>0.46429999999999999</v>
      </c>
      <c r="K3">
        <v>0.52780000000000005</v>
      </c>
      <c r="L3">
        <v>0.72360000000000002</v>
      </c>
      <c r="M3">
        <v>0.67369999999999997</v>
      </c>
      <c r="N3">
        <v>1.7</v>
      </c>
      <c r="O3">
        <v>1.7</v>
      </c>
    </row>
    <row r="4" spans="1:15" x14ac:dyDescent="0.3">
      <c r="A4" t="s">
        <v>73</v>
      </c>
      <c r="B4" t="s">
        <v>47</v>
      </c>
      <c r="C4">
        <v>28.7</v>
      </c>
      <c r="D4">
        <v>18</v>
      </c>
      <c r="E4">
        <v>48.570171999999999</v>
      </c>
      <c r="F4">
        <v>0.50219999999999998</v>
      </c>
      <c r="G4">
        <v>0.70730000000000004</v>
      </c>
      <c r="H4">
        <v>0</v>
      </c>
      <c r="I4">
        <v>1</v>
      </c>
      <c r="J4">
        <v>0.5</v>
      </c>
      <c r="K4">
        <v>0.33329999999999999</v>
      </c>
      <c r="L4">
        <v>0.65090000000000003</v>
      </c>
      <c r="M4">
        <v>0.61470000000000002</v>
      </c>
      <c r="N4">
        <v>2</v>
      </c>
      <c r="O4">
        <v>2.2999999999999998</v>
      </c>
    </row>
    <row r="5" spans="1:15" x14ac:dyDescent="0.3">
      <c r="A5" t="s">
        <v>83</v>
      </c>
      <c r="B5" t="s">
        <v>47</v>
      </c>
      <c r="C5">
        <v>24</v>
      </c>
      <c r="D5">
        <v>18.3</v>
      </c>
      <c r="E5">
        <v>39.469071999999997</v>
      </c>
      <c r="F5">
        <v>0.53200000000000003</v>
      </c>
      <c r="G5">
        <v>0.6825</v>
      </c>
      <c r="H5">
        <v>2</v>
      </c>
      <c r="I5">
        <v>2.2999999999999998</v>
      </c>
      <c r="J5">
        <v>0.41670000000000001</v>
      </c>
      <c r="K5">
        <v>0.32500000000000001</v>
      </c>
      <c r="L5">
        <v>0.64080000000000004</v>
      </c>
      <c r="M5">
        <v>0.60660000000000003</v>
      </c>
      <c r="N5">
        <v>1.7</v>
      </c>
      <c r="O5">
        <v>2.2999999999999998</v>
      </c>
    </row>
    <row r="6" spans="1:15" x14ac:dyDescent="0.3">
      <c r="A6" t="s">
        <v>89</v>
      </c>
      <c r="B6" t="s">
        <v>45</v>
      </c>
      <c r="C6">
        <v>20.7</v>
      </c>
      <c r="D6">
        <v>19.7</v>
      </c>
      <c r="E6">
        <v>46.987372000000001</v>
      </c>
      <c r="F6">
        <v>0.62760000000000005</v>
      </c>
      <c r="G6">
        <v>0.58330000000000004</v>
      </c>
      <c r="H6">
        <v>1.7</v>
      </c>
      <c r="I6">
        <v>1</v>
      </c>
      <c r="J6">
        <v>0.34289999999999998</v>
      </c>
      <c r="K6">
        <v>0.43480000000000002</v>
      </c>
      <c r="L6">
        <v>0.6</v>
      </c>
      <c r="M6">
        <v>0.64490000000000003</v>
      </c>
      <c r="N6">
        <v>2.7</v>
      </c>
      <c r="O6">
        <v>4</v>
      </c>
    </row>
    <row r="7" spans="1:15" x14ac:dyDescent="0.3">
      <c r="A7" t="s">
        <v>92</v>
      </c>
      <c r="B7" t="s">
        <v>47</v>
      </c>
      <c r="C7">
        <v>18.3</v>
      </c>
      <c r="D7">
        <v>21.7</v>
      </c>
      <c r="E7">
        <v>43.062027999999998</v>
      </c>
      <c r="F7">
        <v>0.62009999999999998</v>
      </c>
      <c r="G7">
        <v>0.66669999999999996</v>
      </c>
      <c r="H7">
        <v>0.7</v>
      </c>
      <c r="I7">
        <v>2</v>
      </c>
      <c r="J7">
        <v>0.35899999999999999</v>
      </c>
      <c r="K7">
        <v>0.2286</v>
      </c>
      <c r="L7">
        <v>0.65049999999999997</v>
      </c>
      <c r="M7">
        <v>0.67479999999999996</v>
      </c>
      <c r="N7">
        <v>2.7</v>
      </c>
      <c r="O7">
        <v>3.7</v>
      </c>
    </row>
    <row r="8" spans="1:15" x14ac:dyDescent="0.3">
      <c r="A8" t="s">
        <v>96</v>
      </c>
      <c r="B8" t="s">
        <v>45</v>
      </c>
      <c r="C8">
        <v>17.7</v>
      </c>
      <c r="D8">
        <v>21.3</v>
      </c>
      <c r="F8">
        <v>0.72919999999999996</v>
      </c>
      <c r="G8">
        <v>0.45789999999999997</v>
      </c>
      <c r="H8">
        <v>2.7</v>
      </c>
      <c r="I8">
        <v>1.3</v>
      </c>
      <c r="J8">
        <v>0.40910000000000002</v>
      </c>
      <c r="K8">
        <v>0.4118</v>
      </c>
      <c r="L8">
        <v>0.62790000000000001</v>
      </c>
      <c r="M8">
        <v>0.67069999999999996</v>
      </c>
      <c r="N8">
        <v>3.7</v>
      </c>
      <c r="O8">
        <v>1.7</v>
      </c>
    </row>
    <row r="9" spans="1:15" x14ac:dyDescent="0.3">
      <c r="A9" t="s">
        <v>81</v>
      </c>
      <c r="B9" t="s">
        <v>45</v>
      </c>
      <c r="C9">
        <v>17.7</v>
      </c>
      <c r="D9">
        <v>18</v>
      </c>
      <c r="E9">
        <v>48.570171999999999</v>
      </c>
      <c r="F9">
        <v>0.64859999999999995</v>
      </c>
      <c r="G9">
        <v>0.57540000000000002</v>
      </c>
      <c r="H9">
        <v>1.7</v>
      </c>
      <c r="I9">
        <v>1.3</v>
      </c>
      <c r="J9">
        <v>0.28210000000000002</v>
      </c>
      <c r="K9">
        <v>0.26319999999999999</v>
      </c>
      <c r="L9">
        <v>0.56879999999999997</v>
      </c>
      <c r="M9">
        <v>0.65590000000000004</v>
      </c>
      <c r="N9">
        <v>3.7</v>
      </c>
      <c r="O9">
        <v>3.3</v>
      </c>
    </row>
    <row r="10" spans="1:15" x14ac:dyDescent="0.3">
      <c r="A10" t="s">
        <v>97</v>
      </c>
      <c r="B10" t="s">
        <v>45</v>
      </c>
      <c r="C10">
        <v>25.3</v>
      </c>
      <c r="D10">
        <v>20.3</v>
      </c>
      <c r="F10">
        <v>0.49480000000000002</v>
      </c>
      <c r="G10">
        <v>0.69310000000000005</v>
      </c>
      <c r="H10">
        <v>0.7</v>
      </c>
      <c r="I10">
        <v>1</v>
      </c>
      <c r="J10">
        <v>0.5806</v>
      </c>
      <c r="K10">
        <v>0.2</v>
      </c>
      <c r="L10">
        <v>0.74470000000000003</v>
      </c>
      <c r="M10">
        <v>0.627</v>
      </c>
      <c r="N10">
        <v>0.7</v>
      </c>
      <c r="O10">
        <v>1.7</v>
      </c>
    </row>
    <row r="11" spans="1:15" x14ac:dyDescent="0.3">
      <c r="A11" t="s">
        <v>94</v>
      </c>
      <c r="B11" t="s">
        <v>47</v>
      </c>
      <c r="C11">
        <v>21.7</v>
      </c>
      <c r="D11">
        <v>17.7</v>
      </c>
      <c r="E11">
        <v>50.311251999999996</v>
      </c>
      <c r="F11">
        <v>0.58740000000000003</v>
      </c>
      <c r="G11">
        <v>0.50619999999999998</v>
      </c>
      <c r="H11">
        <v>1.3</v>
      </c>
      <c r="I11">
        <v>0</v>
      </c>
      <c r="J11">
        <v>0.40479999999999999</v>
      </c>
      <c r="K11">
        <v>0.44119999999999998</v>
      </c>
      <c r="L11">
        <v>0.69089999999999996</v>
      </c>
      <c r="M11">
        <v>0.67069999999999996</v>
      </c>
      <c r="N11">
        <v>3.7</v>
      </c>
      <c r="O11">
        <v>0</v>
      </c>
    </row>
    <row r="12" spans="1:15" x14ac:dyDescent="0.3">
      <c r="A12" t="s">
        <v>84</v>
      </c>
      <c r="B12" t="s">
        <v>47</v>
      </c>
      <c r="C12">
        <v>19.3</v>
      </c>
      <c r="D12">
        <v>21.3</v>
      </c>
      <c r="E12">
        <v>55.360383999999996</v>
      </c>
      <c r="F12">
        <v>0.55559999999999998</v>
      </c>
      <c r="G12">
        <v>0.63380000000000003</v>
      </c>
      <c r="H12">
        <v>1.3</v>
      </c>
      <c r="I12">
        <v>1.7</v>
      </c>
      <c r="J12">
        <v>0.38100000000000001</v>
      </c>
      <c r="K12">
        <v>0.45829999999999999</v>
      </c>
      <c r="L12">
        <v>0.62619999999999998</v>
      </c>
      <c r="M12">
        <v>0.54759999999999998</v>
      </c>
      <c r="N12">
        <v>1</v>
      </c>
      <c r="O12">
        <v>3</v>
      </c>
    </row>
    <row r="13" spans="1:15" x14ac:dyDescent="0.3">
      <c r="A13" t="s">
        <v>98</v>
      </c>
      <c r="B13" t="s">
        <v>47</v>
      </c>
      <c r="C13">
        <v>20</v>
      </c>
      <c r="D13">
        <v>18.8</v>
      </c>
      <c r="F13">
        <v>0.61109999999999998</v>
      </c>
      <c r="G13">
        <v>0.56200000000000006</v>
      </c>
      <c r="H13">
        <v>1</v>
      </c>
      <c r="I13">
        <v>2</v>
      </c>
      <c r="J13">
        <v>0.31909999999999999</v>
      </c>
      <c r="K13">
        <v>0.3846</v>
      </c>
      <c r="L13">
        <v>0.62329999999999997</v>
      </c>
      <c r="M13">
        <v>0.57140000000000002</v>
      </c>
      <c r="N13">
        <v>2</v>
      </c>
      <c r="O13">
        <v>3</v>
      </c>
    </row>
    <row r="14" spans="1:15" x14ac:dyDescent="0.3">
      <c r="A14" t="s">
        <v>75</v>
      </c>
      <c r="B14" t="s">
        <v>47</v>
      </c>
      <c r="C14">
        <v>19.7</v>
      </c>
      <c r="D14">
        <v>21</v>
      </c>
      <c r="E14">
        <v>46.987372000000001</v>
      </c>
      <c r="F14">
        <v>0.59319999999999995</v>
      </c>
      <c r="G14">
        <v>0.6875</v>
      </c>
      <c r="H14">
        <v>0.7</v>
      </c>
      <c r="I14">
        <v>1</v>
      </c>
      <c r="J14">
        <v>0.5</v>
      </c>
      <c r="K14">
        <v>0.3846</v>
      </c>
      <c r="L14">
        <v>0.65590000000000004</v>
      </c>
      <c r="M14">
        <v>0.70489999999999997</v>
      </c>
      <c r="N14">
        <v>4</v>
      </c>
      <c r="O14">
        <v>3.3</v>
      </c>
    </row>
    <row r="15" spans="1:15" x14ac:dyDescent="0.3">
      <c r="A15" t="s">
        <v>85</v>
      </c>
      <c r="B15" t="s">
        <v>47</v>
      </c>
      <c r="C15">
        <v>24</v>
      </c>
      <c r="D15">
        <v>22.7</v>
      </c>
      <c r="E15">
        <v>55.597803999999996</v>
      </c>
      <c r="F15">
        <v>0.51849999999999996</v>
      </c>
      <c r="G15">
        <v>0.61539999999999995</v>
      </c>
      <c r="H15">
        <v>0.7</v>
      </c>
      <c r="I15">
        <v>1</v>
      </c>
      <c r="J15">
        <v>0.54290000000000005</v>
      </c>
      <c r="K15">
        <v>0.5161</v>
      </c>
      <c r="L15">
        <v>0.71740000000000004</v>
      </c>
      <c r="M15">
        <v>0.76039999999999996</v>
      </c>
      <c r="N15">
        <v>2</v>
      </c>
      <c r="O15">
        <v>2.7</v>
      </c>
    </row>
    <row r="16" spans="1:15" x14ac:dyDescent="0.3">
      <c r="A16" t="s">
        <v>88</v>
      </c>
      <c r="B16" t="s">
        <v>45</v>
      </c>
      <c r="C16">
        <v>15.3</v>
      </c>
      <c r="D16">
        <v>20.7</v>
      </c>
      <c r="E16">
        <v>50.311251999999996</v>
      </c>
      <c r="F16">
        <v>0.63919999999999999</v>
      </c>
      <c r="G16">
        <v>0.58589999999999998</v>
      </c>
      <c r="H16">
        <v>1</v>
      </c>
      <c r="I16">
        <v>0.3</v>
      </c>
      <c r="J16">
        <v>0.29409999999999997</v>
      </c>
      <c r="K16">
        <v>0.45240000000000002</v>
      </c>
      <c r="L16">
        <v>0.72919999999999996</v>
      </c>
      <c r="M16">
        <v>0.62139999999999995</v>
      </c>
      <c r="N16">
        <v>1.7</v>
      </c>
      <c r="O16">
        <v>4.3</v>
      </c>
    </row>
    <row r="17" spans="1:15" x14ac:dyDescent="0.3">
      <c r="A17" t="s">
        <v>72</v>
      </c>
      <c r="B17" t="s">
        <v>45</v>
      </c>
      <c r="C17">
        <v>25</v>
      </c>
      <c r="D17">
        <v>22</v>
      </c>
      <c r="E17">
        <v>55.360383999999996</v>
      </c>
      <c r="F17">
        <v>0.61780000000000002</v>
      </c>
      <c r="G17">
        <v>0.64359999999999995</v>
      </c>
      <c r="H17">
        <v>0.3</v>
      </c>
      <c r="I17">
        <v>1.3</v>
      </c>
      <c r="J17">
        <v>0.54549999999999998</v>
      </c>
      <c r="K17">
        <v>0.43240000000000001</v>
      </c>
      <c r="L17">
        <v>0.71299999999999997</v>
      </c>
      <c r="M17">
        <v>0.63160000000000005</v>
      </c>
      <c r="N17">
        <v>1</v>
      </c>
      <c r="O17">
        <v>2.2999999999999998</v>
      </c>
    </row>
    <row r="18" spans="1:15" x14ac:dyDescent="0.3">
      <c r="A18" t="s">
        <v>77</v>
      </c>
      <c r="B18" t="s">
        <v>45</v>
      </c>
      <c r="C18">
        <v>22.7</v>
      </c>
      <c r="D18">
        <v>20.3</v>
      </c>
      <c r="E18">
        <v>51.545836000000001</v>
      </c>
      <c r="F18">
        <v>0.66320000000000001</v>
      </c>
      <c r="G18">
        <v>0.54290000000000005</v>
      </c>
      <c r="H18">
        <v>1.7</v>
      </c>
      <c r="I18">
        <v>1</v>
      </c>
      <c r="J18">
        <v>0.46150000000000002</v>
      </c>
      <c r="K18">
        <v>0.51519999999999999</v>
      </c>
      <c r="L18">
        <v>0.66379999999999995</v>
      </c>
      <c r="M18">
        <v>0.74729999999999996</v>
      </c>
      <c r="N18">
        <v>3.3</v>
      </c>
      <c r="O18">
        <v>1.3</v>
      </c>
    </row>
    <row r="19" spans="1:15" x14ac:dyDescent="0.3">
      <c r="A19" t="s">
        <v>76</v>
      </c>
      <c r="B19" t="s">
        <v>47</v>
      </c>
      <c r="C19">
        <v>20.7</v>
      </c>
      <c r="D19">
        <v>18</v>
      </c>
      <c r="E19">
        <v>39.279135999999994</v>
      </c>
      <c r="F19">
        <v>0.5635</v>
      </c>
      <c r="G19">
        <v>0.63590000000000002</v>
      </c>
      <c r="H19">
        <v>1.7</v>
      </c>
      <c r="I19">
        <v>1.7</v>
      </c>
      <c r="J19">
        <v>0.45450000000000002</v>
      </c>
      <c r="K19">
        <v>0.375</v>
      </c>
      <c r="L19">
        <v>0.62860000000000005</v>
      </c>
      <c r="M19">
        <v>0.57799999999999996</v>
      </c>
      <c r="N19">
        <v>2</v>
      </c>
      <c r="O19">
        <v>2.7</v>
      </c>
    </row>
    <row r="20" spans="1:15" x14ac:dyDescent="0.3">
      <c r="A20" t="s">
        <v>95</v>
      </c>
      <c r="B20" t="s">
        <v>47</v>
      </c>
      <c r="C20">
        <v>13.3</v>
      </c>
      <c r="D20">
        <v>28.7</v>
      </c>
      <c r="E20">
        <v>51.545836000000001</v>
      </c>
      <c r="F20">
        <v>0.71020000000000005</v>
      </c>
      <c r="G20">
        <v>0.439</v>
      </c>
      <c r="H20">
        <v>2.7</v>
      </c>
      <c r="I20">
        <v>0.7</v>
      </c>
      <c r="J20">
        <v>0.2</v>
      </c>
      <c r="K20">
        <v>0.5625</v>
      </c>
      <c r="L20">
        <v>0.47320000000000001</v>
      </c>
      <c r="M20">
        <v>0.72089999999999999</v>
      </c>
      <c r="N20">
        <v>4.3</v>
      </c>
      <c r="O20">
        <v>1.3</v>
      </c>
    </row>
    <row r="21" spans="1:15" x14ac:dyDescent="0.3">
      <c r="A21" t="s">
        <v>91</v>
      </c>
      <c r="B21" t="s">
        <v>45</v>
      </c>
      <c r="C21">
        <v>18.7</v>
      </c>
      <c r="D21">
        <v>21.3</v>
      </c>
      <c r="E21">
        <v>43.062027999999998</v>
      </c>
      <c r="F21">
        <v>0.38690000000000002</v>
      </c>
      <c r="G21">
        <v>0.63919999999999999</v>
      </c>
      <c r="H21">
        <v>1.3</v>
      </c>
      <c r="I21">
        <v>2</v>
      </c>
      <c r="J21">
        <v>0.4375</v>
      </c>
      <c r="K21">
        <v>0.29409999999999997</v>
      </c>
      <c r="L21">
        <v>0.58730000000000004</v>
      </c>
      <c r="M21">
        <v>0.71930000000000005</v>
      </c>
      <c r="N21">
        <v>0.7</v>
      </c>
      <c r="O21">
        <v>3.3</v>
      </c>
    </row>
    <row r="22" spans="1:15" x14ac:dyDescent="0.3">
      <c r="A22" t="s">
        <v>74</v>
      </c>
      <c r="B22" t="s">
        <v>45</v>
      </c>
      <c r="C22">
        <v>24</v>
      </c>
      <c r="D22">
        <v>10.7</v>
      </c>
      <c r="E22">
        <v>39.469071999999997</v>
      </c>
      <c r="F22">
        <v>0.55610000000000004</v>
      </c>
      <c r="G22">
        <v>0.71599999999999997</v>
      </c>
      <c r="H22">
        <v>1</v>
      </c>
      <c r="I22">
        <v>2</v>
      </c>
      <c r="J22">
        <v>0.47499999999999998</v>
      </c>
      <c r="K22">
        <v>0.12820000000000001</v>
      </c>
      <c r="L22">
        <v>0.68179999999999996</v>
      </c>
      <c r="M22">
        <v>0.52780000000000005</v>
      </c>
      <c r="N22">
        <v>1.3</v>
      </c>
      <c r="O22">
        <v>4.3</v>
      </c>
    </row>
    <row r="23" spans="1:15" x14ac:dyDescent="0.3">
      <c r="A23" t="s">
        <v>99</v>
      </c>
      <c r="B23" t="s">
        <v>47</v>
      </c>
      <c r="C23">
        <v>18.3</v>
      </c>
      <c r="D23">
        <v>22.7</v>
      </c>
      <c r="F23">
        <v>0.62790000000000001</v>
      </c>
      <c r="G23">
        <v>0.59689999999999999</v>
      </c>
      <c r="H23">
        <v>1</v>
      </c>
      <c r="I23">
        <v>1</v>
      </c>
      <c r="J23">
        <v>0.4</v>
      </c>
      <c r="K23">
        <v>0.42499999999999999</v>
      </c>
      <c r="L23">
        <v>0.67620000000000002</v>
      </c>
      <c r="M23">
        <v>0.65739999999999998</v>
      </c>
      <c r="N23">
        <v>1</v>
      </c>
      <c r="O23">
        <v>3</v>
      </c>
    </row>
    <row r="24" spans="1:15" x14ac:dyDescent="0.3">
      <c r="A24" t="s">
        <v>87</v>
      </c>
      <c r="B24" t="s">
        <v>47</v>
      </c>
      <c r="C24">
        <v>21</v>
      </c>
      <c r="D24">
        <v>23.7</v>
      </c>
      <c r="E24">
        <v>56.784903999999997</v>
      </c>
      <c r="F24">
        <v>0.70830000000000004</v>
      </c>
      <c r="G24">
        <v>0.52480000000000004</v>
      </c>
      <c r="H24">
        <v>2</v>
      </c>
      <c r="I24">
        <v>0.3</v>
      </c>
      <c r="J24">
        <v>0.30559999999999998</v>
      </c>
      <c r="K24">
        <v>0.40539999999999998</v>
      </c>
      <c r="L24">
        <v>0.63570000000000004</v>
      </c>
      <c r="M24">
        <v>0.67679999999999996</v>
      </c>
      <c r="N24">
        <v>2.2999999999999998</v>
      </c>
      <c r="O24">
        <v>2.2999999999999998</v>
      </c>
    </row>
    <row r="25" spans="1:15" x14ac:dyDescent="0.3">
      <c r="A25" t="s">
        <v>100</v>
      </c>
      <c r="B25" t="s">
        <v>105</v>
      </c>
      <c r="C25">
        <v>12</v>
      </c>
      <c r="D25">
        <v>20</v>
      </c>
      <c r="F25">
        <v>0.62209999999999999</v>
      </c>
      <c r="G25">
        <v>0.62560000000000004</v>
      </c>
      <c r="H25">
        <v>1</v>
      </c>
      <c r="I25">
        <v>2.2999999999999998</v>
      </c>
      <c r="J25">
        <v>0.20930000000000001</v>
      </c>
      <c r="K25">
        <v>0.3947</v>
      </c>
      <c r="L25">
        <v>0.67020000000000002</v>
      </c>
      <c r="M25">
        <v>0.62390000000000001</v>
      </c>
      <c r="N25">
        <v>4.3</v>
      </c>
      <c r="O25">
        <v>1.7</v>
      </c>
    </row>
    <row r="26" spans="1:15" x14ac:dyDescent="0.3">
      <c r="A26" t="s">
        <v>86</v>
      </c>
      <c r="B26" t="s">
        <v>45</v>
      </c>
      <c r="C26">
        <v>18.3</v>
      </c>
      <c r="D26">
        <v>21.7</v>
      </c>
      <c r="E26">
        <v>55.597803999999996</v>
      </c>
      <c r="F26">
        <v>0.61050000000000004</v>
      </c>
      <c r="G26">
        <v>0.54890000000000005</v>
      </c>
      <c r="H26">
        <v>1</v>
      </c>
      <c r="I26">
        <v>0.3</v>
      </c>
      <c r="J26">
        <v>0.48720000000000002</v>
      </c>
      <c r="K26">
        <v>0.52780000000000005</v>
      </c>
      <c r="L26">
        <v>0.73470000000000002</v>
      </c>
      <c r="M26">
        <v>0.6875</v>
      </c>
      <c r="N26">
        <v>2.2999999999999998</v>
      </c>
      <c r="O26">
        <v>1.7</v>
      </c>
    </row>
    <row r="27" spans="1:15" x14ac:dyDescent="0.3">
      <c r="A27" t="s">
        <v>101</v>
      </c>
      <c r="B27" t="s">
        <v>45</v>
      </c>
      <c r="C27">
        <v>21.5</v>
      </c>
      <c r="D27">
        <v>20.2</v>
      </c>
      <c r="F27">
        <v>0.57720000000000005</v>
      </c>
      <c r="G27">
        <v>0.69169999999999998</v>
      </c>
      <c r="H27">
        <v>1.2</v>
      </c>
      <c r="I27">
        <v>1.2</v>
      </c>
      <c r="J27">
        <v>0.56140000000000001</v>
      </c>
      <c r="K27">
        <v>0.41670000000000001</v>
      </c>
      <c r="L27">
        <v>0.60670000000000002</v>
      </c>
      <c r="M27">
        <v>0.63370000000000004</v>
      </c>
      <c r="N27">
        <v>1.8</v>
      </c>
      <c r="O27">
        <v>0.8</v>
      </c>
    </row>
    <row r="28" spans="1:15" x14ac:dyDescent="0.3">
      <c r="A28" t="s">
        <v>102</v>
      </c>
      <c r="B28" t="s">
        <v>47</v>
      </c>
      <c r="C28">
        <v>14.3</v>
      </c>
      <c r="D28">
        <v>25</v>
      </c>
      <c r="F28">
        <v>0.68710000000000004</v>
      </c>
      <c r="G28">
        <v>0.51890000000000003</v>
      </c>
      <c r="H28">
        <v>1.3</v>
      </c>
      <c r="I28">
        <v>2.2999999999999998</v>
      </c>
      <c r="J28">
        <v>0.2571</v>
      </c>
      <c r="K28">
        <v>0.47370000000000001</v>
      </c>
      <c r="L28">
        <v>0.56479999999999997</v>
      </c>
      <c r="M28">
        <v>0.74039999999999995</v>
      </c>
      <c r="N28">
        <v>1.3</v>
      </c>
      <c r="O28">
        <v>2</v>
      </c>
    </row>
    <row r="29" spans="1:15" x14ac:dyDescent="0.3">
      <c r="A29" t="s">
        <v>103</v>
      </c>
      <c r="B29" t="s">
        <v>105</v>
      </c>
      <c r="C29">
        <v>23.3</v>
      </c>
      <c r="D29">
        <v>15.3</v>
      </c>
      <c r="F29">
        <v>0.43280000000000002</v>
      </c>
      <c r="G29">
        <v>0.62980000000000003</v>
      </c>
      <c r="H29">
        <v>2.7</v>
      </c>
      <c r="I29">
        <v>2.2999999999999998</v>
      </c>
      <c r="J29">
        <v>0.48480000000000001</v>
      </c>
      <c r="K29">
        <v>0.41460000000000002</v>
      </c>
      <c r="L29">
        <v>0.69410000000000005</v>
      </c>
      <c r="M29">
        <v>0.57140000000000002</v>
      </c>
      <c r="N29">
        <v>0.7</v>
      </c>
      <c r="O29">
        <v>3</v>
      </c>
    </row>
    <row r="30" spans="1:15" x14ac:dyDescent="0.3">
      <c r="A30" t="s">
        <v>78</v>
      </c>
      <c r="B30" t="s">
        <v>45</v>
      </c>
      <c r="C30">
        <v>21</v>
      </c>
      <c r="D30">
        <v>18</v>
      </c>
      <c r="E30">
        <v>50.627811999999999</v>
      </c>
      <c r="F30">
        <v>0.5736</v>
      </c>
      <c r="G30">
        <v>0.69010000000000005</v>
      </c>
      <c r="H30">
        <v>1.3</v>
      </c>
      <c r="I30">
        <v>1.7</v>
      </c>
      <c r="J30">
        <v>0.35899999999999999</v>
      </c>
      <c r="K30">
        <v>0.32429999999999998</v>
      </c>
      <c r="L30">
        <v>0.71430000000000005</v>
      </c>
      <c r="M30">
        <v>0.66069999999999995</v>
      </c>
      <c r="N30">
        <v>2.7</v>
      </c>
      <c r="O30">
        <v>2</v>
      </c>
    </row>
    <row r="31" spans="1:15" x14ac:dyDescent="0.3">
      <c r="A31" t="s">
        <v>82</v>
      </c>
      <c r="B31" t="s">
        <v>45</v>
      </c>
      <c r="C31">
        <v>20.3</v>
      </c>
      <c r="D31">
        <v>18</v>
      </c>
      <c r="E31">
        <v>39.279135999999994</v>
      </c>
      <c r="F31">
        <v>0.54820000000000002</v>
      </c>
      <c r="G31">
        <v>0.63729999999999998</v>
      </c>
      <c r="H31">
        <v>1.7</v>
      </c>
      <c r="I31">
        <v>1.7</v>
      </c>
      <c r="J31">
        <v>0.29730000000000001</v>
      </c>
      <c r="K31">
        <v>0.35</v>
      </c>
      <c r="L31">
        <v>0.60199999999999998</v>
      </c>
      <c r="M31">
        <v>0.57889999999999997</v>
      </c>
      <c r="N31">
        <v>3.3</v>
      </c>
      <c r="O31">
        <v>3</v>
      </c>
    </row>
    <row r="32" spans="1:15" x14ac:dyDescent="0.3">
      <c r="A32" t="s">
        <v>90</v>
      </c>
      <c r="B32" t="s">
        <v>45</v>
      </c>
      <c r="C32">
        <v>20</v>
      </c>
      <c r="D32">
        <v>17.3</v>
      </c>
      <c r="E32">
        <v>45.800272</v>
      </c>
      <c r="F32">
        <v>0.58289999999999997</v>
      </c>
      <c r="G32">
        <v>0.58430000000000004</v>
      </c>
      <c r="H32">
        <v>0.3</v>
      </c>
      <c r="I32">
        <v>1.7</v>
      </c>
      <c r="J32">
        <v>0.29730000000000001</v>
      </c>
      <c r="K32">
        <v>0.28570000000000001</v>
      </c>
      <c r="L32">
        <v>0.60870000000000002</v>
      </c>
      <c r="M32">
        <v>0.64580000000000004</v>
      </c>
      <c r="N32">
        <v>5.7</v>
      </c>
      <c r="O32">
        <v>2.7</v>
      </c>
    </row>
    <row r="33" spans="1:15" x14ac:dyDescent="0.3">
      <c r="A33" t="s">
        <v>93</v>
      </c>
      <c r="B33" t="s">
        <v>45</v>
      </c>
      <c r="C33">
        <v>19.7</v>
      </c>
      <c r="D33">
        <v>22.7</v>
      </c>
      <c r="E33">
        <v>56.784903999999997</v>
      </c>
      <c r="F33">
        <v>0.71819999999999995</v>
      </c>
      <c r="G33">
        <v>0.54120000000000001</v>
      </c>
      <c r="H33">
        <v>1.7</v>
      </c>
      <c r="I33">
        <v>0.7</v>
      </c>
      <c r="J33">
        <v>0.3226</v>
      </c>
      <c r="K33">
        <v>0.6341</v>
      </c>
      <c r="L33">
        <v>0.69350000000000001</v>
      </c>
      <c r="M33">
        <v>0.79</v>
      </c>
      <c r="N33">
        <v>2</v>
      </c>
      <c r="O33">
        <v>1.7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QB Data</vt:lpstr>
      <vt:lpstr>QB Summary</vt:lpstr>
      <vt:lpstr>RB Data</vt:lpstr>
      <vt:lpstr>RB Data (old)</vt:lpstr>
      <vt:lpstr>RB Summary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Elmashni</dc:creator>
  <cp:lastModifiedBy>Gus Elmashni</cp:lastModifiedBy>
  <dcterms:created xsi:type="dcterms:W3CDTF">2019-01-05T07:35:26Z</dcterms:created>
  <dcterms:modified xsi:type="dcterms:W3CDTF">2019-10-01T05:03:28Z</dcterms:modified>
</cp:coreProperties>
</file>