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inger/Dropbox/W-Research/Fullers/Data and R/April Models for Manuscript/"/>
    </mc:Choice>
  </mc:AlternateContent>
  <xr:revisionPtr revIDLastSave="0" documentId="13_ncr:1_{04A935AB-D045-A34B-BEB2-3A911591E147}" xr6:coauthVersionLast="47" xr6:coauthVersionMax="47" xr10:uidLastSave="{00000000-0000-0000-0000-000000000000}"/>
  <bookViews>
    <workbookView xWindow="7800" yWindow="500" windowWidth="29800" windowHeight="25620" xr2:uid="{00000000-000D-0000-FFFF-FFFF00000000}"/>
  </bookViews>
  <sheets>
    <sheet name="April Results All" sheetId="1" r:id="rId1"/>
    <sheet name="n versus Q" sheetId="4" r:id="rId2"/>
    <sheet name="n versus Q Plot" sheetId="5" r:id="rId3"/>
    <sheet name="Sf versus Q Plot" sheetId="6" r:id="rId4"/>
    <sheet name="April 20 Flood nsf Values Plot" sheetId="2" r:id="rId5"/>
    <sheet name="n versus n Plo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1" l="1"/>
  <c r="U44" i="1"/>
  <c r="U43" i="1"/>
  <c r="U42" i="1"/>
  <c r="U37" i="1"/>
  <c r="U36" i="1"/>
  <c r="U35" i="1"/>
  <c r="U34" i="1"/>
  <c r="U29" i="1"/>
  <c r="U28" i="1"/>
  <c r="U27" i="1"/>
  <c r="U26" i="1"/>
  <c r="U21" i="1"/>
  <c r="U20" i="1"/>
  <c r="U19" i="1"/>
  <c r="U18" i="1"/>
  <c r="U13" i="1"/>
  <c r="U12" i="1"/>
  <c r="U11" i="1"/>
  <c r="U10" i="1"/>
  <c r="U3" i="1"/>
  <c r="U4" i="1"/>
  <c r="U5" i="1"/>
  <c r="U2" i="1"/>
  <c r="L47" i="1"/>
  <c r="K47" i="1"/>
  <c r="L39" i="1"/>
  <c r="K39" i="1"/>
  <c r="L31" i="1"/>
  <c r="K31" i="1"/>
  <c r="L23" i="1"/>
  <c r="K23" i="1"/>
  <c r="L15" i="1"/>
  <c r="K15" i="1"/>
  <c r="L7" i="1"/>
  <c r="K7" i="1"/>
  <c r="Q47" i="1"/>
  <c r="Q39" i="1"/>
  <c r="Q31" i="1"/>
  <c r="Q23" i="1"/>
  <c r="Q15" i="1"/>
  <c r="Q45" i="1"/>
  <c r="Q44" i="1"/>
  <c r="Q42" i="1"/>
  <c r="Q37" i="1"/>
  <c r="Q36" i="1"/>
  <c r="Q34" i="1"/>
  <c r="Q29" i="1"/>
  <c r="Q28" i="1"/>
  <c r="Q30" i="1" s="1"/>
  <c r="Q26" i="1"/>
  <c r="Q21" i="1"/>
  <c r="Q20" i="1"/>
  <c r="Q22" i="1" s="1"/>
  <c r="Q18" i="1"/>
  <c r="Q13" i="1"/>
  <c r="Q12" i="1"/>
  <c r="Q14" i="1" s="1"/>
  <c r="Q10" i="1"/>
  <c r="Q7" i="1"/>
  <c r="Q5" i="1"/>
  <c r="Q4" i="1"/>
  <c r="M47" i="1" l="1"/>
  <c r="M15" i="1"/>
  <c r="M23" i="1"/>
  <c r="M31" i="1"/>
  <c r="M39" i="1"/>
  <c r="Q46" i="1"/>
  <c r="Q38" i="1"/>
  <c r="Q6" i="1"/>
  <c r="G42" i="1"/>
  <c r="P47" i="1" s="1"/>
  <c r="G34" i="1"/>
  <c r="P39" i="1" s="1"/>
  <c r="G26" i="1"/>
  <c r="P31" i="1" s="1"/>
  <c r="G18" i="1"/>
  <c r="P23" i="1" s="1"/>
  <c r="G10" i="1"/>
  <c r="P15" i="1" s="1"/>
  <c r="Q2" i="1"/>
  <c r="M7" i="1" s="1"/>
  <c r="G2" i="1"/>
  <c r="P7" i="1" s="1"/>
  <c r="N46" i="1"/>
  <c r="O46" i="1" s="1"/>
  <c r="N45" i="1"/>
  <c r="O45" i="1" s="1"/>
  <c r="N44" i="1"/>
  <c r="O44" i="1" s="1"/>
  <c r="N43" i="1"/>
  <c r="O43" i="1" s="1"/>
  <c r="N42" i="1"/>
  <c r="O42" i="1" s="1"/>
  <c r="N38" i="1"/>
  <c r="O38" i="1" s="1"/>
  <c r="N37" i="1"/>
  <c r="O37" i="1" s="1"/>
  <c r="N36" i="1"/>
  <c r="O36" i="1" s="1"/>
  <c r="N35" i="1"/>
  <c r="O35" i="1" s="1"/>
  <c r="N34" i="1"/>
  <c r="O34" i="1" s="1"/>
  <c r="N30" i="1"/>
  <c r="O30" i="1" s="1"/>
  <c r="N29" i="1"/>
  <c r="O29" i="1" s="1"/>
  <c r="N28" i="1"/>
  <c r="O28" i="1" s="1"/>
  <c r="N27" i="1"/>
  <c r="O27" i="1" s="1"/>
  <c r="N26" i="1"/>
  <c r="O26" i="1" s="1"/>
  <c r="N22" i="1"/>
  <c r="O22" i="1" s="1"/>
  <c r="N21" i="1"/>
  <c r="O21" i="1" s="1"/>
  <c r="N20" i="1"/>
  <c r="O20" i="1" s="1"/>
  <c r="N19" i="1"/>
  <c r="O19" i="1" s="1"/>
  <c r="N18" i="1"/>
  <c r="O18" i="1" s="1"/>
  <c r="N14" i="1"/>
  <c r="O14" i="1" s="1"/>
  <c r="N13" i="1"/>
  <c r="O13" i="1" s="1"/>
  <c r="N12" i="1"/>
  <c r="O12" i="1" s="1"/>
  <c r="N11" i="1"/>
  <c r="O11" i="1" s="1"/>
  <c r="N10" i="1"/>
  <c r="O10" i="1" s="1"/>
  <c r="N6" i="1"/>
  <c r="O6" i="1" s="1"/>
  <c r="N5" i="1"/>
  <c r="O5" i="1" s="1"/>
  <c r="N4" i="1"/>
  <c r="O4" i="1" s="1"/>
  <c r="N3" i="1"/>
  <c r="O3" i="1" s="1"/>
  <c r="N2" i="1"/>
  <c r="O2" i="1" s="1"/>
  <c r="V45" i="1"/>
  <c r="V44" i="1"/>
  <c r="V43" i="1"/>
  <c r="V42" i="1"/>
  <c r="V37" i="1"/>
  <c r="V36" i="1"/>
  <c r="V35" i="1"/>
  <c r="V34" i="1"/>
  <c r="V29" i="1"/>
  <c r="V28" i="1"/>
  <c r="V27" i="1"/>
  <c r="V26" i="1"/>
  <c r="V21" i="1"/>
  <c r="V20" i="1"/>
  <c r="V19" i="1"/>
  <c r="V18" i="1"/>
  <c r="V13" i="1"/>
  <c r="V12" i="1"/>
  <c r="V11" i="1"/>
  <c r="V10" i="1"/>
  <c r="V5" i="1"/>
  <c r="V4" i="1"/>
  <c r="V3" i="1"/>
  <c r="V2" i="1"/>
  <c r="Q19" i="1" l="1"/>
  <c r="Q11" i="1"/>
  <c r="Q43" i="1"/>
  <c r="Q35" i="1"/>
  <c r="Q27" i="1"/>
  <c r="Q3" i="1"/>
  <c r="I41" i="1"/>
  <c r="I33" i="1"/>
  <c r="I25" i="1"/>
  <c r="I17" i="1"/>
  <c r="I9" i="1"/>
  <c r="I1" i="1"/>
  <c r="B43" i="1"/>
  <c r="B44" i="1" s="1"/>
  <c r="B45" i="1" s="1"/>
  <c r="B46" i="1" s="1"/>
  <c r="B35" i="1"/>
  <c r="B36" i="1" s="1"/>
  <c r="B37" i="1" s="1"/>
  <c r="B38" i="1" s="1"/>
  <c r="B27" i="1"/>
  <c r="B28" i="1" s="1"/>
  <c r="B29" i="1" s="1"/>
  <c r="B30" i="1" s="1"/>
  <c r="B19" i="1"/>
  <c r="B20" i="1" s="1"/>
  <c r="B21" i="1" s="1"/>
  <c r="B22" i="1" s="1"/>
  <c r="B11" i="1"/>
  <c r="B12" i="1" s="1"/>
  <c r="B13" i="1" s="1"/>
  <c r="B14" i="1" s="1"/>
  <c r="B3" i="1"/>
  <c r="B4" i="1" s="1"/>
  <c r="B5" i="1" s="1"/>
  <c r="B6" i="1" s="1"/>
  <c r="S45" i="1" l="1"/>
  <c r="S44" i="1"/>
  <c r="S43" i="1"/>
  <c r="S42" i="1"/>
  <c r="S37" i="1"/>
  <c r="S36" i="1"/>
  <c r="S35" i="1"/>
  <c r="S34" i="1"/>
  <c r="S29" i="1"/>
  <c r="S28" i="1"/>
  <c r="S27" i="1"/>
  <c r="S26" i="1"/>
  <c r="S21" i="1"/>
  <c r="S20" i="1"/>
  <c r="S19" i="1"/>
  <c r="S18" i="1"/>
  <c r="S13" i="1"/>
  <c r="S12" i="1"/>
  <c r="S11" i="1"/>
  <c r="S10" i="1"/>
  <c r="S3" i="1"/>
  <c r="S4" i="1"/>
  <c r="S5" i="1"/>
  <c r="S2" i="1"/>
  <c r="H45" i="1"/>
  <c r="T45" i="1" s="1"/>
  <c r="H44" i="1"/>
  <c r="T44" i="1" s="1"/>
  <c r="H43" i="1"/>
  <c r="T43" i="1" s="1"/>
  <c r="H42" i="1"/>
  <c r="T42" i="1" s="1"/>
  <c r="H37" i="1"/>
  <c r="T37" i="1" s="1"/>
  <c r="H36" i="1"/>
  <c r="T36" i="1" s="1"/>
  <c r="H35" i="1"/>
  <c r="T35" i="1" s="1"/>
  <c r="H34" i="1"/>
  <c r="T34" i="1" s="1"/>
  <c r="H29" i="1"/>
  <c r="T29" i="1" s="1"/>
  <c r="H28" i="1"/>
  <c r="T28" i="1" s="1"/>
  <c r="H27" i="1"/>
  <c r="T27" i="1" s="1"/>
  <c r="H26" i="1"/>
  <c r="T26" i="1" s="1"/>
  <c r="H21" i="1"/>
  <c r="T21" i="1" s="1"/>
  <c r="H20" i="1"/>
  <c r="T20" i="1" s="1"/>
  <c r="H19" i="1"/>
  <c r="T19" i="1" s="1"/>
  <c r="H18" i="1"/>
  <c r="T18" i="1" s="1"/>
  <c r="H13" i="1"/>
  <c r="T13" i="1" s="1"/>
  <c r="H12" i="1"/>
  <c r="T12" i="1" s="1"/>
  <c r="H11" i="1"/>
  <c r="T11" i="1" s="1"/>
  <c r="H10" i="1"/>
  <c r="T10" i="1" s="1"/>
  <c r="H3" i="1"/>
  <c r="T3" i="1" s="1"/>
  <c r="H4" i="1"/>
  <c r="T4" i="1" s="1"/>
  <c r="H5" i="1"/>
  <c r="T5" i="1" s="1"/>
  <c r="H2" i="1"/>
  <c r="T2" i="1" s="1"/>
</calcChain>
</file>

<file path=xl/sharedStrings.xml><?xml version="1.0" encoding="utf-8"?>
<sst xmlns="http://schemas.openxmlformats.org/spreadsheetml/2006/main" count="304" uniqueCount="39">
  <si>
    <t>probes</t>
  </si>
  <si>
    <t>x</t>
  </si>
  <si>
    <t>z</t>
  </si>
  <si>
    <t>depths</t>
  </si>
  <si>
    <t>Q</t>
  </si>
  <si>
    <t>rh</t>
  </si>
  <si>
    <t>vel</t>
  </si>
  <si>
    <t>thead</t>
  </si>
  <si>
    <t>us_sf</t>
  </si>
  <si>
    <t>f</t>
  </si>
  <si>
    <t>-</t>
  </si>
  <si>
    <t>Reach</t>
  </si>
  <si>
    <t>time</t>
  </si>
  <si>
    <t>Hydograph position</t>
  </si>
  <si>
    <t>Rising limb</t>
  </si>
  <si>
    <t>Peak</t>
  </si>
  <si>
    <t>Falling limb</t>
  </si>
  <si>
    <t>Reach Gradient</t>
  </si>
  <si>
    <t>us_n_sf (reach)</t>
  </si>
  <si>
    <t>us_n_so (reach)</t>
  </si>
  <si>
    <t>Symbol</t>
  </si>
  <si>
    <t>Square</t>
  </si>
  <si>
    <t>Circle</t>
  </si>
  <si>
    <t>Triangle</t>
  </si>
  <si>
    <t>Diamond</t>
  </si>
  <si>
    <t>Pr head</t>
  </si>
  <si>
    <t>K head</t>
  </si>
  <si>
    <t>4-5</t>
  </si>
  <si>
    <t>3-4</t>
  </si>
  <si>
    <t>2-3</t>
  </si>
  <si>
    <t>1-2</t>
  </si>
  <si>
    <t>So</t>
  </si>
  <si>
    <t>overall sf</t>
  </si>
  <si>
    <t>overall So</t>
  </si>
  <si>
    <t>sf =</t>
  </si>
  <si>
    <t>error =</t>
  </si>
  <si>
    <t>excess H=</t>
  </si>
  <si>
    <t>dz (in) =</t>
  </si>
  <si>
    <t>dH (out)=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</si>
</sst>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m/d/yy\ h:mm\ AM/PM;@"/>
    <numFmt numFmtId="166" formatCode="0.0000"/>
    <numFmt numFmtId="167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164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Reach 4-5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414172041846336"/>
                  <c:y val="-0.34087566894866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0.1845e</a:t>
                    </a:r>
                    <a:r>
                      <a:rPr lang="en-US" baseline="30000"/>
                      <a:t>-0.75x</a:t>
                    </a:r>
                    <a:br>
                      <a:rPr lang="en-US" baseline="0"/>
                    </a:br>
                    <a:r>
                      <a:rPr lang="en-US" baseline="0"/>
                      <a:t>R² = 0.9301</a:t>
                    </a:r>
                    <a:br>
                      <a:rPr lang="en-US" baseline="0"/>
                    </a:br>
                    <a:r>
                      <a:rPr lang="en-US" baseline="0"/>
                      <a:t>4-5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Q'!$B$2:$B$7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Q'!$E$2:$E$7</c:f>
              <c:numCache>
                <c:formatCode>0.000</c:formatCode>
                <c:ptCount val="6"/>
                <c:pt idx="0">
                  <c:v>0.1213697066478949</c:v>
                </c:pt>
                <c:pt idx="1">
                  <c:v>9.1734067343627615E-2</c:v>
                </c:pt>
                <c:pt idx="2">
                  <c:v>6.7262711335506237E-2</c:v>
                </c:pt>
                <c:pt idx="3">
                  <c:v>5.6349321793230711E-2</c:v>
                </c:pt>
                <c:pt idx="4">
                  <c:v>9.6389663243255569E-2</c:v>
                </c:pt>
                <c:pt idx="5">
                  <c:v>0.14976748106901827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2-7341-9683-60D3349DE00C}"/>
            </c:ext>
          </c:extLst>
        </c:ser>
        <c:ser>
          <c:idx val="1"/>
          <c:order val="1"/>
          <c:tx>
            <c:v>Reach 3-4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420024353912812"/>
                  <c:y val="-0.359312436348328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0.2101e</a:t>
                    </a:r>
                    <a:r>
                      <a:rPr lang="en-US" baseline="30000"/>
                      <a:t>-0.679x</a:t>
                    </a:r>
                    <a:br>
                      <a:rPr lang="en-US" baseline="0"/>
                    </a:br>
                    <a:r>
                      <a:rPr lang="en-US" baseline="0"/>
                      <a:t>R² = 0.9342</a:t>
                    </a:r>
                    <a:br>
                      <a:rPr lang="en-US" baseline="0"/>
                    </a:br>
                    <a:r>
                      <a:rPr lang="en-US" baseline="0"/>
                      <a:t>3-4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Q'!$B$10:$B$15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Q'!$E$10:$E$15</c:f>
              <c:numCache>
                <c:formatCode>0.000</c:formatCode>
                <c:ptCount val="6"/>
                <c:pt idx="0">
                  <c:v>0.16900009338675845</c:v>
                </c:pt>
                <c:pt idx="1">
                  <c:v>0.11756527892506671</c:v>
                </c:pt>
                <c:pt idx="2">
                  <c:v>8.7122718964326676E-2</c:v>
                </c:pt>
                <c:pt idx="3">
                  <c:v>6.9283990052923239E-2</c:v>
                </c:pt>
                <c:pt idx="4">
                  <c:v>0.11400238361939601</c:v>
                </c:pt>
                <c:pt idx="5">
                  <c:v>0.14480486687677996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2-7341-9683-60D3349DE00C}"/>
            </c:ext>
          </c:extLst>
        </c:ser>
        <c:ser>
          <c:idx val="2"/>
          <c:order val="2"/>
          <c:tx>
            <c:v>Reach 2-3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420024353912812"/>
                  <c:y val="-0.516662867041414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0.1164e</a:t>
                    </a:r>
                    <a:r>
                      <a:rPr lang="en-US" baseline="30000"/>
                      <a:t>-0.463x</a:t>
                    </a:r>
                    <a:br>
                      <a:rPr lang="en-US" baseline="0"/>
                    </a:br>
                    <a:r>
                      <a:rPr lang="en-US" baseline="0"/>
                      <a:t>R² = 0.7552</a:t>
                    </a:r>
                    <a:br>
                      <a:rPr lang="en-US" baseline="0"/>
                    </a:br>
                    <a:r>
                      <a:rPr lang="en-US" baseline="0"/>
                      <a:t>2-3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Q'!$B$18:$B$23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Q'!$E$18:$E$23</c:f>
              <c:numCache>
                <c:formatCode>0.000</c:formatCode>
                <c:ptCount val="6"/>
                <c:pt idx="0">
                  <c:v>0.10345965843221398</c:v>
                </c:pt>
                <c:pt idx="1">
                  <c:v>8.8732612609961917E-2</c:v>
                </c:pt>
                <c:pt idx="2">
                  <c:v>6.6329241638311748E-2</c:v>
                </c:pt>
                <c:pt idx="3">
                  <c:v>5.2896251285370482E-2</c:v>
                </c:pt>
                <c:pt idx="4">
                  <c:v>6.7984588962866285E-2</c:v>
                </c:pt>
                <c:pt idx="5">
                  <c:v>8.6748517159729421E-2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B2-7341-9683-60D3349DE00C}"/>
            </c:ext>
          </c:extLst>
        </c:ser>
        <c:ser>
          <c:idx val="3"/>
          <c:order val="3"/>
          <c:tx>
            <c:v>Reach 1-2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19178418332022"/>
                  <c:y val="-0.61553929082776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0.147e</a:t>
                    </a:r>
                    <a:r>
                      <a:rPr lang="en-US" baseline="30000"/>
                      <a:t>-0.645x</a:t>
                    </a:r>
                    <a:br>
                      <a:rPr lang="en-US" baseline="0"/>
                    </a:br>
                    <a:r>
                      <a:rPr lang="en-US" baseline="0"/>
                      <a:t>R² = 0.9305</a:t>
                    </a:r>
                    <a:br>
                      <a:rPr lang="en-US" baseline="0"/>
                    </a:br>
                    <a:r>
                      <a:rPr lang="en-US" baseline="0"/>
                      <a:t>1-2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Q'!$B$26:$B$31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Q'!$E$26:$E$31</c:f>
              <c:numCache>
                <c:formatCode>0.000</c:formatCode>
                <c:ptCount val="6"/>
                <c:pt idx="0">
                  <c:v>0.11536281902972917</c:v>
                </c:pt>
                <c:pt idx="1">
                  <c:v>9.0923358711707869E-2</c:v>
                </c:pt>
                <c:pt idx="2">
                  <c:v>6.4722331827203397E-2</c:v>
                </c:pt>
                <c:pt idx="3">
                  <c:v>5.0530262616839149E-2</c:v>
                </c:pt>
                <c:pt idx="4">
                  <c:v>7.6383263222770323E-2</c:v>
                </c:pt>
                <c:pt idx="5">
                  <c:v>0.1065368038498315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B2-7341-9683-60D3349D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61151"/>
        <c:axId val="1000156815"/>
      </c:scatterChart>
      <c:valAx>
        <c:axId val="77146115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6815"/>
        <c:crosses val="autoZero"/>
        <c:crossBetween val="midCat"/>
        <c:majorUnit val="0.25"/>
      </c:valAx>
      <c:valAx>
        <c:axId val="100015681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(from 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1151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Reach 4-5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195121231027032"/>
                  <c:y val="-0.12682411694208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0.0354e</a:t>
                    </a:r>
                    <a:r>
                      <a:rPr lang="en-US" baseline="30000"/>
                      <a:t>-0.111x</a:t>
                    </a:r>
                    <a:br>
                      <a:rPr lang="en-US" baseline="0"/>
                    </a:br>
                    <a:r>
                      <a:rPr lang="en-US" baseline="0"/>
                      <a:t>R² = 0.4576</a:t>
                    </a:r>
                    <a:br>
                      <a:rPr lang="en-US" baseline="0"/>
                    </a:br>
                    <a:r>
                      <a:rPr lang="en-US" baseline="0"/>
                      <a:t>4-5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Q'!$B$2:$B$7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Q'!$D$2:$D$7</c:f>
              <c:numCache>
                <c:formatCode>0.000</c:formatCode>
                <c:ptCount val="6"/>
                <c:pt idx="0">
                  <c:v>3.1214753308480201E-2</c:v>
                </c:pt>
                <c:pt idx="1">
                  <c:v>3.1296907021435699E-2</c:v>
                </c:pt>
                <c:pt idx="2">
                  <c:v>2.9257453152958302E-2</c:v>
                </c:pt>
                <c:pt idx="3">
                  <c:v>3.0243861653019701E-2</c:v>
                </c:pt>
                <c:pt idx="4">
                  <c:v>3.4044930455033803E-2</c:v>
                </c:pt>
                <c:pt idx="5">
                  <c:v>3.5968347913991103E-2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A-E74A-98B8-1009E4914983}"/>
            </c:ext>
          </c:extLst>
        </c:ser>
        <c:ser>
          <c:idx val="1"/>
          <c:order val="1"/>
          <c:tx>
            <c:v>Reach 3-4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148171883241641"/>
                  <c:y val="0.12614301461935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0.0572e</a:t>
                    </a:r>
                    <a:r>
                      <a:rPr lang="en-US" baseline="30000"/>
                      <a:t>0.0535x</a:t>
                    </a:r>
                    <a:br>
                      <a:rPr lang="en-US" baseline="0"/>
                    </a:br>
                    <a:r>
                      <a:rPr lang="en-US" baseline="0"/>
                      <a:t>R² = 0.0891</a:t>
                    </a:r>
                    <a:br>
                      <a:rPr lang="en-US" baseline="0"/>
                    </a:br>
                    <a:r>
                      <a:rPr lang="en-US" baseline="0"/>
                      <a:t>3-4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Q'!$B$10:$B$15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Q'!$D$10:$D$15</c:f>
              <c:numCache>
                <c:formatCode>0.000</c:formatCode>
                <c:ptCount val="6"/>
                <c:pt idx="0">
                  <c:v>6.5020532086500493E-2</c:v>
                </c:pt>
                <c:pt idx="1">
                  <c:v>6.2677640863090106E-2</c:v>
                </c:pt>
                <c:pt idx="2">
                  <c:v>6.3132954955481005E-2</c:v>
                </c:pt>
                <c:pt idx="3">
                  <c:v>6.0933525305176497E-2</c:v>
                </c:pt>
                <c:pt idx="4">
                  <c:v>5.7445569305414203E-2</c:v>
                </c:pt>
                <c:pt idx="5">
                  <c:v>5.2478066373646597E-2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A-E74A-98B8-1009E4914983}"/>
            </c:ext>
          </c:extLst>
        </c:ser>
        <c:ser>
          <c:idx val="2"/>
          <c:order val="2"/>
          <c:tx>
            <c:v>Reach 2-3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1921176907942987"/>
                  <c:y val="-1.67404766220380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0.0442e</a:t>
                    </a:r>
                    <a:r>
                      <a:rPr lang="en-US" baseline="30000"/>
                      <a:t>0.1768x</a:t>
                    </a:r>
                    <a:br>
                      <a:rPr lang="en-US" baseline="0"/>
                    </a:br>
                    <a:r>
                      <a:rPr lang="en-US" baseline="0"/>
                      <a:t>R² = 0.7328</a:t>
                    </a:r>
                    <a:br>
                      <a:rPr lang="en-US" baseline="0"/>
                    </a:br>
                    <a:r>
                      <a:rPr lang="en-US" baseline="0"/>
                      <a:t>2-3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Q'!$B$18:$B$23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Q'!$D$18:$D$23</c:f>
              <c:numCache>
                <c:formatCode>0.000</c:formatCode>
                <c:ptCount val="6"/>
                <c:pt idx="0">
                  <c:v>4.3934381380095901E-2</c:v>
                </c:pt>
                <c:pt idx="1">
                  <c:v>5.3694774307405602E-2</c:v>
                </c:pt>
                <c:pt idx="2">
                  <c:v>5.5983055936281403E-2</c:v>
                </c:pt>
                <c:pt idx="3">
                  <c:v>5.84411721624193E-2</c:v>
                </c:pt>
                <c:pt idx="4">
                  <c:v>5.0633572421087403E-2</c:v>
                </c:pt>
                <c:pt idx="5">
                  <c:v>5.1107715803541197E-2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A-E74A-98B8-1009E4914983}"/>
            </c:ext>
          </c:extLst>
        </c:ser>
        <c:ser>
          <c:idx val="3"/>
          <c:order val="3"/>
          <c:tx>
            <c:v>Reach 1-2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2683642436147957"/>
                  <c:y val="-0.4260583064963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0.0554e</a:t>
                    </a:r>
                    <a:r>
                      <a:rPr lang="en-US" baseline="30000"/>
                      <a:t>-0.321x</a:t>
                    </a:r>
                    <a:br>
                      <a:rPr lang="en-US" baseline="0"/>
                    </a:br>
                    <a:r>
                      <a:rPr lang="en-US" baseline="0"/>
                      <a:t>R² = 0.8406</a:t>
                    </a:r>
                    <a:br>
                      <a:rPr lang="en-US" baseline="0"/>
                    </a:br>
                    <a:r>
                      <a:rPr lang="en-US" baseline="0"/>
                      <a:t>1-2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versus Q'!$B$26:$B$31</c:f>
              <c:numCache>
                <c:formatCode>General</c:formatCode>
                <c:ptCount val="6"/>
                <c:pt idx="0">
                  <c:v>0.48</c:v>
                </c:pt>
                <c:pt idx="1">
                  <c:v>0.86</c:v>
                </c:pt>
                <c:pt idx="2">
                  <c:v>1.29</c:v>
                </c:pt>
                <c:pt idx="3">
                  <c:v>1.66</c:v>
                </c:pt>
                <c:pt idx="4">
                  <c:v>0.82</c:v>
                </c:pt>
                <c:pt idx="5">
                  <c:v>0.45</c:v>
                </c:pt>
              </c:numCache>
            </c:numRef>
          </c:xVal>
          <c:yVal>
            <c:numRef>
              <c:f>'n versus Q'!$D$26:$D$31</c:f>
              <c:numCache>
                <c:formatCode>0.000</c:formatCode>
                <c:ptCount val="6"/>
                <c:pt idx="0">
                  <c:v>4.6734568305628998E-2</c:v>
                </c:pt>
                <c:pt idx="1">
                  <c:v>3.7724687658021498E-2</c:v>
                </c:pt>
                <c:pt idx="2">
                  <c:v>3.5282085644284297E-2</c:v>
                </c:pt>
                <c:pt idx="3">
                  <c:v>3.4011532325336297E-2</c:v>
                </c:pt>
                <c:pt idx="4">
                  <c:v>4.51711453989476E-2</c:v>
                </c:pt>
                <c:pt idx="5">
                  <c:v>5.0790549354854199E-2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3A-E74A-98B8-1009E491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61151"/>
        <c:axId val="1000156815"/>
      </c:scatterChart>
      <c:valAx>
        <c:axId val="77146115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6815"/>
        <c:crosses val="autoZero"/>
        <c:crossBetween val="midCat"/>
        <c:majorUnit val="0.25"/>
      </c:valAx>
      <c:valAx>
        <c:axId val="100015681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115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  <a:r>
              <a:rPr lang="en-US" baseline="0"/>
              <a:t> 2020 Flood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= 0.48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C0-C04E-B471-C6CAAD7218BA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C0-C04E-B471-C6CAAD7218BA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C0-C04E-B471-C6CAAD721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'April Results All'!$A$2:$A$5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'April Results All'!$S$2:$S$5</c:f>
              <c:numCache>
                <c:formatCode>0.000</c:formatCode>
                <c:ptCount val="4"/>
                <c:pt idx="0">
                  <c:v>0.1213697066478949</c:v>
                </c:pt>
                <c:pt idx="1">
                  <c:v>0.16900009338675845</c:v>
                </c:pt>
                <c:pt idx="2">
                  <c:v>0.10345965843221398</c:v>
                </c:pt>
                <c:pt idx="3">
                  <c:v>0.11536281902972917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6-B741-B49B-2F4E1FEC6DC7}"/>
            </c:ext>
          </c:extLst>
        </c:ser>
        <c:ser>
          <c:idx val="1"/>
          <c:order val="1"/>
          <c:tx>
            <c:v>Q = 0.86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C0-C04E-B471-C6CAAD7218BA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C0-C04E-B471-C6CAAD7218BA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C0-C04E-B471-C6CAAD721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'April Results All'!$A$10:$A$13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'April Results All'!$S$10:$S$13</c:f>
              <c:numCache>
                <c:formatCode>0.000</c:formatCode>
                <c:ptCount val="4"/>
                <c:pt idx="0">
                  <c:v>9.1734067343627615E-2</c:v>
                </c:pt>
                <c:pt idx="1">
                  <c:v>0.11756527892506671</c:v>
                </c:pt>
                <c:pt idx="2">
                  <c:v>8.8732612609961917E-2</c:v>
                </c:pt>
                <c:pt idx="3">
                  <c:v>9.0923358711707869E-2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6-B741-B49B-2F4E1FEC6DC7}"/>
            </c:ext>
          </c:extLst>
        </c:ser>
        <c:ser>
          <c:idx val="2"/>
          <c:order val="2"/>
          <c:tx>
            <c:v>Q = 1.29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C0-C04E-B471-C6CAAD7218BA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C0-C04E-B471-C6CAAD7218BA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C0-C04E-B471-C6CAAD721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'April Results All'!$A$18:$A$21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'April Results All'!$S$18:$S$21</c:f>
              <c:numCache>
                <c:formatCode>0.000</c:formatCode>
                <c:ptCount val="4"/>
                <c:pt idx="0">
                  <c:v>6.7262711335506237E-2</c:v>
                </c:pt>
                <c:pt idx="1">
                  <c:v>8.7122718964326676E-2</c:v>
                </c:pt>
                <c:pt idx="2">
                  <c:v>6.6329241638311748E-2</c:v>
                </c:pt>
                <c:pt idx="3">
                  <c:v>6.4722331827203397E-2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6-B741-B49B-2F4E1FEC6DC7}"/>
            </c:ext>
          </c:extLst>
        </c:ser>
        <c:ser>
          <c:idx val="3"/>
          <c:order val="3"/>
          <c:tx>
            <c:v>Q = 1.66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C0-C04E-B471-C6CAAD7218BA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C0-C04E-B471-C6CAAD7218BA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C0-C04E-B471-C6CAAD721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'April Results All'!$A$26:$A$29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'April Results All'!$S$26:$S$29</c:f>
              <c:numCache>
                <c:formatCode>0.000</c:formatCode>
                <c:ptCount val="4"/>
                <c:pt idx="0">
                  <c:v>5.6349321793230711E-2</c:v>
                </c:pt>
                <c:pt idx="1">
                  <c:v>6.9283990052923239E-2</c:v>
                </c:pt>
                <c:pt idx="2">
                  <c:v>5.2896251285370482E-2</c:v>
                </c:pt>
                <c:pt idx="3">
                  <c:v>5.0530262616839149E-2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6-B741-B49B-2F4E1FEC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63247"/>
        <c:axId val="1551266975"/>
      </c:scatterChart>
      <c:valAx>
        <c:axId val="11189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6975"/>
        <c:crosses val="autoZero"/>
        <c:crossBetween val="midCat"/>
      </c:valAx>
      <c:valAx>
        <c:axId val="15512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(roughness coeff.)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74247545578733E-2"/>
          <c:y val="2.2241167812556469E-2"/>
          <c:w val="0.61200284763809099"/>
          <c:h val="0.84172694628129108"/>
        </c:manualLayout>
      </c:layout>
      <c:scatterChart>
        <c:scatterStyle val="lineMarker"/>
        <c:varyColors val="0"/>
        <c:ser>
          <c:idx val="0"/>
          <c:order val="0"/>
          <c:tx>
            <c:v>Q = 0.48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A95-3F4D-9057-559001601A85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A95-3F4D-9057-559001601A85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A95-3F4D-9057-559001601A85}"/>
              </c:ext>
            </c:extLst>
          </c:dPt>
          <c:xVal>
            <c:numRef>
              <c:f>'April Results All'!$S$2:$S$5</c:f>
              <c:numCache>
                <c:formatCode>0.000</c:formatCode>
                <c:ptCount val="4"/>
                <c:pt idx="0">
                  <c:v>0.1213697066478949</c:v>
                </c:pt>
                <c:pt idx="1">
                  <c:v>0.16900009338675845</c:v>
                </c:pt>
                <c:pt idx="2">
                  <c:v>0.10345965843221398</c:v>
                </c:pt>
                <c:pt idx="3">
                  <c:v>0.11536281902972917</c:v>
                </c:pt>
              </c:numCache>
            </c:numRef>
          </c:xVal>
          <c:yVal>
            <c:numRef>
              <c:f>'April Results All'!$T$2:$T$5</c:f>
              <c:numCache>
                <c:formatCode>0.000</c:formatCode>
                <c:ptCount val="4"/>
                <c:pt idx="0">
                  <c:v>0.15116738264086688</c:v>
                </c:pt>
                <c:pt idx="1">
                  <c:v>0.12363134853229087</c:v>
                </c:pt>
                <c:pt idx="2">
                  <c:v>0.13482529337628291</c:v>
                </c:pt>
                <c:pt idx="3">
                  <c:v>0.11735767043607115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5-3F4D-9057-559001601A85}"/>
            </c:ext>
          </c:extLst>
        </c:ser>
        <c:ser>
          <c:idx val="2"/>
          <c:order val="1"/>
          <c:tx>
            <c:v>Q = 0.86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A95-3F4D-9057-559001601A85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A95-3F4D-9057-559001601A85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A95-3F4D-9057-559001601A85}"/>
              </c:ext>
            </c:extLst>
          </c:dPt>
          <c:xVal>
            <c:numRef>
              <c:f>'April Results All'!$S$10:$S$13</c:f>
              <c:numCache>
                <c:formatCode>0.000</c:formatCode>
                <c:ptCount val="4"/>
                <c:pt idx="0">
                  <c:v>9.1734067343627615E-2</c:v>
                </c:pt>
                <c:pt idx="1">
                  <c:v>0.11756527892506671</c:v>
                </c:pt>
                <c:pt idx="2">
                  <c:v>8.8732612609961917E-2</c:v>
                </c:pt>
                <c:pt idx="3">
                  <c:v>9.0923358711707869E-2</c:v>
                </c:pt>
              </c:numCache>
            </c:numRef>
          </c:xVal>
          <c:yVal>
            <c:numRef>
              <c:f>'April Results All'!$T$10:$T$13</c:f>
              <c:numCache>
                <c:formatCode>0.000</c:formatCode>
                <c:ptCount val="4"/>
                <c:pt idx="0">
                  <c:v>0.11410579074134498</c:v>
                </c:pt>
                <c:pt idx="1">
                  <c:v>8.7597090028420976E-2</c:v>
                </c:pt>
                <c:pt idx="2">
                  <c:v>0.10459714964411444</c:v>
                </c:pt>
                <c:pt idx="3">
                  <c:v>0.10295024432805856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5-3F4D-9057-559001601A85}"/>
            </c:ext>
          </c:extLst>
        </c:ser>
        <c:ser>
          <c:idx val="3"/>
          <c:order val="2"/>
          <c:tx>
            <c:v>Q = 1.29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A95-3F4D-9057-559001601A85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A95-3F4D-9057-559001601A85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A95-3F4D-9057-559001601A85}"/>
              </c:ext>
            </c:extLst>
          </c:dPt>
          <c:xVal>
            <c:numRef>
              <c:f>'April Results All'!$S$18:$S$21</c:f>
              <c:numCache>
                <c:formatCode>0.000</c:formatCode>
                <c:ptCount val="4"/>
                <c:pt idx="0">
                  <c:v>6.7262711335506237E-2</c:v>
                </c:pt>
                <c:pt idx="1">
                  <c:v>8.7122718964326676E-2</c:v>
                </c:pt>
                <c:pt idx="2">
                  <c:v>6.6329241638311748E-2</c:v>
                </c:pt>
                <c:pt idx="3">
                  <c:v>6.4722331827203397E-2</c:v>
                </c:pt>
              </c:numCache>
            </c:numRef>
          </c:xVal>
          <c:yVal>
            <c:numRef>
              <c:f>'April Results All'!$T$18:$T$21</c:f>
              <c:numCache>
                <c:formatCode>0.000</c:formatCode>
                <c:ptCount val="4"/>
                <c:pt idx="0">
                  <c:v>8.6533417401202295E-2</c:v>
                </c:pt>
                <c:pt idx="1">
                  <c:v>6.4680040545561993E-2</c:v>
                </c:pt>
                <c:pt idx="2">
                  <c:v>7.6573645379391014E-2</c:v>
                </c:pt>
                <c:pt idx="3">
                  <c:v>7.577776092077261E-2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5-3F4D-9057-559001601A85}"/>
            </c:ext>
          </c:extLst>
        </c:ser>
        <c:ser>
          <c:idx val="4"/>
          <c:order val="3"/>
          <c:tx>
            <c:v>Q = 1.66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A95-3F4D-9057-559001601A85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A95-3F4D-9057-559001601A85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A95-3F4D-9057-559001601A85}"/>
              </c:ext>
            </c:extLst>
          </c:dPt>
          <c:xVal>
            <c:numRef>
              <c:f>'April Results All'!$S$26:$S$29</c:f>
              <c:numCache>
                <c:formatCode>0.000</c:formatCode>
                <c:ptCount val="4"/>
                <c:pt idx="0">
                  <c:v>5.6349321793230711E-2</c:v>
                </c:pt>
                <c:pt idx="1">
                  <c:v>6.9283990052923239E-2</c:v>
                </c:pt>
                <c:pt idx="2">
                  <c:v>5.2896251285370482E-2</c:v>
                </c:pt>
                <c:pt idx="3">
                  <c:v>5.0530262616839149E-2</c:v>
                </c:pt>
              </c:numCache>
            </c:numRef>
          </c:xVal>
          <c:yVal>
            <c:numRef>
              <c:f>'April Results All'!$T$26:$T$29</c:f>
              <c:numCache>
                <c:formatCode>0.000</c:formatCode>
                <c:ptCount val="4"/>
                <c:pt idx="0">
                  <c:v>7.1301360528215035E-2</c:v>
                </c:pt>
                <c:pt idx="1">
                  <c:v>5.2356626954777635E-2</c:v>
                </c:pt>
                <c:pt idx="2">
                  <c:v>5.9767904235594707E-2</c:v>
                </c:pt>
                <c:pt idx="3">
                  <c:v>6.0256401735311098E-2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5-3F4D-9057-559001601A85}"/>
            </c:ext>
          </c:extLst>
        </c:ser>
        <c:ser>
          <c:idx val="5"/>
          <c:order val="4"/>
          <c:tx>
            <c:v>Q = 0.82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4A-0C47-8ADD-0E2E1CE49807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4A-0C47-8ADD-0E2E1CE49807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4A-0C47-8ADD-0E2E1CE49807}"/>
              </c:ext>
            </c:extLst>
          </c:dPt>
          <c:xVal>
            <c:numRef>
              <c:f>'April Results All'!$S$34:$S$37</c:f>
              <c:numCache>
                <c:formatCode>0.000</c:formatCode>
                <c:ptCount val="4"/>
                <c:pt idx="0">
                  <c:v>9.6389663243255569E-2</c:v>
                </c:pt>
                <c:pt idx="1">
                  <c:v>0.11400238361939601</c:v>
                </c:pt>
                <c:pt idx="2">
                  <c:v>6.7984588962866285E-2</c:v>
                </c:pt>
                <c:pt idx="3">
                  <c:v>7.6383263222770323E-2</c:v>
                </c:pt>
              </c:numCache>
            </c:numRef>
          </c:xVal>
          <c:yVal>
            <c:numRef>
              <c:f>'April Results All'!$T$34:$T$37</c:f>
              <c:numCache>
                <c:formatCode>0.000</c:formatCode>
                <c:ptCount val="4"/>
                <c:pt idx="0">
                  <c:v>0.11495608959553737</c:v>
                </c:pt>
                <c:pt idx="1">
                  <c:v>8.8726343540094801E-2</c:v>
                </c:pt>
                <c:pt idx="2">
                  <c:v>8.252656763908861E-2</c:v>
                </c:pt>
                <c:pt idx="3">
                  <c:v>7.9037354351795056E-2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95-3F4D-9057-559001601A85}"/>
            </c:ext>
          </c:extLst>
        </c:ser>
        <c:ser>
          <c:idx val="6"/>
          <c:order val="5"/>
          <c:tx>
            <c:v>Q = 0.45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4A-0C47-8ADD-0E2E1CE49807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4A-0C47-8ADD-0E2E1CE49807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4A-0C47-8ADD-0E2E1CE49807}"/>
              </c:ext>
            </c:extLst>
          </c:dPt>
          <c:xVal>
            <c:numRef>
              <c:f>'April Results All'!$S$42:$S$45</c:f>
              <c:numCache>
                <c:formatCode>0.000</c:formatCode>
                <c:ptCount val="4"/>
                <c:pt idx="0">
                  <c:v>0.14976748106901827</c:v>
                </c:pt>
                <c:pt idx="1">
                  <c:v>0.14480486687677996</c:v>
                </c:pt>
                <c:pt idx="2">
                  <c:v>8.6748517159729421E-2</c:v>
                </c:pt>
                <c:pt idx="3">
                  <c:v>0.1065368038498315</c:v>
                </c:pt>
              </c:numCache>
            </c:numRef>
          </c:xVal>
          <c:yVal>
            <c:numRef>
              <c:f>'April Results All'!$T$42:$T$45</c:f>
              <c:numCache>
                <c:formatCode>0.000</c:formatCode>
                <c:ptCount val="4"/>
                <c:pt idx="0">
                  <c:v>0.17377409089954296</c:v>
                </c:pt>
                <c:pt idx="1">
                  <c:v>0.1179128584972455</c:v>
                </c:pt>
                <c:pt idx="2">
                  <c:v>0.10481451180747586</c:v>
                </c:pt>
                <c:pt idx="3">
                  <c:v>0.103961597969603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95-3F4D-9057-559001601A85}"/>
            </c:ext>
          </c:extLst>
        </c:ser>
        <c:ser>
          <c:idx val="1"/>
          <c:order val="6"/>
          <c:tx>
            <c:v>1:1</c:v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'April Results All'!$S$50:$S$51</c:f>
              <c:numCache>
                <c:formatCode>General</c:formatCode>
                <c:ptCount val="2"/>
              </c:numCache>
            </c:numRef>
          </c:xVal>
          <c:yVal>
            <c:numRef>
              <c:f>'April Results All'!$T$50:$T$51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5-3F4D-9057-55900160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22287"/>
        <c:axId val="1516720063"/>
      </c:scatterChart>
      <c:valAx>
        <c:axId val="1516822287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20063"/>
        <c:crosses val="autoZero"/>
        <c:crossBetween val="midCat"/>
      </c:valAx>
      <c:valAx>
        <c:axId val="15167200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86C5BB-664F-3F4D-A3DB-C5C9A76A8D85}">
  <sheetPr/>
  <sheetViews>
    <sheetView zoomScale="173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91005D-2F84-EE4B-8E72-7AC902024505}">
  <sheetPr/>
  <sheetViews>
    <sheetView zoomScale="321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E8C66D-B999-4B47-8E76-BEA1EB6143AD}">
  <sheetPr/>
  <sheetViews>
    <sheetView zoomScale="212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1FEAE8-E51A-9D4D-8DE0-80DE554BC361}">
  <sheetPr/>
  <sheetViews>
    <sheetView zoomScale="173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05FE-01FA-FE4A-B807-818F60F8B5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EC9D3-DB81-A54D-B520-52D0C4B31C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26204-EFAE-0B4B-96FE-B61AC3C3F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6786C-A1DD-4F47-B0BA-637DBB2FAC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workbookViewId="0">
      <selection activeCell="T5" sqref="T5"/>
    </sheetView>
  </sheetViews>
  <sheetFormatPr baseColWidth="10" defaultRowHeight="16" x14ac:dyDescent="0.2"/>
  <cols>
    <col min="1" max="1" width="10.83203125" style="1"/>
    <col min="2" max="2" width="15.1640625" style="1" bestFit="1" customWidth="1"/>
    <col min="3" max="3" width="10.83203125" style="1"/>
    <col min="4" max="4" width="15.1640625" style="1" customWidth="1"/>
    <col min="5" max="10" width="10.83203125" style="1"/>
    <col min="11" max="12" width="11" style="1" bestFit="1" customWidth="1"/>
    <col min="13" max="13" width="12.6640625" style="1" bestFit="1" customWidth="1"/>
    <col min="14" max="17" width="12.6640625" style="1" customWidth="1"/>
    <col min="18" max="18" width="11" style="1" bestFit="1" customWidth="1"/>
    <col min="19" max="20" width="11" style="1" customWidth="1"/>
    <col min="21" max="21" width="11" style="1" bestFit="1" customWidth="1"/>
    <col min="22" max="16384" width="10.83203125" style="1"/>
  </cols>
  <sheetData>
    <row r="1" spans="1:29" x14ac:dyDescent="0.2">
      <c r="A1" s="1" t="s">
        <v>0</v>
      </c>
      <c r="B1" s="3" t="s">
        <v>12</v>
      </c>
      <c r="C1" s="1" t="s">
        <v>4</v>
      </c>
      <c r="D1" s="3" t="s">
        <v>13</v>
      </c>
      <c r="E1" s="1" t="s">
        <v>1</v>
      </c>
      <c r="F1" s="1" t="s">
        <v>2</v>
      </c>
      <c r="G1" s="1" t="s">
        <v>33</v>
      </c>
      <c r="H1" s="3" t="s">
        <v>17</v>
      </c>
      <c r="I1" s="3" t="str">
        <f>"@ a station So"</f>
        <v>@ a station So</v>
      </c>
      <c r="J1" t="s">
        <v>3</v>
      </c>
      <c r="K1" s="1" t="s">
        <v>5</v>
      </c>
      <c r="L1" t="s">
        <v>6</v>
      </c>
      <c r="M1" t="s">
        <v>7</v>
      </c>
      <c r="N1" s="3" t="s">
        <v>25</v>
      </c>
      <c r="O1" s="3" t="s">
        <v>26</v>
      </c>
      <c r="P1" s="3"/>
      <c r="Q1" s="3" t="s">
        <v>32</v>
      </c>
      <c r="R1" t="s">
        <v>8</v>
      </c>
      <c r="S1" s="1" t="s">
        <v>18</v>
      </c>
      <c r="T1" s="1" t="s">
        <v>19</v>
      </c>
      <c r="U1" s="1" t="s">
        <v>9</v>
      </c>
      <c r="V1" s="3" t="s">
        <v>11</v>
      </c>
      <c r="W1" s="3" t="s">
        <v>20</v>
      </c>
    </row>
    <row r="2" spans="1:29" x14ac:dyDescent="0.2">
      <c r="A2" s="1">
        <v>5</v>
      </c>
      <c r="B2" s="4">
        <v>43934.076388888891</v>
      </c>
      <c r="C2" s="1">
        <v>0.48</v>
      </c>
      <c r="D2" s="5" t="s">
        <v>14</v>
      </c>
      <c r="E2" s="1">
        <v>0</v>
      </c>
      <c r="F2" s="1">
        <v>640.70000000000005</v>
      </c>
      <c r="G2" s="6">
        <f>(F6-F2)/E6</f>
        <v>5.013987518829318E-2</v>
      </c>
      <c r="H2" s="2">
        <f>(F3-F2)/(E3-E2)</f>
        <v>4.8423423423422055E-2</v>
      </c>
      <c r="I2" s="2">
        <v>2.1816036199808854E-2</v>
      </c>
      <c r="J2" s="2">
        <v>0.83499999999999996</v>
      </c>
      <c r="K2" s="2">
        <v>0.28400059759560498</v>
      </c>
      <c r="L2" s="2">
        <v>0.58483495546344699</v>
      </c>
      <c r="M2" s="2">
        <v>641.55243281983303</v>
      </c>
      <c r="N2" s="2">
        <f>F2+J2</f>
        <v>641.53500000000008</v>
      </c>
      <c r="O2" s="2">
        <f>L2^2/2/9.81+N2</f>
        <v>641.55243281983348</v>
      </c>
      <c r="P2" s="7" t="s">
        <v>34</v>
      </c>
      <c r="Q2" s="2">
        <f>(M6-M2)/E6</f>
        <v>4.6680345633279788E-2</v>
      </c>
      <c r="R2" s="2">
        <v>3.1214753308480201E-2</v>
      </c>
      <c r="S2" s="2">
        <f>SQRT(R2)*(AVERAGE(K2:K3))^(2/3)/AVERAGE(L2:L3)</f>
        <v>0.1213697066478949</v>
      </c>
      <c r="T2" s="2">
        <f>SQRT($H2)*(AVERAGE($K2:$K3))^(2/3)/AVERAGE($L2:$L3)</f>
        <v>0.15116738264086688</v>
      </c>
      <c r="U2" s="2">
        <f>8*9.81*AVERAGE(K2:K3)*R2/(AVERAGE(L2:L3)^2)</f>
        <v>1.7597358658427591</v>
      </c>
      <c r="V2" s="3" t="str">
        <f>"4-5"</f>
        <v>4-5</v>
      </c>
      <c r="W2" s="3" t="s">
        <v>21</v>
      </c>
    </row>
    <row r="3" spans="1:29" x14ac:dyDescent="0.2">
      <c r="A3" s="1">
        <v>4</v>
      </c>
      <c r="B3" s="4">
        <f>B2</f>
        <v>43934.076388888891</v>
      </c>
      <c r="C3" s="1">
        <v>0.48</v>
      </c>
      <c r="D3" s="5" t="s">
        <v>14</v>
      </c>
      <c r="E3" s="1">
        <v>26.64</v>
      </c>
      <c r="F3" s="1">
        <v>641.99</v>
      </c>
      <c r="H3" s="2">
        <f>(F4-F3)/(E4-E3)</f>
        <v>3.4796362198497251E-2</v>
      </c>
      <c r="I3" s="2">
        <v>1.4060296755283979E-2</v>
      </c>
      <c r="J3" s="2">
        <v>0.371</v>
      </c>
      <c r="K3" s="2">
        <v>0.28305590544234399</v>
      </c>
      <c r="L3" s="2">
        <v>0.67166903843965398</v>
      </c>
      <c r="M3" s="2">
        <v>642.38399384797106</v>
      </c>
      <c r="N3" s="2">
        <f t="shared" ref="N3:N6" si="0">F3+J3</f>
        <v>642.36099999999999</v>
      </c>
      <c r="O3" s="2">
        <f t="shared" ref="O3:O6" si="1">L3^2/2/9.81+N3</f>
        <v>642.3839938479714</v>
      </c>
      <c r="P3" s="7" t="s">
        <v>35</v>
      </c>
      <c r="Q3" s="2">
        <f>(Q2-G2)/G2*100</f>
        <v>-6.8997570137971431</v>
      </c>
      <c r="R3" s="2">
        <v>6.5020532086500493E-2</v>
      </c>
      <c r="S3" s="2">
        <f t="shared" ref="S3:S5" si="2">SQRT(R3)*(AVERAGE(K3:K4))^(2/3)/AVERAGE(L3:L4)</f>
        <v>0.16900009338675845</v>
      </c>
      <c r="T3" s="2">
        <f>SQRT($H3)*(AVERAGE($K3:$K4))^(2/3)/AVERAGE($L3:$L4)</f>
        <v>0.12363134853229087</v>
      </c>
      <c r="U3" s="2">
        <f t="shared" ref="U3:U5" si="3">8*9.81*AVERAGE(K3:K4)*R3/(AVERAGE(L3:L4)^2)</f>
        <v>3.5507545523517385</v>
      </c>
      <c r="V3" s="3" t="str">
        <f>"3-4"</f>
        <v>3-4</v>
      </c>
      <c r="W3" s="3" t="s">
        <v>22</v>
      </c>
    </row>
    <row r="4" spans="1:29" x14ac:dyDescent="0.2">
      <c r="A4" s="1">
        <v>3</v>
      </c>
      <c r="B4" s="4">
        <f t="shared" ref="B4:B6" si="4">B3</f>
        <v>43934.076388888891</v>
      </c>
      <c r="C4" s="1">
        <v>0.48</v>
      </c>
      <c r="D4" s="5" t="s">
        <v>14</v>
      </c>
      <c r="E4" s="1">
        <v>51.93</v>
      </c>
      <c r="F4" s="1">
        <v>642.87</v>
      </c>
      <c r="H4" s="2">
        <f>(F5-F4)/(E5-E4)</f>
        <v>7.4611398963727496E-2</v>
      </c>
      <c r="I4" s="2">
        <v>2.3243900170703866E-2</v>
      </c>
      <c r="J4" s="2">
        <v>1.1439999999999999</v>
      </c>
      <c r="K4" s="2">
        <v>0.220058426263082</v>
      </c>
      <c r="L4" s="2">
        <v>0.530852247893844</v>
      </c>
      <c r="M4" s="2">
        <v>644.02836310443899</v>
      </c>
      <c r="N4" s="2">
        <f t="shared" si="0"/>
        <v>644.01400000000001</v>
      </c>
      <c r="O4" s="2">
        <f t="shared" si="1"/>
        <v>644.02836310443899</v>
      </c>
      <c r="P4" s="7" t="s">
        <v>37</v>
      </c>
      <c r="Q4" s="2">
        <f>F6-F2</f>
        <v>4.6599999999999682</v>
      </c>
      <c r="R4" s="2">
        <v>4.3934381380095901E-2</v>
      </c>
      <c r="S4" s="2">
        <f t="shared" si="2"/>
        <v>0.10345965843221398</v>
      </c>
      <c r="T4" s="2">
        <f>SQRT($H4)*(AVERAGE($K4:$K5))^(2/3)/AVERAGE($L4:$L5)</f>
        <v>0.13482529337628291</v>
      </c>
      <c r="U4" s="2">
        <f t="shared" si="3"/>
        <v>1.4030394455669173</v>
      </c>
      <c r="V4" s="3" t="str">
        <f>"2-3"</f>
        <v>2-3</v>
      </c>
      <c r="W4" s="3" t="s">
        <v>23</v>
      </c>
    </row>
    <row r="5" spans="1:29" x14ac:dyDescent="0.2">
      <c r="A5" s="1">
        <v>2</v>
      </c>
      <c r="B5" s="4">
        <f t="shared" si="4"/>
        <v>43934.076388888891</v>
      </c>
      <c r="C5" s="1">
        <v>0.48</v>
      </c>
      <c r="D5" s="5" t="s">
        <v>14</v>
      </c>
      <c r="E5" s="1">
        <v>71.23</v>
      </c>
      <c r="F5" s="1">
        <v>644.30999999999995</v>
      </c>
      <c r="H5" s="2">
        <f>(F6-F5)/(E6-E5)</f>
        <v>4.8364808843853913E-2</v>
      </c>
      <c r="I5" s="2">
        <v>9.7452415552649718E-2</v>
      </c>
      <c r="J5" s="2">
        <v>0.52300000000000002</v>
      </c>
      <c r="K5" s="2">
        <v>0.20920469298757</v>
      </c>
      <c r="L5" s="2">
        <v>0.92167270154269798</v>
      </c>
      <c r="M5" s="2">
        <v>644.87629666507496</v>
      </c>
      <c r="N5" s="2">
        <f t="shared" si="0"/>
        <v>644.83299999999997</v>
      </c>
      <c r="O5" s="2">
        <f t="shared" si="1"/>
        <v>644.87629666507485</v>
      </c>
      <c r="P5" s="8" t="s">
        <v>38</v>
      </c>
      <c r="Q5" s="2">
        <f>M6-M2</f>
        <v>4.3384713231570231</v>
      </c>
      <c r="R5" s="2">
        <v>4.6734568305628998E-2</v>
      </c>
      <c r="S5" s="2">
        <f t="shared" si="2"/>
        <v>0.11536281902972917</v>
      </c>
      <c r="T5" s="2">
        <f>SQRT($H5)*(AVERAGE($K5:$K6))^(2/3)/AVERAGE($L5:$L6)</f>
        <v>0.11735767043607115</v>
      </c>
      <c r="U5" s="2">
        <f t="shared" si="3"/>
        <v>1.6522987546426278</v>
      </c>
      <c r="V5" s="3" t="str">
        <f>"1-2"</f>
        <v>1-2</v>
      </c>
      <c r="W5" s="3" t="s">
        <v>24</v>
      </c>
    </row>
    <row r="6" spans="1:29" x14ac:dyDescent="0.2">
      <c r="A6" s="1">
        <v>1</v>
      </c>
      <c r="B6" s="4">
        <f t="shared" si="4"/>
        <v>43934.076388888891</v>
      </c>
      <c r="C6" s="1">
        <v>0.48</v>
      </c>
      <c r="D6" s="5" t="s">
        <v>14</v>
      </c>
      <c r="E6" s="1">
        <v>92.94</v>
      </c>
      <c r="F6" s="1">
        <v>645.36</v>
      </c>
      <c r="H6" s="1" t="s">
        <v>10</v>
      </c>
      <c r="I6" s="2">
        <v>1.2923818937005043E-2</v>
      </c>
      <c r="J6" s="2">
        <v>0.51400000000000001</v>
      </c>
      <c r="K6" s="2">
        <v>0.29596398169781801</v>
      </c>
      <c r="L6" s="2">
        <v>0.57589867638687697</v>
      </c>
      <c r="M6" s="2">
        <v>645.89090414299005</v>
      </c>
      <c r="N6" s="2">
        <f t="shared" si="0"/>
        <v>645.87400000000002</v>
      </c>
      <c r="O6" s="2">
        <f t="shared" si="1"/>
        <v>645.89090414299005</v>
      </c>
      <c r="P6" s="7" t="s">
        <v>36</v>
      </c>
      <c r="Q6" s="2">
        <f>Q4-Q5</f>
        <v>0.32152867684294506</v>
      </c>
      <c r="R6" s="2" t="s">
        <v>10</v>
      </c>
      <c r="S6" s="2"/>
      <c r="T6" s="2"/>
      <c r="U6" s="2"/>
      <c r="V6" s="1" t="s">
        <v>10</v>
      </c>
    </row>
    <row r="7" spans="1:29" x14ac:dyDescent="0.2">
      <c r="K7" s="2">
        <f>AVERAGE(K2:K6)</f>
        <v>0.25845672079728377</v>
      </c>
      <c r="L7" s="2">
        <f>AVERAGE(L2:L6)</f>
        <v>0.65698552394530396</v>
      </c>
      <c r="M7" s="10">
        <f>K7^(2/3)*SQRT(Q2)/L7</f>
        <v>0.13343500749176301</v>
      </c>
      <c r="P7" s="8">
        <f>M6-G2*E6</f>
        <v>641.23090414299008</v>
      </c>
      <c r="Q7" s="2">
        <f>M2</f>
        <v>641.55243281983303</v>
      </c>
    </row>
    <row r="8" spans="1:29" x14ac:dyDescent="0.2">
      <c r="Q8" s="2"/>
    </row>
    <row r="9" spans="1:29" x14ac:dyDescent="0.2">
      <c r="A9" s="1" t="s">
        <v>0</v>
      </c>
      <c r="B9" s="3" t="s">
        <v>12</v>
      </c>
      <c r="C9" s="1" t="s">
        <v>4</v>
      </c>
      <c r="D9" s="3" t="s">
        <v>13</v>
      </c>
      <c r="E9" s="1" t="s">
        <v>1</v>
      </c>
      <c r="F9" s="1" t="s">
        <v>2</v>
      </c>
      <c r="G9" s="1" t="s">
        <v>33</v>
      </c>
      <c r="H9" s="3" t="s">
        <v>17</v>
      </c>
      <c r="I9" s="3" t="str">
        <f>"@ a station So"</f>
        <v>@ a station So</v>
      </c>
      <c r="J9" t="s">
        <v>3</v>
      </c>
      <c r="K9" t="s">
        <v>5</v>
      </c>
      <c r="L9" t="s">
        <v>6</v>
      </c>
      <c r="M9" t="s">
        <v>7</v>
      </c>
      <c r="N9" s="3" t="s">
        <v>25</v>
      </c>
      <c r="O9" s="3" t="s">
        <v>26</v>
      </c>
      <c r="P9" s="3"/>
      <c r="Q9" s="3" t="s">
        <v>32</v>
      </c>
      <c r="R9" t="s">
        <v>8</v>
      </c>
      <c r="S9" s="1" t="s">
        <v>18</v>
      </c>
      <c r="T9" s="1" t="s">
        <v>19</v>
      </c>
      <c r="U9" s="1" t="s">
        <v>9</v>
      </c>
      <c r="V9" s="3" t="s">
        <v>11</v>
      </c>
      <c r="W9" s="3" t="s">
        <v>20</v>
      </c>
      <c r="AB9" s="3"/>
      <c r="AC9" s="3"/>
    </row>
    <row r="10" spans="1:29" x14ac:dyDescent="0.2">
      <c r="A10" s="1">
        <v>5</v>
      </c>
      <c r="B10" s="4">
        <v>43934.097222222219</v>
      </c>
      <c r="C10" s="1">
        <v>0.86</v>
      </c>
      <c r="D10" s="5" t="s">
        <v>14</v>
      </c>
      <c r="E10" s="1">
        <v>0</v>
      </c>
      <c r="F10" s="1">
        <v>640.70000000000005</v>
      </c>
      <c r="G10" s="6">
        <f>(F14-F10)/E14</f>
        <v>5.013987518829318E-2</v>
      </c>
      <c r="H10" s="2">
        <f>(F11-F10)/(E11-E10)</f>
        <v>4.8423423423422055E-2</v>
      </c>
      <c r="I10" s="2">
        <v>2.1816036199808854E-2</v>
      </c>
      <c r="J10" s="2">
        <v>0.97399999999999998</v>
      </c>
      <c r="K10" s="2">
        <v>0.29613002685186202</v>
      </c>
      <c r="L10" s="2">
        <v>0.92837169757406801</v>
      </c>
      <c r="M10" s="2">
        <v>641.71792833888196</v>
      </c>
      <c r="N10" s="2">
        <f>F10+J10</f>
        <v>641.67400000000009</v>
      </c>
      <c r="O10" s="2">
        <f>L10^2/2/9.81+N10</f>
        <v>641.71792833888162</v>
      </c>
      <c r="P10" s="7" t="s">
        <v>34</v>
      </c>
      <c r="Q10" s="2">
        <f>(M14-M10)/E14</f>
        <v>4.5988586762072924E-2</v>
      </c>
      <c r="R10" s="2">
        <v>3.1296907021435699E-2</v>
      </c>
      <c r="S10" s="2">
        <f>SQRT(R10)*(AVERAGE(K10:K11))^(2/3)/AVERAGE(L10:L11)</f>
        <v>9.1734067343627615E-2</v>
      </c>
      <c r="T10" s="2">
        <f>SQRT($H10)*(AVERAGE($K10:$K11))^(2/3)/AVERAGE($L10:$L11)</f>
        <v>0.11410579074134498</v>
      </c>
      <c r="U10" s="2">
        <f>8*9.81*AVERAGE(K10:K11)*R10/(AVERAGE(L10:L11)^2)</f>
        <v>0.97955003816429964</v>
      </c>
      <c r="V10" s="3" t="str">
        <f>"4-5"</f>
        <v>4-5</v>
      </c>
      <c r="W10" s="3" t="s">
        <v>21</v>
      </c>
      <c r="Z10" s="2"/>
      <c r="AA10" s="2"/>
      <c r="AB10" s="3"/>
      <c r="AC10" s="3"/>
    </row>
    <row r="11" spans="1:29" x14ac:dyDescent="0.2">
      <c r="A11" s="1">
        <v>4</v>
      </c>
      <c r="B11" s="4">
        <f>B10</f>
        <v>43934.097222222219</v>
      </c>
      <c r="C11" s="1">
        <v>0.86</v>
      </c>
      <c r="D11" s="5" t="s">
        <v>14</v>
      </c>
      <c r="E11" s="1">
        <v>26.64</v>
      </c>
      <c r="F11" s="1">
        <v>641.99</v>
      </c>
      <c r="H11" s="2">
        <f>(F12-F11)/(E12-E11)</f>
        <v>3.4796362198497251E-2</v>
      </c>
      <c r="I11" s="2">
        <v>1.4060296755283979E-2</v>
      </c>
      <c r="J11" s="2">
        <v>0.52700000000000002</v>
      </c>
      <c r="K11" s="2">
        <v>0.31680014508148202</v>
      </c>
      <c r="L11" s="2">
        <v>0.82485224174817495</v>
      </c>
      <c r="M11" s="2">
        <v>642.55167794193301</v>
      </c>
      <c r="N11" s="2">
        <f t="shared" ref="N11:N14" si="5">F11+J11</f>
        <v>642.51700000000005</v>
      </c>
      <c r="O11" s="2">
        <f t="shared" ref="O11:O14" si="6">L11^2/2/9.81+N11</f>
        <v>642.55167794193267</v>
      </c>
      <c r="P11" s="7" t="s">
        <v>35</v>
      </c>
      <c r="Q11" s="2">
        <f>(Q10-G10)/G10*100</f>
        <v>-8.2794151573586543</v>
      </c>
      <c r="R11" s="2">
        <v>6.2677640863090106E-2</v>
      </c>
      <c r="S11" s="2">
        <f t="shared" ref="S11:S13" si="7">SQRT(R11)*(AVERAGE(K11:K12))^(2/3)/AVERAGE(L11:L12)</f>
        <v>0.11756527892506671</v>
      </c>
      <c r="T11" s="2">
        <f>SQRT($H11)*(AVERAGE($K11:$K12))^(2/3)/AVERAGE($L11:$L12)</f>
        <v>8.7597090028420976E-2</v>
      </c>
      <c r="U11" s="2">
        <f t="shared" ref="U11:U13" si="8">8*9.81*AVERAGE(K11:K12)*R11/(AVERAGE(L11:L12)^2)</f>
        <v>1.7017540206430695</v>
      </c>
      <c r="V11" s="3" t="str">
        <f>"3-4"</f>
        <v>3-4</v>
      </c>
      <c r="W11" s="3" t="s">
        <v>22</v>
      </c>
      <c r="Z11" s="2"/>
      <c r="AA11" s="2"/>
      <c r="AB11" s="3"/>
      <c r="AC11" s="3"/>
    </row>
    <row r="12" spans="1:29" x14ac:dyDescent="0.2">
      <c r="A12" s="1">
        <v>3</v>
      </c>
      <c r="B12" s="4">
        <f t="shared" ref="B12:B14" si="9">B11</f>
        <v>43934.097222222219</v>
      </c>
      <c r="C12" s="1">
        <v>0.86</v>
      </c>
      <c r="D12" s="5" t="s">
        <v>14</v>
      </c>
      <c r="E12" s="1">
        <v>51.93</v>
      </c>
      <c r="F12" s="1">
        <v>642.87</v>
      </c>
      <c r="H12" s="2">
        <f>(F13-F12)/(E13-E12)</f>
        <v>7.4611398963727496E-2</v>
      </c>
      <c r="I12" s="2">
        <v>2.3243900170703866E-2</v>
      </c>
      <c r="J12" s="2">
        <v>1.2250000000000001</v>
      </c>
      <c r="K12" s="2">
        <v>0.201153738904916</v>
      </c>
      <c r="L12" s="2">
        <v>0.90555359037849403</v>
      </c>
      <c r="M12" s="2">
        <v>644.13679547935999</v>
      </c>
      <c r="N12" s="2">
        <f t="shared" si="5"/>
        <v>644.09500000000003</v>
      </c>
      <c r="O12" s="2">
        <f t="shared" si="6"/>
        <v>644.13679547936022</v>
      </c>
      <c r="P12" s="7" t="s">
        <v>37</v>
      </c>
      <c r="Q12" s="2">
        <f>F14-F10</f>
        <v>4.6599999999999682</v>
      </c>
      <c r="R12" s="2">
        <v>5.3694774307405602E-2</v>
      </c>
      <c r="S12" s="2">
        <f t="shared" si="7"/>
        <v>8.8732612609961917E-2</v>
      </c>
      <c r="T12" s="2">
        <f>SQRT($H12)*(AVERAGE($K12:$K13))^(2/3)/AVERAGE($L12:$L13)</f>
        <v>0.10459714964411444</v>
      </c>
      <c r="U12" s="2">
        <f t="shared" si="8"/>
        <v>1.0100396631550457</v>
      </c>
      <c r="V12" s="3" t="str">
        <f>"2-3"</f>
        <v>2-3</v>
      </c>
      <c r="W12" s="3" t="s">
        <v>23</v>
      </c>
      <c r="Z12" s="2"/>
      <c r="AA12" s="2"/>
      <c r="AB12" s="3"/>
      <c r="AC12" s="3"/>
    </row>
    <row r="13" spans="1:29" x14ac:dyDescent="0.2">
      <c r="A13" s="1">
        <v>2</v>
      </c>
      <c r="B13" s="4">
        <f t="shared" si="9"/>
        <v>43934.097222222219</v>
      </c>
      <c r="C13" s="1">
        <v>0.86</v>
      </c>
      <c r="D13" s="5" t="s">
        <v>14</v>
      </c>
      <c r="E13" s="1">
        <v>71.23</v>
      </c>
      <c r="F13" s="1">
        <v>644.30999999999995</v>
      </c>
      <c r="H13" s="2">
        <f>(F14-F13)/(E14-E13)</f>
        <v>4.8364808843853913E-2</v>
      </c>
      <c r="I13" s="2">
        <v>9.7452415552649718E-2</v>
      </c>
      <c r="J13" s="2">
        <v>0.80700000000000005</v>
      </c>
      <c r="K13" s="2">
        <v>0.25676804831535799</v>
      </c>
      <c r="L13" s="2">
        <v>1.0491771599378199</v>
      </c>
      <c r="M13" s="2">
        <v>645.17310462349303</v>
      </c>
      <c r="N13" s="2">
        <f t="shared" si="5"/>
        <v>645.11699999999996</v>
      </c>
      <c r="O13" s="2">
        <f t="shared" si="6"/>
        <v>645.17310462349315</v>
      </c>
      <c r="P13" s="8" t="s">
        <v>38</v>
      </c>
      <c r="Q13" s="2">
        <f>M14-M10</f>
        <v>4.2741792536670573</v>
      </c>
      <c r="R13" s="2">
        <v>3.7724687658021498E-2</v>
      </c>
      <c r="S13" s="2">
        <f t="shared" si="7"/>
        <v>9.0923358711707869E-2</v>
      </c>
      <c r="T13" s="2">
        <f>SQRT($H13)*(AVERAGE($K13:$K14))^(2/3)/AVERAGE($L13:$L14)</f>
        <v>0.10295024432805856</v>
      </c>
      <c r="U13" s="2">
        <f t="shared" si="8"/>
        <v>0.96936846031910018</v>
      </c>
      <c r="V13" s="3" t="str">
        <f>"1-2"</f>
        <v>1-2</v>
      </c>
      <c r="W13" s="3" t="s">
        <v>24</v>
      </c>
      <c r="Z13" s="2"/>
      <c r="AA13" s="2"/>
      <c r="AB13" s="3"/>
      <c r="AC13" s="3"/>
    </row>
    <row r="14" spans="1:29" x14ac:dyDescent="0.2">
      <c r="A14" s="1">
        <v>1</v>
      </c>
      <c r="B14" s="4">
        <f t="shared" si="9"/>
        <v>43934.097222222219</v>
      </c>
      <c r="C14" s="1">
        <v>0.86</v>
      </c>
      <c r="D14" s="5" t="s">
        <v>14</v>
      </c>
      <c r="E14" s="1">
        <v>92.94</v>
      </c>
      <c r="F14" s="1">
        <v>645.36</v>
      </c>
      <c r="H14" s="1" t="s">
        <v>10</v>
      </c>
      <c r="I14" s="2">
        <v>1.2923818937005043E-2</v>
      </c>
      <c r="J14" s="2">
        <v>0.59399999999999997</v>
      </c>
      <c r="K14" s="2">
        <v>0.34287547070840801</v>
      </c>
      <c r="L14" s="2">
        <v>0.86467968971471998</v>
      </c>
      <c r="M14" s="2">
        <v>645.99210759254902</v>
      </c>
      <c r="N14" s="2">
        <f t="shared" si="5"/>
        <v>645.95400000000006</v>
      </c>
      <c r="O14" s="2">
        <f t="shared" si="6"/>
        <v>645.99210759254879</v>
      </c>
      <c r="P14" s="7" t="s">
        <v>36</v>
      </c>
      <c r="Q14" s="2">
        <f>Q12-Q13</f>
        <v>0.38582074633291086</v>
      </c>
      <c r="R14" s="2" t="s">
        <v>10</v>
      </c>
      <c r="S14" s="2"/>
      <c r="T14" s="2"/>
      <c r="U14" s="2"/>
      <c r="V14" s="1" t="s">
        <v>10</v>
      </c>
      <c r="Z14" s="2"/>
      <c r="AA14" s="2"/>
      <c r="AB14" s="3"/>
      <c r="AC14" s="3"/>
    </row>
    <row r="15" spans="1:29" x14ac:dyDescent="0.2">
      <c r="K15" s="2">
        <f>AVERAGE(K10:K14)</f>
        <v>0.28274548597240523</v>
      </c>
      <c r="L15" s="2">
        <f>AVERAGE(L10:L14)</f>
        <v>0.91452687587065529</v>
      </c>
      <c r="M15" s="10">
        <f>K15^(2/3)*SQRT(Q10)/L15</f>
        <v>0.10101650666695741</v>
      </c>
      <c r="P15" s="8">
        <f>M14-G10*E14</f>
        <v>641.33210759254905</v>
      </c>
      <c r="Q15" s="2">
        <f>M10</f>
        <v>641.71792833888196</v>
      </c>
      <c r="Z15" s="2"/>
      <c r="AA15" s="2"/>
      <c r="AB15" s="3"/>
      <c r="AC15" s="3"/>
    </row>
    <row r="16" spans="1:29" x14ac:dyDescent="0.2">
      <c r="Z16" s="2"/>
      <c r="AA16" s="2"/>
      <c r="AB16" s="3"/>
      <c r="AC16" s="3"/>
    </row>
    <row r="17" spans="1:23" x14ac:dyDescent="0.2">
      <c r="A17" s="1" t="s">
        <v>0</v>
      </c>
      <c r="B17" s="3" t="s">
        <v>12</v>
      </c>
      <c r="C17" s="1" t="s">
        <v>4</v>
      </c>
      <c r="D17" s="3" t="s">
        <v>13</v>
      </c>
      <c r="E17" s="1" t="s">
        <v>1</v>
      </c>
      <c r="F17" s="1" t="s">
        <v>2</v>
      </c>
      <c r="G17" s="1" t="s">
        <v>33</v>
      </c>
      <c r="H17" s="3" t="s">
        <v>17</v>
      </c>
      <c r="I17" s="3" t="str">
        <f>"@ a station So"</f>
        <v>@ a station So</v>
      </c>
      <c r="J17" t="s">
        <v>3</v>
      </c>
      <c r="K17" t="s">
        <v>5</v>
      </c>
      <c r="L17" t="s">
        <v>6</v>
      </c>
      <c r="M17" t="s">
        <v>7</v>
      </c>
      <c r="N17" s="3" t="s">
        <v>25</v>
      </c>
      <c r="O17" s="3" t="s">
        <v>26</v>
      </c>
      <c r="P17" s="3"/>
      <c r="Q17" s="3" t="s">
        <v>32</v>
      </c>
      <c r="R17" t="s">
        <v>8</v>
      </c>
      <c r="S17" s="1" t="s">
        <v>18</v>
      </c>
      <c r="T17" s="1" t="s">
        <v>19</v>
      </c>
      <c r="U17" s="1" t="s">
        <v>9</v>
      </c>
      <c r="V17" s="3" t="s">
        <v>11</v>
      </c>
      <c r="W17" s="3" t="s">
        <v>20</v>
      </c>
    </row>
    <row r="18" spans="1:23" x14ac:dyDescent="0.2">
      <c r="A18" s="1">
        <v>5</v>
      </c>
      <c r="B18" s="4">
        <v>43934.118055555555</v>
      </c>
      <c r="C18" s="1">
        <v>1.29</v>
      </c>
      <c r="D18" s="5" t="s">
        <v>14</v>
      </c>
      <c r="E18" s="1">
        <v>0</v>
      </c>
      <c r="F18" s="1">
        <v>640.70000000000005</v>
      </c>
      <c r="G18" s="6">
        <f>(F22-F18)/E22</f>
        <v>5.013987518829318E-2</v>
      </c>
      <c r="H18" s="2">
        <f>(F19-F18)/(E19-E18)</f>
        <v>4.8423423423422055E-2</v>
      </c>
      <c r="I18" s="2">
        <v>2.1816036199808854E-2</v>
      </c>
      <c r="J18" s="2">
        <v>1.079</v>
      </c>
      <c r="K18" s="2">
        <v>0.30017200798826699</v>
      </c>
      <c r="L18" s="2">
        <v>1.27890468654251</v>
      </c>
      <c r="M18" s="2">
        <v>641.86236377152204</v>
      </c>
      <c r="N18" s="2">
        <f>F18+J18</f>
        <v>641.779</v>
      </c>
      <c r="O18" s="2">
        <f>L18^2/2/9.81+N18</f>
        <v>641.86236377152193</v>
      </c>
      <c r="P18" s="7" t="s">
        <v>34</v>
      </c>
      <c r="Q18" s="2">
        <f>(M22-M18)/E22</f>
        <v>4.5432516050419612E-2</v>
      </c>
      <c r="R18" s="2">
        <v>2.9257453152958302E-2</v>
      </c>
      <c r="S18" s="2">
        <f>SQRT(R18)*(AVERAGE(K18:K19))^(2/3)/AVERAGE(L18:L19)</f>
        <v>6.7262711335506237E-2</v>
      </c>
      <c r="T18" s="2">
        <f>SQRT($H18)*(AVERAGE($K18:$K19))^(2/3)/AVERAGE($L18:$L19)</f>
        <v>8.6533417401202295E-2</v>
      </c>
      <c r="U18" s="2">
        <f>8*9.81*AVERAGE(K18:K19)*R18/(AVERAGE(L18:L19)^2)</f>
        <v>0.51905838632236811</v>
      </c>
      <c r="V18" s="3" t="str">
        <f>"4-5"</f>
        <v>4-5</v>
      </c>
      <c r="W18" s="3" t="s">
        <v>21</v>
      </c>
    </row>
    <row r="19" spans="1:23" x14ac:dyDescent="0.2">
      <c r="A19" s="1">
        <v>4</v>
      </c>
      <c r="B19" s="4">
        <f>B18</f>
        <v>43934.118055555555</v>
      </c>
      <c r="C19" s="1">
        <v>1.29</v>
      </c>
      <c r="D19" s="5" t="s">
        <v>14</v>
      </c>
      <c r="E19" s="1">
        <v>26.64</v>
      </c>
      <c r="F19" s="1">
        <v>641.99</v>
      </c>
      <c r="H19" s="2">
        <f>(F20-F19)/(E20-E19)</f>
        <v>3.4796362198497251E-2</v>
      </c>
      <c r="I19" s="2">
        <v>1.4060296755283979E-2</v>
      </c>
      <c r="J19" s="2">
        <v>0.59</v>
      </c>
      <c r="K19" s="2">
        <v>0.34001161442949801</v>
      </c>
      <c r="L19" s="2">
        <v>1.10098555276516</v>
      </c>
      <c r="M19" s="2">
        <v>642.64178232351696</v>
      </c>
      <c r="N19" s="2">
        <f t="shared" ref="N19:N22" si="10">F19+J19</f>
        <v>642.58000000000004</v>
      </c>
      <c r="O19" s="2">
        <f t="shared" ref="O19:O22" si="11">L19^2/2/9.81+N19</f>
        <v>642.64178232351674</v>
      </c>
      <c r="P19" s="7" t="s">
        <v>35</v>
      </c>
      <c r="Q19" s="2">
        <f>(Q18-G18)/G18*100</f>
        <v>-9.3884540402140004</v>
      </c>
      <c r="R19" s="2">
        <v>6.3132954955481005E-2</v>
      </c>
      <c r="S19" s="2">
        <f t="shared" ref="S19:S21" si="12">SQRT(R19)*(AVERAGE(K19:K20))^(2/3)/AVERAGE(L19:L20)</f>
        <v>8.7122718964326676E-2</v>
      </c>
      <c r="T19" s="2">
        <f>SQRT($H19)*(AVERAGE($K19:$K20))^(2/3)/AVERAGE($L19:$L20)</f>
        <v>6.4680040545561993E-2</v>
      </c>
      <c r="U19" s="2">
        <f t="shared" ref="U19:U21" si="13">8*9.81*AVERAGE(K19:K20)*R19/(AVERAGE(L19:L20)^2)</f>
        <v>0.92002831576016453</v>
      </c>
      <c r="V19" s="3" t="str">
        <f>"3-4"</f>
        <v>3-4</v>
      </c>
      <c r="W19" s="3" t="s">
        <v>22</v>
      </c>
    </row>
    <row r="20" spans="1:23" x14ac:dyDescent="0.2">
      <c r="A20" s="1">
        <v>3</v>
      </c>
      <c r="B20" s="4">
        <f t="shared" ref="B20:B22" si="14">B19</f>
        <v>43934.118055555555</v>
      </c>
      <c r="C20" s="1">
        <v>1.29</v>
      </c>
      <c r="D20" s="5" t="s">
        <v>14</v>
      </c>
      <c r="E20" s="1">
        <v>51.93</v>
      </c>
      <c r="F20" s="1">
        <v>642.87</v>
      </c>
      <c r="H20" s="2">
        <f>(F21-F20)/(E21-E20)</f>
        <v>7.4611398963727496E-2</v>
      </c>
      <c r="I20" s="2">
        <v>2.3243900170703866E-2</v>
      </c>
      <c r="J20" s="2">
        <v>1.28</v>
      </c>
      <c r="K20" s="2">
        <v>0.20285348368901801</v>
      </c>
      <c r="L20" s="2">
        <v>1.31707914726783</v>
      </c>
      <c r="M20" s="2">
        <v>644.23841475434097</v>
      </c>
      <c r="N20" s="2">
        <f t="shared" si="10"/>
        <v>644.15</v>
      </c>
      <c r="O20" s="2">
        <f t="shared" si="11"/>
        <v>644.23841475434085</v>
      </c>
      <c r="P20" s="7" t="s">
        <v>37</v>
      </c>
      <c r="Q20" s="2">
        <f>F22-F18</f>
        <v>4.6599999999999682</v>
      </c>
      <c r="R20" s="2">
        <v>5.5983055936281403E-2</v>
      </c>
      <c r="S20" s="2">
        <f t="shared" si="12"/>
        <v>6.6329241638311748E-2</v>
      </c>
      <c r="T20" s="2">
        <f>SQRT($H20)*(AVERAGE($K20:$K21))^(2/3)/AVERAGE($L20:$L21)</f>
        <v>7.6573645379391014E-2</v>
      </c>
      <c r="U20" s="2">
        <f t="shared" si="13"/>
        <v>0.56169417958413359</v>
      </c>
      <c r="V20" s="3" t="str">
        <f>"2-3"</f>
        <v>2-3</v>
      </c>
      <c r="W20" s="3" t="s">
        <v>23</v>
      </c>
    </row>
    <row r="21" spans="1:23" x14ac:dyDescent="0.2">
      <c r="A21" s="1">
        <v>2</v>
      </c>
      <c r="B21" s="4">
        <f t="shared" si="14"/>
        <v>43934.118055555555</v>
      </c>
      <c r="C21" s="1">
        <v>1.29</v>
      </c>
      <c r="D21" s="5" t="s">
        <v>14</v>
      </c>
      <c r="E21" s="1">
        <v>71.23</v>
      </c>
      <c r="F21" s="1">
        <v>644.30999999999995</v>
      </c>
      <c r="H21" s="2">
        <f>(F22-F21)/(E22-E21)</f>
        <v>4.8364808843853913E-2</v>
      </c>
      <c r="I21" s="2">
        <v>9.7452415552649718E-2</v>
      </c>
      <c r="J21" s="2">
        <v>0.91200000000000003</v>
      </c>
      <c r="K21" s="2">
        <v>0.26170179507427999</v>
      </c>
      <c r="L21" s="2">
        <v>1.37874484199798</v>
      </c>
      <c r="M21" s="2">
        <v>645.31888773391097</v>
      </c>
      <c r="N21" s="2">
        <f t="shared" si="10"/>
        <v>645.22199999999998</v>
      </c>
      <c r="O21" s="2">
        <f t="shared" si="11"/>
        <v>645.31888773391108</v>
      </c>
      <c r="P21" s="8" t="s">
        <v>38</v>
      </c>
      <c r="Q21" s="2">
        <f>M22-M18</f>
        <v>4.2224980417259985</v>
      </c>
      <c r="R21" s="2">
        <v>3.5282085644284297E-2</v>
      </c>
      <c r="S21" s="2">
        <f t="shared" si="12"/>
        <v>6.4722331827203397E-2</v>
      </c>
      <c r="T21" s="2">
        <f>SQRT($H21)*(AVERAGE($K21:$K22))^(2/3)/AVERAGE($L21:$L22)</f>
        <v>7.577776092077261E-2</v>
      </c>
      <c r="U21" s="2">
        <f t="shared" si="13"/>
        <v>0.49685874408567665</v>
      </c>
      <c r="V21" s="3" t="str">
        <f>"1-2"</f>
        <v>1-2</v>
      </c>
      <c r="W21" s="3" t="s">
        <v>24</v>
      </c>
    </row>
    <row r="22" spans="1:23" x14ac:dyDescent="0.2">
      <c r="A22" s="1">
        <v>1</v>
      </c>
      <c r="B22" s="4">
        <f t="shared" si="14"/>
        <v>43934.118055555555</v>
      </c>
      <c r="C22" s="1">
        <v>1.29</v>
      </c>
      <c r="D22" s="5" t="s">
        <v>14</v>
      </c>
      <c r="E22" s="1">
        <v>92.94</v>
      </c>
      <c r="F22" s="1">
        <v>645.36</v>
      </c>
      <c r="H22" s="1" t="s">
        <v>10</v>
      </c>
      <c r="I22" s="2">
        <v>1.2923818937005043E-2</v>
      </c>
      <c r="J22" s="2">
        <v>0.65600000000000003</v>
      </c>
      <c r="K22" s="2">
        <v>0.31763765311094799</v>
      </c>
      <c r="L22" s="2">
        <v>1.16235484080244</v>
      </c>
      <c r="M22" s="2">
        <v>646.08486181324804</v>
      </c>
      <c r="N22" s="2">
        <f t="shared" si="10"/>
        <v>646.01599999999996</v>
      </c>
      <c r="O22" s="2">
        <f t="shared" si="11"/>
        <v>646.08486181324849</v>
      </c>
      <c r="P22" s="7" t="s">
        <v>36</v>
      </c>
      <c r="Q22" s="2">
        <f>Q20-Q21</f>
        <v>0.43750195827396965</v>
      </c>
      <c r="R22" s="2" t="s">
        <v>10</v>
      </c>
      <c r="S22" s="2"/>
      <c r="T22" s="2"/>
      <c r="U22" s="2"/>
      <c r="V22" s="1" t="s">
        <v>10</v>
      </c>
    </row>
    <row r="23" spans="1:23" x14ac:dyDescent="0.2">
      <c r="B23" s="4"/>
      <c r="D23" s="5"/>
      <c r="I23" s="2"/>
      <c r="J23" s="2"/>
      <c r="K23" s="2">
        <f>AVERAGE(K18:K22)</f>
        <v>0.28447531085840222</v>
      </c>
      <c r="L23" s="2">
        <f>AVERAGE(L18:L22)</f>
        <v>1.247613813875184</v>
      </c>
      <c r="M23" s="10">
        <f>K23^(2/3)*SQRT(Q18)/L23</f>
        <v>7.389804345818643E-2</v>
      </c>
      <c r="N23" s="2"/>
      <c r="O23" s="2"/>
      <c r="P23" s="8">
        <f>M22-G18*E22</f>
        <v>641.42486181324807</v>
      </c>
      <c r="Q23" s="2">
        <f>M18</f>
        <v>641.86236377152204</v>
      </c>
      <c r="R23" s="2"/>
      <c r="S23" s="2"/>
      <c r="T23" s="2"/>
      <c r="U23" s="2"/>
    </row>
    <row r="25" spans="1:23" x14ac:dyDescent="0.2">
      <c r="A25" s="1" t="s">
        <v>0</v>
      </c>
      <c r="B25" s="3" t="s">
        <v>12</v>
      </c>
      <c r="C25" s="1" t="s">
        <v>4</v>
      </c>
      <c r="D25" s="3" t="s">
        <v>13</v>
      </c>
      <c r="E25" s="1" t="s">
        <v>1</v>
      </c>
      <c r="F25" s="1" t="s">
        <v>2</v>
      </c>
      <c r="G25" s="1" t="s">
        <v>33</v>
      </c>
      <c r="H25" s="3" t="s">
        <v>17</v>
      </c>
      <c r="I25" s="3" t="str">
        <f>"@ a station So"</f>
        <v>@ a station So</v>
      </c>
      <c r="J25" t="s">
        <v>3</v>
      </c>
      <c r="K25" t="s">
        <v>5</v>
      </c>
      <c r="L25" t="s">
        <v>6</v>
      </c>
      <c r="M25" t="s">
        <v>7</v>
      </c>
      <c r="N25" s="3" t="s">
        <v>25</v>
      </c>
      <c r="O25" s="3" t="s">
        <v>26</v>
      </c>
      <c r="P25" s="3"/>
      <c r="Q25" s="3" t="s">
        <v>32</v>
      </c>
      <c r="R25" t="s">
        <v>8</v>
      </c>
      <c r="S25" s="1" t="s">
        <v>18</v>
      </c>
      <c r="T25" s="1" t="s">
        <v>19</v>
      </c>
      <c r="U25" s="1" t="s">
        <v>9</v>
      </c>
      <c r="V25" s="3" t="s">
        <v>11</v>
      </c>
      <c r="W25" s="3" t="s">
        <v>20</v>
      </c>
    </row>
    <row r="26" spans="1:23" x14ac:dyDescent="0.2">
      <c r="A26" s="1">
        <v>5</v>
      </c>
      <c r="B26" s="4">
        <v>43934.173611111109</v>
      </c>
      <c r="C26" s="1">
        <v>1.66</v>
      </c>
      <c r="D26" s="5" t="s">
        <v>15</v>
      </c>
      <c r="E26" s="1">
        <v>0</v>
      </c>
      <c r="F26" s="1">
        <v>640.70000000000005</v>
      </c>
      <c r="G26" s="6">
        <f>(F30-F26)/E30</f>
        <v>5.013987518829318E-2</v>
      </c>
      <c r="H26" s="2">
        <f>(F27-F26)/(E27-E26)</f>
        <v>4.8423423423422055E-2</v>
      </c>
      <c r="I26" s="2">
        <v>2.1816036199808854E-2</v>
      </c>
      <c r="J26" s="2">
        <v>1.091</v>
      </c>
      <c r="K26" s="2">
        <v>0.30097035407244499</v>
      </c>
      <c r="L26" s="2">
        <v>1.6300940700528801</v>
      </c>
      <c r="M26" s="2">
        <v>641.92643357172403</v>
      </c>
      <c r="N26" s="2">
        <f>F26+J26</f>
        <v>641.79100000000005</v>
      </c>
      <c r="O26" s="2">
        <f>L26^2/2/9.81+N26</f>
        <v>641.92643357172392</v>
      </c>
      <c r="P26" s="7" t="s">
        <v>34</v>
      </c>
      <c r="Q26" s="2">
        <f>(M30-M26)/E30</f>
        <v>4.5330431664751328E-2</v>
      </c>
      <c r="R26" s="2">
        <v>3.0243861653019701E-2</v>
      </c>
      <c r="S26" s="2">
        <f>SQRT(R26)*(AVERAGE(K26:K27))^(2/3)/AVERAGE(L26:L27)</f>
        <v>5.6349321793230711E-2</v>
      </c>
      <c r="T26" s="2">
        <f>SQRT($H26)*(AVERAGE($K26:$K27))^(2/3)/AVERAGE($L26:$L27)</f>
        <v>7.1301360528215035E-2</v>
      </c>
      <c r="U26" s="2">
        <f>8*9.81*AVERAGE(K26:K27)*R26/(AVERAGE(L26:L27)^2)</f>
        <v>0.36456298817242722</v>
      </c>
      <c r="V26" s="3" t="str">
        <f>"4-5"</f>
        <v>4-5</v>
      </c>
      <c r="W26" s="3" t="s">
        <v>21</v>
      </c>
    </row>
    <row r="27" spans="1:23" x14ac:dyDescent="0.2">
      <c r="A27" s="1">
        <v>4</v>
      </c>
      <c r="B27" s="4">
        <f>B26</f>
        <v>43934.173611111109</v>
      </c>
      <c r="C27" s="1">
        <v>1.66</v>
      </c>
      <c r="D27" s="5" t="s">
        <v>15</v>
      </c>
      <c r="E27" s="1">
        <v>26.64</v>
      </c>
      <c r="F27" s="1">
        <v>641.99</v>
      </c>
      <c r="H27" s="2">
        <f>(F28-F27)/(E28-E27)</f>
        <v>3.4796362198497251E-2</v>
      </c>
      <c r="I27" s="2">
        <v>1.4060296755283979E-2</v>
      </c>
      <c r="J27" s="2">
        <v>0.66200000000000003</v>
      </c>
      <c r="K27" s="2">
        <v>0.33776567337531499</v>
      </c>
      <c r="L27" s="2">
        <v>1.25385465890848</v>
      </c>
      <c r="M27" s="2">
        <v>642.73213004616002</v>
      </c>
      <c r="N27" s="2">
        <f t="shared" ref="N27:N30" si="15">F27+J27</f>
        <v>642.65200000000004</v>
      </c>
      <c r="O27" s="2">
        <f t="shared" ref="O27:O30" si="16">L27^2/2/9.81+N27</f>
        <v>642.73213004616036</v>
      </c>
      <c r="P27" s="7" t="s">
        <v>35</v>
      </c>
      <c r="Q27" s="2">
        <f>(Q26-G26)/G26*100</f>
        <v>-9.5920532420167994</v>
      </c>
      <c r="R27" s="2">
        <v>6.0933525305176497E-2</v>
      </c>
      <c r="S27" s="2">
        <f t="shared" ref="S27:S29" si="17">SQRT(R27)*(AVERAGE(K27:K28))^(2/3)/AVERAGE(L27:L28)</f>
        <v>6.9283990052923239E-2</v>
      </c>
      <c r="T27" s="2">
        <f>SQRT($H27)*(AVERAGE($K27:$K28))^(2/3)/AVERAGE($L27:$L28)</f>
        <v>5.2356626954777635E-2</v>
      </c>
      <c r="U27" s="2">
        <f t="shared" ref="U27:U29" si="18">8*9.81*AVERAGE(K27:K28)*R27/(AVERAGE(L27:L28)^2)</f>
        <v>0.58294857998610261</v>
      </c>
      <c r="V27" s="3" t="str">
        <f>"3-4"</f>
        <v>3-4</v>
      </c>
      <c r="W27" s="3" t="s">
        <v>22</v>
      </c>
    </row>
    <row r="28" spans="1:23" x14ac:dyDescent="0.2">
      <c r="A28" s="1">
        <v>3</v>
      </c>
      <c r="B28" s="4">
        <f t="shared" ref="B28:B30" si="19">B27</f>
        <v>43934.173611111109</v>
      </c>
      <c r="C28" s="1">
        <v>1.66</v>
      </c>
      <c r="D28" s="5" t="s">
        <v>15</v>
      </c>
      <c r="E28" s="1">
        <v>51.93</v>
      </c>
      <c r="F28" s="1">
        <v>642.87</v>
      </c>
      <c r="H28" s="2">
        <f>(F29-F28)/(E29-E28)</f>
        <v>7.4611398963727496E-2</v>
      </c>
      <c r="I28" s="2">
        <v>2.3243900170703866E-2</v>
      </c>
      <c r="J28" s="2">
        <v>1.252</v>
      </c>
      <c r="K28" s="2">
        <v>0.202010334027865</v>
      </c>
      <c r="L28" s="2">
        <v>1.7220177815971101</v>
      </c>
      <c r="M28" s="2">
        <v>644.27313890112805</v>
      </c>
      <c r="N28" s="2">
        <f t="shared" si="15"/>
        <v>644.12199999999996</v>
      </c>
      <c r="O28" s="2">
        <f t="shared" si="16"/>
        <v>644.27313890112828</v>
      </c>
      <c r="P28" s="7" t="s">
        <v>37</v>
      </c>
      <c r="Q28" s="2">
        <f>F30-F26</f>
        <v>4.6599999999999682</v>
      </c>
      <c r="R28" s="2">
        <v>5.84411721624193E-2</v>
      </c>
      <c r="S28" s="2">
        <f t="shared" si="17"/>
        <v>5.2896251285370482E-2</v>
      </c>
      <c r="T28" s="2">
        <f>SQRT($H28)*(AVERAGE($K28:$K29))^(2/3)/AVERAGE($L28:$L29)</f>
        <v>5.9767904235594707E-2</v>
      </c>
      <c r="U28" s="2">
        <f t="shared" si="18"/>
        <v>0.35746166584534278</v>
      </c>
      <c r="V28" s="3" t="str">
        <f>"2-3"</f>
        <v>2-3</v>
      </c>
      <c r="W28" s="3" t="s">
        <v>23</v>
      </c>
    </row>
    <row r="29" spans="1:23" x14ac:dyDescent="0.2">
      <c r="A29" s="1">
        <v>2</v>
      </c>
      <c r="B29" s="4">
        <f t="shared" si="19"/>
        <v>43934.173611111109</v>
      </c>
      <c r="C29" s="1">
        <v>1.66</v>
      </c>
      <c r="D29" s="5" t="s">
        <v>15</v>
      </c>
      <c r="E29" s="1">
        <v>71.23</v>
      </c>
      <c r="F29" s="1">
        <v>644.30999999999995</v>
      </c>
      <c r="H29" s="2">
        <f>(F30-F29)/(E30-E29)</f>
        <v>4.8364808843853913E-2</v>
      </c>
      <c r="I29" s="2">
        <v>9.7452415552649718E-2</v>
      </c>
      <c r="J29" s="2">
        <v>0.93899999999999995</v>
      </c>
      <c r="K29" s="2">
        <v>0.26161581655755001</v>
      </c>
      <c r="L29" s="2">
        <v>1.72722035021422</v>
      </c>
      <c r="M29" s="2">
        <v>645.40105352386297</v>
      </c>
      <c r="N29" s="2">
        <f t="shared" si="15"/>
        <v>645.24899999999991</v>
      </c>
      <c r="O29" s="2">
        <f t="shared" si="16"/>
        <v>645.40105352386297</v>
      </c>
      <c r="P29" s="8" t="s">
        <v>38</v>
      </c>
      <c r="Q29" s="2">
        <f>M30-M26</f>
        <v>4.2130103189219881</v>
      </c>
      <c r="R29" s="2">
        <v>3.4011532325336297E-2</v>
      </c>
      <c r="S29" s="2">
        <f t="shared" si="17"/>
        <v>5.0530262616839149E-2</v>
      </c>
      <c r="T29" s="2">
        <f>SQRT($H29)*(AVERAGE($K29:$K30))^(2/3)/AVERAGE($L29:$L30)</f>
        <v>6.0256401735311098E-2</v>
      </c>
      <c r="U29" s="2">
        <f t="shared" si="18"/>
        <v>0.30299589391396753</v>
      </c>
      <c r="V29" s="3" t="str">
        <f>"1-2"</f>
        <v>1-2</v>
      </c>
      <c r="W29" s="3" t="s">
        <v>24</v>
      </c>
    </row>
    <row r="30" spans="1:23" x14ac:dyDescent="0.2">
      <c r="A30" s="1">
        <v>1</v>
      </c>
      <c r="B30" s="4">
        <f t="shared" si="19"/>
        <v>43934.173611111109</v>
      </c>
      <c r="C30" s="1">
        <v>1.66</v>
      </c>
      <c r="D30" s="5" t="s">
        <v>15</v>
      </c>
      <c r="E30" s="1">
        <v>92.94</v>
      </c>
      <c r="F30" s="1">
        <v>645.36</v>
      </c>
      <c r="H30" s="1" t="s">
        <v>10</v>
      </c>
      <c r="I30" s="2">
        <v>1.2923818937005043E-2</v>
      </c>
      <c r="J30" s="2">
        <v>0.67</v>
      </c>
      <c r="K30" s="2">
        <v>0.31688780429424601</v>
      </c>
      <c r="L30" s="2">
        <v>1.4653631408205099</v>
      </c>
      <c r="M30" s="2">
        <v>646.13944389064602</v>
      </c>
      <c r="N30" s="2">
        <f t="shared" si="15"/>
        <v>646.03</v>
      </c>
      <c r="O30" s="2">
        <f t="shared" si="16"/>
        <v>646.13944389064602</v>
      </c>
      <c r="P30" s="7" t="s">
        <v>36</v>
      </c>
      <c r="Q30" s="2">
        <f>Q28-Q29</f>
        <v>0.44698968107798009</v>
      </c>
      <c r="R30" s="2" t="s">
        <v>10</v>
      </c>
      <c r="S30" s="2"/>
      <c r="T30" s="2"/>
      <c r="U30" s="2"/>
      <c r="V30" s="1" t="s">
        <v>10</v>
      </c>
    </row>
    <row r="31" spans="1:23" x14ac:dyDescent="0.2">
      <c r="B31" s="4"/>
      <c r="D31" s="5"/>
      <c r="I31" s="2"/>
      <c r="J31" s="2"/>
      <c r="K31" s="2">
        <f>AVERAGE(K26:K30)</f>
        <v>0.2838499964654842</v>
      </c>
      <c r="L31" s="2">
        <f>AVERAGE(L26:L30)</f>
        <v>1.5597100003186399</v>
      </c>
      <c r="M31" s="10">
        <f>K31^(2/3)*SQRT(Q26)/L31</f>
        <v>5.8958125345210145E-2</v>
      </c>
      <c r="N31" s="2"/>
      <c r="O31" s="2"/>
      <c r="P31" s="8">
        <f>M30-G26*E30</f>
        <v>641.47944389064605</v>
      </c>
      <c r="Q31" s="2">
        <f>M26</f>
        <v>641.92643357172403</v>
      </c>
      <c r="R31" s="2"/>
      <c r="S31" s="2"/>
      <c r="T31" s="2"/>
      <c r="U31" s="2"/>
    </row>
    <row r="33" spans="1:23" x14ac:dyDescent="0.2">
      <c r="A33" s="1" t="s">
        <v>0</v>
      </c>
      <c r="B33" s="3" t="s">
        <v>12</v>
      </c>
      <c r="C33" s="1" t="s">
        <v>4</v>
      </c>
      <c r="D33" s="3" t="s">
        <v>13</v>
      </c>
      <c r="E33" s="1" t="s">
        <v>1</v>
      </c>
      <c r="F33" s="1" t="s">
        <v>2</v>
      </c>
      <c r="G33" s="1" t="s">
        <v>33</v>
      </c>
      <c r="H33" s="3" t="s">
        <v>17</v>
      </c>
      <c r="I33" s="3" t="str">
        <f>"@ a station So"</f>
        <v>@ a station So</v>
      </c>
      <c r="J33" s="1" t="s">
        <v>3</v>
      </c>
      <c r="K33" s="1" t="s">
        <v>5</v>
      </c>
      <c r="L33" s="1" t="s">
        <v>6</v>
      </c>
      <c r="M33" s="1" t="s">
        <v>7</v>
      </c>
      <c r="N33" s="3" t="s">
        <v>25</v>
      </c>
      <c r="O33" s="3" t="s">
        <v>26</v>
      </c>
      <c r="P33" s="3"/>
      <c r="Q33" s="3" t="s">
        <v>32</v>
      </c>
      <c r="R33" s="1" t="s">
        <v>8</v>
      </c>
      <c r="S33" s="1" t="s">
        <v>18</v>
      </c>
      <c r="T33" s="1" t="s">
        <v>19</v>
      </c>
      <c r="U33" s="1" t="s">
        <v>9</v>
      </c>
      <c r="V33" s="3" t="s">
        <v>11</v>
      </c>
      <c r="W33" s="3" t="s">
        <v>20</v>
      </c>
    </row>
    <row r="34" spans="1:23" x14ac:dyDescent="0.2">
      <c r="A34" s="1">
        <v>5</v>
      </c>
      <c r="B34" s="4">
        <v>43934.263888888891</v>
      </c>
      <c r="C34" s="1">
        <v>0.82</v>
      </c>
      <c r="D34" s="5" t="s">
        <v>16</v>
      </c>
      <c r="E34" s="1">
        <v>0</v>
      </c>
      <c r="F34" s="1">
        <v>640.70000000000005</v>
      </c>
      <c r="G34" s="6">
        <f>(F38-F34)/E38</f>
        <v>5.013987518829318E-2</v>
      </c>
      <c r="H34" s="2">
        <f>(F35-F34)/(E35-E34)</f>
        <v>4.8423423423422055E-2</v>
      </c>
      <c r="I34" s="2">
        <v>2.1816036199808854E-2</v>
      </c>
      <c r="J34" s="2">
        <v>0.89600000000000002</v>
      </c>
      <c r="K34" s="2">
        <v>0.29179913572228799</v>
      </c>
      <c r="L34" s="2">
        <v>0.94556148824920705</v>
      </c>
      <c r="M34" s="2">
        <v>641.64157015943204</v>
      </c>
      <c r="N34" s="2">
        <f>F34+J34</f>
        <v>641.596</v>
      </c>
      <c r="O34" s="2">
        <f>L34^2/2/9.81+N34</f>
        <v>641.64157015943226</v>
      </c>
      <c r="P34" s="7" t="s">
        <v>34</v>
      </c>
      <c r="Q34" s="2">
        <f>(M38-M34)/E38</f>
        <v>4.645630416821539E-2</v>
      </c>
      <c r="R34" s="2">
        <v>3.4044930455033803E-2</v>
      </c>
      <c r="S34" s="2">
        <f>SQRT(R34)*(AVERAGE(K34:K35))^(2/3)/AVERAGE(L34:L35)</f>
        <v>9.6389663243255569E-2</v>
      </c>
      <c r="T34" s="2">
        <f>SQRT($H34)*(AVERAGE($K34:$K35))^(2/3)/AVERAGE($L34:$L35)</f>
        <v>0.11495608959553737</v>
      </c>
      <c r="U34" s="2">
        <f>8*9.81*AVERAGE(K34:K35)*R34/(AVERAGE(L34:L35)^2)</f>
        <v>1.0840586370353635</v>
      </c>
      <c r="V34" s="3" t="str">
        <f>"4-5"</f>
        <v>4-5</v>
      </c>
      <c r="W34" s="3" t="s">
        <v>21</v>
      </c>
    </row>
    <row r="35" spans="1:23" x14ac:dyDescent="0.2">
      <c r="A35" s="1">
        <v>4</v>
      </c>
      <c r="B35" s="4">
        <f>B34</f>
        <v>43934.263888888891</v>
      </c>
      <c r="C35" s="1">
        <v>0.82</v>
      </c>
      <c r="D35" s="5" t="s">
        <v>16</v>
      </c>
      <c r="E35" s="1">
        <v>26.64</v>
      </c>
      <c r="F35" s="1">
        <v>641.99</v>
      </c>
      <c r="H35" s="2">
        <f>(F36-F35)/(E36-E35)</f>
        <v>3.4796362198497251E-2</v>
      </c>
      <c r="I35" s="2">
        <v>1.4060296755283979E-2</v>
      </c>
      <c r="J35" s="2">
        <v>0.52700000000000002</v>
      </c>
      <c r="K35" s="2">
        <v>0.31680014508148202</v>
      </c>
      <c r="L35" s="2">
        <v>0.78648702120174796</v>
      </c>
      <c r="M35" s="2">
        <v>642.54852710675402</v>
      </c>
      <c r="N35" s="2">
        <f t="shared" ref="N35:N38" si="20">F35+J35</f>
        <v>642.51700000000005</v>
      </c>
      <c r="O35" s="2">
        <f t="shared" ref="O35:O38" si="21">L35^2/2/9.81+N35</f>
        <v>642.54852710675436</v>
      </c>
      <c r="P35" s="7" t="s">
        <v>35</v>
      </c>
      <c r="Q35" s="2">
        <f>(Q34-G34)/G34*100</f>
        <v>-7.3465899271680719</v>
      </c>
      <c r="R35" s="2">
        <v>5.7445569305414203E-2</v>
      </c>
      <c r="S35" s="2">
        <f t="shared" ref="S35:S37" si="22">SQRT(R35)*(AVERAGE(K35:K36))^(2/3)/AVERAGE(L35:L36)</f>
        <v>0.11400238361939601</v>
      </c>
      <c r="T35" s="2">
        <f>SQRT($H35)*(AVERAGE($K35:$K36))^(2/3)/AVERAGE($L35:$L36)</f>
        <v>8.8726343540094801E-2</v>
      </c>
      <c r="U35" s="2">
        <f t="shared" ref="U35:U37" si="23">8*9.81*AVERAGE(K35:K36)*R35/(AVERAGE(L35:L36)^2)</f>
        <v>1.5809897223895486</v>
      </c>
      <c r="V35" s="3" t="str">
        <f>"3-4"</f>
        <v>3-4</v>
      </c>
      <c r="W35" s="3" t="s">
        <v>22</v>
      </c>
    </row>
    <row r="36" spans="1:23" x14ac:dyDescent="0.2">
      <c r="A36" s="1">
        <v>3</v>
      </c>
      <c r="B36" s="4">
        <f t="shared" ref="B36:B38" si="24">B35</f>
        <v>43934.263888888891</v>
      </c>
      <c r="C36" s="1">
        <v>0.82</v>
      </c>
      <c r="D36" s="5" t="s">
        <v>16</v>
      </c>
      <c r="E36" s="1">
        <v>51.93</v>
      </c>
      <c r="F36" s="1">
        <v>642.87</v>
      </c>
      <c r="H36" s="2">
        <f>(F37-F36)/(E37-E36)</f>
        <v>7.4611398963727496E-2</v>
      </c>
      <c r="I36" s="2">
        <v>2.3243900170703866E-2</v>
      </c>
      <c r="J36" s="2">
        <v>1.0840000000000001</v>
      </c>
      <c r="K36" s="2">
        <v>0.220235892644738</v>
      </c>
      <c r="L36" s="2">
        <v>0.96360125521989903</v>
      </c>
      <c r="M36" s="2">
        <v>644.00132555448795</v>
      </c>
      <c r="N36" s="2">
        <f t="shared" si="20"/>
        <v>643.95399999999995</v>
      </c>
      <c r="O36" s="2">
        <f t="shared" si="21"/>
        <v>644.00132555448829</v>
      </c>
      <c r="P36" s="7" t="s">
        <v>37</v>
      </c>
      <c r="Q36" s="2">
        <f>F38-F34</f>
        <v>4.6599999999999682</v>
      </c>
      <c r="R36" s="2">
        <v>5.0633572421087403E-2</v>
      </c>
      <c r="S36" s="2">
        <f t="shared" si="22"/>
        <v>6.7984588962866285E-2</v>
      </c>
      <c r="T36" s="2">
        <f>SQRT($H36)*(AVERAGE($K36:$K37))^(2/3)/AVERAGE($L36:$L37)</f>
        <v>8.252656763908861E-2</v>
      </c>
      <c r="U36" s="2">
        <f t="shared" si="23"/>
        <v>0.59627768614010546</v>
      </c>
      <c r="V36" s="3" t="str">
        <f>"2-3"</f>
        <v>2-3</v>
      </c>
      <c r="W36" s="3" t="s">
        <v>23</v>
      </c>
    </row>
    <row r="37" spans="1:23" x14ac:dyDescent="0.2">
      <c r="A37" s="1">
        <v>2</v>
      </c>
      <c r="B37" s="4">
        <f t="shared" si="24"/>
        <v>43934.263888888891</v>
      </c>
      <c r="C37" s="1">
        <v>0.82</v>
      </c>
      <c r="D37" s="5" t="s">
        <v>16</v>
      </c>
      <c r="E37" s="1">
        <v>71.23</v>
      </c>
      <c r="F37" s="1">
        <v>644.30999999999995</v>
      </c>
      <c r="H37" s="2">
        <f>(F38-F37)/(E38-E37)</f>
        <v>4.8364808843853913E-2</v>
      </c>
      <c r="I37" s="2">
        <v>9.7452415552649718E-2</v>
      </c>
      <c r="J37" s="2">
        <v>0.55600000000000005</v>
      </c>
      <c r="K37" s="2">
        <v>0.22998346400273001</v>
      </c>
      <c r="L37" s="2">
        <v>1.48603489644874</v>
      </c>
      <c r="M37" s="2">
        <v>644.97855350221505</v>
      </c>
      <c r="N37" s="2">
        <f t="shared" si="20"/>
        <v>644.86599999999999</v>
      </c>
      <c r="O37" s="2">
        <f t="shared" si="21"/>
        <v>644.97855350221528</v>
      </c>
      <c r="P37" s="8" t="s">
        <v>38</v>
      </c>
      <c r="Q37" s="2">
        <f>M38-M34</f>
        <v>4.3176489093939381</v>
      </c>
      <c r="R37" s="2">
        <v>4.51711453989476E-2</v>
      </c>
      <c r="S37" s="2">
        <f t="shared" si="22"/>
        <v>7.6383263222770323E-2</v>
      </c>
      <c r="T37" s="2">
        <f>SQRT($H37)*(AVERAGE($K37:$K38))^(2/3)/AVERAGE($L37:$L38)</f>
        <v>7.9037354351795056E-2</v>
      </c>
      <c r="U37" s="2">
        <f t="shared" si="23"/>
        <v>0.70099432024344677</v>
      </c>
      <c r="V37" s="3" t="str">
        <f>"1-2"</f>
        <v>1-2</v>
      </c>
      <c r="W37" s="3" t="s">
        <v>24</v>
      </c>
    </row>
    <row r="38" spans="1:23" x14ac:dyDescent="0.2">
      <c r="A38" s="1">
        <v>1</v>
      </c>
      <c r="B38" s="4">
        <f t="shared" si="24"/>
        <v>43934.263888888891</v>
      </c>
      <c r="C38" s="1">
        <v>0.82</v>
      </c>
      <c r="D38" s="5" t="s">
        <v>16</v>
      </c>
      <c r="E38" s="1">
        <v>92.94</v>
      </c>
      <c r="F38" s="1">
        <v>645.36</v>
      </c>
      <c r="H38" s="1" t="s">
        <v>10</v>
      </c>
      <c r="I38" s="2">
        <v>1.2923818937005043E-2</v>
      </c>
      <c r="J38" s="2">
        <v>0.55900000000000005</v>
      </c>
      <c r="K38" s="2">
        <v>0.32739826798892102</v>
      </c>
      <c r="L38" s="2">
        <v>0.88831195555092801</v>
      </c>
      <c r="M38" s="2">
        <v>645.95921906882597</v>
      </c>
      <c r="N38" s="2">
        <f t="shared" si="20"/>
        <v>645.91899999999998</v>
      </c>
      <c r="O38" s="2">
        <f t="shared" si="21"/>
        <v>645.95921906882643</v>
      </c>
      <c r="P38" s="7" t="s">
        <v>36</v>
      </c>
      <c r="Q38" s="2">
        <f>Q36-Q37</f>
        <v>0.34235109060603008</v>
      </c>
      <c r="R38" s="2" t="s">
        <v>10</v>
      </c>
      <c r="S38" s="2"/>
      <c r="T38" s="2"/>
      <c r="U38" s="2"/>
      <c r="V38" s="1" t="s">
        <v>10</v>
      </c>
    </row>
    <row r="39" spans="1:23" x14ac:dyDescent="0.2">
      <c r="B39" s="4"/>
      <c r="D39" s="5"/>
      <c r="I39" s="2"/>
      <c r="J39" s="2"/>
      <c r="K39" s="2">
        <f>AVERAGE(K34:K38)</f>
        <v>0.27724338108803182</v>
      </c>
      <c r="L39" s="2">
        <f>AVERAGE(L34:L38)</f>
        <v>1.0139993233341045</v>
      </c>
      <c r="M39" s="10">
        <f>K39^(2/3)*SQRT(Q34)/L39</f>
        <v>9.0377180286579303E-2</v>
      </c>
      <c r="N39" s="2"/>
      <c r="O39" s="2"/>
      <c r="P39" s="8">
        <f>M38-G34*E38</f>
        <v>641.29921906882601</v>
      </c>
      <c r="Q39" s="2">
        <f>M34</f>
        <v>641.64157015943204</v>
      </c>
      <c r="R39" s="2"/>
      <c r="S39" s="2"/>
      <c r="T39" s="2"/>
      <c r="U39" s="2"/>
    </row>
    <row r="41" spans="1:23" x14ac:dyDescent="0.2">
      <c r="A41" s="1" t="s">
        <v>0</v>
      </c>
      <c r="B41" s="3" t="s">
        <v>12</v>
      </c>
      <c r="C41" s="1" t="s">
        <v>4</v>
      </c>
      <c r="D41" s="3" t="s">
        <v>13</v>
      </c>
      <c r="E41" s="1" t="s">
        <v>1</v>
      </c>
      <c r="F41" s="1" t="s">
        <v>2</v>
      </c>
      <c r="G41" s="1" t="s">
        <v>33</v>
      </c>
      <c r="H41" s="3" t="s">
        <v>17</v>
      </c>
      <c r="I41" s="3" t="str">
        <f>"@ a station So"</f>
        <v>@ a station So</v>
      </c>
      <c r="J41" s="1" t="s">
        <v>3</v>
      </c>
      <c r="K41" s="1" t="s">
        <v>5</v>
      </c>
      <c r="L41" s="1" t="s">
        <v>6</v>
      </c>
      <c r="M41" s="1" t="s">
        <v>7</v>
      </c>
      <c r="N41" s="3" t="s">
        <v>25</v>
      </c>
      <c r="O41" s="3" t="s">
        <v>26</v>
      </c>
      <c r="P41" s="3"/>
      <c r="Q41" s="3" t="s">
        <v>32</v>
      </c>
      <c r="R41" s="1" t="s">
        <v>8</v>
      </c>
      <c r="S41" s="1" t="s">
        <v>18</v>
      </c>
      <c r="T41" s="1" t="s">
        <v>19</v>
      </c>
      <c r="U41" s="1" t="s">
        <v>9</v>
      </c>
      <c r="V41" s="3" t="s">
        <v>11</v>
      </c>
      <c r="W41" s="3" t="s">
        <v>20</v>
      </c>
    </row>
    <row r="42" spans="1:23" x14ac:dyDescent="0.2">
      <c r="A42" s="1">
        <v>5</v>
      </c>
      <c r="B42" s="4">
        <v>43934.333333333336</v>
      </c>
      <c r="C42" s="1">
        <v>0.45</v>
      </c>
      <c r="D42" s="5" t="s">
        <v>16</v>
      </c>
      <c r="E42" s="1">
        <v>0</v>
      </c>
      <c r="F42" s="1">
        <v>640.70000000000005</v>
      </c>
      <c r="G42" s="6">
        <f>(F46-F42)/E46</f>
        <v>5.013987518829318E-2</v>
      </c>
      <c r="H42" s="2">
        <f>(F43-F42)/(E43-E42)</f>
        <v>4.8423423423422055E-2</v>
      </c>
      <c r="I42" s="2">
        <v>2.1816036199808854E-2</v>
      </c>
      <c r="J42" s="2">
        <v>0.77600000000000002</v>
      </c>
      <c r="K42" s="2">
        <v>0.28400059759560498</v>
      </c>
      <c r="L42" s="2">
        <v>0.58065475145912104</v>
      </c>
      <c r="M42" s="2">
        <v>641.49318450256806</v>
      </c>
      <c r="N42" s="2">
        <f>F42+J42</f>
        <v>641.476</v>
      </c>
      <c r="O42" s="2">
        <f>L42^2/2/9.81+N42</f>
        <v>641.4931845025684</v>
      </c>
      <c r="P42" s="7" t="s">
        <v>34</v>
      </c>
      <c r="Q42" s="9">
        <f>(M46-M42)/E46</f>
        <v>4.7067019889400985E-2</v>
      </c>
      <c r="R42" s="2">
        <v>3.5968347913991103E-2</v>
      </c>
      <c r="S42" s="2">
        <f>SQRT(R42)*(AVERAGE(K42:K43))^(2/3)/AVERAGE(L42:L43)</f>
        <v>0.14976748106901827</v>
      </c>
      <c r="T42" s="2">
        <f>SQRT($H42)*(AVERAGE($K42:$K43))^(2/3)/AVERAGE($L42:$L43)</f>
        <v>0.17377409089954296</v>
      </c>
      <c r="U42" s="2">
        <f>8*9.81*AVERAGE(K42:K43)*R42/(AVERAGE(L42:L43)^2)</f>
        <v>2.6795504120348195</v>
      </c>
      <c r="V42" s="3" t="str">
        <f>"4-5"</f>
        <v>4-5</v>
      </c>
      <c r="W42" s="3" t="s">
        <v>21</v>
      </c>
    </row>
    <row r="43" spans="1:23" x14ac:dyDescent="0.2">
      <c r="A43" s="1">
        <v>4</v>
      </c>
      <c r="B43" s="4">
        <f>B42</f>
        <v>43934.333333333336</v>
      </c>
      <c r="C43" s="1">
        <v>0.45</v>
      </c>
      <c r="D43" s="5" t="s">
        <v>16</v>
      </c>
      <c r="E43" s="1">
        <v>26.64</v>
      </c>
      <c r="F43" s="1">
        <v>641.99</v>
      </c>
      <c r="H43" s="2">
        <f>(F44-F43)/(E44-E43)</f>
        <v>3.4796362198497251E-2</v>
      </c>
      <c r="I43" s="2">
        <v>1.4060296755283979E-2</v>
      </c>
      <c r="J43" s="2">
        <v>0.44800000000000001</v>
      </c>
      <c r="K43" s="2">
        <v>0.28305590544234399</v>
      </c>
      <c r="L43" s="2">
        <v>0.51238747970945597</v>
      </c>
      <c r="M43" s="2">
        <v>642.45138129099701</v>
      </c>
      <c r="N43" s="2">
        <f t="shared" ref="N43:N46" si="25">F43+J43</f>
        <v>642.43799999999999</v>
      </c>
      <c r="O43" s="2">
        <f t="shared" ref="O43:O46" si="26">L43^2/2/9.81+N43</f>
        <v>642.45138129099712</v>
      </c>
      <c r="P43" s="7" t="s">
        <v>35</v>
      </c>
      <c r="Q43" s="2">
        <f>(Q42-G42)/G42*100</f>
        <v>-6.1285659115674376</v>
      </c>
      <c r="R43" s="2">
        <v>5.2478066373646597E-2</v>
      </c>
      <c r="S43" s="2">
        <f t="shared" ref="S43:S45" si="27">SQRT(R43)*(AVERAGE(K43:K44))^(2/3)/AVERAGE(L43:L44)</f>
        <v>0.14480486687677996</v>
      </c>
      <c r="T43" s="2">
        <f>SQRT($H43)*(AVERAGE($K43:$K44))^(2/3)/AVERAGE($L43:$L44)</f>
        <v>0.1179128584972455</v>
      </c>
      <c r="U43" s="2">
        <f t="shared" ref="U43:U45" si="28">8*9.81*AVERAGE(K43:K44)*R43/(AVERAGE(L43:L44)^2)</f>
        <v>2.6068322233697869</v>
      </c>
      <c r="V43" s="3" t="str">
        <f>"3-4"</f>
        <v>3-4</v>
      </c>
      <c r="W43" s="3" t="s">
        <v>22</v>
      </c>
    </row>
    <row r="44" spans="1:23" x14ac:dyDescent="0.2">
      <c r="A44" s="1">
        <v>3</v>
      </c>
      <c r="B44" s="4">
        <f t="shared" ref="B44:B46" si="29">B43</f>
        <v>43934.333333333336</v>
      </c>
      <c r="C44" s="1">
        <v>0.45</v>
      </c>
      <c r="D44" s="5" t="s">
        <v>16</v>
      </c>
      <c r="E44" s="1">
        <v>51.93</v>
      </c>
      <c r="F44" s="1">
        <v>642.87</v>
      </c>
      <c r="H44" s="2">
        <f>(F45-F44)/(E45-E44)</f>
        <v>7.4611398963727496E-2</v>
      </c>
      <c r="I44" s="2">
        <v>2.3243900170703866E-2</v>
      </c>
      <c r="J44" s="2">
        <v>0.88</v>
      </c>
      <c r="K44" s="2">
        <v>0.220058426263082</v>
      </c>
      <c r="L44" s="2">
        <v>0.74845319672676502</v>
      </c>
      <c r="M44" s="2">
        <v>643.77855158958698</v>
      </c>
      <c r="N44" s="2">
        <f t="shared" si="25"/>
        <v>643.75</v>
      </c>
      <c r="O44" s="2">
        <f t="shared" si="26"/>
        <v>643.77855158958664</v>
      </c>
      <c r="P44" s="7" t="s">
        <v>37</v>
      </c>
      <c r="Q44" s="2">
        <f>F46-F42</f>
        <v>4.6599999999999682</v>
      </c>
      <c r="R44" s="2">
        <v>5.1107715803541197E-2</v>
      </c>
      <c r="S44" s="2">
        <f t="shared" si="27"/>
        <v>8.6748517159729421E-2</v>
      </c>
      <c r="T44" s="2">
        <f>SQRT($H44)*(AVERAGE($K44:$K45))^(2/3)/AVERAGE($L44:$L45)</f>
        <v>0.10481451180747586</v>
      </c>
      <c r="U44" s="2">
        <f t="shared" si="28"/>
        <v>0.98639740341739401</v>
      </c>
      <c r="V44" s="3" t="str">
        <f>"2-3"</f>
        <v>2-3</v>
      </c>
      <c r="W44" s="3" t="s">
        <v>23</v>
      </c>
    </row>
    <row r="45" spans="1:23" x14ac:dyDescent="0.2">
      <c r="A45" s="1">
        <v>2</v>
      </c>
      <c r="B45" s="4">
        <f t="shared" si="29"/>
        <v>43934.333333333336</v>
      </c>
      <c r="C45" s="1">
        <v>0.45</v>
      </c>
      <c r="D45" s="5" t="s">
        <v>16</v>
      </c>
      <c r="E45" s="1">
        <v>71.23</v>
      </c>
      <c r="F45" s="1">
        <v>644.30999999999995</v>
      </c>
      <c r="H45" s="2">
        <f>(F46-F45)/(E46-E45)</f>
        <v>4.8364808843853913E-2</v>
      </c>
      <c r="I45" s="2">
        <v>9.7452415552649718E-2</v>
      </c>
      <c r="J45" s="2">
        <v>0.39100000000000001</v>
      </c>
      <c r="K45" s="2">
        <v>0.20920469298757</v>
      </c>
      <c r="L45" s="2">
        <v>1.11996272266298</v>
      </c>
      <c r="M45" s="2">
        <v>644.76493050459499</v>
      </c>
      <c r="N45" s="2">
        <f t="shared" si="25"/>
        <v>644.70099999999991</v>
      </c>
      <c r="O45" s="2">
        <f t="shared" si="26"/>
        <v>644.76493050459499</v>
      </c>
      <c r="P45" s="8" t="s">
        <v>38</v>
      </c>
      <c r="Q45" s="2">
        <f>M46-M42</f>
        <v>4.3744088285209273</v>
      </c>
      <c r="R45" s="2">
        <v>5.0790549354854199E-2</v>
      </c>
      <c r="S45" s="2">
        <f t="shared" si="27"/>
        <v>0.1065368038498315</v>
      </c>
      <c r="T45" s="2">
        <f>SQRT($H45)*(AVERAGE($K45:$K46))^(2/3)/AVERAGE($L45:$L46)</f>
        <v>0.103961597969603</v>
      </c>
      <c r="U45" s="2">
        <f t="shared" si="28"/>
        <v>1.4091466182700441</v>
      </c>
      <c r="V45" s="3" t="str">
        <f>"1-2"</f>
        <v>1-2</v>
      </c>
      <c r="W45" s="3" t="s">
        <v>24</v>
      </c>
    </row>
    <row r="46" spans="1:23" x14ac:dyDescent="0.2">
      <c r="A46" s="1">
        <v>1</v>
      </c>
      <c r="B46" s="4">
        <f t="shared" si="29"/>
        <v>43934.333333333336</v>
      </c>
      <c r="C46" s="1">
        <v>0.45</v>
      </c>
      <c r="D46" s="5" t="s">
        <v>16</v>
      </c>
      <c r="E46" s="1">
        <v>92.94</v>
      </c>
      <c r="F46" s="1">
        <v>645.36</v>
      </c>
      <c r="H46" s="1" t="s">
        <v>10</v>
      </c>
      <c r="I46" s="2">
        <v>1.2923818937005043E-2</v>
      </c>
      <c r="J46" s="2">
        <v>0.49099999999999999</v>
      </c>
      <c r="K46" s="2">
        <v>0.29596398169781801</v>
      </c>
      <c r="L46" s="2">
        <v>0.57057966662329695</v>
      </c>
      <c r="M46" s="2">
        <v>645.86759333108898</v>
      </c>
      <c r="N46" s="2">
        <f t="shared" si="25"/>
        <v>645.851</v>
      </c>
      <c r="O46" s="2">
        <f t="shared" si="26"/>
        <v>645.86759333108887</v>
      </c>
      <c r="P46" s="7" t="s">
        <v>36</v>
      </c>
      <c r="Q46" s="2">
        <f>Q44-Q45</f>
        <v>0.2855911714790409</v>
      </c>
      <c r="R46" s="2" t="s">
        <v>10</v>
      </c>
      <c r="S46" s="2"/>
      <c r="T46" s="2"/>
      <c r="U46" s="2"/>
      <c r="V46" s="1" t="s">
        <v>10</v>
      </c>
    </row>
    <row r="47" spans="1:23" x14ac:dyDescent="0.2">
      <c r="K47" s="2">
        <f>AVERAGE(K42:K46)</f>
        <v>0.25845672079728377</v>
      </c>
      <c r="L47" s="2">
        <f>AVERAGE(L42:L46)</f>
        <v>0.70640756343632372</v>
      </c>
      <c r="M47" s="10">
        <f>K47^(2/3)*SQRT(Q42)/L47</f>
        <v>0.12461248689095583</v>
      </c>
      <c r="P47" s="8">
        <f>M46-G42*E46</f>
        <v>641.20759333108902</v>
      </c>
      <c r="Q47" s="2">
        <f>M42</f>
        <v>641.49318450256806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9E30-7D47-184C-8F6C-A41682B88864}">
  <dimension ref="A1:G40"/>
  <sheetViews>
    <sheetView zoomScale="156" zoomScaleNormal="156" workbookViewId="0">
      <selection activeCell="A32" sqref="A3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4</v>
      </c>
      <c r="C1" s="1" t="s">
        <v>31</v>
      </c>
      <c r="D1" s="1" t="s">
        <v>8</v>
      </c>
      <c r="E1" s="1" t="s">
        <v>18</v>
      </c>
      <c r="F1" s="3" t="s">
        <v>11</v>
      </c>
      <c r="G1" s="3" t="s">
        <v>20</v>
      </c>
    </row>
    <row r="2" spans="1:7" x14ac:dyDescent="0.2">
      <c r="A2" s="1">
        <v>5</v>
      </c>
      <c r="B2" s="1">
        <v>0.48</v>
      </c>
      <c r="C2" s="1">
        <v>4.8423423423422055E-2</v>
      </c>
      <c r="D2" s="2">
        <v>3.1214753308480201E-2</v>
      </c>
      <c r="E2" s="2">
        <v>0.1213697066478949</v>
      </c>
      <c r="F2" s="3" t="s">
        <v>27</v>
      </c>
      <c r="G2" s="3" t="s">
        <v>21</v>
      </c>
    </row>
    <row r="3" spans="1:7" x14ac:dyDescent="0.2">
      <c r="A3" s="1">
        <v>5</v>
      </c>
      <c r="B3" s="1">
        <v>0.86</v>
      </c>
      <c r="C3" s="1">
        <v>4.8423423423422055E-2</v>
      </c>
      <c r="D3" s="2">
        <v>3.1296907021435699E-2</v>
      </c>
      <c r="E3" s="2">
        <v>9.1734067343627615E-2</v>
      </c>
      <c r="F3" s="3" t="s">
        <v>27</v>
      </c>
      <c r="G3" s="3" t="s">
        <v>21</v>
      </c>
    </row>
    <row r="4" spans="1:7" x14ac:dyDescent="0.2">
      <c r="A4" s="1">
        <v>5</v>
      </c>
      <c r="B4" s="1">
        <v>1.29</v>
      </c>
      <c r="C4" s="1">
        <v>4.8423423423422055E-2</v>
      </c>
      <c r="D4" s="2">
        <v>2.9257453152958302E-2</v>
      </c>
      <c r="E4" s="2">
        <v>6.7262711335506237E-2</v>
      </c>
      <c r="F4" s="3" t="s">
        <v>27</v>
      </c>
      <c r="G4" s="3" t="s">
        <v>21</v>
      </c>
    </row>
    <row r="5" spans="1:7" x14ac:dyDescent="0.2">
      <c r="A5" s="1">
        <v>5</v>
      </c>
      <c r="B5" s="1">
        <v>1.66</v>
      </c>
      <c r="C5" s="1">
        <v>4.8423423423422055E-2</v>
      </c>
      <c r="D5" s="2">
        <v>3.0243861653019701E-2</v>
      </c>
      <c r="E5" s="2">
        <v>5.6349321793230711E-2</v>
      </c>
      <c r="F5" s="3" t="s">
        <v>27</v>
      </c>
      <c r="G5" s="3" t="s">
        <v>21</v>
      </c>
    </row>
    <row r="6" spans="1:7" x14ac:dyDescent="0.2">
      <c r="A6" s="1">
        <v>5</v>
      </c>
      <c r="B6" s="1">
        <v>0.82</v>
      </c>
      <c r="C6" s="1">
        <v>4.8423423423422055E-2</v>
      </c>
      <c r="D6" s="2">
        <v>3.4044930455033803E-2</v>
      </c>
      <c r="E6" s="2">
        <v>9.6389663243255569E-2</v>
      </c>
      <c r="F6" s="3" t="s">
        <v>27</v>
      </c>
      <c r="G6" s="3" t="s">
        <v>21</v>
      </c>
    </row>
    <row r="7" spans="1:7" x14ac:dyDescent="0.2">
      <c r="A7" s="1">
        <v>5</v>
      </c>
      <c r="B7" s="1">
        <v>0.45</v>
      </c>
      <c r="C7" s="1">
        <v>4.8423423423422055E-2</v>
      </c>
      <c r="D7" s="2">
        <v>3.5968347913991103E-2</v>
      </c>
      <c r="E7" s="2">
        <v>0.14976748106901827</v>
      </c>
      <c r="F7" s="3" t="s">
        <v>27</v>
      </c>
      <c r="G7" s="3" t="s">
        <v>21</v>
      </c>
    </row>
    <row r="9" spans="1:7" x14ac:dyDescent="0.2">
      <c r="A9" s="1" t="s">
        <v>0</v>
      </c>
      <c r="B9" s="1" t="s">
        <v>4</v>
      </c>
      <c r="C9" s="1" t="s">
        <v>31</v>
      </c>
      <c r="D9" s="1" t="s">
        <v>8</v>
      </c>
      <c r="E9" s="1" t="s">
        <v>18</v>
      </c>
      <c r="F9" s="3" t="s">
        <v>11</v>
      </c>
      <c r="G9" s="3" t="s">
        <v>20</v>
      </c>
    </row>
    <row r="10" spans="1:7" x14ac:dyDescent="0.2">
      <c r="A10" s="1">
        <v>4</v>
      </c>
      <c r="B10" s="1">
        <v>0.48</v>
      </c>
      <c r="C10" s="1">
        <v>3.4796362198497251E-2</v>
      </c>
      <c r="D10" s="2">
        <v>6.5020532086500493E-2</v>
      </c>
      <c r="E10" s="2">
        <v>0.16900009338675845</v>
      </c>
      <c r="F10" s="3" t="s">
        <v>28</v>
      </c>
      <c r="G10" s="3" t="s">
        <v>22</v>
      </c>
    </row>
    <row r="11" spans="1:7" x14ac:dyDescent="0.2">
      <c r="A11" s="1">
        <v>4</v>
      </c>
      <c r="B11" s="1">
        <v>0.86</v>
      </c>
      <c r="C11" s="1">
        <v>3.4796362198497251E-2</v>
      </c>
      <c r="D11" s="2">
        <v>6.2677640863090106E-2</v>
      </c>
      <c r="E11" s="2">
        <v>0.11756527892506671</v>
      </c>
      <c r="F11" s="3" t="s">
        <v>28</v>
      </c>
      <c r="G11" s="3" t="s">
        <v>22</v>
      </c>
    </row>
    <row r="12" spans="1:7" x14ac:dyDescent="0.2">
      <c r="A12" s="1">
        <v>4</v>
      </c>
      <c r="B12" s="1">
        <v>1.29</v>
      </c>
      <c r="C12" s="1">
        <v>3.4796362198497251E-2</v>
      </c>
      <c r="D12" s="2">
        <v>6.3132954955481005E-2</v>
      </c>
      <c r="E12" s="2">
        <v>8.7122718964326676E-2</v>
      </c>
      <c r="F12" s="3" t="s">
        <v>28</v>
      </c>
      <c r="G12" s="3" t="s">
        <v>22</v>
      </c>
    </row>
    <row r="13" spans="1:7" x14ac:dyDescent="0.2">
      <c r="A13" s="1">
        <v>4</v>
      </c>
      <c r="B13" s="1">
        <v>1.66</v>
      </c>
      <c r="C13" s="1">
        <v>3.4796362198497251E-2</v>
      </c>
      <c r="D13" s="2">
        <v>6.0933525305176497E-2</v>
      </c>
      <c r="E13" s="2">
        <v>6.9283990052923239E-2</v>
      </c>
      <c r="F13" s="3" t="s">
        <v>28</v>
      </c>
      <c r="G13" s="3" t="s">
        <v>22</v>
      </c>
    </row>
    <row r="14" spans="1:7" x14ac:dyDescent="0.2">
      <c r="A14" s="1">
        <v>4</v>
      </c>
      <c r="B14" s="1">
        <v>0.82</v>
      </c>
      <c r="C14" s="1">
        <v>3.4796362198497251E-2</v>
      </c>
      <c r="D14" s="2">
        <v>5.7445569305414203E-2</v>
      </c>
      <c r="E14" s="2">
        <v>0.11400238361939601</v>
      </c>
      <c r="F14" s="3" t="s">
        <v>28</v>
      </c>
      <c r="G14" s="3" t="s">
        <v>22</v>
      </c>
    </row>
    <row r="15" spans="1:7" x14ac:dyDescent="0.2">
      <c r="A15" s="1">
        <v>4</v>
      </c>
      <c r="B15" s="1">
        <v>0.45</v>
      </c>
      <c r="C15" s="1">
        <v>3.4796362198497251E-2</v>
      </c>
      <c r="D15" s="2">
        <v>5.2478066373646597E-2</v>
      </c>
      <c r="E15" s="2">
        <v>0.14480486687677996</v>
      </c>
      <c r="F15" s="3" t="s">
        <v>28</v>
      </c>
      <c r="G15" s="3" t="s">
        <v>22</v>
      </c>
    </row>
    <row r="17" spans="1:7" x14ac:dyDescent="0.2">
      <c r="A17" s="1" t="s">
        <v>0</v>
      </c>
      <c r="B17" s="1" t="s">
        <v>4</v>
      </c>
      <c r="C17" s="1" t="s">
        <v>31</v>
      </c>
      <c r="D17" s="1" t="s">
        <v>8</v>
      </c>
      <c r="E17" s="1" t="s">
        <v>18</v>
      </c>
      <c r="F17" s="3" t="s">
        <v>11</v>
      </c>
      <c r="G17" s="3" t="s">
        <v>20</v>
      </c>
    </row>
    <row r="18" spans="1:7" x14ac:dyDescent="0.2">
      <c r="A18" s="1">
        <v>3</v>
      </c>
      <c r="B18" s="1">
        <v>0.48</v>
      </c>
      <c r="C18" s="1">
        <v>7.4611398963727496E-2</v>
      </c>
      <c r="D18" s="2">
        <v>4.3934381380095901E-2</v>
      </c>
      <c r="E18" s="2">
        <v>0.10345965843221398</v>
      </c>
      <c r="F18" s="3" t="s">
        <v>29</v>
      </c>
      <c r="G18" s="3" t="s">
        <v>23</v>
      </c>
    </row>
    <row r="19" spans="1:7" x14ac:dyDescent="0.2">
      <c r="A19" s="1">
        <v>3</v>
      </c>
      <c r="B19" s="1">
        <v>0.86</v>
      </c>
      <c r="C19" s="1">
        <v>7.4611398963727496E-2</v>
      </c>
      <c r="D19" s="2">
        <v>5.3694774307405602E-2</v>
      </c>
      <c r="E19" s="2">
        <v>8.8732612609961917E-2</v>
      </c>
      <c r="F19" s="3" t="s">
        <v>29</v>
      </c>
      <c r="G19" s="3" t="s">
        <v>23</v>
      </c>
    </row>
    <row r="20" spans="1:7" x14ac:dyDescent="0.2">
      <c r="A20" s="1">
        <v>3</v>
      </c>
      <c r="B20" s="1">
        <v>1.29</v>
      </c>
      <c r="C20" s="1">
        <v>7.4611398963727496E-2</v>
      </c>
      <c r="D20" s="2">
        <v>5.5983055936281403E-2</v>
      </c>
      <c r="E20" s="2">
        <v>6.6329241638311748E-2</v>
      </c>
      <c r="F20" s="3" t="s">
        <v>29</v>
      </c>
      <c r="G20" s="3" t="s">
        <v>23</v>
      </c>
    </row>
    <row r="21" spans="1:7" x14ac:dyDescent="0.2">
      <c r="A21" s="1">
        <v>3</v>
      </c>
      <c r="B21" s="1">
        <v>1.66</v>
      </c>
      <c r="C21" s="1">
        <v>7.4611398963727496E-2</v>
      </c>
      <c r="D21" s="2">
        <v>5.84411721624193E-2</v>
      </c>
      <c r="E21" s="2">
        <v>5.2896251285370482E-2</v>
      </c>
      <c r="F21" s="3" t="s">
        <v>29</v>
      </c>
      <c r="G21" s="3" t="s">
        <v>23</v>
      </c>
    </row>
    <row r="22" spans="1:7" x14ac:dyDescent="0.2">
      <c r="A22" s="1">
        <v>3</v>
      </c>
      <c r="B22" s="1">
        <v>0.82</v>
      </c>
      <c r="C22" s="1">
        <v>7.4611398963727496E-2</v>
      </c>
      <c r="D22" s="2">
        <v>5.0633572421087403E-2</v>
      </c>
      <c r="E22" s="2">
        <v>6.7984588962866285E-2</v>
      </c>
      <c r="F22" s="3" t="s">
        <v>29</v>
      </c>
      <c r="G22" s="3" t="s">
        <v>23</v>
      </c>
    </row>
    <row r="23" spans="1:7" x14ac:dyDescent="0.2">
      <c r="A23" s="1">
        <v>3</v>
      </c>
      <c r="B23" s="1">
        <v>0.45</v>
      </c>
      <c r="C23" s="1">
        <v>7.4611398963727496E-2</v>
      </c>
      <c r="D23" s="2">
        <v>5.1107715803541197E-2</v>
      </c>
      <c r="E23" s="2">
        <v>8.6748517159729421E-2</v>
      </c>
      <c r="F23" s="3" t="s">
        <v>29</v>
      </c>
      <c r="G23" s="3" t="s">
        <v>23</v>
      </c>
    </row>
    <row r="25" spans="1:7" x14ac:dyDescent="0.2">
      <c r="A25" s="1" t="s">
        <v>0</v>
      </c>
      <c r="B25" s="1" t="s">
        <v>4</v>
      </c>
      <c r="C25" s="1" t="s">
        <v>31</v>
      </c>
      <c r="D25" s="1" t="s">
        <v>8</v>
      </c>
      <c r="E25" s="1" t="s">
        <v>18</v>
      </c>
      <c r="F25" s="3" t="s">
        <v>11</v>
      </c>
      <c r="G25" s="3" t="s">
        <v>20</v>
      </c>
    </row>
    <row r="26" spans="1:7" x14ac:dyDescent="0.2">
      <c r="A26" s="1">
        <v>2</v>
      </c>
      <c r="B26" s="1">
        <v>0.48</v>
      </c>
      <c r="C26" s="1">
        <v>4.8364808843853913E-2</v>
      </c>
      <c r="D26" s="2">
        <v>4.6734568305628998E-2</v>
      </c>
      <c r="E26" s="2">
        <v>0.11536281902972917</v>
      </c>
      <c r="F26" s="3" t="s">
        <v>30</v>
      </c>
      <c r="G26" s="3" t="s">
        <v>24</v>
      </c>
    </row>
    <row r="27" spans="1:7" x14ac:dyDescent="0.2">
      <c r="A27" s="1">
        <v>2</v>
      </c>
      <c r="B27" s="1">
        <v>0.86</v>
      </c>
      <c r="C27" s="1">
        <v>4.8364808843853913E-2</v>
      </c>
      <c r="D27" s="2">
        <v>3.7724687658021498E-2</v>
      </c>
      <c r="E27" s="2">
        <v>9.0923358711707869E-2</v>
      </c>
      <c r="F27" s="3" t="s">
        <v>30</v>
      </c>
      <c r="G27" s="3" t="s">
        <v>24</v>
      </c>
    </row>
    <row r="28" spans="1:7" x14ac:dyDescent="0.2">
      <c r="A28" s="1">
        <v>2</v>
      </c>
      <c r="B28" s="1">
        <v>1.29</v>
      </c>
      <c r="C28" s="1">
        <v>4.8364808843853913E-2</v>
      </c>
      <c r="D28" s="2">
        <v>3.5282085644284297E-2</v>
      </c>
      <c r="E28" s="2">
        <v>6.4722331827203397E-2</v>
      </c>
      <c r="F28" s="3" t="s">
        <v>30</v>
      </c>
      <c r="G28" s="3" t="s">
        <v>24</v>
      </c>
    </row>
    <row r="29" spans="1:7" x14ac:dyDescent="0.2">
      <c r="A29" s="1">
        <v>2</v>
      </c>
      <c r="B29" s="1">
        <v>1.66</v>
      </c>
      <c r="C29" s="1">
        <v>4.8364808843853913E-2</v>
      </c>
      <c r="D29" s="2">
        <v>3.4011532325336297E-2</v>
      </c>
      <c r="E29" s="2">
        <v>5.0530262616839149E-2</v>
      </c>
      <c r="F29" s="3" t="s">
        <v>30</v>
      </c>
      <c r="G29" s="3" t="s">
        <v>24</v>
      </c>
    </row>
    <row r="30" spans="1:7" x14ac:dyDescent="0.2">
      <c r="A30" s="1">
        <v>2</v>
      </c>
      <c r="B30" s="1">
        <v>0.82</v>
      </c>
      <c r="C30" s="1">
        <v>4.8364808843853913E-2</v>
      </c>
      <c r="D30" s="2">
        <v>4.51711453989476E-2</v>
      </c>
      <c r="E30" s="2">
        <v>7.6383263222770323E-2</v>
      </c>
      <c r="F30" s="3" t="s">
        <v>30</v>
      </c>
      <c r="G30" s="3" t="s">
        <v>24</v>
      </c>
    </row>
    <row r="31" spans="1:7" x14ac:dyDescent="0.2">
      <c r="A31" s="1">
        <v>2</v>
      </c>
      <c r="B31" s="1">
        <v>0.45</v>
      </c>
      <c r="C31" s="1">
        <v>4.8364808843853913E-2</v>
      </c>
      <c r="D31" s="2">
        <v>5.0790549354854199E-2</v>
      </c>
      <c r="E31" s="2">
        <v>0.1065368038498315</v>
      </c>
      <c r="F31" s="3" t="s">
        <v>30</v>
      </c>
      <c r="G31" s="3" t="s">
        <v>24</v>
      </c>
    </row>
    <row r="36" spans="1:7" x14ac:dyDescent="0.2">
      <c r="A36" s="3"/>
      <c r="B36" s="1"/>
      <c r="C36" s="1"/>
      <c r="D36" s="2"/>
      <c r="E36" s="1"/>
      <c r="F36" s="3"/>
      <c r="G36" s="3"/>
    </row>
    <row r="37" spans="1:7" x14ac:dyDescent="0.2">
      <c r="A37" s="3"/>
      <c r="B37" s="1"/>
      <c r="C37" s="1"/>
      <c r="D37" s="2"/>
      <c r="E37" s="1"/>
      <c r="F37" s="3"/>
      <c r="G37" s="3"/>
    </row>
    <row r="38" spans="1:7" x14ac:dyDescent="0.2">
      <c r="A38" s="3"/>
      <c r="B38" s="1"/>
      <c r="C38" s="1"/>
      <c r="D38" s="2"/>
      <c r="E38" s="1"/>
      <c r="F38" s="3"/>
      <c r="G38" s="3"/>
    </row>
    <row r="39" spans="1:7" x14ac:dyDescent="0.2">
      <c r="A39" s="3"/>
      <c r="B39" s="1"/>
      <c r="C39" s="1"/>
      <c r="D39" s="2"/>
      <c r="E39" s="1"/>
      <c r="F39" s="3"/>
      <c r="G39" s="3"/>
    </row>
    <row r="40" spans="1:7" x14ac:dyDescent="0.2">
      <c r="A40" s="3"/>
      <c r="D4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April Results All</vt:lpstr>
      <vt:lpstr>n versus Q</vt:lpstr>
      <vt:lpstr>n versus Q Plot</vt:lpstr>
      <vt:lpstr>Sf versus Q Plot</vt:lpstr>
      <vt:lpstr>April 20 Flood nsf Values Plot</vt:lpstr>
      <vt:lpstr>n versus n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Springer, Greg</cp:lastModifiedBy>
  <cp:lastPrinted>2022-05-12T15:33:59Z</cp:lastPrinted>
  <dcterms:created xsi:type="dcterms:W3CDTF">2022-03-11T17:58:16Z</dcterms:created>
  <dcterms:modified xsi:type="dcterms:W3CDTF">2022-07-27T20:18:09Z</dcterms:modified>
</cp:coreProperties>
</file>