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LDT-NGUYETANH\Desktop\SỐ LIỆU 17T456\17T4\"/>
    </mc:Choice>
  </mc:AlternateContent>
  <xr:revisionPtr revIDLastSave="0" documentId="13_ncr:1_{D343FF36-4EBB-498D-B81A-770B90869C6C}" xr6:coauthVersionLast="47" xr6:coauthVersionMax="47" xr10:uidLastSave="{00000000-0000-0000-0000-000000000000}"/>
  <bookViews>
    <workbookView xWindow="-120" yWindow="-120" windowWidth="20730" windowHeight="11160" tabRatio="803" xr2:uid="{00000000-000D-0000-FFFF-FFFF00000000}"/>
  </bookViews>
  <sheets>
    <sheet name="IN PT T10" sheetId="17" r:id="rId1"/>
    <sheet name="TH-17T4" sheetId="8" r:id="rId2"/>
    <sheet name="Bảng kê TH" sheetId="19" r:id="rId3"/>
  </sheets>
  <externalReferences>
    <externalReference r:id="rId4"/>
    <externalReference r:id="rId5"/>
  </externalReferences>
  <definedNames>
    <definedName name="_xlnm._FilterDatabase" localSheetId="2" hidden="1">'Bảng kê TH'!$A$7:$V$149</definedName>
    <definedName name="_xlnm._FilterDatabase" localSheetId="1" hidden="1">'TH-17T4'!$E$4:$AW$144</definedName>
    <definedName name="_Order2" hidden="1">255</definedName>
    <definedName name="HTML_CodePage" hidden="1">950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TK">[1]Sheet1!$A$5:$A$301</definedName>
    <definedName name="MS">[1]CDPS!$B$11:$B$219</definedName>
    <definedName name="ngay1">[1]ThongtinDN!$C$14</definedName>
    <definedName name="ngay2">[1]ThongtinDN!$C$15</definedName>
    <definedName name="PSCKC">[1]CDPS!$J$11:$J$219</definedName>
    <definedName name="PSCKN">[1]CDPS!$I$11:$I$219</definedName>
    <definedName name="PSDKC">[1]CDPS!$F$11:$F$219</definedName>
    <definedName name="PSDKN">[1]CDPS!$E$11:$E$219</definedName>
    <definedName name="Slicer_CUSTOMER">#N/A</definedName>
    <definedName name="Slicer_PRODUCT">#N/A</definedName>
  </definedNames>
  <calcPr calcId="191029"/>
</workbook>
</file>

<file path=xl/calcChain.xml><?xml version="1.0" encoding="utf-8"?>
<calcChain xmlns="http://schemas.openxmlformats.org/spreadsheetml/2006/main">
  <c r="E138" i="19" l="1"/>
  <c r="F138" i="19"/>
  <c r="G138" i="19"/>
  <c r="H138" i="19"/>
  <c r="I138" i="19"/>
  <c r="J138" i="19"/>
  <c r="K138" i="19"/>
  <c r="L138" i="19"/>
  <c r="M138" i="19"/>
  <c r="O138" i="19"/>
  <c r="E133" i="19"/>
  <c r="F133" i="19"/>
  <c r="G133" i="19"/>
  <c r="H133" i="19"/>
  <c r="I133" i="19"/>
  <c r="J133" i="19"/>
  <c r="K133" i="19"/>
  <c r="L133" i="19"/>
  <c r="M133" i="19"/>
  <c r="O133" i="19"/>
  <c r="N138" i="19" l="1"/>
  <c r="P138" i="19" s="1"/>
  <c r="Q138" i="19" s="1"/>
  <c r="R138" i="19" s="1"/>
  <c r="N133" i="19"/>
  <c r="P133" i="19" s="1"/>
  <c r="R133" i="19" s="1"/>
  <c r="Z146" i="8"/>
  <c r="AC146" i="8"/>
  <c r="AL146" i="8"/>
  <c r="AI146" i="8"/>
  <c r="AF146" i="8"/>
  <c r="E142" i="19"/>
  <c r="F142" i="19"/>
  <c r="G142" i="19"/>
  <c r="H142" i="19"/>
  <c r="I142" i="19"/>
  <c r="J142" i="19"/>
  <c r="K142" i="19"/>
  <c r="L142" i="19"/>
  <c r="M142" i="19"/>
  <c r="O142" i="19"/>
  <c r="N142" i="19" l="1"/>
  <c r="P142" i="19" s="1"/>
  <c r="O16" i="19" l="1"/>
  <c r="O24" i="19"/>
  <c r="O32" i="19"/>
  <c r="O40" i="19"/>
  <c r="O48" i="19"/>
  <c r="O56" i="19"/>
  <c r="O64" i="19"/>
  <c r="O72" i="19"/>
  <c r="O80" i="19"/>
  <c r="O88" i="19"/>
  <c r="O96" i="19"/>
  <c r="O104" i="19"/>
  <c r="O111" i="19"/>
  <c r="O118" i="19"/>
  <c r="O125" i="19"/>
  <c r="O127" i="19"/>
  <c r="O128" i="19"/>
  <c r="O131" i="19"/>
  <c r="O132" i="19"/>
  <c r="O134" i="19"/>
  <c r="O135" i="19"/>
  <c r="O136" i="19"/>
  <c r="O137" i="19"/>
  <c r="O139" i="19"/>
  <c r="O140" i="19"/>
  <c r="O141" i="19"/>
  <c r="O143" i="19"/>
  <c r="O144" i="19"/>
  <c r="O145" i="19"/>
  <c r="O9" i="19"/>
  <c r="O8" i="19"/>
  <c r="M16" i="19"/>
  <c r="M24" i="19"/>
  <c r="M32" i="19"/>
  <c r="M40" i="19"/>
  <c r="M48" i="19"/>
  <c r="M56" i="19"/>
  <c r="M64" i="19"/>
  <c r="M72" i="19"/>
  <c r="M80" i="19"/>
  <c r="M88" i="19"/>
  <c r="M96" i="19"/>
  <c r="M104" i="19"/>
  <c r="M111" i="19"/>
  <c r="M118" i="19"/>
  <c r="M125" i="19"/>
  <c r="M127" i="19"/>
  <c r="M128" i="19"/>
  <c r="M131" i="19"/>
  <c r="M132" i="19"/>
  <c r="M134" i="19"/>
  <c r="M135" i="19"/>
  <c r="M136" i="19"/>
  <c r="M137" i="19"/>
  <c r="M139" i="19"/>
  <c r="M140" i="19"/>
  <c r="M141" i="19"/>
  <c r="M143" i="19"/>
  <c r="M144" i="19"/>
  <c r="M145" i="19"/>
  <c r="M9" i="19"/>
  <c r="M8" i="19"/>
  <c r="L16" i="19"/>
  <c r="L24" i="19"/>
  <c r="L32" i="19"/>
  <c r="L40" i="19"/>
  <c r="L48" i="19"/>
  <c r="L56" i="19"/>
  <c r="L64" i="19"/>
  <c r="L72" i="19"/>
  <c r="L80" i="19"/>
  <c r="L88" i="19"/>
  <c r="L96" i="19"/>
  <c r="L104" i="19"/>
  <c r="L111" i="19"/>
  <c r="L118" i="19"/>
  <c r="L125" i="19"/>
  <c r="L127" i="19"/>
  <c r="L128" i="19"/>
  <c r="L131" i="19"/>
  <c r="L132" i="19"/>
  <c r="L134" i="19"/>
  <c r="L135" i="19"/>
  <c r="L136" i="19"/>
  <c r="L137" i="19"/>
  <c r="L139" i="19"/>
  <c r="L140" i="19"/>
  <c r="L141" i="19"/>
  <c r="L143" i="19"/>
  <c r="L144" i="19"/>
  <c r="L145" i="19"/>
  <c r="L9" i="19"/>
  <c r="L8" i="19"/>
  <c r="K16" i="19"/>
  <c r="K24" i="19"/>
  <c r="K32" i="19"/>
  <c r="K40" i="19"/>
  <c r="K48" i="19"/>
  <c r="K56" i="19"/>
  <c r="K64" i="19"/>
  <c r="K72" i="19"/>
  <c r="K80" i="19"/>
  <c r="K88" i="19"/>
  <c r="K96" i="19"/>
  <c r="K104" i="19"/>
  <c r="K111" i="19"/>
  <c r="K118" i="19"/>
  <c r="K125" i="19"/>
  <c r="K127" i="19"/>
  <c r="K128" i="19"/>
  <c r="K131" i="19"/>
  <c r="K132" i="19"/>
  <c r="K134" i="19"/>
  <c r="K135" i="19"/>
  <c r="K136" i="19"/>
  <c r="K137" i="19"/>
  <c r="K139" i="19"/>
  <c r="K140" i="19"/>
  <c r="K141" i="19"/>
  <c r="K143" i="19"/>
  <c r="K144" i="19"/>
  <c r="K145" i="19"/>
  <c r="K9" i="19"/>
  <c r="K8" i="19"/>
  <c r="J16" i="19"/>
  <c r="J24" i="19"/>
  <c r="J32" i="19"/>
  <c r="J40" i="19"/>
  <c r="J48" i="19"/>
  <c r="J56" i="19"/>
  <c r="J64" i="19"/>
  <c r="J72" i="19"/>
  <c r="J80" i="19"/>
  <c r="J88" i="19"/>
  <c r="J96" i="19"/>
  <c r="J104" i="19"/>
  <c r="J111" i="19"/>
  <c r="J118" i="19"/>
  <c r="J125" i="19"/>
  <c r="J127" i="19"/>
  <c r="J128" i="19"/>
  <c r="J131" i="19"/>
  <c r="J132" i="19"/>
  <c r="J134" i="19"/>
  <c r="J135" i="19"/>
  <c r="J136" i="19"/>
  <c r="J137" i="19"/>
  <c r="J139" i="19"/>
  <c r="J140" i="19"/>
  <c r="J141" i="19"/>
  <c r="J143" i="19"/>
  <c r="J144" i="19"/>
  <c r="J145" i="19"/>
  <c r="J9" i="19"/>
  <c r="J8" i="19"/>
  <c r="I16" i="19"/>
  <c r="I24" i="19"/>
  <c r="I32" i="19"/>
  <c r="I40" i="19"/>
  <c r="I48" i="19"/>
  <c r="I56" i="19"/>
  <c r="I64" i="19"/>
  <c r="I72" i="19"/>
  <c r="I80" i="19"/>
  <c r="I88" i="19"/>
  <c r="I96" i="19"/>
  <c r="I104" i="19"/>
  <c r="I111" i="19"/>
  <c r="I118" i="19"/>
  <c r="I125" i="19"/>
  <c r="I127" i="19"/>
  <c r="I128" i="19"/>
  <c r="I131" i="19"/>
  <c r="I132" i="19"/>
  <c r="I134" i="19"/>
  <c r="I135" i="19"/>
  <c r="I136" i="19"/>
  <c r="I137" i="19"/>
  <c r="I139" i="19"/>
  <c r="I140" i="19"/>
  <c r="I141" i="19"/>
  <c r="I143" i="19"/>
  <c r="I144" i="19"/>
  <c r="I145" i="19"/>
  <c r="I9" i="19"/>
  <c r="I8" i="19"/>
  <c r="H16" i="19"/>
  <c r="H24" i="19"/>
  <c r="H32" i="19"/>
  <c r="H40" i="19"/>
  <c r="H48" i="19"/>
  <c r="H56" i="19"/>
  <c r="H64" i="19"/>
  <c r="H72" i="19"/>
  <c r="H80" i="19"/>
  <c r="H88" i="19"/>
  <c r="H96" i="19"/>
  <c r="H104" i="19"/>
  <c r="H111" i="19"/>
  <c r="H118" i="19"/>
  <c r="H125" i="19"/>
  <c r="H127" i="19"/>
  <c r="H128" i="19"/>
  <c r="H131" i="19"/>
  <c r="H132" i="19"/>
  <c r="H134" i="19"/>
  <c r="H135" i="19"/>
  <c r="H136" i="19"/>
  <c r="H137" i="19"/>
  <c r="H139" i="19"/>
  <c r="H140" i="19"/>
  <c r="H141" i="19"/>
  <c r="H143" i="19"/>
  <c r="H144" i="19"/>
  <c r="H145" i="19"/>
  <c r="H9" i="19"/>
  <c r="H8" i="19"/>
  <c r="E131" i="19"/>
  <c r="F131" i="19"/>
  <c r="G131" i="19"/>
  <c r="E132" i="19"/>
  <c r="F132" i="19"/>
  <c r="G132" i="19"/>
  <c r="E134" i="19"/>
  <c r="F134" i="19"/>
  <c r="G134" i="19"/>
  <c r="E135" i="19"/>
  <c r="F135" i="19"/>
  <c r="G135" i="19"/>
  <c r="E136" i="19"/>
  <c r="F136" i="19"/>
  <c r="G136" i="19"/>
  <c r="E137" i="19"/>
  <c r="F137" i="19"/>
  <c r="G137" i="19"/>
  <c r="E139" i="19"/>
  <c r="F139" i="19"/>
  <c r="G139" i="19"/>
  <c r="E140" i="19"/>
  <c r="F140" i="19"/>
  <c r="G140" i="19"/>
  <c r="E141" i="19"/>
  <c r="F141" i="19"/>
  <c r="G141" i="19"/>
  <c r="E143" i="19"/>
  <c r="F143" i="19"/>
  <c r="G143" i="19"/>
  <c r="E144" i="19"/>
  <c r="F144" i="19"/>
  <c r="G144" i="19"/>
  <c r="E145" i="19"/>
  <c r="F145" i="19"/>
  <c r="G145" i="19"/>
  <c r="G16" i="19"/>
  <c r="G24" i="19"/>
  <c r="G32" i="19"/>
  <c r="G40" i="19"/>
  <c r="G48" i="19"/>
  <c r="G56" i="19"/>
  <c r="G64" i="19"/>
  <c r="G72" i="19"/>
  <c r="G80" i="19"/>
  <c r="G88" i="19"/>
  <c r="G96" i="19"/>
  <c r="G104" i="19"/>
  <c r="G111" i="19"/>
  <c r="G118" i="19"/>
  <c r="G125" i="19"/>
  <c r="G127" i="19"/>
  <c r="G128" i="19"/>
  <c r="G9" i="19"/>
  <c r="G8" i="19"/>
  <c r="F16" i="19"/>
  <c r="F24" i="19"/>
  <c r="F32" i="19"/>
  <c r="F40" i="19"/>
  <c r="F48" i="19"/>
  <c r="F56" i="19"/>
  <c r="F64" i="19"/>
  <c r="F72" i="19"/>
  <c r="F80" i="19"/>
  <c r="F88" i="19"/>
  <c r="F96" i="19"/>
  <c r="F104" i="19"/>
  <c r="F111" i="19"/>
  <c r="F118" i="19"/>
  <c r="F125" i="19"/>
  <c r="F127" i="19"/>
  <c r="F128" i="19"/>
  <c r="F9" i="19"/>
  <c r="F8" i="19"/>
  <c r="E16" i="19"/>
  <c r="E24" i="19"/>
  <c r="E32" i="19"/>
  <c r="E40" i="19"/>
  <c r="E48" i="19"/>
  <c r="E56" i="19"/>
  <c r="E64" i="19"/>
  <c r="E72" i="19"/>
  <c r="E80" i="19"/>
  <c r="E88" i="19"/>
  <c r="E96" i="19"/>
  <c r="E104" i="19"/>
  <c r="E111" i="19"/>
  <c r="E118" i="19"/>
  <c r="E125" i="19"/>
  <c r="E127" i="19"/>
  <c r="E128" i="19"/>
  <c r="E9" i="19"/>
  <c r="E8" i="19"/>
  <c r="N144" i="19" l="1"/>
  <c r="P144" i="19" s="1"/>
  <c r="R144" i="19" s="1"/>
  <c r="N139" i="19"/>
  <c r="P139" i="19" s="1"/>
  <c r="N134" i="19"/>
  <c r="N72" i="19"/>
  <c r="P72" i="19" s="1"/>
  <c r="N125" i="19"/>
  <c r="P125" i="19" s="1"/>
  <c r="R125" i="19" s="1"/>
  <c r="N136" i="19"/>
  <c r="N118" i="19"/>
  <c r="P118" i="19" s="1"/>
  <c r="N145" i="19"/>
  <c r="P145" i="19" s="1"/>
  <c r="R145" i="19" s="1"/>
  <c r="N140" i="19"/>
  <c r="P140" i="19" s="1"/>
  <c r="N135" i="19"/>
  <c r="P135" i="19" s="1"/>
  <c r="P134" i="19"/>
  <c r="P136" i="19"/>
  <c r="N131" i="19"/>
  <c r="P131" i="19" s="1"/>
  <c r="N56" i="19"/>
  <c r="P56" i="19" s="1"/>
  <c r="N8" i="19"/>
  <c r="P8" i="19" s="1"/>
  <c r="N143" i="19"/>
  <c r="P143" i="19" s="1"/>
  <c r="N137" i="19"/>
  <c r="P137" i="19" s="1"/>
  <c r="N132" i="19"/>
  <c r="N128" i="19"/>
  <c r="P128" i="19" s="1"/>
  <c r="N104" i="19"/>
  <c r="P104" i="19" s="1"/>
  <c r="R104" i="19" s="1"/>
  <c r="N96" i="19"/>
  <c r="P96" i="19" s="1"/>
  <c r="N88" i="19"/>
  <c r="P88" i="19" s="1"/>
  <c r="N80" i="19"/>
  <c r="P80" i="19" s="1"/>
  <c r="N64" i="19"/>
  <c r="P64" i="19" s="1"/>
  <c r="R64" i="19" s="1"/>
  <c r="N48" i="19"/>
  <c r="P48" i="19" s="1"/>
  <c r="N40" i="19"/>
  <c r="P40" i="19" s="1"/>
  <c r="R40" i="19" s="1"/>
  <c r="N32" i="19"/>
  <c r="P32" i="19" s="1"/>
  <c r="N24" i="19"/>
  <c r="P24" i="19" s="1"/>
  <c r="N16" i="19"/>
  <c r="P16" i="19" s="1"/>
  <c r="N9" i="19"/>
  <c r="P9" i="19" s="1"/>
  <c r="N141" i="19"/>
  <c r="P141" i="19" s="1"/>
  <c r="N127" i="19"/>
  <c r="P127" i="19" s="1"/>
  <c r="R127" i="19" s="1"/>
  <c r="N111" i="19"/>
  <c r="P111" i="19" s="1"/>
  <c r="P132" i="19"/>
  <c r="C129" i="19" l="1"/>
  <c r="C126" i="19"/>
  <c r="C119" i="19"/>
  <c r="C112" i="19"/>
  <c r="C105" i="19"/>
  <c r="C97" i="19"/>
  <c r="C89" i="19"/>
  <c r="C81" i="19"/>
  <c r="C73" i="19"/>
  <c r="C65" i="19"/>
  <c r="C57" i="19"/>
  <c r="C49" i="19"/>
  <c r="C41" i="19"/>
  <c r="C33" i="19"/>
  <c r="C25" i="19"/>
  <c r="C17" i="19"/>
  <c r="C10" i="19"/>
  <c r="A9" i="19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l="1"/>
  <c r="A134" i="19" s="1"/>
  <c r="A135" i="19" s="1"/>
  <c r="A136" i="19" s="1"/>
  <c r="A137" i="19" s="1"/>
  <c r="O65" i="19"/>
  <c r="M65" i="19"/>
  <c r="K65" i="19"/>
  <c r="L65" i="19"/>
  <c r="H65" i="19"/>
  <c r="I65" i="19"/>
  <c r="J65" i="19"/>
  <c r="O97" i="19"/>
  <c r="M97" i="19"/>
  <c r="K97" i="19"/>
  <c r="L97" i="19"/>
  <c r="H97" i="19"/>
  <c r="J97" i="19"/>
  <c r="I97" i="19"/>
  <c r="O73" i="19"/>
  <c r="M73" i="19"/>
  <c r="K73" i="19"/>
  <c r="H73" i="19"/>
  <c r="J73" i="19"/>
  <c r="L73" i="19"/>
  <c r="I73" i="19"/>
  <c r="O105" i="19"/>
  <c r="K105" i="19"/>
  <c r="L105" i="19"/>
  <c r="I105" i="19"/>
  <c r="M105" i="19"/>
  <c r="H105" i="19"/>
  <c r="J105" i="19"/>
  <c r="O129" i="19"/>
  <c r="K129" i="19"/>
  <c r="M129" i="19"/>
  <c r="L129" i="19"/>
  <c r="I129" i="19"/>
  <c r="J129" i="19"/>
  <c r="H129" i="19"/>
  <c r="O25" i="19"/>
  <c r="M25" i="19"/>
  <c r="K25" i="19"/>
  <c r="H25" i="19"/>
  <c r="L25" i="19"/>
  <c r="I25" i="19"/>
  <c r="J25" i="19"/>
  <c r="O57" i="19"/>
  <c r="M57" i="19"/>
  <c r="K57" i="19"/>
  <c r="H57" i="19"/>
  <c r="I57" i="19"/>
  <c r="L57" i="19"/>
  <c r="J57" i="19"/>
  <c r="O89" i="19"/>
  <c r="M89" i="19"/>
  <c r="K89" i="19"/>
  <c r="L89" i="19"/>
  <c r="I89" i="19"/>
  <c r="H89" i="19"/>
  <c r="J89" i="19"/>
  <c r="O119" i="19"/>
  <c r="I119" i="19"/>
  <c r="M119" i="19"/>
  <c r="J119" i="19"/>
  <c r="H119" i="19"/>
  <c r="L119" i="19"/>
  <c r="K119" i="19"/>
  <c r="O33" i="19"/>
  <c r="M33" i="19"/>
  <c r="K33" i="19"/>
  <c r="L33" i="19"/>
  <c r="H33" i="19"/>
  <c r="I33" i="19"/>
  <c r="J33" i="19"/>
  <c r="O126" i="19"/>
  <c r="M126" i="19"/>
  <c r="J126" i="19"/>
  <c r="K126" i="19"/>
  <c r="I126" i="19"/>
  <c r="L126" i="19"/>
  <c r="H126" i="19"/>
  <c r="O10" i="19"/>
  <c r="M10" i="19"/>
  <c r="L10" i="19"/>
  <c r="J10" i="19"/>
  <c r="K10" i="19"/>
  <c r="I10" i="19"/>
  <c r="H10" i="19"/>
  <c r="O41" i="19"/>
  <c r="M41" i="19"/>
  <c r="K41" i="19"/>
  <c r="H41" i="19"/>
  <c r="L41" i="19"/>
  <c r="I41" i="19"/>
  <c r="J41" i="19"/>
  <c r="O17" i="19"/>
  <c r="M17" i="19"/>
  <c r="K17" i="19"/>
  <c r="L17" i="19"/>
  <c r="H17" i="19"/>
  <c r="I17" i="19"/>
  <c r="J17" i="19"/>
  <c r="O49" i="19"/>
  <c r="M49" i="19"/>
  <c r="K49" i="19"/>
  <c r="L49" i="19"/>
  <c r="H49" i="19"/>
  <c r="I49" i="19"/>
  <c r="J49" i="19"/>
  <c r="O81" i="19"/>
  <c r="M81" i="19"/>
  <c r="K81" i="19"/>
  <c r="L81" i="19"/>
  <c r="H81" i="19"/>
  <c r="I81" i="19"/>
  <c r="J81" i="19"/>
  <c r="O112" i="19"/>
  <c r="L112" i="19"/>
  <c r="I112" i="19"/>
  <c r="M112" i="19"/>
  <c r="H112" i="19"/>
  <c r="J112" i="19"/>
  <c r="K112" i="19"/>
  <c r="C26" i="19"/>
  <c r="E25" i="19"/>
  <c r="F25" i="19"/>
  <c r="G25" i="19"/>
  <c r="C58" i="19"/>
  <c r="E57" i="19"/>
  <c r="F57" i="19"/>
  <c r="G57" i="19"/>
  <c r="C90" i="19"/>
  <c r="F89" i="19"/>
  <c r="G89" i="19"/>
  <c r="E89" i="19"/>
  <c r="C34" i="19"/>
  <c r="E33" i="19"/>
  <c r="F33" i="19"/>
  <c r="G33" i="19"/>
  <c r="C42" i="19"/>
  <c r="E41" i="19"/>
  <c r="F41" i="19"/>
  <c r="G41" i="19"/>
  <c r="C74" i="19"/>
  <c r="E73" i="19"/>
  <c r="F73" i="19"/>
  <c r="G73" i="19"/>
  <c r="C106" i="19"/>
  <c r="F105" i="19"/>
  <c r="E105" i="19"/>
  <c r="G105" i="19"/>
  <c r="C113" i="19"/>
  <c r="E112" i="19"/>
  <c r="F112" i="19"/>
  <c r="G112" i="19"/>
  <c r="C120" i="19"/>
  <c r="F119" i="19"/>
  <c r="G119" i="19"/>
  <c r="E119" i="19"/>
  <c r="G126" i="19"/>
  <c r="E126" i="19"/>
  <c r="F126" i="19"/>
  <c r="C130" i="19"/>
  <c r="F129" i="19"/>
  <c r="G129" i="19"/>
  <c r="E129" i="19"/>
  <c r="C66" i="19"/>
  <c r="E65" i="19"/>
  <c r="F65" i="19"/>
  <c r="G65" i="19"/>
  <c r="C98" i="19"/>
  <c r="F97" i="19"/>
  <c r="E97" i="19"/>
  <c r="G97" i="19"/>
  <c r="C11" i="19"/>
  <c r="G10" i="19"/>
  <c r="E10" i="19"/>
  <c r="F10" i="19"/>
  <c r="C18" i="19"/>
  <c r="E17" i="19"/>
  <c r="F17" i="19"/>
  <c r="G17" i="19"/>
  <c r="C50" i="19"/>
  <c r="E49" i="19"/>
  <c r="F49" i="19"/>
  <c r="G49" i="19"/>
  <c r="C82" i="19"/>
  <c r="E81" i="19"/>
  <c r="F81" i="19"/>
  <c r="G81" i="19"/>
  <c r="AM146" i="8"/>
  <c r="N148" i="19" s="1"/>
  <c r="AV146" i="8"/>
  <c r="A138" i="19" l="1"/>
  <c r="A139" i="19" s="1"/>
  <c r="A140" i="19" s="1"/>
  <c r="A141" i="19" s="1"/>
  <c r="A142" i="19" s="1"/>
  <c r="A143" i="19" s="1"/>
  <c r="A144" i="19" s="1"/>
  <c r="A145" i="19" s="1"/>
  <c r="A146" i="19" s="1"/>
  <c r="N49" i="19"/>
  <c r="P49" i="19" s="1"/>
  <c r="N57" i="19"/>
  <c r="P57" i="19" s="1"/>
  <c r="R57" i="19" s="1"/>
  <c r="N81" i="19"/>
  <c r="P81" i="19" s="1"/>
  <c r="R81" i="19" s="1"/>
  <c r="N10" i="19"/>
  <c r="P10" i="19" s="1"/>
  <c r="N126" i="19"/>
  <c r="P126" i="19" s="1"/>
  <c r="R126" i="19" s="1"/>
  <c r="N41" i="19"/>
  <c r="P41" i="19" s="1"/>
  <c r="N119" i="19"/>
  <c r="P119" i="19" s="1"/>
  <c r="N89" i="19"/>
  <c r="P89" i="19" s="1"/>
  <c r="N97" i="19"/>
  <c r="P97" i="19" s="1"/>
  <c r="N65" i="19"/>
  <c r="P65" i="19" s="1"/>
  <c r="O82" i="19"/>
  <c r="J82" i="19"/>
  <c r="K82" i="19"/>
  <c r="M82" i="19"/>
  <c r="H82" i="19"/>
  <c r="I82" i="19"/>
  <c r="L82" i="19"/>
  <c r="O50" i="19"/>
  <c r="M50" i="19"/>
  <c r="J50" i="19"/>
  <c r="K50" i="19"/>
  <c r="L50" i="19"/>
  <c r="I50" i="19"/>
  <c r="H50" i="19"/>
  <c r="O18" i="19"/>
  <c r="J18" i="19"/>
  <c r="K18" i="19"/>
  <c r="M18" i="19"/>
  <c r="L18" i="19"/>
  <c r="I18" i="19"/>
  <c r="H18" i="19"/>
  <c r="O11" i="19"/>
  <c r="L11" i="19"/>
  <c r="I11" i="19"/>
  <c r="J11" i="19"/>
  <c r="M11" i="19"/>
  <c r="K11" i="19"/>
  <c r="H11" i="19"/>
  <c r="M98" i="19"/>
  <c r="J98" i="19"/>
  <c r="O98" i="19"/>
  <c r="K98" i="19"/>
  <c r="L98" i="19"/>
  <c r="I98" i="19"/>
  <c r="H98" i="19"/>
  <c r="J66" i="19"/>
  <c r="O66" i="19"/>
  <c r="M66" i="19"/>
  <c r="K66" i="19"/>
  <c r="I66" i="19"/>
  <c r="H66" i="19"/>
  <c r="L66" i="19"/>
  <c r="O130" i="19"/>
  <c r="M130" i="19"/>
  <c r="J130" i="19"/>
  <c r="K130" i="19"/>
  <c r="L130" i="19"/>
  <c r="I130" i="19"/>
  <c r="H130" i="19"/>
  <c r="N112" i="19"/>
  <c r="P112" i="19" s="1"/>
  <c r="O120" i="19"/>
  <c r="L120" i="19"/>
  <c r="I120" i="19"/>
  <c r="M120" i="19"/>
  <c r="H120" i="19"/>
  <c r="K120" i="19"/>
  <c r="J120" i="19"/>
  <c r="O113" i="19"/>
  <c r="M113" i="19"/>
  <c r="K113" i="19"/>
  <c r="L113" i="19"/>
  <c r="I113" i="19"/>
  <c r="J113" i="19"/>
  <c r="H113" i="19"/>
  <c r="O106" i="19"/>
  <c r="M106" i="19"/>
  <c r="J106" i="19"/>
  <c r="K106" i="19"/>
  <c r="I106" i="19"/>
  <c r="L106" i="19"/>
  <c r="H106" i="19"/>
  <c r="O74" i="19"/>
  <c r="M74" i="19"/>
  <c r="L74" i="19"/>
  <c r="J74" i="19"/>
  <c r="K74" i="19"/>
  <c r="I74" i="19"/>
  <c r="H74" i="19"/>
  <c r="O42" i="19"/>
  <c r="M42" i="19"/>
  <c r="L42" i="19"/>
  <c r="J42" i="19"/>
  <c r="K42" i="19"/>
  <c r="I42" i="19"/>
  <c r="H42" i="19"/>
  <c r="J34" i="19"/>
  <c r="O34" i="19"/>
  <c r="K34" i="19"/>
  <c r="M34" i="19"/>
  <c r="L34" i="19"/>
  <c r="H34" i="19"/>
  <c r="I34" i="19"/>
  <c r="O90" i="19"/>
  <c r="M90" i="19"/>
  <c r="L90" i="19"/>
  <c r="J90" i="19"/>
  <c r="K90" i="19"/>
  <c r="I90" i="19"/>
  <c r="H90" i="19"/>
  <c r="O58" i="19"/>
  <c r="M58" i="19"/>
  <c r="L58" i="19"/>
  <c r="J58" i="19"/>
  <c r="K58" i="19"/>
  <c r="H58" i="19"/>
  <c r="I58" i="19"/>
  <c r="O26" i="19"/>
  <c r="M26" i="19"/>
  <c r="L26" i="19"/>
  <c r="J26" i="19"/>
  <c r="K26" i="19"/>
  <c r="H26" i="19"/>
  <c r="I26" i="19"/>
  <c r="N17" i="19"/>
  <c r="P17" i="19" s="1"/>
  <c r="R17" i="19" s="1"/>
  <c r="N33" i="19"/>
  <c r="P33" i="19" s="1"/>
  <c r="N25" i="19"/>
  <c r="P25" i="19" s="1"/>
  <c r="R25" i="19" s="1"/>
  <c r="N129" i="19"/>
  <c r="P129" i="19" s="1"/>
  <c r="N105" i="19"/>
  <c r="P105" i="19" s="1"/>
  <c r="N73" i="19"/>
  <c r="P73" i="19" s="1"/>
  <c r="C83" i="19"/>
  <c r="G82" i="19"/>
  <c r="E82" i="19"/>
  <c r="F82" i="19"/>
  <c r="C51" i="19"/>
  <c r="G50" i="19"/>
  <c r="E50" i="19"/>
  <c r="F50" i="19"/>
  <c r="C19" i="19"/>
  <c r="G18" i="19"/>
  <c r="E18" i="19"/>
  <c r="F18" i="19"/>
  <c r="C12" i="19"/>
  <c r="F11" i="19"/>
  <c r="G11" i="19"/>
  <c r="E11" i="19"/>
  <c r="C99" i="19"/>
  <c r="G98" i="19"/>
  <c r="E98" i="19"/>
  <c r="F98" i="19"/>
  <c r="C67" i="19"/>
  <c r="G66" i="19"/>
  <c r="E66" i="19"/>
  <c r="F66" i="19"/>
  <c r="G130" i="19"/>
  <c r="E130" i="19"/>
  <c r="F130" i="19"/>
  <c r="C121" i="19"/>
  <c r="E120" i="19"/>
  <c r="F120" i="19"/>
  <c r="G120" i="19"/>
  <c r="C114" i="19"/>
  <c r="F113" i="19"/>
  <c r="G113" i="19"/>
  <c r="E113" i="19"/>
  <c r="C107" i="19"/>
  <c r="G106" i="19"/>
  <c r="E106" i="19"/>
  <c r="F106" i="19"/>
  <c r="C75" i="19"/>
  <c r="G74" i="19"/>
  <c r="E74" i="19"/>
  <c r="F74" i="19"/>
  <c r="C43" i="19"/>
  <c r="G42" i="19"/>
  <c r="E42" i="19"/>
  <c r="F42" i="19"/>
  <c r="C35" i="19"/>
  <c r="G34" i="19"/>
  <c r="E34" i="19"/>
  <c r="F34" i="19"/>
  <c r="C91" i="19"/>
  <c r="G90" i="19"/>
  <c r="E90" i="19"/>
  <c r="F90" i="19"/>
  <c r="C59" i="19"/>
  <c r="G58" i="19"/>
  <c r="E58" i="19"/>
  <c r="F58" i="19"/>
  <c r="C27" i="19"/>
  <c r="G26" i="19"/>
  <c r="E26" i="19"/>
  <c r="F26" i="19"/>
  <c r="AU146" i="8"/>
  <c r="AQ146" i="8"/>
  <c r="N26" i="19" l="1"/>
  <c r="N74" i="19"/>
  <c r="P74" i="19" s="1"/>
  <c r="N106" i="19"/>
  <c r="P106" i="19" s="1"/>
  <c r="R106" i="19" s="1"/>
  <c r="N98" i="19"/>
  <c r="P98" i="19" s="1"/>
  <c r="R98" i="19" s="1"/>
  <c r="L27" i="19"/>
  <c r="I27" i="19"/>
  <c r="J27" i="19"/>
  <c r="K27" i="19"/>
  <c r="M27" i="19"/>
  <c r="H27" i="19"/>
  <c r="O27" i="19"/>
  <c r="L91" i="19"/>
  <c r="I91" i="19"/>
  <c r="J91" i="19"/>
  <c r="O91" i="19"/>
  <c r="K91" i="19"/>
  <c r="H91" i="19"/>
  <c r="M91" i="19"/>
  <c r="L35" i="19"/>
  <c r="M35" i="19"/>
  <c r="I35" i="19"/>
  <c r="J35" i="19"/>
  <c r="O35" i="19"/>
  <c r="K35" i="19"/>
  <c r="H35" i="19"/>
  <c r="O43" i="19"/>
  <c r="L43" i="19"/>
  <c r="M43" i="19"/>
  <c r="I43" i="19"/>
  <c r="J43" i="19"/>
  <c r="K43" i="19"/>
  <c r="H43" i="19"/>
  <c r="O75" i="19"/>
  <c r="L75" i="19"/>
  <c r="I75" i="19"/>
  <c r="J75" i="19"/>
  <c r="K75" i="19"/>
  <c r="M75" i="19"/>
  <c r="H75" i="19"/>
  <c r="O107" i="19"/>
  <c r="I107" i="19"/>
  <c r="J107" i="19"/>
  <c r="K107" i="19"/>
  <c r="H107" i="19"/>
  <c r="L107" i="19"/>
  <c r="M107" i="19"/>
  <c r="M114" i="19"/>
  <c r="J114" i="19"/>
  <c r="O114" i="19"/>
  <c r="K114" i="19"/>
  <c r="L114" i="19"/>
  <c r="I114" i="19"/>
  <c r="H114" i="19"/>
  <c r="O121" i="19"/>
  <c r="K121" i="19"/>
  <c r="L121" i="19"/>
  <c r="J121" i="19"/>
  <c r="I121" i="19"/>
  <c r="M121" i="19"/>
  <c r="H121" i="19"/>
  <c r="N120" i="19"/>
  <c r="P120" i="19" s="1"/>
  <c r="N34" i="19"/>
  <c r="P34" i="19" s="1"/>
  <c r="R34" i="19" s="1"/>
  <c r="N42" i="19"/>
  <c r="P42" i="19" s="1"/>
  <c r="N82" i="19"/>
  <c r="P82" i="19" s="1"/>
  <c r="R82" i="19" s="1"/>
  <c r="P26" i="19"/>
  <c r="R26" i="19" s="1"/>
  <c r="N50" i="19"/>
  <c r="P50" i="19" s="1"/>
  <c r="L67" i="19"/>
  <c r="I67" i="19"/>
  <c r="J67" i="19"/>
  <c r="O67" i="19"/>
  <c r="K67" i="19"/>
  <c r="M67" i="19"/>
  <c r="H67" i="19"/>
  <c r="I99" i="19"/>
  <c r="M99" i="19"/>
  <c r="J99" i="19"/>
  <c r="O99" i="19"/>
  <c r="H99" i="19"/>
  <c r="L99" i="19"/>
  <c r="K99" i="19"/>
  <c r="O12" i="19"/>
  <c r="M12" i="19"/>
  <c r="H12" i="19"/>
  <c r="L12" i="19"/>
  <c r="I12" i="19"/>
  <c r="K12" i="19"/>
  <c r="J12" i="19"/>
  <c r="O19" i="19"/>
  <c r="L19" i="19"/>
  <c r="I19" i="19"/>
  <c r="J19" i="19"/>
  <c r="H19" i="19"/>
  <c r="M19" i="19"/>
  <c r="K19" i="19"/>
  <c r="O51" i="19"/>
  <c r="L51" i="19"/>
  <c r="I51" i="19"/>
  <c r="M51" i="19"/>
  <c r="J51" i="19"/>
  <c r="H51" i="19"/>
  <c r="K51" i="19"/>
  <c r="O83" i="19"/>
  <c r="L83" i="19"/>
  <c r="I83" i="19"/>
  <c r="J83" i="19"/>
  <c r="H83" i="19"/>
  <c r="M83" i="19"/>
  <c r="K83" i="19"/>
  <c r="N58" i="19"/>
  <c r="P58" i="19" s="1"/>
  <c r="N90" i="19"/>
  <c r="P90" i="19" s="1"/>
  <c r="N113" i="19"/>
  <c r="P113" i="19" s="1"/>
  <c r="N130" i="19"/>
  <c r="P130" i="19" s="1"/>
  <c r="N66" i="19"/>
  <c r="P66" i="19" s="1"/>
  <c r="N11" i="19"/>
  <c r="P11" i="19" s="1"/>
  <c r="N18" i="19"/>
  <c r="P18" i="19" s="1"/>
  <c r="L59" i="19"/>
  <c r="I59" i="19"/>
  <c r="M59" i="19"/>
  <c r="J59" i="19"/>
  <c r="O59" i="19"/>
  <c r="K59" i="19"/>
  <c r="H59" i="19"/>
  <c r="C36" i="19"/>
  <c r="F35" i="19"/>
  <c r="G35" i="19"/>
  <c r="E35" i="19"/>
  <c r="C115" i="19"/>
  <c r="G114" i="19"/>
  <c r="E114" i="19"/>
  <c r="F114" i="19"/>
  <c r="C28" i="19"/>
  <c r="F27" i="19"/>
  <c r="G27" i="19"/>
  <c r="E27" i="19"/>
  <c r="C60" i="19"/>
  <c r="F59" i="19"/>
  <c r="G59" i="19"/>
  <c r="E59" i="19"/>
  <c r="C92" i="19"/>
  <c r="F91" i="19"/>
  <c r="G91" i="19"/>
  <c r="E91" i="19"/>
  <c r="C44" i="19"/>
  <c r="F43" i="19"/>
  <c r="G43" i="19"/>
  <c r="E43" i="19"/>
  <c r="C76" i="19"/>
  <c r="F75" i="19"/>
  <c r="G75" i="19"/>
  <c r="E75" i="19"/>
  <c r="C108" i="19"/>
  <c r="F107" i="19"/>
  <c r="G107" i="19"/>
  <c r="E107" i="19"/>
  <c r="C122" i="19"/>
  <c r="F121" i="19"/>
  <c r="G121" i="19"/>
  <c r="E121" i="19"/>
  <c r="C68" i="19"/>
  <c r="F67" i="19"/>
  <c r="G67" i="19"/>
  <c r="E67" i="19"/>
  <c r="C100" i="19"/>
  <c r="F99" i="19"/>
  <c r="G99" i="19"/>
  <c r="E99" i="19"/>
  <c r="C13" i="19"/>
  <c r="E12" i="19"/>
  <c r="F12" i="19"/>
  <c r="G12" i="19"/>
  <c r="C20" i="19"/>
  <c r="F19" i="19"/>
  <c r="G19" i="19"/>
  <c r="E19" i="19"/>
  <c r="C52" i="19"/>
  <c r="F51" i="19"/>
  <c r="G51" i="19"/>
  <c r="E51" i="19"/>
  <c r="C84" i="19"/>
  <c r="F83" i="19"/>
  <c r="G83" i="19"/>
  <c r="E83" i="19"/>
  <c r="N43" i="19" l="1"/>
  <c r="N35" i="19"/>
  <c r="P35" i="19" s="1"/>
  <c r="N91" i="19"/>
  <c r="P91" i="19" s="1"/>
  <c r="N114" i="19"/>
  <c r="P114" i="19" s="1"/>
  <c r="N19" i="19"/>
  <c r="N99" i="19"/>
  <c r="P99" i="19" s="1"/>
  <c r="R99" i="19" s="1"/>
  <c r="N75" i="19"/>
  <c r="P75" i="19" s="1"/>
  <c r="N83" i="19"/>
  <c r="P83" i="19" s="1"/>
  <c r="R83" i="19" s="1"/>
  <c r="P19" i="19"/>
  <c r="R19" i="19" s="1"/>
  <c r="N67" i="19"/>
  <c r="P67" i="19" s="1"/>
  <c r="N107" i="19"/>
  <c r="P107" i="19" s="1"/>
  <c r="O84" i="19"/>
  <c r="M84" i="19"/>
  <c r="I84" i="19"/>
  <c r="K84" i="19"/>
  <c r="J84" i="19"/>
  <c r="H84" i="19"/>
  <c r="L84" i="19"/>
  <c r="O52" i="19"/>
  <c r="M52" i="19"/>
  <c r="H52" i="19"/>
  <c r="I52" i="19"/>
  <c r="K52" i="19"/>
  <c r="J52" i="19"/>
  <c r="L52" i="19"/>
  <c r="O20" i="19"/>
  <c r="M20" i="19"/>
  <c r="H20" i="19"/>
  <c r="I20" i="19"/>
  <c r="K20" i="19"/>
  <c r="L20" i="19"/>
  <c r="J20" i="19"/>
  <c r="O13" i="19"/>
  <c r="M13" i="19"/>
  <c r="K13" i="19"/>
  <c r="H13" i="19"/>
  <c r="J13" i="19"/>
  <c r="I13" i="19"/>
  <c r="L13" i="19"/>
  <c r="O100" i="19"/>
  <c r="L100" i="19"/>
  <c r="I100" i="19"/>
  <c r="K100" i="19"/>
  <c r="H100" i="19"/>
  <c r="J100" i="19"/>
  <c r="M100" i="19"/>
  <c r="O68" i="19"/>
  <c r="M68" i="19"/>
  <c r="H68" i="19"/>
  <c r="I68" i="19"/>
  <c r="L68" i="19"/>
  <c r="K68" i="19"/>
  <c r="J68" i="19"/>
  <c r="M122" i="19"/>
  <c r="J122" i="19"/>
  <c r="K122" i="19"/>
  <c r="O122" i="19"/>
  <c r="I122" i="19"/>
  <c r="L122" i="19"/>
  <c r="H122" i="19"/>
  <c r="O108" i="19"/>
  <c r="M108" i="19"/>
  <c r="L108" i="19"/>
  <c r="I108" i="19"/>
  <c r="K108" i="19"/>
  <c r="H108" i="19"/>
  <c r="J108" i="19"/>
  <c r="O76" i="19"/>
  <c r="H76" i="19"/>
  <c r="L76" i="19"/>
  <c r="I76" i="19"/>
  <c r="K76" i="19"/>
  <c r="J76" i="19"/>
  <c r="M76" i="19"/>
  <c r="O44" i="19"/>
  <c r="H44" i="19"/>
  <c r="M44" i="19"/>
  <c r="L44" i="19"/>
  <c r="I44" i="19"/>
  <c r="K44" i="19"/>
  <c r="J44" i="19"/>
  <c r="O92" i="19"/>
  <c r="M92" i="19"/>
  <c r="L92" i="19"/>
  <c r="I92" i="19"/>
  <c r="K92" i="19"/>
  <c r="H92" i="19"/>
  <c r="J92" i="19"/>
  <c r="O60" i="19"/>
  <c r="H60" i="19"/>
  <c r="L60" i="19"/>
  <c r="I60" i="19"/>
  <c r="K60" i="19"/>
  <c r="J60" i="19"/>
  <c r="M60" i="19"/>
  <c r="O28" i="19"/>
  <c r="M28" i="19"/>
  <c r="H28" i="19"/>
  <c r="L28" i="19"/>
  <c r="I28" i="19"/>
  <c r="K28" i="19"/>
  <c r="J28" i="19"/>
  <c r="O115" i="19"/>
  <c r="I115" i="19"/>
  <c r="M115" i="19"/>
  <c r="J115" i="19"/>
  <c r="L115" i="19"/>
  <c r="H115" i="19"/>
  <c r="K115" i="19"/>
  <c r="O36" i="19"/>
  <c r="M36" i="19"/>
  <c r="H36" i="19"/>
  <c r="I36" i="19"/>
  <c r="K36" i="19"/>
  <c r="J36" i="19"/>
  <c r="L36" i="19"/>
  <c r="N59" i="19"/>
  <c r="P59" i="19" s="1"/>
  <c r="R59" i="19" s="1"/>
  <c r="N51" i="19"/>
  <c r="P51" i="19" s="1"/>
  <c r="R51" i="19" s="1"/>
  <c r="N12" i="19"/>
  <c r="P12" i="19" s="1"/>
  <c r="R12" i="19" s="1"/>
  <c r="N121" i="19"/>
  <c r="P121" i="19" s="1"/>
  <c r="P43" i="19"/>
  <c r="N27" i="19"/>
  <c r="P27" i="19" s="1"/>
  <c r="C53" i="19"/>
  <c r="E52" i="19"/>
  <c r="F52" i="19"/>
  <c r="G52" i="19"/>
  <c r="C14" i="19"/>
  <c r="E13" i="19"/>
  <c r="F13" i="19"/>
  <c r="G13" i="19"/>
  <c r="C69" i="19"/>
  <c r="E68" i="19"/>
  <c r="F68" i="19"/>
  <c r="G68" i="19"/>
  <c r="C109" i="19"/>
  <c r="E108" i="19"/>
  <c r="F108" i="19"/>
  <c r="G108" i="19"/>
  <c r="C45" i="19"/>
  <c r="E44" i="19"/>
  <c r="F44" i="19"/>
  <c r="G44" i="19"/>
  <c r="C85" i="19"/>
  <c r="E84" i="19"/>
  <c r="F84" i="19"/>
  <c r="G84" i="19"/>
  <c r="C21" i="19"/>
  <c r="E20" i="19"/>
  <c r="F20" i="19"/>
  <c r="G20" i="19"/>
  <c r="C101" i="19"/>
  <c r="E100" i="19"/>
  <c r="F100" i="19"/>
  <c r="G100" i="19"/>
  <c r="C123" i="19"/>
  <c r="G122" i="19"/>
  <c r="E122" i="19"/>
  <c r="F122" i="19"/>
  <c r="C77" i="19"/>
  <c r="E76" i="19"/>
  <c r="F76" i="19"/>
  <c r="G76" i="19"/>
  <c r="C93" i="19"/>
  <c r="E92" i="19"/>
  <c r="F92" i="19"/>
  <c r="G92" i="19"/>
  <c r="C61" i="19"/>
  <c r="E60" i="19"/>
  <c r="F60" i="19"/>
  <c r="G60" i="19"/>
  <c r="C29" i="19"/>
  <c r="E28" i="19"/>
  <c r="F28" i="19"/>
  <c r="G28" i="19"/>
  <c r="C116" i="19"/>
  <c r="F115" i="19"/>
  <c r="G115" i="19"/>
  <c r="E115" i="19"/>
  <c r="C37" i="19"/>
  <c r="E36" i="19"/>
  <c r="F36" i="19"/>
  <c r="G36" i="19"/>
  <c r="A8" i="8"/>
  <c r="A9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N115" i="19"/>
  <c r="P115" i="19" s="1"/>
  <c r="N28" i="19"/>
  <c r="P28" i="19" s="1"/>
  <c r="R28" i="19" s="1"/>
  <c r="N60" i="19"/>
  <c r="P60" i="19" s="1"/>
  <c r="N108" i="19"/>
  <c r="P108" i="19" s="1"/>
  <c r="R108" i="19" s="1"/>
  <c r="N44" i="19"/>
  <c r="P44" i="19" s="1"/>
  <c r="N76" i="19"/>
  <c r="P76" i="19" s="1"/>
  <c r="N122" i="19"/>
  <c r="P122" i="19" s="1"/>
  <c r="N68" i="19"/>
  <c r="P68" i="19" s="1"/>
  <c r="N100" i="19"/>
  <c r="P100" i="19" s="1"/>
  <c r="N13" i="19"/>
  <c r="P13" i="19" s="1"/>
  <c r="R13" i="19" s="1"/>
  <c r="N52" i="19"/>
  <c r="P52" i="19" s="1"/>
  <c r="N84" i="19"/>
  <c r="P84" i="19" s="1"/>
  <c r="R84" i="19" s="1"/>
  <c r="O37" i="19"/>
  <c r="M37" i="19"/>
  <c r="L37" i="19"/>
  <c r="K37" i="19"/>
  <c r="H37" i="19"/>
  <c r="J37" i="19"/>
  <c r="I37" i="19"/>
  <c r="O116" i="19"/>
  <c r="L116" i="19"/>
  <c r="I116" i="19"/>
  <c r="K116" i="19"/>
  <c r="J116" i="19"/>
  <c r="H116" i="19"/>
  <c r="M116" i="19"/>
  <c r="O29" i="19"/>
  <c r="M29" i="19"/>
  <c r="K29" i="19"/>
  <c r="H29" i="19"/>
  <c r="J29" i="19"/>
  <c r="I29" i="19"/>
  <c r="L29" i="19"/>
  <c r="O61" i="19"/>
  <c r="M61" i="19"/>
  <c r="K61" i="19"/>
  <c r="H61" i="19"/>
  <c r="L61" i="19"/>
  <c r="J61" i="19"/>
  <c r="I61" i="19"/>
  <c r="O93" i="19"/>
  <c r="K93" i="19"/>
  <c r="M93" i="19"/>
  <c r="J93" i="19"/>
  <c r="I93" i="19"/>
  <c r="H93" i="19"/>
  <c r="L93" i="19"/>
  <c r="O77" i="19"/>
  <c r="M77" i="19"/>
  <c r="K77" i="19"/>
  <c r="H77" i="19"/>
  <c r="J77" i="19"/>
  <c r="I77" i="19"/>
  <c r="L77" i="19"/>
  <c r="O123" i="19"/>
  <c r="M123" i="19"/>
  <c r="I123" i="19"/>
  <c r="J123" i="19"/>
  <c r="K123" i="19"/>
  <c r="H123" i="19"/>
  <c r="L123" i="19"/>
  <c r="O101" i="19"/>
  <c r="K101" i="19"/>
  <c r="L101" i="19"/>
  <c r="J101" i="19"/>
  <c r="I101" i="19"/>
  <c r="M101" i="19"/>
  <c r="H101" i="19"/>
  <c r="O21" i="19"/>
  <c r="M21" i="19"/>
  <c r="L21" i="19"/>
  <c r="K21" i="19"/>
  <c r="H21" i="19"/>
  <c r="J21" i="19"/>
  <c r="I21" i="19"/>
  <c r="O85" i="19"/>
  <c r="M85" i="19"/>
  <c r="L85" i="19"/>
  <c r="K85" i="19"/>
  <c r="H85" i="19"/>
  <c r="J85" i="19"/>
  <c r="I85" i="19"/>
  <c r="O45" i="19"/>
  <c r="M45" i="19"/>
  <c r="K45" i="19"/>
  <c r="H45" i="19"/>
  <c r="J45" i="19"/>
  <c r="L45" i="19"/>
  <c r="I45" i="19"/>
  <c r="O109" i="19"/>
  <c r="K109" i="19"/>
  <c r="M109" i="19"/>
  <c r="L109" i="19"/>
  <c r="J109" i="19"/>
  <c r="I109" i="19"/>
  <c r="H109" i="19"/>
  <c r="O69" i="19"/>
  <c r="M69" i="19"/>
  <c r="L69" i="19"/>
  <c r="K69" i="19"/>
  <c r="H69" i="19"/>
  <c r="J69" i="19"/>
  <c r="I69" i="19"/>
  <c r="O14" i="19"/>
  <c r="M14" i="19"/>
  <c r="J14" i="19"/>
  <c r="K14" i="19"/>
  <c r="L14" i="19"/>
  <c r="H14" i="19"/>
  <c r="I14" i="19"/>
  <c r="O53" i="19"/>
  <c r="M53" i="19"/>
  <c r="L53" i="19"/>
  <c r="K53" i="19"/>
  <c r="H53" i="19"/>
  <c r="J53" i="19"/>
  <c r="I53" i="19"/>
  <c r="N36" i="19"/>
  <c r="P36" i="19" s="1"/>
  <c r="N92" i="19"/>
  <c r="P92" i="19" s="1"/>
  <c r="R92" i="19" s="1"/>
  <c r="N20" i="19"/>
  <c r="P20" i="19" s="1"/>
  <c r="R20" i="19" s="1"/>
  <c r="C38" i="19"/>
  <c r="E37" i="19"/>
  <c r="F37" i="19"/>
  <c r="G37" i="19"/>
  <c r="C102" i="19"/>
  <c r="F101" i="19"/>
  <c r="G101" i="19"/>
  <c r="E101" i="19"/>
  <c r="C30" i="19"/>
  <c r="E29" i="19"/>
  <c r="F29" i="19"/>
  <c r="G29" i="19"/>
  <c r="C94" i="19"/>
  <c r="F93" i="19"/>
  <c r="G93" i="19"/>
  <c r="E93" i="19"/>
  <c r="C78" i="19"/>
  <c r="E77" i="19"/>
  <c r="F77" i="19"/>
  <c r="G77" i="19"/>
  <c r="C22" i="19"/>
  <c r="E21" i="19"/>
  <c r="F21" i="19"/>
  <c r="G21" i="19"/>
  <c r="C110" i="19"/>
  <c r="F109" i="19"/>
  <c r="G109" i="19"/>
  <c r="E109" i="19"/>
  <c r="C117" i="19"/>
  <c r="E116" i="19"/>
  <c r="F116" i="19"/>
  <c r="G116" i="19"/>
  <c r="C62" i="19"/>
  <c r="E61" i="19"/>
  <c r="F61" i="19"/>
  <c r="G61" i="19"/>
  <c r="C124" i="19"/>
  <c r="F123" i="19"/>
  <c r="G123" i="19"/>
  <c r="E123" i="19"/>
  <c r="C86" i="19"/>
  <c r="F85" i="19"/>
  <c r="E85" i="19"/>
  <c r="G85" i="19"/>
  <c r="C46" i="19"/>
  <c r="E45" i="19"/>
  <c r="F45" i="19"/>
  <c r="G45" i="19"/>
  <c r="C70" i="19"/>
  <c r="E69" i="19"/>
  <c r="F69" i="19"/>
  <c r="G69" i="19"/>
  <c r="C15" i="19"/>
  <c r="G14" i="19"/>
  <c r="E14" i="19"/>
  <c r="F14" i="19"/>
  <c r="C54" i="19"/>
  <c r="E53" i="19"/>
  <c r="F53" i="19"/>
  <c r="G53" i="19"/>
  <c r="A11" i="17"/>
  <c r="A132" i="8" l="1"/>
  <c r="A133" i="8" s="1"/>
  <c r="A134" i="8" s="1"/>
  <c r="A135" i="8" s="1"/>
  <c r="A136" i="8" s="1"/>
  <c r="E17" i="17"/>
  <c r="G17" i="17" s="1"/>
  <c r="E26" i="17"/>
  <c r="F25" i="17"/>
  <c r="E32" i="17"/>
  <c r="F26" i="17"/>
  <c r="E25" i="17"/>
  <c r="F30" i="17"/>
  <c r="E30" i="17"/>
  <c r="G30" i="17"/>
  <c r="G27" i="17"/>
  <c r="E22" i="17"/>
  <c r="F32" i="17"/>
  <c r="F22" i="17"/>
  <c r="G32" i="17"/>
  <c r="D32" i="17"/>
  <c r="F23" i="17"/>
  <c r="E24" i="17"/>
  <c r="G19" i="17"/>
  <c r="F24" i="17"/>
  <c r="E23" i="17"/>
  <c r="G34" i="17"/>
  <c r="N109" i="19"/>
  <c r="N69" i="19"/>
  <c r="P69" i="19" s="1"/>
  <c r="N21" i="19"/>
  <c r="P21" i="19" s="1"/>
  <c r="N37" i="19"/>
  <c r="P37" i="19" s="1"/>
  <c r="R37" i="19" s="1"/>
  <c r="N53" i="19"/>
  <c r="P53" i="19" s="1"/>
  <c r="N77" i="19"/>
  <c r="P77" i="19" s="1"/>
  <c r="O54" i="19"/>
  <c r="J54" i="19"/>
  <c r="L54" i="19"/>
  <c r="K54" i="19"/>
  <c r="M54" i="19"/>
  <c r="H54" i="19"/>
  <c r="I54" i="19"/>
  <c r="M15" i="19"/>
  <c r="L15" i="19"/>
  <c r="O15" i="19"/>
  <c r="I15" i="19"/>
  <c r="J15" i="19"/>
  <c r="K15" i="19"/>
  <c r="H15" i="19"/>
  <c r="O70" i="19"/>
  <c r="J70" i="19"/>
  <c r="L70" i="19"/>
  <c r="K70" i="19"/>
  <c r="H70" i="19"/>
  <c r="I70" i="19"/>
  <c r="M70" i="19"/>
  <c r="O46" i="19"/>
  <c r="J46" i="19"/>
  <c r="K46" i="19"/>
  <c r="H46" i="19"/>
  <c r="M46" i="19"/>
  <c r="L46" i="19"/>
  <c r="I46" i="19"/>
  <c r="O86" i="19"/>
  <c r="M86" i="19"/>
  <c r="J86" i="19"/>
  <c r="L86" i="19"/>
  <c r="K86" i="19"/>
  <c r="I86" i="19"/>
  <c r="H86" i="19"/>
  <c r="O124" i="19"/>
  <c r="L124" i="19"/>
  <c r="M124" i="19"/>
  <c r="I124" i="19"/>
  <c r="H124" i="19"/>
  <c r="K124" i="19"/>
  <c r="J124" i="19"/>
  <c r="O62" i="19"/>
  <c r="J62" i="19"/>
  <c r="K62" i="19"/>
  <c r="M62" i="19"/>
  <c r="I62" i="19"/>
  <c r="H62" i="19"/>
  <c r="L62" i="19"/>
  <c r="O117" i="19"/>
  <c r="K117" i="19"/>
  <c r="L117" i="19"/>
  <c r="J117" i="19"/>
  <c r="H117" i="19"/>
  <c r="M117" i="19"/>
  <c r="I117" i="19"/>
  <c r="O110" i="19"/>
  <c r="M110" i="19"/>
  <c r="J110" i="19"/>
  <c r="K110" i="19"/>
  <c r="L110" i="19"/>
  <c r="I110" i="19"/>
  <c r="H110" i="19"/>
  <c r="O22" i="19"/>
  <c r="M22" i="19"/>
  <c r="J22" i="19"/>
  <c r="L22" i="19"/>
  <c r="K22" i="19"/>
  <c r="H22" i="19"/>
  <c r="I22" i="19"/>
  <c r="O78" i="19"/>
  <c r="M78" i="19"/>
  <c r="J78" i="19"/>
  <c r="K78" i="19"/>
  <c r="L78" i="19"/>
  <c r="H78" i="19"/>
  <c r="I78" i="19"/>
  <c r="O94" i="19"/>
  <c r="M94" i="19"/>
  <c r="J94" i="19"/>
  <c r="K94" i="19"/>
  <c r="I94" i="19"/>
  <c r="H94" i="19"/>
  <c r="L94" i="19"/>
  <c r="O30" i="19"/>
  <c r="J30" i="19"/>
  <c r="M30" i="19"/>
  <c r="K30" i="19"/>
  <c r="I30" i="19"/>
  <c r="H30" i="19"/>
  <c r="L30" i="19"/>
  <c r="O102" i="19"/>
  <c r="M102" i="19"/>
  <c r="J102" i="19"/>
  <c r="K102" i="19"/>
  <c r="H102" i="19"/>
  <c r="I102" i="19"/>
  <c r="L102" i="19"/>
  <c r="O38" i="19"/>
  <c r="J38" i="19"/>
  <c r="M38" i="19"/>
  <c r="L38" i="19"/>
  <c r="K38" i="19"/>
  <c r="I38" i="19"/>
  <c r="H38" i="19"/>
  <c r="N14" i="19"/>
  <c r="P14" i="19" s="1"/>
  <c r="P109" i="19"/>
  <c r="N85" i="19"/>
  <c r="P85" i="19" s="1"/>
  <c r="R85" i="19" s="1"/>
  <c r="N101" i="19"/>
  <c r="P101" i="19" s="1"/>
  <c r="R101" i="19" s="1"/>
  <c r="N116" i="19"/>
  <c r="N45" i="19"/>
  <c r="P45" i="19" s="1"/>
  <c r="R45" i="19" s="1"/>
  <c r="N123" i="19"/>
  <c r="P123" i="19" s="1"/>
  <c r="N93" i="19"/>
  <c r="P93" i="19" s="1"/>
  <c r="R93" i="19" s="1"/>
  <c r="N61" i="19"/>
  <c r="P61" i="19" s="1"/>
  <c r="N29" i="19"/>
  <c r="P29" i="19" s="1"/>
  <c r="R29" i="19" s="1"/>
  <c r="C55" i="19"/>
  <c r="G54" i="19"/>
  <c r="E54" i="19"/>
  <c r="F54" i="19"/>
  <c r="F15" i="19"/>
  <c r="G15" i="19"/>
  <c r="E15" i="19"/>
  <c r="C71" i="19"/>
  <c r="G70" i="19"/>
  <c r="E70" i="19"/>
  <c r="F70" i="19"/>
  <c r="C47" i="19"/>
  <c r="G46" i="19"/>
  <c r="E46" i="19"/>
  <c r="F46" i="19"/>
  <c r="C87" i="19"/>
  <c r="G86" i="19"/>
  <c r="E86" i="19"/>
  <c r="F86" i="19"/>
  <c r="E124" i="19"/>
  <c r="F124" i="19"/>
  <c r="G124" i="19"/>
  <c r="C63" i="19"/>
  <c r="G62" i="19"/>
  <c r="E62" i="19"/>
  <c r="F62" i="19"/>
  <c r="F117" i="19"/>
  <c r="G117" i="19"/>
  <c r="E117" i="19"/>
  <c r="G110" i="19"/>
  <c r="E110" i="19"/>
  <c r="F110" i="19"/>
  <c r="C23" i="19"/>
  <c r="G22" i="19"/>
  <c r="E22" i="19"/>
  <c r="F22" i="19"/>
  <c r="C79" i="19"/>
  <c r="G78" i="19"/>
  <c r="E78" i="19"/>
  <c r="F78" i="19"/>
  <c r="C95" i="19"/>
  <c r="G94" i="19"/>
  <c r="E94" i="19"/>
  <c r="F94" i="19"/>
  <c r="C31" i="19"/>
  <c r="G30" i="19"/>
  <c r="E30" i="19"/>
  <c r="F30" i="19"/>
  <c r="C103" i="19"/>
  <c r="G102" i="19"/>
  <c r="E102" i="19"/>
  <c r="F102" i="19"/>
  <c r="C39" i="19"/>
  <c r="G38" i="19"/>
  <c r="E38" i="19"/>
  <c r="F38" i="19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A137" i="8" l="1"/>
  <c r="A138" i="8" s="1"/>
  <c r="A139" i="8" s="1"/>
  <c r="A140" i="8" s="1"/>
  <c r="A141" i="8" s="1"/>
  <c r="A142" i="8" s="1"/>
  <c r="A143" i="8" s="1"/>
  <c r="A144" i="8" s="1"/>
  <c r="A145" i="8" s="1"/>
  <c r="B132" i="8"/>
  <c r="B133" i="8" s="1"/>
  <c r="B134" i="8" s="1"/>
  <c r="B135" i="8" s="1"/>
  <c r="B136" i="8" s="1"/>
  <c r="G26" i="17"/>
  <c r="G25" i="17"/>
  <c r="G22" i="17"/>
  <c r="G23" i="17"/>
  <c r="G24" i="17"/>
  <c r="P116" i="19"/>
  <c r="R116" i="19" s="1"/>
  <c r="N102" i="19"/>
  <c r="P102" i="19" s="1"/>
  <c r="N30" i="19"/>
  <c r="P30" i="19" s="1"/>
  <c r="N78" i="19"/>
  <c r="P78" i="19" s="1"/>
  <c r="R78" i="19" s="1"/>
  <c r="N46" i="19"/>
  <c r="P46" i="19" s="1"/>
  <c r="R46" i="19" s="1"/>
  <c r="O39" i="19"/>
  <c r="L39" i="19"/>
  <c r="I39" i="19"/>
  <c r="J39" i="19"/>
  <c r="M39" i="19"/>
  <c r="H39" i="19"/>
  <c r="K39" i="19"/>
  <c r="O103" i="19"/>
  <c r="M103" i="19"/>
  <c r="I103" i="19"/>
  <c r="J103" i="19"/>
  <c r="L103" i="19"/>
  <c r="K103" i="19"/>
  <c r="H103" i="19"/>
  <c r="O31" i="19"/>
  <c r="M31" i="19"/>
  <c r="L31" i="19"/>
  <c r="I31" i="19"/>
  <c r="J31" i="19"/>
  <c r="K31" i="19"/>
  <c r="H31" i="19"/>
  <c r="O95" i="19"/>
  <c r="L95" i="19"/>
  <c r="I95" i="19"/>
  <c r="J95" i="19"/>
  <c r="M95" i="19"/>
  <c r="K95" i="19"/>
  <c r="H95" i="19"/>
  <c r="M79" i="19"/>
  <c r="L79" i="19"/>
  <c r="O79" i="19"/>
  <c r="I79" i="19"/>
  <c r="J79" i="19"/>
  <c r="K79" i="19"/>
  <c r="H79" i="19"/>
  <c r="O23" i="19"/>
  <c r="L23" i="19"/>
  <c r="I23" i="19"/>
  <c r="M23" i="19"/>
  <c r="J23" i="19"/>
  <c r="K23" i="19"/>
  <c r="H23" i="19"/>
  <c r="O55" i="19"/>
  <c r="L55" i="19"/>
  <c r="I55" i="19"/>
  <c r="J55" i="19"/>
  <c r="M55" i="19"/>
  <c r="K55" i="19"/>
  <c r="H55" i="19"/>
  <c r="O87" i="19"/>
  <c r="L87" i="19"/>
  <c r="I87" i="19"/>
  <c r="M87" i="19"/>
  <c r="J87" i="19"/>
  <c r="K87" i="19"/>
  <c r="H87" i="19"/>
  <c r="M47" i="19"/>
  <c r="L47" i="19"/>
  <c r="O47" i="19"/>
  <c r="I47" i="19"/>
  <c r="J47" i="19"/>
  <c r="K47" i="19"/>
  <c r="H47" i="19"/>
  <c r="O71" i="19"/>
  <c r="L71" i="19"/>
  <c r="M71" i="19"/>
  <c r="I71" i="19"/>
  <c r="J71" i="19"/>
  <c r="H71" i="19"/>
  <c r="K71" i="19"/>
  <c r="N38" i="19"/>
  <c r="P38" i="19" s="1"/>
  <c r="N117" i="19"/>
  <c r="P117" i="19" s="1"/>
  <c r="N70" i="19"/>
  <c r="P70" i="19" s="1"/>
  <c r="O63" i="19"/>
  <c r="M63" i="19"/>
  <c r="L63" i="19"/>
  <c r="I63" i="19"/>
  <c r="J63" i="19"/>
  <c r="K63" i="19"/>
  <c r="H63" i="19"/>
  <c r="N62" i="19"/>
  <c r="P62" i="19" s="1"/>
  <c r="N124" i="19"/>
  <c r="P124" i="19" s="1"/>
  <c r="N15" i="19"/>
  <c r="P15" i="19" s="1"/>
  <c r="R15" i="19" s="1"/>
  <c r="N54" i="19"/>
  <c r="P54" i="19" s="1"/>
  <c r="N94" i="19"/>
  <c r="P94" i="19" s="1"/>
  <c r="N22" i="19"/>
  <c r="P22" i="19" s="1"/>
  <c r="R22" i="19" s="1"/>
  <c r="N110" i="19"/>
  <c r="P110" i="19" s="1"/>
  <c r="R110" i="19" s="1"/>
  <c r="N86" i="19"/>
  <c r="P86" i="19" s="1"/>
  <c r="R86" i="19" s="1"/>
  <c r="F87" i="19"/>
  <c r="G87" i="19"/>
  <c r="E87" i="19"/>
  <c r="F47" i="19"/>
  <c r="G47" i="19"/>
  <c r="E47" i="19"/>
  <c r="F71" i="19"/>
  <c r="G71" i="19"/>
  <c r="E71" i="19"/>
  <c r="F63" i="19"/>
  <c r="G63" i="19"/>
  <c r="E63" i="19"/>
  <c r="F39" i="19"/>
  <c r="G39" i="19"/>
  <c r="E39" i="19"/>
  <c r="F103" i="19"/>
  <c r="G103" i="19"/>
  <c r="E103" i="19"/>
  <c r="F31" i="19"/>
  <c r="G31" i="19"/>
  <c r="E31" i="19"/>
  <c r="F95" i="19"/>
  <c r="G95" i="19"/>
  <c r="E95" i="19"/>
  <c r="F79" i="19"/>
  <c r="G79" i="19"/>
  <c r="E79" i="19"/>
  <c r="F23" i="19"/>
  <c r="G23" i="19"/>
  <c r="E23" i="19"/>
  <c r="F55" i="19"/>
  <c r="G55" i="19"/>
  <c r="E55" i="19"/>
  <c r="W146" i="8"/>
  <c r="H146" i="8"/>
  <c r="V146" i="8"/>
  <c r="B137" i="8" l="1"/>
  <c r="B138" i="8" s="1"/>
  <c r="B139" i="8" s="1"/>
  <c r="B140" i="8" s="1"/>
  <c r="B141" i="8" s="1"/>
  <c r="B142" i="8" s="1"/>
  <c r="B143" i="8" s="1"/>
  <c r="B144" i="8" s="1"/>
  <c r="B145" i="8" s="1"/>
  <c r="H147" i="8"/>
  <c r="E147" i="19"/>
  <c r="J147" i="19"/>
  <c r="L147" i="19"/>
  <c r="G147" i="19"/>
  <c r="F147" i="19"/>
  <c r="N71" i="19"/>
  <c r="P71" i="19" s="1"/>
  <c r="N55" i="19"/>
  <c r="K147" i="19"/>
  <c r="M147" i="19"/>
  <c r="N63" i="19"/>
  <c r="P63" i="19" s="1"/>
  <c r="R63" i="19" s="1"/>
  <c r="O147" i="19"/>
  <c r="N79" i="19"/>
  <c r="P79" i="19" s="1"/>
  <c r="N95" i="19"/>
  <c r="P95" i="19" s="1"/>
  <c r="I147" i="19"/>
  <c r="P55" i="19"/>
  <c r="N39" i="19"/>
  <c r="P39" i="19" s="1"/>
  <c r="N47" i="19"/>
  <c r="P47" i="19" s="1"/>
  <c r="N87" i="19"/>
  <c r="P87" i="19" s="1"/>
  <c r="R87" i="19" s="1"/>
  <c r="N23" i="19"/>
  <c r="P23" i="19" s="1"/>
  <c r="N31" i="19"/>
  <c r="P31" i="19" s="1"/>
  <c r="H147" i="19"/>
  <c r="N103" i="19"/>
  <c r="E14" i="17"/>
  <c r="G14" i="17" s="1"/>
  <c r="E15" i="17"/>
  <c r="G15" i="17" s="1"/>
  <c r="B13" i="17"/>
  <c r="E16" i="17"/>
  <c r="G16" i="17" s="1"/>
  <c r="B10" i="17"/>
  <c r="G5" i="17"/>
  <c r="N147" i="19" l="1"/>
  <c r="N149" i="19" s="1"/>
  <c r="P103" i="19"/>
  <c r="E10" i="17"/>
  <c r="I36" i="17" s="1"/>
  <c r="B5" i="17"/>
  <c r="D10" i="17"/>
  <c r="C13" i="17"/>
  <c r="D13" i="17" s="1"/>
  <c r="E13" i="17"/>
  <c r="G13" i="17" s="1"/>
  <c r="G18" i="17" s="1"/>
  <c r="G20" i="17" s="1"/>
  <c r="E6" i="17"/>
  <c r="P147" i="19" l="1"/>
  <c r="R103" i="19"/>
  <c r="G28" i="17"/>
  <c r="G36" i="17" s="1"/>
  <c r="C37" i="17"/>
</calcChain>
</file>

<file path=xl/sharedStrings.xml><?xml version="1.0" encoding="utf-8"?>
<sst xmlns="http://schemas.openxmlformats.org/spreadsheetml/2006/main" count="776" uniqueCount="277">
  <si>
    <t>CÔNG TY VINASINCO</t>
  </si>
  <si>
    <t>Stt</t>
  </si>
  <si>
    <t>Khách hàng</t>
  </si>
  <si>
    <t>Căn hộ</t>
  </si>
  <si>
    <t>Tổng cộng:</t>
  </si>
  <si>
    <t>Mức 1</t>
  </si>
  <si>
    <t>Mức 2</t>
  </si>
  <si>
    <t>Mức 3</t>
  </si>
  <si>
    <t>KD</t>
  </si>
  <si>
    <t>CSĐ</t>
  </si>
  <si>
    <t>CSC</t>
  </si>
  <si>
    <t>SL</t>
  </si>
  <si>
    <t>T.tiền</t>
  </si>
  <si>
    <t>STT</t>
  </si>
  <si>
    <t>Số phiếu</t>
  </si>
  <si>
    <t>Tên chủ hộ:</t>
  </si>
  <si>
    <t>Số ĐT:</t>
  </si>
  <si>
    <t>KHOẢN PHẢI THU</t>
  </si>
  <si>
    <t>Đơn giá</t>
  </si>
  <si>
    <t>Thành tiền</t>
  </si>
  <si>
    <t>CS Cũ</t>
  </si>
  <si>
    <t>CS Mới</t>
  </si>
  <si>
    <t>Tiêu thụ</t>
  </si>
  <si>
    <t>Định mức</t>
  </si>
  <si>
    <t>Nợ cũ chuyển sang:</t>
  </si>
  <si>
    <t>Người nộp</t>
  </si>
  <si>
    <t>Người thu</t>
  </si>
  <si>
    <t>Số tiền bằng chữ:</t>
  </si>
  <si>
    <t>đơn giá</t>
  </si>
  <si>
    <t>NƯỚC</t>
  </si>
  <si>
    <t>DV</t>
  </si>
  <si>
    <t>Số phiếu:</t>
  </si>
  <si>
    <t>1. Quý cư dân vui lòng giữ lại phiếu thu.</t>
  </si>
  <si>
    <t>Xin trân trọng cảm ơn!</t>
  </si>
  <si>
    <t>*</t>
  </si>
  <si>
    <t>(Thông báo nộp phí DV T02/2021 quá thời gian quy định)</t>
  </si>
  <si>
    <t>Ttiền</t>
  </si>
  <si>
    <t>Phí Dịch vụ T10/2023</t>
  </si>
  <si>
    <t>Số lượng</t>
  </si>
  <si>
    <t>Xe ô tô hầm</t>
  </si>
  <si>
    <t>Xe ô tô sảnh</t>
  </si>
  <si>
    <t>Xe máy, xe máy điện,xe đạp điện hầm</t>
  </si>
  <si>
    <t>Xe máy, xe máy điện,xe đạp điện sảnh</t>
  </si>
  <si>
    <t>Xe đạp hầm</t>
  </si>
  <si>
    <t>Tổng tiền nước</t>
  </si>
  <si>
    <t>Tổng cộng</t>
  </si>
  <si>
    <t>Phí nước sinh hoạt từ ngày 05/09/2023 đến 04/10/2023</t>
  </si>
  <si>
    <t>Nợ cũ chuyển sang</t>
  </si>
  <si>
    <t>Phí truyền hình T10/2023</t>
  </si>
  <si>
    <t xml:space="preserve">Phí bảo trì </t>
  </si>
  <si>
    <t>Tổng cộng tiền xe:</t>
  </si>
  <si>
    <t>Tổng cộng tiền nước:</t>
  </si>
  <si>
    <t>Hà Nội, ngày...… tháng 10 năm 2023</t>
  </si>
  <si>
    <t>Số TK: 0541.1045.7700.9 - Ngân hàng MB</t>
  </si>
  <si>
    <t>2.Nộp tiền mặt: ngày 12-18 tháng 10/2023 từ 6h30 - 21h30.</t>
  </si>
  <si>
    <t xml:space="preserve">3.Thông tin chuyển khoản: </t>
  </si>
  <si>
    <r>
      <t xml:space="preserve">Đơn vị thụ hưởng: </t>
    </r>
    <r>
      <rPr>
        <b/>
        <sz val="12.5"/>
        <color theme="1"/>
        <rFont val="Times New Roman"/>
        <family val="1"/>
      </rPr>
      <t>Công ty Cổ Phần Đầu tư và Dịch vụ đô thị Việt Nam</t>
    </r>
  </si>
  <si>
    <t>số tháng</t>
  </si>
  <si>
    <t>Số tháng</t>
  </si>
  <si>
    <t>Tổng nước SD</t>
  </si>
  <si>
    <t>Nợ nước chuyển sang</t>
  </si>
  <si>
    <t>Xe máy, máy điện, đạp điện hầm</t>
  </si>
  <si>
    <t>Xe máy, máy điện, đạp điện sảnh</t>
  </si>
  <si>
    <t>Xe ô tô Hầm</t>
  </si>
  <si>
    <t>Xe ô tô Sảnh</t>
  </si>
  <si>
    <t>Xe đạp</t>
  </si>
  <si>
    <t>Phí rác sinh hoạt</t>
  </si>
  <si>
    <t>PHIẾU THU PHÍ T10/2023</t>
  </si>
  <si>
    <t>Nợ cũ xe</t>
  </si>
  <si>
    <t>Đơn giá/căn hộ</t>
  </si>
  <si>
    <t>Rác</t>
  </si>
  <si>
    <t>ĐG/CH</t>
  </si>
  <si>
    <t>T.Tiền</t>
  </si>
  <si>
    <t>Phí gửi xe T11/2023</t>
  </si>
  <si>
    <t>Bảo trì</t>
  </si>
  <si>
    <t>diện tích</t>
  </si>
  <si>
    <t>Diện tích (m2)</t>
  </si>
  <si>
    <t>Đơn giá/m2</t>
  </si>
  <si>
    <t>Nguyễn Thị Lan</t>
  </si>
  <si>
    <t>Dịch vụ</t>
  </si>
  <si>
    <t>T9</t>
  </si>
  <si>
    <t>T10</t>
  </si>
  <si>
    <t>Truyền hình</t>
  </si>
  <si>
    <t>Tổng cộng xe</t>
  </si>
  <si>
    <t>Nhà 17T4</t>
  </si>
  <si>
    <t>Phan Thanh</t>
  </si>
  <si>
    <t xml:space="preserve">Trần Anh Tuấn </t>
  </si>
  <si>
    <t xml:space="preserve">Hoàng Văn Diện </t>
  </si>
  <si>
    <t>Trần Văn Lạc</t>
  </si>
  <si>
    <t xml:space="preserve">Đoàn Nhật Hằng </t>
  </si>
  <si>
    <t xml:space="preserve">Nguyễn Khắc Dũng </t>
  </si>
  <si>
    <t>Nguyễn Xuân Trường</t>
  </si>
  <si>
    <t>Ngô Hồng Ngọc</t>
  </si>
  <si>
    <t>Tạ Đức Hạnh</t>
  </si>
  <si>
    <t>Đinh Thị Hoan</t>
  </si>
  <si>
    <t>Trần Văn Doanh</t>
  </si>
  <si>
    <t>Nguyễn Tuấn Anh</t>
  </si>
  <si>
    <t xml:space="preserve">Trần Thanh Thủy </t>
  </si>
  <si>
    <t>Nguyễn Đức Sơn</t>
  </si>
  <si>
    <t>Lê Quang Anh</t>
  </si>
  <si>
    <t>Hoàng Anh Phương</t>
  </si>
  <si>
    <t>Nguyễn Thị Kim Thanh</t>
  </si>
  <si>
    <t>Nguyễn Thắng Lợi</t>
  </si>
  <si>
    <t>Ngô Duy Cương</t>
  </si>
  <si>
    <t>Trần Xuân Thanh</t>
  </si>
  <si>
    <t xml:space="preserve">Nguyễn Văn Nhuận </t>
  </si>
  <si>
    <t>Ng Thị Hải Bình</t>
  </si>
  <si>
    <t>Nguyễn Đức Mạnh</t>
  </si>
  <si>
    <t>Công ty cổ phần đào tạo và nhân sự Việt Nam</t>
  </si>
  <si>
    <t>Phùng T Thu Thảo</t>
  </si>
  <si>
    <t>Bùi Hồng Anh</t>
  </si>
  <si>
    <t xml:space="preserve">Vũ Thanh Khiết </t>
  </si>
  <si>
    <t>Phạm Thủy Mai Ly</t>
  </si>
  <si>
    <t>Vũ Văn Chỉnh</t>
  </si>
  <si>
    <t>Hoàng Công Vĩnh</t>
  </si>
  <si>
    <t>Trương Hoành</t>
  </si>
  <si>
    <t xml:space="preserve">Nguyễn Thị Thúy </t>
  </si>
  <si>
    <t>Nguyễn Thạc Tân</t>
  </si>
  <si>
    <t xml:space="preserve">Trần Nam Hương </t>
  </si>
  <si>
    <t>Phạm Đắc Hiển</t>
  </si>
  <si>
    <t>Triệu Ngọc Oanh</t>
  </si>
  <si>
    <t>Cao Văn Hải</t>
  </si>
  <si>
    <t>Công ty TNHH truyền thông Sơn Trà</t>
  </si>
  <si>
    <t xml:space="preserve">Nguyễn Vũ Thịnh </t>
  </si>
  <si>
    <t>Home Spa</t>
  </si>
  <si>
    <t>Nguyễn Thị Song Thủy</t>
  </si>
  <si>
    <t>Đào Thị Kim Dung</t>
  </si>
  <si>
    <t>Phạm Gia Thanh</t>
  </si>
  <si>
    <t>Nguyễn Đức Hà</t>
  </si>
  <si>
    <t>Nguyễn Văn Hòa</t>
  </si>
  <si>
    <t>Bùi Thị Mỹ Dung</t>
  </si>
  <si>
    <t xml:space="preserve">Trần Mai Linh </t>
  </si>
  <si>
    <t>Nguyễn Đức Quang</t>
  </si>
  <si>
    <t>Trương Quốc Dương</t>
  </si>
  <si>
    <t xml:space="preserve">Phạm Anh Vũ </t>
  </si>
  <si>
    <t xml:space="preserve">Đỗ Văn Hoan </t>
  </si>
  <si>
    <t>Công ty TNHH dịch vụ truyền thông J Media</t>
  </si>
  <si>
    <t>Bùi T. Thanh Hương</t>
  </si>
  <si>
    <t xml:space="preserve">Nguyễn Mạnh Hùng </t>
  </si>
  <si>
    <t>Chu Ngọc Điệp</t>
  </si>
  <si>
    <t xml:space="preserve">Vũ Minh Tân </t>
  </si>
  <si>
    <t>Văn phòng Luật sư AIC</t>
  </si>
  <si>
    <t>Nguyễn Mạnh Tuấn</t>
  </si>
  <si>
    <t xml:space="preserve">Lê Tiễn Toàn </t>
  </si>
  <si>
    <t>Doãn Hồng Phúc</t>
  </si>
  <si>
    <t>Lê Đình Thăng</t>
  </si>
  <si>
    <t>Nguyễn Gia Anh</t>
  </si>
  <si>
    <t xml:space="preserve">Nguyễn Thế Hùng </t>
  </si>
  <si>
    <t xml:space="preserve">Lê Hoàng Hiệp </t>
  </si>
  <si>
    <t>Phó Thiên Tú</t>
  </si>
  <si>
    <t>Hoàng Quỳnh Hoa</t>
  </si>
  <si>
    <t xml:space="preserve">Trần Ngọc Hùng </t>
  </si>
  <si>
    <t>Nguyễn Tài Cường</t>
  </si>
  <si>
    <t xml:space="preserve">Nguyễn Xuân Thắng </t>
  </si>
  <si>
    <t xml:space="preserve">Phạm Thanh Hương </t>
  </si>
  <si>
    <t>Dương Thị Đào</t>
  </si>
  <si>
    <t>Lê Đoàn</t>
  </si>
  <si>
    <t xml:space="preserve">Hoàng Mạnh Hùng </t>
  </si>
  <si>
    <t>Hà Xuân Phong</t>
  </si>
  <si>
    <t xml:space="preserve">Đặng Thị Hằng </t>
  </si>
  <si>
    <t>Đặng Tú Quyên</t>
  </si>
  <si>
    <t>Công ty cổ phần đầu tư và xây dựng Delco</t>
  </si>
  <si>
    <t>Đặng Quang Hiếu</t>
  </si>
  <si>
    <t xml:space="preserve">Nguyễn Hương Trà </t>
  </si>
  <si>
    <t xml:space="preserve">Nguyễn Văn Linh </t>
  </si>
  <si>
    <t>Đặng Thị Bích Thu</t>
  </si>
  <si>
    <t>Cty CPTM Dịch vụ HALOBAY</t>
  </si>
  <si>
    <t>Công ty cổ phần xây lắp và chuyển giao công nghệ Hà Nội</t>
  </si>
  <si>
    <t>Trần Thiện Hoàng</t>
  </si>
  <si>
    <t>Công ty cổ phần đầu tư Kiến An Phạm</t>
  </si>
  <si>
    <t>Trần Tiến Nam</t>
  </si>
  <si>
    <t>Phạm Đình Hòa</t>
  </si>
  <si>
    <t>Trịnh Thị Việt Phương</t>
  </si>
  <si>
    <t>Lê Thị Thanh Thủy</t>
  </si>
  <si>
    <t>Phạm Lương An</t>
  </si>
  <si>
    <t xml:space="preserve">Lê Thanh Vân </t>
  </si>
  <si>
    <t xml:space="preserve">Lê Hồng Sơn </t>
  </si>
  <si>
    <t xml:space="preserve">Nguyễn Tiền Giang </t>
  </si>
  <si>
    <t>Nguyễn Văn Đoàn</t>
  </si>
  <si>
    <t>Nguyễn Thu Hiếu</t>
  </si>
  <si>
    <t>Công ty Cổ phần dịch vụ Bất động sản Tiên Phong</t>
  </si>
  <si>
    <t>Phạm Quốc Uy</t>
  </si>
  <si>
    <t>Lê. T. Thanh Hương</t>
  </si>
  <si>
    <t>Nguyễn Thị Thuy Thủy</t>
  </si>
  <si>
    <t>Ng Ngọc Thanh Hằng</t>
  </si>
  <si>
    <t>Nguyễn Thu Thúy</t>
  </si>
  <si>
    <t>Nguyễn Lê Anh</t>
  </si>
  <si>
    <t>Công ty TNHH tư vấn Công nghệ và thiết bị Phan Lê</t>
  </si>
  <si>
    <t>Phạm Bá Khải</t>
  </si>
  <si>
    <t>Nguyễn Ngọc Bé</t>
  </si>
  <si>
    <t>Nguyễn Thị Khánh</t>
  </si>
  <si>
    <t>Nguyễn Vũ Thanh Liêm</t>
  </si>
  <si>
    <t>Công ty TNHH Việt Sing 24H</t>
  </si>
  <si>
    <t>Nguyễn Bích Nga</t>
  </si>
  <si>
    <t>Đặng Quang Trung</t>
  </si>
  <si>
    <t>Vũ Trí Tiến</t>
  </si>
  <si>
    <t>Lê Thùy Dung</t>
  </si>
  <si>
    <t>Nguyễn Thị Hiền</t>
  </si>
  <si>
    <t>Đào Đình Bảng</t>
  </si>
  <si>
    <t xml:space="preserve">Nguyễn Xuân Mạnh </t>
  </si>
  <si>
    <t>Văn phòng Luật sư Investlinkco và cộng sự</t>
  </si>
  <si>
    <t>Vũ Hoài Nam</t>
  </si>
  <si>
    <t>Công ty TNHH Dịch vụ tư vấn tài chính kế toán và kiểm toán Nam Việt - Chi nhánh phía Bắc</t>
  </si>
  <si>
    <t>Đào Trọng Thiết</t>
  </si>
  <si>
    <t>Nguyễn Huy Cẩm</t>
  </si>
  <si>
    <t>Trần Thị Thơm</t>
  </si>
  <si>
    <t>Nguyễn Thị Ngân</t>
  </si>
  <si>
    <t>Tầng 1</t>
  </si>
  <si>
    <t>Ng T Minh Thủy</t>
  </si>
  <si>
    <t>Phạm Quang Hy</t>
  </si>
  <si>
    <t>ĐVT:VNĐ</t>
  </si>
  <si>
    <t>Tổng tiền nước (Bao gồm VAT 5%;Phí thoát nước 10%)</t>
  </si>
  <si>
    <t>BQL TÒA NHÀ 17T4-T5-T6</t>
  </si>
  <si>
    <t>Phí khác</t>
  </si>
  <si>
    <t>4. Nội dung CK: CH….17T…..Nộp phí tháng…../2023.</t>
  </si>
  <si>
    <t>BQL CHUNG CƯ 17T456</t>
  </si>
  <si>
    <t>BẢNG TỔNG HỢP CÁC KHOẢN PHÍ</t>
  </si>
  <si>
    <t>Nguyễn Văn Bảy</t>
  </si>
  <si>
    <t>Trần Mạnh Hùng</t>
  </si>
  <si>
    <t>Nguyễn Thành Long</t>
  </si>
  <si>
    <t>Cty CP QLĐT và XD Hồng Hà</t>
  </si>
  <si>
    <t>CỘNG HÒA XÃ HỘI CHỦ NGHĨA VIỆT NAM</t>
  </si>
  <si>
    <t>BQL CHUNG CƯ 17T4,5,6</t>
  </si>
  <si>
    <t>Độc lập - Tự do - Hạnh phúc</t>
  </si>
  <si>
    <t>BẢNG KÊ THU PHÍ NHÀ 17T4</t>
  </si>
  <si>
    <t>Kỳ thu các khoản phí T10/2023</t>
  </si>
  <si>
    <t>Tòa</t>
  </si>
  <si>
    <t>Phí DV T10/2023</t>
  </si>
  <si>
    <t>Phí Nước T09/2023</t>
  </si>
  <si>
    <t>Phí Xe T11/23</t>
  </si>
  <si>
    <t>Phí Rác</t>
  </si>
  <si>
    <t>Phí Bảo trì</t>
  </si>
  <si>
    <t>Phí truyền hình</t>
  </si>
  <si>
    <t>Ghi chú</t>
  </si>
  <si>
    <t>17T4</t>
  </si>
  <si>
    <t>Công ty cổ phần quản lý đầu tư và xây dựng Hồng Hà</t>
  </si>
  <si>
    <t>Mức 4</t>
  </si>
  <si>
    <t>408B</t>
  </si>
  <si>
    <t>1402B</t>
  </si>
  <si>
    <t>1702B</t>
  </si>
  <si>
    <t>1606B</t>
  </si>
  <si>
    <t>1507B</t>
  </si>
  <si>
    <t>1208B</t>
  </si>
  <si>
    <t>1203B</t>
  </si>
  <si>
    <t>902B</t>
  </si>
  <si>
    <t>704B</t>
  </si>
  <si>
    <t>608B</t>
  </si>
  <si>
    <t>508B</t>
  </si>
  <si>
    <t>OTOH</t>
  </si>
  <si>
    <t>OTOS</t>
  </si>
  <si>
    <t>XD</t>
  </si>
  <si>
    <t>XMH</t>
  </si>
  <si>
    <t>XMS</t>
  </si>
  <si>
    <t>NH về</t>
  </si>
  <si>
    <t>Ch/lệch</t>
  </si>
  <si>
    <t>nd ck ghi 202</t>
  </si>
  <si>
    <t>HKD</t>
  </si>
  <si>
    <t>HCD</t>
  </si>
  <si>
    <t>Cty CP đào tạo và nhân sự Việt Nam</t>
  </si>
  <si>
    <t>Cty TNHH truyền thông Sơn Trà</t>
  </si>
  <si>
    <t>Cty TNHH DV truyền thông J Media</t>
  </si>
  <si>
    <t>Cty CP ĐT và XD Delco</t>
  </si>
  <si>
    <t>Cty CP xây lắp và chuyển giao Công nghệ HN</t>
  </si>
  <si>
    <t>Cty CP ĐT Kiến An Phạm</t>
  </si>
  <si>
    <t>Cty CP DV BĐS Tiên Phong</t>
  </si>
  <si>
    <t>VP Luật sư Investlinkco và cộng sự</t>
  </si>
  <si>
    <t>Cty TNHH DV TV TC KT &amp; kiểm toán Nam Việt - CN phía Bắc</t>
  </si>
  <si>
    <t>Cty TNHH TV C.nghệ và TB Phan Lê</t>
  </si>
  <si>
    <t>1606A</t>
  </si>
  <si>
    <t>606B</t>
  </si>
  <si>
    <t>Nguyễn Thị Thu Hiền</t>
  </si>
  <si>
    <t>1206B</t>
  </si>
  <si>
    <t>KD-hđ</t>
  </si>
  <si>
    <t>10m3 đầu giá 6.869đ</t>
  </si>
  <si>
    <t>14 ck tách riêng</t>
  </si>
  <si>
    <t>14 ck bs nữa</t>
  </si>
  <si>
    <t>16 ck 2 món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</si>
</sst>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name val="Times New Roman"/>
      <family val="1"/>
    </font>
    <font>
      <sz val="13.5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.5"/>
      <color theme="1"/>
      <name val="Times New Roman"/>
      <family val="1"/>
    </font>
    <font>
      <b/>
      <sz val="13"/>
      <name val="Times New Roman"/>
      <family val="1"/>
    </font>
    <font>
      <sz val="12.5"/>
      <color theme="1"/>
      <name val="Times New Roman"/>
      <family val="1"/>
    </font>
    <font>
      <b/>
      <sz val="12.5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sz val="10.199999999999999"/>
      <color theme="1"/>
      <name val="Times New Roman"/>
      <family val="1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0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>
      <alignment vertical="center"/>
    </xf>
    <xf numFmtId="0" fontId="3" fillId="0" borderId="0"/>
    <xf numFmtId="0" fontId="2" fillId="0" borderId="0"/>
    <xf numFmtId="0" fontId="4" fillId="0" borderId="0">
      <alignment vertical="center"/>
    </xf>
    <xf numFmtId="0" fontId="2" fillId="0" borderId="0"/>
    <xf numFmtId="0" fontId="6" fillId="0" borderId="0"/>
    <xf numFmtId="0" fontId="6" fillId="0" borderId="0"/>
    <xf numFmtId="0" fontId="5" fillId="0" borderId="0"/>
    <xf numFmtId="9" fontId="4" fillId="0" borderId="0" applyFont="0" applyFill="0" applyBorder="0" applyAlignment="0" applyProtection="0">
      <alignment vertical="center"/>
    </xf>
  </cellStyleXfs>
  <cellXfs count="280">
    <xf numFmtId="0" fontId="0" fillId="0" borderId="0" xfId="0"/>
    <xf numFmtId="0" fontId="7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6" fontId="7" fillId="0" borderId="0" xfId="1" applyNumberFormat="1" applyFont="1"/>
    <xf numFmtId="166" fontId="10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166" fontId="7" fillId="0" borderId="2" xfId="1" applyNumberFormat="1" applyFont="1" applyBorder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166" fontId="7" fillId="0" borderId="3" xfId="1" applyNumberFormat="1" applyFont="1" applyBorder="1"/>
    <xf numFmtId="0" fontId="8" fillId="0" borderId="1" xfId="0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3" xfId="0" applyFont="1" applyBorder="1"/>
    <xf numFmtId="0" fontId="9" fillId="0" borderId="0" xfId="0" applyFont="1" applyAlignment="1">
      <alignment horizontal="center"/>
    </xf>
    <xf numFmtId="166" fontId="7" fillId="0" borderId="3" xfId="0" applyNumberFormat="1" applyFont="1" applyBorder="1"/>
    <xf numFmtId="0" fontId="7" fillId="0" borderId="2" xfId="0" quotePrefix="1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9" fillId="3" borderId="0" xfId="0" applyFont="1" applyFill="1"/>
    <xf numFmtId="0" fontId="7" fillId="3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3" borderId="4" xfId="0" applyFont="1" applyFill="1" applyBorder="1"/>
    <xf numFmtId="0" fontId="8" fillId="0" borderId="0" xfId="0" applyFont="1"/>
    <xf numFmtId="49" fontId="7" fillId="0" borderId="0" xfId="0" applyNumberFormat="1" applyFont="1"/>
    <xf numFmtId="49" fontId="10" fillId="0" borderId="0" xfId="0" applyNumberFormat="1" applyFont="1"/>
    <xf numFmtId="49" fontId="7" fillId="5" borderId="0" xfId="0" applyNumberFormat="1" applyFont="1" applyFill="1"/>
    <xf numFmtId="49" fontId="8" fillId="0" borderId="1" xfId="0" applyNumberFormat="1" applyFont="1" applyBorder="1" applyAlignment="1">
      <alignment horizontal="center" vertic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49" fontId="12" fillId="0" borderId="3" xfId="0" applyNumberFormat="1" applyFont="1" applyBorder="1"/>
    <xf numFmtId="49" fontId="8" fillId="0" borderId="4" xfId="0" applyNumberFormat="1" applyFont="1" applyBorder="1"/>
    <xf numFmtId="0" fontId="7" fillId="2" borderId="0" xfId="0" quotePrefix="1" applyFont="1" applyFill="1" applyAlignment="1">
      <alignment horizontal="center"/>
    </xf>
    <xf numFmtId="0" fontId="14" fillId="0" borderId="0" xfId="0" applyFont="1"/>
    <xf numFmtId="0" fontId="16" fillId="0" borderId="0" xfId="0" applyFont="1"/>
    <xf numFmtId="0" fontId="16" fillId="0" borderId="1" xfId="0" applyFont="1" applyBorder="1" applyAlignment="1">
      <alignment horizontal="center"/>
    </xf>
    <xf numFmtId="166" fontId="16" fillId="0" borderId="0" xfId="1" applyNumberFormat="1" applyFont="1"/>
    <xf numFmtId="0" fontId="9" fillId="0" borderId="1" xfId="0" applyFont="1" applyBorder="1" applyAlignment="1">
      <alignment horizontal="center"/>
    </xf>
    <xf numFmtId="166" fontId="14" fillId="0" borderId="0" xfId="1" applyNumberFormat="1" applyFont="1"/>
    <xf numFmtId="166" fontId="8" fillId="0" borderId="1" xfId="0" applyNumberFormat="1" applyFont="1" applyBorder="1"/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/>
    </xf>
    <xf numFmtId="166" fontId="12" fillId="0" borderId="3" xfId="1" applyNumberFormat="1" applyFont="1" applyFill="1" applyBorder="1"/>
    <xf numFmtId="0" fontId="12" fillId="0" borderId="0" xfId="0" applyFont="1"/>
    <xf numFmtId="166" fontId="7" fillId="0" borderId="3" xfId="1" applyNumberFormat="1" applyFont="1" applyBorder="1" applyAlignment="1">
      <alignment horizontal="right"/>
    </xf>
    <xf numFmtId="164" fontId="7" fillId="0" borderId="3" xfId="0" applyNumberFormat="1" applyFont="1" applyBorder="1"/>
    <xf numFmtId="166" fontId="7" fillId="0" borderId="2" xfId="1" applyNumberFormat="1" applyFont="1" applyBorder="1" applyAlignment="1">
      <alignment horizontal="right"/>
    </xf>
    <xf numFmtId="164" fontId="7" fillId="0" borderId="13" xfId="0" applyNumberFormat="1" applyFont="1" applyBorder="1"/>
    <xf numFmtId="164" fontId="7" fillId="0" borderId="2" xfId="0" applyNumberFormat="1" applyFont="1" applyBorder="1"/>
    <xf numFmtId="166" fontId="7" fillId="0" borderId="2" xfId="0" applyNumberFormat="1" applyFont="1" applyBorder="1"/>
    <xf numFmtId="166" fontId="7" fillId="0" borderId="3" xfId="1" applyNumberFormat="1" applyFont="1" applyFill="1" applyBorder="1" applyAlignment="1">
      <alignment horizontal="right"/>
    </xf>
    <xf numFmtId="0" fontId="16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1" fontId="7" fillId="0" borderId="2" xfId="0" applyNumberFormat="1" applyFont="1" applyBorder="1"/>
    <xf numFmtId="41" fontId="7" fillId="0" borderId="3" xfId="0" applyNumberFormat="1" applyFont="1" applyBorder="1"/>
    <xf numFmtId="41" fontId="12" fillId="0" borderId="3" xfId="0" applyNumberFormat="1" applyFont="1" applyBorder="1"/>
    <xf numFmtId="41" fontId="7" fillId="0" borderId="3" xfId="1" applyNumberFormat="1" applyFont="1" applyBorder="1"/>
    <xf numFmtId="0" fontId="8" fillId="5" borderId="0" xfId="0" applyFont="1" applyFill="1" applyAlignment="1">
      <alignment horizontal="center" vertical="center" wrapText="1"/>
    </xf>
    <xf numFmtId="41" fontId="7" fillId="0" borderId="0" xfId="0" applyNumberFormat="1" applyFont="1" applyAlignment="1">
      <alignment horizontal="right"/>
    </xf>
    <xf numFmtId="41" fontId="7" fillId="0" borderId="0" xfId="0" applyNumberFormat="1" applyFont="1" applyAlignment="1">
      <alignment horizontal="left"/>
    </xf>
    <xf numFmtId="41" fontId="7" fillId="0" borderId="0" xfId="1" applyNumberFormat="1" applyFont="1"/>
    <xf numFmtId="41" fontId="7" fillId="0" borderId="0" xfId="1" applyNumberFormat="1" applyFont="1" applyAlignment="1">
      <alignment horizontal="center"/>
    </xf>
    <xf numFmtId="41" fontId="16" fillId="0" borderId="1" xfId="1" applyNumberFormat="1" applyFont="1" applyBorder="1" applyAlignment="1">
      <alignment horizontal="center" vertical="center"/>
    </xf>
    <xf numFmtId="41" fontId="16" fillId="0" borderId="1" xfId="0" applyNumberFormat="1" applyFont="1" applyBorder="1" applyAlignment="1">
      <alignment horizontal="center"/>
    </xf>
    <xf numFmtId="41" fontId="16" fillId="0" borderId="1" xfId="1" applyNumberFormat="1" applyFont="1" applyBorder="1" applyAlignment="1">
      <alignment horizontal="center"/>
    </xf>
    <xf numFmtId="41" fontId="16" fillId="0" borderId="1" xfId="0" applyNumberFormat="1" applyFont="1" applyBorder="1" applyAlignment="1">
      <alignment horizontal="center" vertical="center"/>
    </xf>
    <xf numFmtId="41" fontId="16" fillId="0" borderId="1" xfId="1" applyNumberFormat="1" applyFont="1" applyBorder="1"/>
    <xf numFmtId="41" fontId="11" fillId="0" borderId="1" xfId="1" applyNumberFormat="1" applyFont="1" applyBorder="1"/>
    <xf numFmtId="41" fontId="9" fillId="0" borderId="1" xfId="1" applyNumberFormat="1" applyFont="1" applyBorder="1"/>
    <xf numFmtId="41" fontId="16" fillId="0" borderId="1" xfId="0" applyNumberFormat="1" applyFont="1" applyBorder="1" applyAlignment="1">
      <alignment vertical="center"/>
    </xf>
    <xf numFmtId="41" fontId="9" fillId="0" borderId="1" xfId="0" applyNumberFormat="1" applyFont="1" applyBorder="1" applyAlignment="1">
      <alignment vertical="center"/>
    </xf>
    <xf numFmtId="41" fontId="11" fillId="0" borderId="0" xfId="0" applyNumberFormat="1" applyFont="1" applyAlignment="1">
      <alignment horizontal="center" vertical="center"/>
    </xf>
    <xf numFmtId="41" fontId="15" fillId="0" borderId="0" xfId="0" applyNumberFormat="1" applyFont="1" applyAlignment="1">
      <alignment horizontal="left" vertical="center" wrapText="1"/>
    </xf>
    <xf numFmtId="41" fontId="14" fillId="0" borderId="0" xfId="0" applyNumberFormat="1" applyFont="1" applyAlignment="1">
      <alignment vertical="center"/>
    </xf>
    <xf numFmtId="41" fontId="14" fillId="0" borderId="0" xfId="0" applyNumberFormat="1" applyFont="1" applyAlignment="1">
      <alignment horizontal="left" vertical="center"/>
    </xf>
    <xf numFmtId="41" fontId="16" fillId="0" borderId="0" xfId="1" applyNumberFormat="1" applyFont="1" applyAlignment="1">
      <alignment horizontal="center" vertical="center"/>
    </xf>
    <xf numFmtId="41" fontId="7" fillId="0" borderId="0" xfId="0" applyNumberFormat="1" applyFont="1" applyAlignment="1">
      <alignment vertical="center"/>
    </xf>
    <xf numFmtId="41" fontId="7" fillId="0" borderId="0" xfId="1" applyNumberFormat="1" applyFont="1" applyAlignment="1">
      <alignment horizontal="center" vertical="center"/>
    </xf>
    <xf numFmtId="41" fontId="19" fillId="0" borderId="0" xfId="1" applyNumberFormat="1" applyFont="1" applyAlignment="1">
      <alignment vertical="center"/>
    </xf>
    <xf numFmtId="41" fontId="7" fillId="0" borderId="0" xfId="1" applyNumberFormat="1" applyFont="1" applyAlignment="1">
      <alignment vertical="center"/>
    </xf>
    <xf numFmtId="41" fontId="7" fillId="0" borderId="0" xfId="0" applyNumberFormat="1" applyFont="1"/>
    <xf numFmtId="166" fontId="9" fillId="0" borderId="14" xfId="1" applyNumberFormat="1" applyFont="1" applyBorder="1" applyAlignment="1">
      <alignment horizontal="center" vertical="center" wrapText="1"/>
    </xf>
    <xf numFmtId="166" fontId="16" fillId="0" borderId="2" xfId="1" applyNumberFormat="1" applyFont="1" applyBorder="1" applyAlignment="1">
      <alignment horizontal="center" vertical="center"/>
    </xf>
    <xf numFmtId="166" fontId="16" fillId="0" borderId="2" xfId="1" applyNumberFormat="1" applyFont="1" applyBorder="1" applyAlignment="1">
      <alignment vertical="center"/>
    </xf>
    <xf numFmtId="166" fontId="16" fillId="0" borderId="2" xfId="0" applyNumberFormat="1" applyFont="1" applyBorder="1" applyAlignment="1">
      <alignment vertical="center"/>
    </xf>
    <xf numFmtId="166" fontId="16" fillId="0" borderId="3" xfId="1" applyNumberFormat="1" applyFont="1" applyBorder="1" applyAlignment="1">
      <alignment horizontal="center" vertical="center"/>
    </xf>
    <xf numFmtId="166" fontId="16" fillId="0" borderId="3" xfId="1" applyNumberFormat="1" applyFont="1" applyBorder="1" applyAlignment="1">
      <alignment vertical="center"/>
    </xf>
    <xf numFmtId="166" fontId="16" fillId="0" borderId="13" xfId="1" applyNumberFormat="1" applyFont="1" applyBorder="1" applyAlignment="1">
      <alignment vertical="center"/>
    </xf>
    <xf numFmtId="166" fontId="16" fillId="0" borderId="13" xfId="0" applyNumberFormat="1" applyFont="1" applyBorder="1" applyAlignment="1">
      <alignment vertical="center"/>
    </xf>
    <xf numFmtId="166" fontId="5" fillId="0" borderId="3" xfId="1" applyNumberFormat="1" applyFont="1" applyBorder="1" applyAlignment="1">
      <alignment horizontal="center" vertical="center"/>
    </xf>
    <xf numFmtId="166" fontId="5" fillId="0" borderId="3" xfId="1" applyNumberFormat="1" applyFont="1" applyBorder="1" applyAlignment="1">
      <alignment vertical="center"/>
    </xf>
    <xf numFmtId="166" fontId="26" fillId="0" borderId="13" xfId="0" applyNumberFormat="1" applyFont="1" applyBorder="1" applyAlignment="1">
      <alignment vertical="center"/>
    </xf>
    <xf numFmtId="166" fontId="27" fillId="0" borderId="13" xfId="0" applyNumberFormat="1" applyFont="1" applyBorder="1" applyAlignment="1">
      <alignment vertical="center"/>
    </xf>
    <xf numFmtId="166" fontId="16" fillId="0" borderId="3" xfId="1" applyNumberFormat="1" applyFont="1" applyFill="1" applyBorder="1" applyAlignment="1">
      <alignment vertical="center"/>
    </xf>
    <xf numFmtId="166" fontId="9" fillId="0" borderId="13" xfId="0" applyNumberFormat="1" applyFont="1" applyBorder="1" applyAlignment="1">
      <alignment horizontal="center" vertical="center"/>
    </xf>
    <xf numFmtId="166" fontId="9" fillId="0" borderId="13" xfId="0" applyNumberFormat="1" applyFont="1" applyBorder="1" applyAlignment="1">
      <alignment vertical="center"/>
    </xf>
    <xf numFmtId="166" fontId="16" fillId="0" borderId="13" xfId="0" applyNumberFormat="1" applyFont="1" applyBorder="1" applyAlignment="1">
      <alignment horizontal="center" vertical="center"/>
    </xf>
    <xf numFmtId="166" fontId="26" fillId="0" borderId="13" xfId="0" applyNumberFormat="1" applyFont="1" applyBorder="1" applyAlignment="1">
      <alignment horizontal="center" vertical="center"/>
    </xf>
    <xf numFmtId="166" fontId="16" fillId="0" borderId="12" xfId="0" applyNumberFormat="1" applyFont="1" applyBorder="1" applyAlignment="1">
      <alignment horizontal="center" vertical="center"/>
    </xf>
    <xf numFmtId="166" fontId="16" fillId="0" borderId="4" xfId="1" applyNumberFormat="1" applyFont="1" applyBorder="1" applyAlignment="1">
      <alignment vertical="center"/>
    </xf>
    <xf numFmtId="166" fontId="16" fillId="0" borderId="12" xfId="0" applyNumberFormat="1" applyFont="1" applyBorder="1" applyAlignment="1">
      <alignment vertical="center"/>
    </xf>
    <xf numFmtId="166" fontId="16" fillId="0" borderId="1" xfId="1" applyNumberFormat="1" applyFont="1" applyBorder="1" applyAlignment="1">
      <alignment vertical="center"/>
    </xf>
    <xf numFmtId="166" fontId="16" fillId="0" borderId="1" xfId="0" applyNumberFormat="1" applyFont="1" applyBorder="1" applyAlignment="1">
      <alignment vertical="center"/>
    </xf>
    <xf numFmtId="166" fontId="9" fillId="0" borderId="16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0" borderId="1" xfId="1" applyNumberFormat="1" applyFont="1" applyBorder="1"/>
    <xf numFmtId="0" fontId="12" fillId="0" borderId="1" xfId="0" applyFont="1" applyBorder="1"/>
    <xf numFmtId="166" fontId="12" fillId="0" borderId="1" xfId="1" applyNumberFormat="1" applyFont="1" applyBorder="1"/>
    <xf numFmtId="0" fontId="8" fillId="0" borderId="1" xfId="0" applyFont="1" applyBorder="1"/>
    <xf numFmtId="166" fontId="16" fillId="0" borderId="14" xfId="0" applyNumberFormat="1" applyFont="1" applyBorder="1" applyAlignment="1">
      <alignment vertical="center"/>
    </xf>
    <xf numFmtId="166" fontId="16" fillId="0" borderId="6" xfId="0" applyNumberFormat="1" applyFont="1" applyBorder="1" applyAlignment="1">
      <alignment vertical="center"/>
    </xf>
    <xf numFmtId="166" fontId="9" fillId="0" borderId="10" xfId="0" applyNumberFormat="1" applyFont="1" applyBorder="1" applyAlignment="1">
      <alignment vertical="center"/>
    </xf>
    <xf numFmtId="168" fontId="7" fillId="0" borderId="1" xfId="1" applyNumberFormat="1" applyFont="1" applyBorder="1"/>
    <xf numFmtId="41" fontId="28" fillId="0" borderId="1" xfId="0" applyNumberFormat="1" applyFont="1" applyBorder="1" applyAlignment="1">
      <alignment vertical="center"/>
    </xf>
    <xf numFmtId="41" fontId="9" fillId="0" borderId="1" xfId="1" applyNumberFormat="1" applyFont="1" applyBorder="1" applyAlignment="1">
      <alignment horizontal="center" vertical="center"/>
    </xf>
    <xf numFmtId="41" fontId="9" fillId="0" borderId="1" xfId="1" applyNumberFormat="1" applyFont="1" applyFill="1" applyBorder="1"/>
    <xf numFmtId="41" fontId="16" fillId="0" borderId="1" xfId="1" applyNumberFormat="1" applyFont="1" applyFill="1" applyBorder="1" applyAlignment="1">
      <alignment horizontal="center"/>
    </xf>
    <xf numFmtId="166" fontId="7" fillId="0" borderId="1" xfId="0" applyNumberFormat="1" applyFont="1" applyBorder="1"/>
    <xf numFmtId="166" fontId="16" fillId="0" borderId="14" xfId="0" applyNumberFormat="1" applyFont="1" applyBorder="1" applyAlignment="1">
      <alignment horizontal="center" vertical="center"/>
    </xf>
    <xf numFmtId="166" fontId="16" fillId="0" borderId="19" xfId="1" applyNumberFormat="1" applyFont="1" applyBorder="1" applyAlignment="1">
      <alignment vertical="center"/>
    </xf>
    <xf numFmtId="166" fontId="16" fillId="0" borderId="6" xfId="1" applyNumberFormat="1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1" fontId="14" fillId="0" borderId="0" xfId="1" applyNumberFormat="1" applyFont="1" applyAlignment="1">
      <alignment horizontal="center"/>
    </xf>
    <xf numFmtId="41" fontId="14" fillId="0" borderId="0" xfId="1" applyNumberFormat="1" applyFont="1"/>
    <xf numFmtId="41" fontId="19" fillId="0" borderId="0" xfId="1" applyNumberFormat="1" applyFont="1" applyAlignment="1">
      <alignment horizontal="center"/>
    </xf>
    <xf numFmtId="41" fontId="14" fillId="0" borderId="0" xfId="1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8" fillId="0" borderId="1" xfId="1" applyNumberFormat="1" applyFont="1" applyBorder="1"/>
    <xf numFmtId="0" fontId="7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166" fontId="7" fillId="0" borderId="0" xfId="1" applyNumberFormat="1" applyFont="1" applyAlignment="1">
      <alignment vertical="center"/>
    </xf>
    <xf numFmtId="166" fontId="7" fillId="0" borderId="0" xfId="1" quotePrefix="1" applyNumberFormat="1" applyFont="1" applyAlignment="1">
      <alignment vertical="center"/>
    </xf>
    <xf numFmtId="166" fontId="7" fillId="0" borderId="0" xfId="1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6" fontId="9" fillId="0" borderId="1" xfId="1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26" fillId="0" borderId="13" xfId="0" applyFont="1" applyBorder="1" applyAlignment="1">
      <alignment horizontal="center" vertical="center"/>
    </xf>
    <xf numFmtId="166" fontId="5" fillId="0" borderId="13" xfId="0" applyNumberFormat="1" applyFont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19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6" fontId="12" fillId="0" borderId="0" xfId="1" applyNumberFormat="1" applyFont="1" applyAlignment="1">
      <alignment vertical="center"/>
    </xf>
    <xf numFmtId="166" fontId="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166" fontId="11" fillId="0" borderId="0" xfId="1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7" fillId="5" borderId="5" xfId="0" applyFont="1" applyFill="1" applyBorder="1"/>
    <xf numFmtId="0" fontId="7" fillId="5" borderId="18" xfId="0" applyFont="1" applyFill="1" applyBorder="1"/>
    <xf numFmtId="41" fontId="31" fillId="6" borderId="1" xfId="1" applyNumberFormat="1" applyFont="1" applyFill="1" applyBorder="1" applyAlignment="1">
      <alignment horizontal="center" vertical="center" wrapText="1"/>
    </xf>
    <xf numFmtId="41" fontId="32" fillId="0" borderId="1" xfId="1" applyNumberFormat="1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166" fontId="16" fillId="0" borderId="14" xfId="1" applyNumberFormat="1" applyFont="1" applyBorder="1" applyAlignment="1">
      <alignment vertical="center"/>
    </xf>
    <xf numFmtId="166" fontId="5" fillId="0" borderId="14" xfId="0" applyNumberFormat="1" applyFont="1" applyBorder="1" applyAlignment="1">
      <alignment vertical="center"/>
    </xf>
    <xf numFmtId="166" fontId="9" fillId="0" borderId="14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166" fontId="32" fillId="0" borderId="1" xfId="1" applyNumberFormat="1" applyFont="1" applyBorder="1" applyAlignment="1">
      <alignment vertical="center"/>
    </xf>
    <xf numFmtId="166" fontId="12" fillId="0" borderId="0" xfId="0" applyNumberFormat="1" applyFont="1"/>
    <xf numFmtId="41" fontId="16" fillId="0" borderId="0" xfId="0" applyNumberFormat="1" applyFont="1"/>
    <xf numFmtId="168" fontId="16" fillId="0" borderId="1" xfId="1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41" fontId="16" fillId="0" borderId="7" xfId="0" applyNumberFormat="1" applyFont="1" applyBorder="1" applyAlignment="1">
      <alignment horizontal="left"/>
    </xf>
    <xf numFmtId="41" fontId="16" fillId="0" borderId="8" xfId="0" applyNumberFormat="1" applyFont="1" applyBorder="1" applyAlignment="1">
      <alignment horizontal="left"/>
    </xf>
    <xf numFmtId="41" fontId="16" fillId="0" borderId="9" xfId="0" applyNumberFormat="1" applyFont="1" applyBorder="1" applyAlignment="1">
      <alignment horizontal="left"/>
    </xf>
    <xf numFmtId="41" fontId="23" fillId="0" borderId="0" xfId="0" applyNumberFormat="1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41" fontId="9" fillId="0" borderId="1" xfId="0" applyNumberFormat="1" applyFont="1" applyBorder="1" applyAlignment="1">
      <alignment horizontal="left" vertical="center"/>
    </xf>
    <xf numFmtId="41" fontId="9" fillId="0" borderId="8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1" fontId="9" fillId="0" borderId="10" xfId="0" applyNumberFormat="1" applyFont="1" applyBorder="1" applyAlignment="1">
      <alignment horizontal="left" vertical="center"/>
    </xf>
    <xf numFmtId="41" fontId="9" fillId="0" borderId="11" xfId="0" applyNumberFormat="1" applyFont="1" applyBorder="1" applyAlignment="1">
      <alignment horizontal="left" vertical="center"/>
    </xf>
    <xf numFmtId="41" fontId="9" fillId="0" borderId="15" xfId="0" applyNumberFormat="1" applyFont="1" applyBorder="1" applyAlignment="1">
      <alignment horizontal="left" vertical="center"/>
    </xf>
    <xf numFmtId="41" fontId="9" fillId="0" borderId="18" xfId="0" applyNumberFormat="1" applyFont="1" applyBorder="1" applyAlignment="1">
      <alignment horizontal="left" vertical="center"/>
    </xf>
    <xf numFmtId="41" fontId="15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41" fontId="9" fillId="0" borderId="7" xfId="0" applyNumberFormat="1" applyFont="1" applyBorder="1" applyAlignment="1">
      <alignment horizontal="center" vertical="center"/>
    </xf>
    <xf numFmtId="41" fontId="9" fillId="0" borderId="8" xfId="0" applyNumberFormat="1" applyFont="1" applyBorder="1" applyAlignment="1">
      <alignment horizontal="center" vertical="center"/>
    </xf>
    <xf numFmtId="41" fontId="9" fillId="0" borderId="9" xfId="0" applyNumberFormat="1" applyFont="1" applyBorder="1" applyAlignment="1">
      <alignment horizontal="center" vertical="center"/>
    </xf>
    <xf numFmtId="41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7" fillId="0" borderId="0" xfId="0" applyNumberFormat="1" applyFont="1" applyAlignment="1">
      <alignment horizontal="left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41" fontId="15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1" fontId="15" fillId="0" borderId="7" xfId="0" applyNumberFormat="1" applyFont="1" applyBorder="1" applyAlignment="1">
      <alignment horizontal="center"/>
    </xf>
    <xf numFmtId="41" fontId="15" fillId="0" borderId="8" xfId="0" applyNumberFormat="1" applyFont="1" applyBorder="1" applyAlignment="1">
      <alignment horizontal="center"/>
    </xf>
    <xf numFmtId="41" fontId="15" fillId="0" borderId="9" xfId="0" applyNumberFormat="1" applyFont="1" applyBorder="1" applyAlignment="1">
      <alignment horizontal="center"/>
    </xf>
    <xf numFmtId="41" fontId="17" fillId="0" borderId="7" xfId="0" applyNumberFormat="1" applyFont="1" applyBorder="1" applyAlignment="1">
      <alignment horizontal="center" vertical="top"/>
    </xf>
    <xf numFmtId="41" fontId="17" fillId="0" borderId="8" xfId="0" applyNumberFormat="1" applyFont="1" applyBorder="1" applyAlignment="1">
      <alignment horizontal="center" vertical="top"/>
    </xf>
    <xf numFmtId="41" fontId="17" fillId="0" borderId="9" xfId="0" applyNumberFormat="1" applyFont="1" applyBorder="1" applyAlignment="1">
      <alignment horizontal="center" vertical="top"/>
    </xf>
    <xf numFmtId="41" fontId="18" fillId="0" borderId="7" xfId="0" applyNumberFormat="1" applyFont="1" applyBorder="1" applyAlignment="1">
      <alignment horizontal="center" vertical="top"/>
    </xf>
    <xf numFmtId="41" fontId="18" fillId="0" borderId="8" xfId="0" applyNumberFormat="1" applyFont="1" applyBorder="1" applyAlignment="1">
      <alignment horizontal="center" vertical="top"/>
    </xf>
    <xf numFmtId="41" fontId="18" fillId="0" borderId="9" xfId="0" applyNumberFormat="1" applyFont="1" applyBorder="1" applyAlignment="1">
      <alignment horizontal="center" vertical="top"/>
    </xf>
    <xf numFmtId="41" fontId="16" fillId="0" borderId="7" xfId="0" applyNumberFormat="1" applyFont="1" applyBorder="1" applyAlignment="1">
      <alignment horizontal="left" vertical="center"/>
    </xf>
    <xf numFmtId="41" fontId="16" fillId="0" borderId="8" xfId="0" applyNumberFormat="1" applyFont="1" applyBorder="1" applyAlignment="1">
      <alignment horizontal="left" vertical="center"/>
    </xf>
    <xf numFmtId="41" fontId="16" fillId="0" borderId="9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41" fontId="16" fillId="0" borderId="0" xfId="0" applyNumberFormat="1" applyFont="1" applyAlignment="1">
      <alignment horizontal="center"/>
    </xf>
    <xf numFmtId="41" fontId="22" fillId="0" borderId="0" xfId="0" applyNumberFormat="1" applyFont="1" applyAlignment="1">
      <alignment horizontal="center"/>
    </xf>
    <xf numFmtId="41" fontId="11" fillId="0" borderId="7" xfId="0" applyNumberFormat="1" applyFont="1" applyBorder="1" applyAlignment="1">
      <alignment horizontal="left" vertical="center"/>
    </xf>
    <xf numFmtId="41" fontId="11" fillId="0" borderId="8" xfId="0" applyNumberFormat="1" applyFont="1" applyBorder="1" applyAlignment="1">
      <alignment horizontal="left" vertical="center"/>
    </xf>
    <xf numFmtId="41" fontId="11" fillId="0" borderId="9" xfId="0" applyNumberFormat="1" applyFont="1" applyBorder="1" applyAlignment="1">
      <alignment horizontal="left" vertical="center"/>
    </xf>
    <xf numFmtId="41" fontId="9" fillId="0" borderId="1" xfId="0" applyNumberFormat="1" applyFont="1" applyBorder="1" applyAlignment="1">
      <alignment horizontal="center" vertical="center"/>
    </xf>
    <xf numFmtId="41" fontId="9" fillId="0" borderId="7" xfId="0" applyNumberFormat="1" applyFont="1" applyBorder="1" applyAlignment="1">
      <alignment horizontal="left" vertical="center"/>
    </xf>
    <xf numFmtId="41" fontId="9" fillId="0" borderId="9" xfId="0" applyNumberFormat="1" applyFont="1" applyBorder="1" applyAlignment="1">
      <alignment horizontal="left" vertical="center"/>
    </xf>
    <xf numFmtId="41" fontId="16" fillId="0" borderId="1" xfId="0" applyNumberFormat="1" applyFont="1" applyBorder="1" applyAlignment="1">
      <alignment horizontal="center"/>
    </xf>
    <xf numFmtId="41" fontId="9" fillId="0" borderId="7" xfId="0" applyNumberFormat="1" applyFont="1" applyBorder="1" applyAlignment="1">
      <alignment horizontal="center"/>
    </xf>
    <xf numFmtId="41" fontId="9" fillId="0" borderId="8" xfId="0" applyNumberFormat="1" applyFont="1" applyBorder="1" applyAlignment="1">
      <alignment horizontal="center"/>
    </xf>
    <xf numFmtId="41" fontId="9" fillId="0" borderId="9" xfId="0" applyNumberFormat="1" applyFont="1" applyBorder="1" applyAlignment="1">
      <alignment horizontal="center"/>
    </xf>
    <xf numFmtId="41" fontId="16" fillId="0" borderId="7" xfId="0" applyNumberFormat="1" applyFont="1" applyBorder="1" applyAlignment="1">
      <alignment horizontal="center"/>
    </xf>
    <xf numFmtId="41" fontId="16" fillId="0" borderId="9" xfId="0" applyNumberFormat="1" applyFont="1" applyBorder="1" applyAlignment="1">
      <alignment horizontal="center"/>
    </xf>
    <xf numFmtId="41" fontId="9" fillId="0" borderId="17" xfId="0" applyNumberFormat="1" applyFont="1" applyBorder="1" applyAlignment="1">
      <alignment horizontal="left" vertical="center"/>
    </xf>
    <xf numFmtId="41" fontId="9" fillId="0" borderId="5" xfId="0" applyNumberFormat="1" applyFont="1" applyBorder="1" applyAlignment="1">
      <alignment horizontal="left" vertical="center"/>
    </xf>
    <xf numFmtId="41" fontId="16" fillId="0" borderId="7" xfId="0" applyNumberFormat="1" applyFont="1" applyBorder="1" applyAlignment="1">
      <alignment horizontal="center" vertical="center"/>
    </xf>
    <xf numFmtId="41" fontId="16" fillId="0" borderId="9" xfId="0" applyNumberFormat="1" applyFont="1" applyBorder="1" applyAlignment="1">
      <alignment horizontal="center" vertical="center"/>
    </xf>
    <xf numFmtId="166" fontId="8" fillId="0" borderId="6" xfId="1" applyNumberFormat="1" applyFont="1" applyBorder="1" applyAlignment="1">
      <alignment horizontal="center" wrapText="1"/>
    </xf>
    <xf numFmtId="166" fontId="8" fillId="0" borderId="12" xfId="1" applyNumberFormat="1" applyFont="1" applyBorder="1" applyAlignment="1">
      <alignment horizontal="center" wrapText="1"/>
    </xf>
    <xf numFmtId="0" fontId="10" fillId="3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166" fontId="9" fillId="0" borderId="7" xfId="1" applyNumberFormat="1" applyFont="1" applyBorder="1" applyAlignment="1">
      <alignment horizontal="center" vertical="center" wrapText="1"/>
    </xf>
    <xf numFmtId="166" fontId="9" fillId="0" borderId="8" xfId="1" applyNumberFormat="1" applyFont="1" applyBorder="1" applyAlignment="1">
      <alignment horizontal="center" vertical="center" wrapText="1"/>
    </xf>
    <xf numFmtId="166" fontId="9" fillId="0" borderId="9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66" fontId="9" fillId="0" borderId="10" xfId="1" applyNumberFormat="1" applyFont="1" applyBorder="1" applyAlignment="1">
      <alignment horizontal="center" vertical="center" wrapText="1"/>
    </xf>
    <xf numFmtId="166" fontId="9" fillId="0" borderId="15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20">
    <cellStyle name="Comma" xfId="1" builtinId="3"/>
    <cellStyle name="Comma 2" xfId="5" xr:uid="{00000000-0005-0000-0000-000001000000}"/>
    <cellStyle name="Comma 2 2" xfId="6" xr:uid="{00000000-0005-0000-0000-000002000000}"/>
    <cellStyle name="Comma 2 2 2" xfId="3" xr:uid="{00000000-0005-0000-0000-000003000000}"/>
    <cellStyle name="Comma 2 3" xfId="7" xr:uid="{00000000-0005-0000-0000-000004000000}"/>
    <cellStyle name="Comma 2 3 2" xfId="8" xr:uid="{00000000-0005-0000-0000-000005000000}"/>
    <cellStyle name="Comma 3" xfId="9" xr:uid="{00000000-0005-0000-0000-000006000000}"/>
    <cellStyle name="Comma 9" xfId="10" xr:uid="{00000000-0005-0000-0000-000007000000}"/>
    <cellStyle name="Normal" xfId="0" builtinId="0"/>
    <cellStyle name="Normal 11" xfId="11" xr:uid="{00000000-0005-0000-0000-000009000000}"/>
    <cellStyle name="Normal 2" xfId="12" xr:uid="{00000000-0005-0000-0000-00000A000000}"/>
    <cellStyle name="Normal 2 2" xfId="2" xr:uid="{00000000-0005-0000-0000-00000B000000}"/>
    <cellStyle name="Normal 2 2 2" xfId="4" xr:uid="{00000000-0005-0000-0000-00000C000000}"/>
    <cellStyle name="Normal 2 3" xfId="13" xr:uid="{00000000-0005-0000-0000-00000D000000}"/>
    <cellStyle name="Normal 3" xfId="14" xr:uid="{00000000-0005-0000-0000-00000E000000}"/>
    <cellStyle name="Normal 3 2" xfId="15" xr:uid="{00000000-0005-0000-0000-00000F000000}"/>
    <cellStyle name="Normal 3 3" xfId="16" xr:uid="{00000000-0005-0000-0000-000010000000}"/>
    <cellStyle name="Normal 4" xfId="17" xr:uid="{00000000-0005-0000-0000-000011000000}"/>
    <cellStyle name="Normal 7" xfId="18" xr:uid="{00000000-0005-0000-0000-000012000000}"/>
    <cellStyle name="Percent 2" xfId="19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476250</xdr:colOff>
      <xdr:row>4</xdr:row>
      <xdr:rowOff>9525</xdr:rowOff>
    </xdr:to>
    <xdr:pic>
      <xdr:nvPicPr>
        <xdr:cNvPr id="2" name="Picture 1" descr="Description: Description: Description: C:\Users\Dokd\Desktop\làm thẻ\New Bitmap Image.jpg">
          <a:extLst>
            <a:ext uri="{FF2B5EF4-FFF2-40B4-BE49-F238E27FC236}">
              <a16:creationId xmlns:a16="http://schemas.microsoft.com/office/drawing/2014/main" id="{B0DFA1E4-025C-4249-B875-DD035C002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695326</xdr:colOff>
      <xdr:row>37</xdr:row>
      <xdr:rowOff>18629</xdr:rowOff>
    </xdr:from>
    <xdr:to>
      <xdr:col>6</xdr:col>
      <xdr:colOff>1152526</xdr:colOff>
      <xdr:row>42</xdr:row>
      <xdr:rowOff>180976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EE0763-48ED-61A2-61CF-BC4E1B15D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1" y="7791029"/>
          <a:ext cx="1600200" cy="12767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U%20SO%20SACH%20KE%20TOAN/M&#7851;u%20s&#7889;%20s&#225;ch%20theo%20TT%20200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vnTools\Ufunctions.xlam" TargetMode="External"/><Relationship Id="rId1" Type="http://schemas.openxmlformats.org/officeDocument/2006/relationships/externalLinkPath" Target="/Program%20Files%20(x86)/vnTools/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ongtinDN"/>
      <sheetName val="MENU"/>
      <sheetName val="NKC"/>
      <sheetName val="Nhap-Xuat"/>
      <sheetName val="Tổng hợp NXT"/>
      <sheetName val="DANHKHACHHANG"/>
      <sheetName val="CDPS"/>
      <sheetName val="CDKT"/>
      <sheetName val="BCKQKD"/>
      <sheetName val="KQHĐSXKD"/>
      <sheetName val="LCTTTT"/>
      <sheetName val="TMBCTC"/>
      <sheetName val="lc tte"/>
      <sheetName val="so chi tiet"/>
      <sheetName val="Phieu nhap"/>
      <sheetName val="Phieu xuat"/>
      <sheetName val="Thẻ kho"/>
      <sheetName val="SQTM111"/>
      <sheetName val="TGNH112"/>
      <sheetName val=" PhieuThu-Chi"/>
      <sheetName val="Phieuhoachtoan"/>
      <sheetName val="Sổ chi tiết.131"/>
      <sheetName val="Sổ chi tiết.331"/>
      <sheetName val="Sổ chi tiết.154"/>
      <sheetName val="dthu-cp"/>
      <sheetName val="Phan bo khau hao"/>
      <sheetName val="QTTNDN năm"/>
      <sheetName val="03-1A_TNDN"/>
      <sheetName val="03-2A_TNDN"/>
      <sheetName val="Bankechiphixuatoan"/>
      <sheetName val="03-3A_TNDN"/>
      <sheetName val="Sheet1"/>
    </sheetNames>
    <sheetDataSet>
      <sheetData sheetId="0">
        <row r="14">
          <cell r="C14" t="str">
            <v>01/1/2017</v>
          </cell>
        </row>
        <row r="15">
          <cell r="C15" t="str">
            <v>31/12/2017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E11">
            <v>0</v>
          </cell>
          <cell r="F11">
            <v>0</v>
          </cell>
          <cell r="I11">
            <v>16444200000</v>
          </cell>
          <cell r="J11">
            <v>0</v>
          </cell>
        </row>
        <row r="12">
          <cell r="B12" t="str">
            <v>111</v>
          </cell>
          <cell r="E12">
            <v>0</v>
          </cell>
          <cell r="F12">
            <v>0</v>
          </cell>
          <cell r="I12">
            <v>16444200000</v>
          </cell>
          <cell r="J12">
            <v>0</v>
          </cell>
        </row>
        <row r="13">
          <cell r="B13" t="str">
            <v>111</v>
          </cell>
          <cell r="E13">
            <v>0</v>
          </cell>
          <cell r="F13">
            <v>0</v>
          </cell>
          <cell r="I13">
            <v>0</v>
          </cell>
          <cell r="J13">
            <v>0</v>
          </cell>
        </row>
        <row r="14">
          <cell r="B14" t="str">
            <v>111</v>
          </cell>
          <cell r="E14">
            <v>0</v>
          </cell>
          <cell r="F14">
            <v>0</v>
          </cell>
          <cell r="I14">
            <v>0</v>
          </cell>
          <cell r="J14">
            <v>0</v>
          </cell>
        </row>
        <row r="15">
          <cell r="E15">
            <v>0</v>
          </cell>
          <cell r="F15">
            <v>0</v>
          </cell>
          <cell r="I15">
            <v>1600000000</v>
          </cell>
          <cell r="J15">
            <v>0</v>
          </cell>
        </row>
        <row r="16">
          <cell r="B16" t="str">
            <v>111</v>
          </cell>
          <cell r="E16">
            <v>0</v>
          </cell>
          <cell r="F16">
            <v>0</v>
          </cell>
          <cell r="I16">
            <v>1600000000</v>
          </cell>
          <cell r="J16">
            <v>0</v>
          </cell>
        </row>
        <row r="17">
          <cell r="B17" t="str">
            <v>111</v>
          </cell>
          <cell r="E17">
            <v>0</v>
          </cell>
          <cell r="F17">
            <v>0</v>
          </cell>
          <cell r="I17">
            <v>0</v>
          </cell>
          <cell r="J17">
            <v>0</v>
          </cell>
        </row>
        <row r="18">
          <cell r="B18" t="str">
            <v>111</v>
          </cell>
          <cell r="E18">
            <v>0</v>
          </cell>
          <cell r="F18">
            <v>0</v>
          </cell>
          <cell r="I18">
            <v>0</v>
          </cell>
          <cell r="J18">
            <v>0</v>
          </cell>
        </row>
        <row r="19">
          <cell r="E19">
            <v>0</v>
          </cell>
          <cell r="F19">
            <v>0</v>
          </cell>
          <cell r="I19">
            <v>0</v>
          </cell>
          <cell r="J19">
            <v>0</v>
          </cell>
        </row>
        <row r="20">
          <cell r="B20" t="str">
            <v>111</v>
          </cell>
          <cell r="E20">
            <v>0</v>
          </cell>
          <cell r="F20">
            <v>0</v>
          </cell>
          <cell r="I20">
            <v>0</v>
          </cell>
          <cell r="J20">
            <v>0</v>
          </cell>
        </row>
        <row r="21">
          <cell r="B21" t="str">
            <v>111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</row>
        <row r="22">
          <cell r="E22">
            <v>0</v>
          </cell>
          <cell r="F22">
            <v>0</v>
          </cell>
          <cell r="I22">
            <v>0</v>
          </cell>
          <cell r="J22">
            <v>0</v>
          </cell>
        </row>
        <row r="23">
          <cell r="B23">
            <v>121</v>
          </cell>
          <cell r="E23">
            <v>0</v>
          </cell>
          <cell r="F23">
            <v>0</v>
          </cell>
          <cell r="I23">
            <v>0</v>
          </cell>
          <cell r="J23">
            <v>0</v>
          </cell>
        </row>
        <row r="24">
          <cell r="B24">
            <v>121</v>
          </cell>
          <cell r="E24">
            <v>0</v>
          </cell>
          <cell r="F24">
            <v>0</v>
          </cell>
          <cell r="I24">
            <v>0</v>
          </cell>
          <cell r="J24">
            <v>0</v>
          </cell>
        </row>
        <row r="25">
          <cell r="B25">
            <v>121</v>
          </cell>
          <cell r="E25">
            <v>0</v>
          </cell>
          <cell r="F25">
            <v>0</v>
          </cell>
          <cell r="I25">
            <v>0</v>
          </cell>
          <cell r="J25">
            <v>0</v>
          </cell>
        </row>
        <row r="26">
          <cell r="E26">
            <v>0</v>
          </cell>
          <cell r="F26">
            <v>0</v>
          </cell>
          <cell r="I26">
            <v>0</v>
          </cell>
          <cell r="J26">
            <v>0</v>
          </cell>
        </row>
        <row r="27">
          <cell r="B27">
            <v>123</v>
          </cell>
          <cell r="E27">
            <v>0</v>
          </cell>
          <cell r="F27">
            <v>0</v>
          </cell>
          <cell r="I27">
            <v>0</v>
          </cell>
          <cell r="J27">
            <v>0</v>
          </cell>
        </row>
        <row r="28">
          <cell r="B28">
            <v>123</v>
          </cell>
          <cell r="E28">
            <v>0</v>
          </cell>
          <cell r="F28">
            <v>0</v>
          </cell>
          <cell r="I28">
            <v>0</v>
          </cell>
          <cell r="J28">
            <v>0</v>
          </cell>
        </row>
        <row r="29">
          <cell r="B29">
            <v>135</v>
          </cell>
          <cell r="E29">
            <v>0</v>
          </cell>
          <cell r="F29">
            <v>0</v>
          </cell>
          <cell r="I29">
            <v>0</v>
          </cell>
          <cell r="J29">
            <v>0</v>
          </cell>
        </row>
        <row r="30">
          <cell r="B30">
            <v>123</v>
          </cell>
          <cell r="E30">
            <v>0</v>
          </cell>
          <cell r="F30">
            <v>0</v>
          </cell>
          <cell r="I30">
            <v>0</v>
          </cell>
          <cell r="J30">
            <v>0</v>
          </cell>
        </row>
        <row r="31">
          <cell r="B31">
            <v>131</v>
          </cell>
          <cell r="E31">
            <v>0</v>
          </cell>
          <cell r="F31">
            <v>0</v>
          </cell>
          <cell r="I31">
            <v>0</v>
          </cell>
          <cell r="J31">
            <v>0</v>
          </cell>
        </row>
        <row r="32">
          <cell r="E32">
            <v>0</v>
          </cell>
          <cell r="F32">
            <v>0</v>
          </cell>
          <cell r="I32">
            <v>259300000</v>
          </cell>
          <cell r="J32">
            <v>0</v>
          </cell>
        </row>
        <row r="33">
          <cell r="B33">
            <v>152</v>
          </cell>
          <cell r="E33">
            <v>0</v>
          </cell>
          <cell r="F33">
            <v>0</v>
          </cell>
          <cell r="I33">
            <v>259300000</v>
          </cell>
          <cell r="J33">
            <v>0</v>
          </cell>
        </row>
        <row r="34">
          <cell r="B34">
            <v>152</v>
          </cell>
          <cell r="E34">
            <v>0</v>
          </cell>
          <cell r="F34">
            <v>0</v>
          </cell>
          <cell r="I34">
            <v>0</v>
          </cell>
          <cell r="J34">
            <v>0</v>
          </cell>
        </row>
        <row r="35">
          <cell r="E35">
            <v>0</v>
          </cell>
          <cell r="F35">
            <v>0</v>
          </cell>
          <cell r="I35">
            <v>0</v>
          </cell>
          <cell r="J35">
            <v>0</v>
          </cell>
        </row>
        <row r="36">
          <cell r="B36">
            <v>133</v>
          </cell>
          <cell r="E36">
            <v>0</v>
          </cell>
          <cell r="F36">
            <v>0</v>
          </cell>
          <cell r="I36">
            <v>0</v>
          </cell>
          <cell r="J36">
            <v>0</v>
          </cell>
        </row>
        <row r="37">
          <cell r="B37">
            <v>133</v>
          </cell>
          <cell r="E37">
            <v>0</v>
          </cell>
          <cell r="F37">
            <v>0</v>
          </cell>
          <cell r="I37">
            <v>0</v>
          </cell>
          <cell r="J37">
            <v>0</v>
          </cell>
        </row>
        <row r="38">
          <cell r="B38">
            <v>133</v>
          </cell>
          <cell r="E38">
            <v>0</v>
          </cell>
          <cell r="F38">
            <v>0</v>
          </cell>
          <cell r="I38">
            <v>0</v>
          </cell>
          <cell r="J38">
            <v>0</v>
          </cell>
        </row>
        <row r="39">
          <cell r="B39">
            <v>133</v>
          </cell>
          <cell r="E39">
            <v>0</v>
          </cell>
          <cell r="F39">
            <v>0</v>
          </cell>
          <cell r="I39">
            <v>0</v>
          </cell>
          <cell r="J39">
            <v>0</v>
          </cell>
        </row>
        <row r="40">
          <cell r="E40">
            <v>0</v>
          </cell>
          <cell r="F40">
            <v>0</v>
          </cell>
          <cell r="I40">
            <v>0</v>
          </cell>
          <cell r="J40">
            <v>0</v>
          </cell>
        </row>
        <row r="41">
          <cell r="B41">
            <v>137</v>
          </cell>
          <cell r="E41">
            <v>0</v>
          </cell>
          <cell r="F41">
            <v>0</v>
          </cell>
          <cell r="I41">
            <v>0</v>
          </cell>
          <cell r="J41">
            <v>0</v>
          </cell>
        </row>
        <row r="42">
          <cell r="B42">
            <v>136</v>
          </cell>
          <cell r="E42">
            <v>0</v>
          </cell>
          <cell r="F42">
            <v>0</v>
          </cell>
          <cell r="I42">
            <v>0</v>
          </cell>
          <cell r="J42">
            <v>0</v>
          </cell>
        </row>
        <row r="43">
          <cell r="B43">
            <v>136</v>
          </cell>
          <cell r="E43">
            <v>0</v>
          </cell>
          <cell r="F43">
            <v>0</v>
          </cell>
          <cell r="I43">
            <v>0</v>
          </cell>
          <cell r="J43">
            <v>0</v>
          </cell>
        </row>
        <row r="44">
          <cell r="B44">
            <v>136</v>
          </cell>
          <cell r="E44">
            <v>0</v>
          </cell>
          <cell r="F44">
            <v>0</v>
          </cell>
          <cell r="I44">
            <v>0</v>
          </cell>
          <cell r="J44">
            <v>0</v>
          </cell>
        </row>
        <row r="45">
          <cell r="B45">
            <v>141</v>
          </cell>
          <cell r="E45">
            <v>0</v>
          </cell>
          <cell r="F45">
            <v>0</v>
          </cell>
          <cell r="I45">
            <v>0</v>
          </cell>
          <cell r="J45">
            <v>0</v>
          </cell>
        </row>
        <row r="46">
          <cell r="B46">
            <v>141</v>
          </cell>
          <cell r="E46">
            <v>0</v>
          </cell>
          <cell r="F46">
            <v>0</v>
          </cell>
          <cell r="I46">
            <v>0</v>
          </cell>
          <cell r="J46">
            <v>0</v>
          </cell>
        </row>
        <row r="47">
          <cell r="E47">
            <v>0</v>
          </cell>
          <cell r="F47">
            <v>0</v>
          </cell>
          <cell r="I47">
            <v>0</v>
          </cell>
          <cell r="J47">
            <v>0</v>
          </cell>
        </row>
        <row r="48">
          <cell r="B48">
            <v>141</v>
          </cell>
          <cell r="E48">
            <v>0</v>
          </cell>
          <cell r="F48">
            <v>0</v>
          </cell>
          <cell r="I48">
            <v>0</v>
          </cell>
          <cell r="J48">
            <v>0</v>
          </cell>
        </row>
        <row r="49">
          <cell r="B49">
            <v>141</v>
          </cell>
          <cell r="E49">
            <v>0</v>
          </cell>
          <cell r="F49">
            <v>0</v>
          </cell>
          <cell r="I49">
            <v>0</v>
          </cell>
          <cell r="J49">
            <v>0</v>
          </cell>
        </row>
        <row r="50">
          <cell r="B50">
            <v>141</v>
          </cell>
          <cell r="E50">
            <v>0</v>
          </cell>
          <cell r="F50">
            <v>0</v>
          </cell>
          <cell r="I50">
            <v>0</v>
          </cell>
          <cell r="J50">
            <v>0</v>
          </cell>
        </row>
        <row r="51">
          <cell r="B51">
            <v>141</v>
          </cell>
          <cell r="E51">
            <v>0</v>
          </cell>
          <cell r="F51">
            <v>0</v>
          </cell>
          <cell r="I51">
            <v>0</v>
          </cell>
          <cell r="J51">
            <v>0</v>
          </cell>
        </row>
        <row r="52">
          <cell r="B52">
            <v>141</v>
          </cell>
          <cell r="E52">
            <v>0</v>
          </cell>
          <cell r="F52">
            <v>0</v>
          </cell>
          <cell r="I52">
            <v>33361111</v>
          </cell>
          <cell r="J52">
            <v>0</v>
          </cell>
        </row>
        <row r="53">
          <cell r="E53">
            <v>0</v>
          </cell>
          <cell r="F53">
            <v>0</v>
          </cell>
          <cell r="I53">
            <v>0</v>
          </cell>
          <cell r="J53">
            <v>0</v>
          </cell>
        </row>
        <row r="54">
          <cell r="B54">
            <v>141</v>
          </cell>
          <cell r="E54">
            <v>0</v>
          </cell>
          <cell r="F54">
            <v>0</v>
          </cell>
          <cell r="I54">
            <v>0</v>
          </cell>
          <cell r="J54">
            <v>0</v>
          </cell>
        </row>
        <row r="55">
          <cell r="B55">
            <v>141</v>
          </cell>
          <cell r="E55">
            <v>0</v>
          </cell>
          <cell r="F55">
            <v>0</v>
          </cell>
          <cell r="I55">
            <v>0</v>
          </cell>
          <cell r="J55">
            <v>0</v>
          </cell>
        </row>
        <row r="56">
          <cell r="E56">
            <v>0</v>
          </cell>
          <cell r="F56">
            <v>0</v>
          </cell>
          <cell r="I56">
            <v>0</v>
          </cell>
          <cell r="J56">
            <v>0</v>
          </cell>
        </row>
        <row r="57">
          <cell r="B57">
            <v>141</v>
          </cell>
          <cell r="E57">
            <v>0</v>
          </cell>
          <cell r="F57">
            <v>0</v>
          </cell>
          <cell r="I57">
            <v>0</v>
          </cell>
          <cell r="J57">
            <v>0</v>
          </cell>
        </row>
        <row r="58">
          <cell r="B58">
            <v>141</v>
          </cell>
          <cell r="E58">
            <v>0</v>
          </cell>
          <cell r="F58">
            <v>0</v>
          </cell>
          <cell r="I58">
            <v>0</v>
          </cell>
          <cell r="J58">
            <v>0</v>
          </cell>
        </row>
        <row r="59">
          <cell r="B59">
            <v>141</v>
          </cell>
          <cell r="E59">
            <v>0</v>
          </cell>
          <cell r="F59">
            <v>0</v>
          </cell>
          <cell r="I59">
            <v>0</v>
          </cell>
          <cell r="J59">
            <v>0</v>
          </cell>
        </row>
        <row r="60">
          <cell r="B60">
            <v>141</v>
          </cell>
          <cell r="E60">
            <v>0</v>
          </cell>
          <cell r="F60">
            <v>0</v>
          </cell>
          <cell r="I60">
            <v>0</v>
          </cell>
          <cell r="J60">
            <v>0</v>
          </cell>
        </row>
        <row r="61">
          <cell r="B61">
            <v>141</v>
          </cell>
          <cell r="E61">
            <v>0</v>
          </cell>
          <cell r="F61">
            <v>0</v>
          </cell>
          <cell r="I61">
            <v>0</v>
          </cell>
          <cell r="J61">
            <v>0</v>
          </cell>
        </row>
        <row r="62">
          <cell r="B62" t="str">
            <v>154</v>
          </cell>
          <cell r="E62">
            <v>0</v>
          </cell>
          <cell r="F62">
            <v>0</v>
          </cell>
          <cell r="I62">
            <v>0</v>
          </cell>
          <cell r="J62">
            <v>0</v>
          </cell>
        </row>
        <row r="63">
          <cell r="E63">
            <v>0</v>
          </cell>
          <cell r="F63">
            <v>0</v>
          </cell>
          <cell r="I63">
            <v>2500000000</v>
          </cell>
          <cell r="J63">
            <v>0</v>
          </cell>
        </row>
        <row r="64">
          <cell r="B64">
            <v>222</v>
          </cell>
          <cell r="E64">
            <v>0</v>
          </cell>
          <cell r="F64">
            <v>0</v>
          </cell>
          <cell r="I64">
            <v>0</v>
          </cell>
          <cell r="J64">
            <v>0</v>
          </cell>
        </row>
        <row r="65">
          <cell r="B65">
            <v>222</v>
          </cell>
          <cell r="E65">
            <v>0</v>
          </cell>
          <cell r="F65">
            <v>0</v>
          </cell>
          <cell r="I65">
            <v>0</v>
          </cell>
          <cell r="J65">
            <v>0</v>
          </cell>
        </row>
        <row r="66">
          <cell r="B66">
            <v>222</v>
          </cell>
          <cell r="E66">
            <v>0</v>
          </cell>
          <cell r="F66">
            <v>0</v>
          </cell>
          <cell r="I66">
            <v>2500000000</v>
          </cell>
          <cell r="J66">
            <v>0</v>
          </cell>
        </row>
        <row r="67">
          <cell r="B67">
            <v>222</v>
          </cell>
          <cell r="E67">
            <v>0</v>
          </cell>
          <cell r="F67">
            <v>0</v>
          </cell>
          <cell r="I67">
            <v>0</v>
          </cell>
          <cell r="J67">
            <v>0</v>
          </cell>
        </row>
        <row r="68">
          <cell r="B68">
            <v>222</v>
          </cell>
          <cell r="E68">
            <v>0</v>
          </cell>
          <cell r="F68">
            <v>0</v>
          </cell>
          <cell r="I68">
            <v>0</v>
          </cell>
          <cell r="J68">
            <v>0</v>
          </cell>
        </row>
        <row r="69">
          <cell r="B69">
            <v>222</v>
          </cell>
          <cell r="E69">
            <v>0</v>
          </cell>
          <cell r="F69">
            <v>0</v>
          </cell>
          <cell r="I69">
            <v>0</v>
          </cell>
          <cell r="J69">
            <v>0</v>
          </cell>
        </row>
        <row r="70">
          <cell r="E70">
            <v>0</v>
          </cell>
          <cell r="F70">
            <v>0</v>
          </cell>
          <cell r="I70">
            <v>0</v>
          </cell>
          <cell r="J70">
            <v>0</v>
          </cell>
        </row>
        <row r="71">
          <cell r="B71" t="str">
            <v>225</v>
          </cell>
          <cell r="E71">
            <v>0</v>
          </cell>
          <cell r="F71">
            <v>0</v>
          </cell>
          <cell r="I71">
            <v>0</v>
          </cell>
          <cell r="J71">
            <v>0</v>
          </cell>
        </row>
        <row r="72">
          <cell r="B72" t="str">
            <v>225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</row>
        <row r="73">
          <cell r="E73">
            <v>0</v>
          </cell>
          <cell r="F73">
            <v>0</v>
          </cell>
          <cell r="I73">
            <v>0</v>
          </cell>
          <cell r="J73">
            <v>0</v>
          </cell>
        </row>
        <row r="74">
          <cell r="B74">
            <v>228</v>
          </cell>
          <cell r="E74">
            <v>0</v>
          </cell>
          <cell r="F74">
            <v>0</v>
          </cell>
          <cell r="I74">
            <v>0</v>
          </cell>
          <cell r="J74">
            <v>0</v>
          </cell>
        </row>
        <row r="75">
          <cell r="B75">
            <v>228</v>
          </cell>
          <cell r="E75">
            <v>0</v>
          </cell>
          <cell r="F75">
            <v>0</v>
          </cell>
          <cell r="I75">
            <v>0</v>
          </cell>
          <cell r="J75">
            <v>0</v>
          </cell>
        </row>
        <row r="76">
          <cell r="B76">
            <v>228</v>
          </cell>
          <cell r="E76">
            <v>0</v>
          </cell>
          <cell r="F76">
            <v>0</v>
          </cell>
          <cell r="I76">
            <v>0</v>
          </cell>
          <cell r="J76">
            <v>0</v>
          </cell>
        </row>
        <row r="77">
          <cell r="B77">
            <v>228</v>
          </cell>
          <cell r="E77">
            <v>0</v>
          </cell>
          <cell r="F77">
            <v>0</v>
          </cell>
          <cell r="I77">
            <v>0</v>
          </cell>
          <cell r="J77">
            <v>0</v>
          </cell>
        </row>
        <row r="78">
          <cell r="B78">
            <v>228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</row>
        <row r="79">
          <cell r="B79">
            <v>228</v>
          </cell>
          <cell r="E79">
            <v>0</v>
          </cell>
          <cell r="F79">
            <v>0</v>
          </cell>
          <cell r="I79">
            <v>0</v>
          </cell>
          <cell r="J79">
            <v>0</v>
          </cell>
        </row>
        <row r="80">
          <cell r="B80">
            <v>228</v>
          </cell>
          <cell r="E80">
            <v>0</v>
          </cell>
          <cell r="F80">
            <v>0</v>
          </cell>
          <cell r="I80">
            <v>0</v>
          </cell>
          <cell r="J80">
            <v>0</v>
          </cell>
        </row>
        <row r="81">
          <cell r="E81">
            <v>0</v>
          </cell>
          <cell r="F81">
            <v>0</v>
          </cell>
          <cell r="I81">
            <v>0</v>
          </cell>
          <cell r="J81">
            <v>41666667</v>
          </cell>
        </row>
        <row r="82">
          <cell r="B82">
            <v>223</v>
          </cell>
          <cell r="E82">
            <v>0</v>
          </cell>
          <cell r="F82">
            <v>0</v>
          </cell>
          <cell r="I82">
            <v>0</v>
          </cell>
          <cell r="J82">
            <v>41666667</v>
          </cell>
        </row>
        <row r="83">
          <cell r="B83">
            <v>226</v>
          </cell>
          <cell r="E83">
            <v>0</v>
          </cell>
          <cell r="F83">
            <v>0</v>
          </cell>
          <cell r="I83">
            <v>0</v>
          </cell>
          <cell r="J83">
            <v>0</v>
          </cell>
        </row>
        <row r="84">
          <cell r="B84">
            <v>229</v>
          </cell>
          <cell r="E84">
            <v>0</v>
          </cell>
          <cell r="F84">
            <v>0</v>
          </cell>
          <cell r="I84">
            <v>0</v>
          </cell>
          <cell r="J84">
            <v>0</v>
          </cell>
        </row>
        <row r="85">
          <cell r="B85" t="str">
            <v>232</v>
          </cell>
          <cell r="E85">
            <v>0</v>
          </cell>
          <cell r="F85">
            <v>0</v>
          </cell>
          <cell r="I85">
            <v>0</v>
          </cell>
          <cell r="J85">
            <v>0</v>
          </cell>
        </row>
        <row r="86">
          <cell r="B86" t="str">
            <v>231</v>
          </cell>
          <cell r="E86">
            <v>0</v>
          </cell>
          <cell r="F86">
            <v>0</v>
          </cell>
          <cell r="I86">
            <v>0</v>
          </cell>
          <cell r="J86">
            <v>0</v>
          </cell>
        </row>
        <row r="87">
          <cell r="B87">
            <v>251</v>
          </cell>
          <cell r="E87">
            <v>0</v>
          </cell>
          <cell r="F87">
            <v>0</v>
          </cell>
          <cell r="I87">
            <v>0</v>
          </cell>
          <cell r="J87">
            <v>0</v>
          </cell>
        </row>
        <row r="88">
          <cell r="B88">
            <v>252</v>
          </cell>
          <cell r="E88">
            <v>0</v>
          </cell>
          <cell r="F88">
            <v>0</v>
          </cell>
          <cell r="I88">
            <v>0</v>
          </cell>
          <cell r="J88">
            <v>0</v>
          </cell>
        </row>
        <row r="89">
          <cell r="E89">
            <v>0</v>
          </cell>
          <cell r="F89">
            <v>0</v>
          </cell>
          <cell r="I89">
            <v>0</v>
          </cell>
          <cell r="J89">
            <v>0</v>
          </cell>
        </row>
        <row r="90">
          <cell r="B90">
            <v>253</v>
          </cell>
          <cell r="E90">
            <v>0</v>
          </cell>
          <cell r="F90">
            <v>0</v>
          </cell>
          <cell r="I90">
            <v>0</v>
          </cell>
          <cell r="J90">
            <v>0</v>
          </cell>
        </row>
        <row r="91">
          <cell r="B91" t="str">
            <v>155</v>
          </cell>
          <cell r="E91">
            <v>0</v>
          </cell>
          <cell r="F91">
            <v>0</v>
          </cell>
          <cell r="I91">
            <v>0</v>
          </cell>
          <cell r="J91">
            <v>0</v>
          </cell>
        </row>
        <row r="92">
          <cell r="E92">
            <v>0</v>
          </cell>
          <cell r="F92">
            <v>0</v>
          </cell>
          <cell r="I92">
            <v>0</v>
          </cell>
          <cell r="J92">
            <v>0</v>
          </cell>
        </row>
        <row r="93">
          <cell r="B93">
            <v>122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</row>
        <row r="94">
          <cell r="B94">
            <v>254</v>
          </cell>
          <cell r="E94">
            <v>0</v>
          </cell>
          <cell r="F94">
            <v>0</v>
          </cell>
          <cell r="I94">
            <v>0</v>
          </cell>
          <cell r="J94">
            <v>0</v>
          </cell>
        </row>
        <row r="95">
          <cell r="B95">
            <v>139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</row>
        <row r="96">
          <cell r="B96">
            <v>149</v>
          </cell>
          <cell r="E96">
            <v>0</v>
          </cell>
          <cell r="F96">
            <v>0</v>
          </cell>
          <cell r="I96">
            <v>0</v>
          </cell>
          <cell r="J96">
            <v>0</v>
          </cell>
        </row>
        <row r="97">
          <cell r="E97">
            <v>0</v>
          </cell>
          <cell r="F97">
            <v>0</v>
          </cell>
          <cell r="I97">
            <v>0</v>
          </cell>
          <cell r="J97">
            <v>0</v>
          </cell>
        </row>
        <row r="98">
          <cell r="B98" t="str">
            <v>242</v>
          </cell>
          <cell r="E98">
            <v>0</v>
          </cell>
          <cell r="F98">
            <v>0</v>
          </cell>
          <cell r="I98">
            <v>0</v>
          </cell>
          <cell r="J98">
            <v>0</v>
          </cell>
        </row>
        <row r="99">
          <cell r="B99" t="str">
            <v>242</v>
          </cell>
          <cell r="E99">
            <v>0</v>
          </cell>
          <cell r="F99">
            <v>0</v>
          </cell>
          <cell r="I99">
            <v>0</v>
          </cell>
          <cell r="J99">
            <v>0</v>
          </cell>
        </row>
        <row r="100">
          <cell r="B100" t="str">
            <v>242</v>
          </cell>
          <cell r="E100">
            <v>0</v>
          </cell>
          <cell r="F100">
            <v>0</v>
          </cell>
          <cell r="I100">
            <v>0</v>
          </cell>
          <cell r="J100">
            <v>0</v>
          </cell>
        </row>
        <row r="101">
          <cell r="E101">
            <v>0</v>
          </cell>
          <cell r="F101">
            <v>0</v>
          </cell>
          <cell r="I101">
            <v>59055556</v>
          </cell>
          <cell r="J101">
            <v>0</v>
          </cell>
        </row>
        <row r="102">
          <cell r="B102">
            <v>151</v>
          </cell>
          <cell r="E102">
            <v>0</v>
          </cell>
          <cell r="F102">
            <v>0</v>
          </cell>
          <cell r="I102">
            <v>8166667</v>
          </cell>
          <cell r="J102">
            <v>0</v>
          </cell>
        </row>
        <row r="103">
          <cell r="B103">
            <v>261</v>
          </cell>
          <cell r="E103">
            <v>0</v>
          </cell>
          <cell r="F103">
            <v>0</v>
          </cell>
          <cell r="I103">
            <v>50888889</v>
          </cell>
          <cell r="J103">
            <v>0</v>
          </cell>
        </row>
        <row r="104">
          <cell r="B104">
            <v>262</v>
          </cell>
          <cell r="E104">
            <v>0</v>
          </cell>
          <cell r="F104">
            <v>0</v>
          </cell>
          <cell r="I104">
            <v>0</v>
          </cell>
          <cell r="J104">
            <v>0</v>
          </cell>
        </row>
        <row r="105">
          <cell r="B105">
            <v>216</v>
          </cell>
          <cell r="E105">
            <v>0</v>
          </cell>
          <cell r="F105">
            <v>0</v>
          </cell>
          <cell r="I105">
            <v>0</v>
          </cell>
          <cell r="J105">
            <v>0</v>
          </cell>
        </row>
        <row r="106">
          <cell r="B106">
            <v>311</v>
          </cell>
          <cell r="E106">
            <v>0</v>
          </cell>
          <cell r="F106">
            <v>0</v>
          </cell>
          <cell r="I106">
            <v>0</v>
          </cell>
          <cell r="J106">
            <v>1877500000</v>
          </cell>
        </row>
        <row r="107">
          <cell r="E107">
            <v>0</v>
          </cell>
          <cell r="F107">
            <v>0</v>
          </cell>
          <cell r="I107">
            <v>0</v>
          </cell>
          <cell r="J107">
            <v>2000000</v>
          </cell>
        </row>
        <row r="108">
          <cell r="B108" t="str">
            <v>313</v>
          </cell>
          <cell r="E108">
            <v>0</v>
          </cell>
          <cell r="F108">
            <v>0</v>
          </cell>
          <cell r="I108">
            <v>0</v>
          </cell>
          <cell r="J108">
            <v>2000000</v>
          </cell>
        </row>
        <row r="109">
          <cell r="B109" t="str">
            <v>313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</row>
        <row r="110">
          <cell r="B110" t="str">
            <v>313</v>
          </cell>
          <cell r="E110">
            <v>0</v>
          </cell>
          <cell r="F110">
            <v>0</v>
          </cell>
          <cell r="I110">
            <v>0</v>
          </cell>
          <cell r="J110">
            <v>0</v>
          </cell>
        </row>
        <row r="111">
          <cell r="B111" t="str">
            <v>313</v>
          </cell>
          <cell r="E111">
            <v>0</v>
          </cell>
          <cell r="F111">
            <v>0</v>
          </cell>
          <cell r="I111">
            <v>0</v>
          </cell>
          <cell r="J111">
            <v>0</v>
          </cell>
        </row>
        <row r="112">
          <cell r="B112" t="str">
            <v>313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</row>
        <row r="113">
          <cell r="B113" t="str">
            <v>313</v>
          </cell>
          <cell r="I113">
            <v>0</v>
          </cell>
          <cell r="J113">
            <v>0</v>
          </cell>
        </row>
        <row r="114">
          <cell r="B114" t="str">
            <v>313</v>
          </cell>
          <cell r="I114">
            <v>0</v>
          </cell>
          <cell r="J114">
            <v>0</v>
          </cell>
        </row>
        <row r="115">
          <cell r="B115" t="str">
            <v>313</v>
          </cell>
          <cell r="I115">
            <v>0</v>
          </cell>
          <cell r="J115">
            <v>0</v>
          </cell>
        </row>
        <row r="116">
          <cell r="B116" t="str">
            <v>313</v>
          </cell>
          <cell r="I116">
            <v>0</v>
          </cell>
          <cell r="J116">
            <v>0</v>
          </cell>
        </row>
        <row r="117">
          <cell r="B117" t="str">
            <v>313</v>
          </cell>
          <cell r="I117">
            <v>0</v>
          </cell>
          <cell r="J117">
            <v>0</v>
          </cell>
        </row>
        <row r="118">
          <cell r="E118">
            <v>0</v>
          </cell>
          <cell r="F118">
            <v>0</v>
          </cell>
          <cell r="I118">
            <v>0</v>
          </cell>
          <cell r="J118">
            <v>0</v>
          </cell>
        </row>
        <row r="119">
          <cell r="B119" t="str">
            <v>314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</row>
        <row r="120">
          <cell r="B120" t="str">
            <v>314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</row>
        <row r="121">
          <cell r="B121" t="str">
            <v>315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</row>
        <row r="122">
          <cell r="E122">
            <v>0</v>
          </cell>
          <cell r="F122">
            <v>0</v>
          </cell>
          <cell r="I122">
            <v>0</v>
          </cell>
          <cell r="J122">
            <v>0</v>
          </cell>
        </row>
        <row r="123">
          <cell r="B123" t="str">
            <v>334</v>
          </cell>
          <cell r="I123">
            <v>0</v>
          </cell>
          <cell r="J123">
            <v>0</v>
          </cell>
        </row>
        <row r="124">
          <cell r="B124" t="str">
            <v>316</v>
          </cell>
          <cell r="I124">
            <v>0</v>
          </cell>
          <cell r="J124">
            <v>0</v>
          </cell>
        </row>
        <row r="125">
          <cell r="B125" t="str">
            <v>316</v>
          </cell>
          <cell r="I125">
            <v>0</v>
          </cell>
          <cell r="J125">
            <v>0</v>
          </cell>
        </row>
        <row r="126">
          <cell r="B126" t="str">
            <v>316</v>
          </cell>
          <cell r="I126">
            <v>0</v>
          </cell>
          <cell r="J126">
            <v>0</v>
          </cell>
        </row>
        <row r="127">
          <cell r="B127" t="str">
            <v>317</v>
          </cell>
          <cell r="I127">
            <v>0</v>
          </cell>
          <cell r="J127">
            <v>0</v>
          </cell>
        </row>
        <row r="128">
          <cell r="E128">
            <v>0</v>
          </cell>
          <cell r="F128">
            <v>0</v>
          </cell>
          <cell r="I128">
            <v>0</v>
          </cell>
          <cell r="J128">
            <v>0</v>
          </cell>
        </row>
        <row r="129">
          <cell r="B129" t="str">
            <v>319</v>
          </cell>
          <cell r="I129">
            <v>0</v>
          </cell>
          <cell r="J129">
            <v>0</v>
          </cell>
        </row>
        <row r="130">
          <cell r="B130" t="str">
            <v>319</v>
          </cell>
          <cell r="I130">
            <v>0</v>
          </cell>
          <cell r="J130">
            <v>0</v>
          </cell>
        </row>
        <row r="131">
          <cell r="B131" t="str">
            <v>319</v>
          </cell>
          <cell r="I131">
            <v>0</v>
          </cell>
          <cell r="J131">
            <v>0</v>
          </cell>
        </row>
        <row r="132">
          <cell r="B132" t="str">
            <v>319</v>
          </cell>
          <cell r="I132">
            <v>0</v>
          </cell>
          <cell r="J132">
            <v>0</v>
          </cell>
        </row>
        <row r="133">
          <cell r="B133" t="str">
            <v>319</v>
          </cell>
          <cell r="I133">
            <v>0</v>
          </cell>
          <cell r="J133">
            <v>0</v>
          </cell>
        </row>
        <row r="134">
          <cell r="B134" t="str">
            <v>319</v>
          </cell>
          <cell r="I134">
            <v>0</v>
          </cell>
          <cell r="J134">
            <v>0</v>
          </cell>
        </row>
        <row r="135">
          <cell r="B135" t="str">
            <v>318</v>
          </cell>
          <cell r="I135">
            <v>0</v>
          </cell>
          <cell r="J135">
            <v>0</v>
          </cell>
        </row>
        <row r="136">
          <cell r="B136" t="str">
            <v>319</v>
          </cell>
          <cell r="I136">
            <v>0</v>
          </cell>
          <cell r="J136">
            <v>0</v>
          </cell>
        </row>
        <row r="137">
          <cell r="E137">
            <v>0</v>
          </cell>
          <cell r="F137">
            <v>0</v>
          </cell>
          <cell r="I137">
            <v>0</v>
          </cell>
          <cell r="J137">
            <v>0</v>
          </cell>
        </row>
        <row r="138">
          <cell r="B138" t="str">
            <v>320</v>
          </cell>
          <cell r="I138">
            <v>0</v>
          </cell>
          <cell r="J138">
            <v>0</v>
          </cell>
        </row>
        <row r="139">
          <cell r="B139" t="str">
            <v>320</v>
          </cell>
          <cell r="I139">
            <v>0</v>
          </cell>
          <cell r="J139">
            <v>0</v>
          </cell>
        </row>
        <row r="140">
          <cell r="E140">
            <v>0</v>
          </cell>
          <cell r="F140">
            <v>0</v>
          </cell>
          <cell r="I140">
            <v>0</v>
          </cell>
          <cell r="J140">
            <v>0</v>
          </cell>
        </row>
        <row r="141">
          <cell r="B141" t="str">
            <v>320</v>
          </cell>
          <cell r="I141">
            <v>0</v>
          </cell>
          <cell r="J141">
            <v>0</v>
          </cell>
        </row>
        <row r="142">
          <cell r="B142" t="str">
            <v>320</v>
          </cell>
          <cell r="I142">
            <v>0</v>
          </cell>
          <cell r="J142">
            <v>0</v>
          </cell>
        </row>
        <row r="143">
          <cell r="B143" t="str">
            <v>338</v>
          </cell>
          <cell r="I143">
            <v>0</v>
          </cell>
          <cell r="J143">
            <v>0</v>
          </cell>
        </row>
        <row r="144">
          <cell r="B144" t="str">
            <v>339</v>
          </cell>
          <cell r="I144">
            <v>0</v>
          </cell>
          <cell r="J144">
            <v>0</v>
          </cell>
        </row>
        <row r="145">
          <cell r="B145" t="str">
            <v>319</v>
          </cell>
          <cell r="I145">
            <v>0</v>
          </cell>
          <cell r="J145">
            <v>0</v>
          </cell>
        </row>
        <row r="146">
          <cell r="B146" t="str">
            <v>341</v>
          </cell>
          <cell r="I146">
            <v>0</v>
          </cell>
          <cell r="J146">
            <v>0</v>
          </cell>
        </row>
        <row r="147">
          <cell r="E147">
            <v>0</v>
          </cell>
          <cell r="F147">
            <v>0</v>
          </cell>
          <cell r="I147">
            <v>0</v>
          </cell>
          <cell r="J147">
            <v>0</v>
          </cell>
        </row>
        <row r="148">
          <cell r="B148" t="str">
            <v>321</v>
          </cell>
          <cell r="I148">
            <v>0</v>
          </cell>
          <cell r="J148">
            <v>0</v>
          </cell>
        </row>
        <row r="149">
          <cell r="B149" t="str">
            <v>321</v>
          </cell>
          <cell r="I149">
            <v>0</v>
          </cell>
          <cell r="J149">
            <v>0</v>
          </cell>
        </row>
        <row r="150">
          <cell r="B150" t="str">
            <v>321</v>
          </cell>
          <cell r="I150">
            <v>0</v>
          </cell>
          <cell r="J150">
            <v>0</v>
          </cell>
        </row>
        <row r="151">
          <cell r="B151" t="str">
            <v>321</v>
          </cell>
          <cell r="I151">
            <v>0</v>
          </cell>
          <cell r="J151">
            <v>0</v>
          </cell>
        </row>
        <row r="152">
          <cell r="E152">
            <v>0</v>
          </cell>
          <cell r="F152">
            <v>0</v>
          </cell>
          <cell r="I152">
            <v>0</v>
          </cell>
          <cell r="J152">
            <v>0</v>
          </cell>
        </row>
        <row r="153">
          <cell r="B153" t="str">
            <v>322</v>
          </cell>
          <cell r="I153">
            <v>0</v>
          </cell>
          <cell r="J153">
            <v>0</v>
          </cell>
        </row>
        <row r="154">
          <cell r="B154" t="str">
            <v>322</v>
          </cell>
          <cell r="I154">
            <v>0</v>
          </cell>
          <cell r="J154">
            <v>0</v>
          </cell>
        </row>
        <row r="155">
          <cell r="B155" t="str">
            <v>322</v>
          </cell>
          <cell r="I155">
            <v>0</v>
          </cell>
          <cell r="J155">
            <v>0</v>
          </cell>
        </row>
        <row r="156">
          <cell r="B156" t="str">
            <v>322</v>
          </cell>
          <cell r="I156">
            <v>0</v>
          </cell>
          <cell r="J156">
            <v>0</v>
          </cell>
        </row>
        <row r="157">
          <cell r="E157">
            <v>0</v>
          </cell>
          <cell r="F157">
            <v>0</v>
          </cell>
          <cell r="I157">
            <v>0</v>
          </cell>
          <cell r="J157">
            <v>0</v>
          </cell>
        </row>
        <row r="158">
          <cell r="B158" t="str">
            <v>343</v>
          </cell>
          <cell r="I158">
            <v>0</v>
          </cell>
          <cell r="J158">
            <v>0</v>
          </cell>
        </row>
        <row r="159">
          <cell r="B159" t="str">
            <v>343</v>
          </cell>
          <cell r="I159">
            <v>0</v>
          </cell>
          <cell r="J159">
            <v>0</v>
          </cell>
        </row>
        <row r="160">
          <cell r="B160" t="str">
            <v>323</v>
          </cell>
          <cell r="I160">
            <v>0</v>
          </cell>
          <cell r="J160">
            <v>0</v>
          </cell>
        </row>
        <row r="161">
          <cell r="E161">
            <v>0</v>
          </cell>
          <cell r="F161">
            <v>0</v>
          </cell>
          <cell r="I161">
            <v>0</v>
          </cell>
          <cell r="J161">
            <v>19000000000</v>
          </cell>
        </row>
        <row r="162">
          <cell r="B162">
            <v>411</v>
          </cell>
          <cell r="I162">
            <v>0</v>
          </cell>
          <cell r="J162">
            <v>19000000000</v>
          </cell>
        </row>
        <row r="163">
          <cell r="B163">
            <v>412</v>
          </cell>
          <cell r="I163">
            <v>0</v>
          </cell>
          <cell r="J163">
            <v>0</v>
          </cell>
        </row>
        <row r="164">
          <cell r="B164">
            <v>413</v>
          </cell>
          <cell r="I164">
            <v>0</v>
          </cell>
          <cell r="J164">
            <v>0</v>
          </cell>
        </row>
        <row r="165">
          <cell r="B165">
            <v>414</v>
          </cell>
          <cell r="I165">
            <v>0</v>
          </cell>
          <cell r="J165">
            <v>0</v>
          </cell>
        </row>
        <row r="166">
          <cell r="B166">
            <v>416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</row>
        <row r="167">
          <cell r="E167">
            <v>0</v>
          </cell>
          <cell r="F167">
            <v>0</v>
          </cell>
          <cell r="I167">
            <v>0</v>
          </cell>
          <cell r="J167">
            <v>0</v>
          </cell>
        </row>
        <row r="168">
          <cell r="B168">
            <v>417</v>
          </cell>
          <cell r="I168">
            <v>0</v>
          </cell>
          <cell r="J168">
            <v>0</v>
          </cell>
        </row>
        <row r="169">
          <cell r="B169">
            <v>417</v>
          </cell>
          <cell r="I169">
            <v>0</v>
          </cell>
          <cell r="J169">
            <v>0</v>
          </cell>
        </row>
        <row r="170">
          <cell r="B170" t="str">
            <v>418</v>
          </cell>
          <cell r="I170">
            <v>0</v>
          </cell>
          <cell r="J170">
            <v>0</v>
          </cell>
        </row>
        <row r="171">
          <cell r="B171">
            <v>419</v>
          </cell>
          <cell r="I171">
            <v>0</v>
          </cell>
          <cell r="J171">
            <v>0</v>
          </cell>
        </row>
        <row r="172">
          <cell r="B172">
            <v>420</v>
          </cell>
          <cell r="I172">
            <v>0</v>
          </cell>
          <cell r="J172">
            <v>0</v>
          </cell>
        </row>
        <row r="173">
          <cell r="B173">
            <v>415</v>
          </cell>
          <cell r="I173">
            <v>0</v>
          </cell>
          <cell r="J173">
            <v>0</v>
          </cell>
        </row>
        <row r="174">
          <cell r="E174">
            <v>0</v>
          </cell>
          <cell r="F174">
            <v>0</v>
          </cell>
          <cell r="I174">
            <v>25250000</v>
          </cell>
          <cell r="J174">
            <v>0</v>
          </cell>
        </row>
        <row r="175">
          <cell r="B175" t="str">
            <v>421a</v>
          </cell>
          <cell r="I175">
            <v>0</v>
          </cell>
          <cell r="J175">
            <v>0</v>
          </cell>
        </row>
        <row r="176">
          <cell r="B176" t="str">
            <v>421b</v>
          </cell>
          <cell r="I176">
            <v>25250000</v>
          </cell>
          <cell r="J176">
            <v>0</v>
          </cell>
        </row>
        <row r="177">
          <cell r="B177">
            <v>422</v>
          </cell>
          <cell r="I177">
            <v>0</v>
          </cell>
          <cell r="J177">
            <v>0</v>
          </cell>
        </row>
        <row r="178">
          <cell r="E178">
            <v>0</v>
          </cell>
          <cell r="F178">
            <v>0</v>
          </cell>
          <cell r="I178">
            <v>0</v>
          </cell>
          <cell r="J178">
            <v>0</v>
          </cell>
        </row>
        <row r="179">
          <cell r="I179">
            <v>0</v>
          </cell>
          <cell r="J179">
            <v>0</v>
          </cell>
        </row>
        <row r="180">
          <cell r="I180">
            <v>0</v>
          </cell>
          <cell r="J180">
            <v>0</v>
          </cell>
        </row>
        <row r="181">
          <cell r="I181">
            <v>0</v>
          </cell>
          <cell r="J181">
            <v>0</v>
          </cell>
        </row>
        <row r="182">
          <cell r="I182">
            <v>0</v>
          </cell>
          <cell r="J182">
            <v>0</v>
          </cell>
        </row>
        <row r="183">
          <cell r="I183">
            <v>0</v>
          </cell>
          <cell r="J183">
            <v>0</v>
          </cell>
        </row>
        <row r="184">
          <cell r="I184">
            <v>0</v>
          </cell>
          <cell r="J184">
            <v>0</v>
          </cell>
        </row>
        <row r="185">
          <cell r="I185">
            <v>0</v>
          </cell>
          <cell r="J185">
            <v>0</v>
          </cell>
        </row>
        <row r="186">
          <cell r="E186">
            <v>0</v>
          </cell>
          <cell r="F186">
            <v>0</v>
          </cell>
          <cell r="I186">
            <v>0</v>
          </cell>
          <cell r="J186">
            <v>0</v>
          </cell>
        </row>
        <row r="187">
          <cell r="I187">
            <v>0</v>
          </cell>
          <cell r="J187">
            <v>0</v>
          </cell>
        </row>
        <row r="188">
          <cell r="I188">
            <v>0</v>
          </cell>
          <cell r="J188">
            <v>0</v>
          </cell>
        </row>
        <row r="189">
          <cell r="I189">
            <v>0</v>
          </cell>
          <cell r="J189">
            <v>0</v>
          </cell>
        </row>
        <row r="190">
          <cell r="I190">
            <v>0</v>
          </cell>
          <cell r="J190">
            <v>0</v>
          </cell>
        </row>
        <row r="191">
          <cell r="I191">
            <v>0</v>
          </cell>
          <cell r="J191">
            <v>0</v>
          </cell>
        </row>
        <row r="192">
          <cell r="E192">
            <v>0</v>
          </cell>
          <cell r="F192">
            <v>0</v>
          </cell>
          <cell r="I192">
            <v>0</v>
          </cell>
          <cell r="J192">
            <v>0</v>
          </cell>
        </row>
        <row r="193">
          <cell r="I193">
            <v>0</v>
          </cell>
          <cell r="J193">
            <v>0</v>
          </cell>
        </row>
        <row r="194">
          <cell r="I194">
            <v>0</v>
          </cell>
          <cell r="J194">
            <v>0</v>
          </cell>
        </row>
        <row r="195">
          <cell r="I195">
            <v>0</v>
          </cell>
          <cell r="J195">
            <v>0</v>
          </cell>
        </row>
        <row r="196">
          <cell r="I196">
            <v>0</v>
          </cell>
          <cell r="J196">
            <v>0</v>
          </cell>
        </row>
        <row r="197">
          <cell r="E197">
            <v>0</v>
          </cell>
          <cell r="F197">
            <v>0</v>
          </cell>
          <cell r="I197">
            <v>0</v>
          </cell>
          <cell r="J197">
            <v>0</v>
          </cell>
        </row>
        <row r="198">
          <cell r="I198">
            <v>0</v>
          </cell>
          <cell r="J198">
            <v>0</v>
          </cell>
        </row>
        <row r="199">
          <cell r="I199">
            <v>0</v>
          </cell>
          <cell r="J199">
            <v>0</v>
          </cell>
        </row>
        <row r="200">
          <cell r="I200">
            <v>0</v>
          </cell>
          <cell r="J200">
            <v>0</v>
          </cell>
        </row>
        <row r="201">
          <cell r="I201">
            <v>0</v>
          </cell>
          <cell r="J201">
            <v>0</v>
          </cell>
        </row>
        <row r="202">
          <cell r="I202">
            <v>0</v>
          </cell>
          <cell r="J202">
            <v>0</v>
          </cell>
        </row>
        <row r="203">
          <cell r="I203">
            <v>0</v>
          </cell>
          <cell r="J203">
            <v>0</v>
          </cell>
        </row>
        <row r="204">
          <cell r="I204">
            <v>0</v>
          </cell>
          <cell r="J204">
            <v>0</v>
          </cell>
        </row>
        <row r="205">
          <cell r="E205">
            <v>0</v>
          </cell>
          <cell r="F205">
            <v>0</v>
          </cell>
          <cell r="I205">
            <v>0</v>
          </cell>
          <cell r="J205">
            <v>0</v>
          </cell>
        </row>
        <row r="206">
          <cell r="I206">
            <v>0</v>
          </cell>
          <cell r="J206">
            <v>0</v>
          </cell>
        </row>
        <row r="207">
          <cell r="I207">
            <v>0</v>
          </cell>
          <cell r="J207">
            <v>0</v>
          </cell>
        </row>
        <row r="208">
          <cell r="I208">
            <v>0</v>
          </cell>
          <cell r="J208">
            <v>0</v>
          </cell>
        </row>
        <row r="209">
          <cell r="I209">
            <v>0</v>
          </cell>
          <cell r="J209">
            <v>0</v>
          </cell>
        </row>
        <row r="210">
          <cell r="I210">
            <v>0</v>
          </cell>
          <cell r="J210">
            <v>0</v>
          </cell>
        </row>
        <row r="211">
          <cell r="I211">
            <v>0</v>
          </cell>
          <cell r="J211">
            <v>0</v>
          </cell>
        </row>
        <row r="212">
          <cell r="I212">
            <v>0</v>
          </cell>
          <cell r="J212">
            <v>0</v>
          </cell>
        </row>
        <row r="213">
          <cell r="I213">
            <v>0</v>
          </cell>
          <cell r="J213">
            <v>0</v>
          </cell>
        </row>
        <row r="214">
          <cell r="I214">
            <v>0</v>
          </cell>
          <cell r="J214">
            <v>0</v>
          </cell>
        </row>
        <row r="215">
          <cell r="I215">
            <v>0</v>
          </cell>
          <cell r="J215">
            <v>0</v>
          </cell>
        </row>
        <row r="216">
          <cell r="E216">
            <v>0</v>
          </cell>
          <cell r="F216">
            <v>0</v>
          </cell>
          <cell r="I216">
            <v>0</v>
          </cell>
          <cell r="J216">
            <v>0</v>
          </cell>
        </row>
        <row r="217">
          <cell r="E217">
            <v>0</v>
          </cell>
          <cell r="F217">
            <v>0</v>
          </cell>
          <cell r="I217">
            <v>0</v>
          </cell>
          <cell r="J217">
            <v>0</v>
          </cell>
        </row>
        <row r="218">
          <cell r="E218">
            <v>0</v>
          </cell>
          <cell r="F218">
            <v>0</v>
          </cell>
          <cell r="I218">
            <v>0</v>
          </cell>
          <cell r="J218">
            <v>0</v>
          </cell>
        </row>
        <row r="219">
          <cell r="E219">
            <v>0</v>
          </cell>
          <cell r="F219">
            <v>0</v>
          </cell>
          <cell r="I219">
            <v>0</v>
          </cell>
          <cell r="J21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5">
          <cell r="A5" t="str">
            <v>1111</v>
          </cell>
        </row>
        <row r="6">
          <cell r="A6" t="str">
            <v>1112</v>
          </cell>
        </row>
        <row r="7">
          <cell r="A7" t="str">
            <v>1113</v>
          </cell>
        </row>
        <row r="8">
          <cell r="A8" t="str">
            <v>1121</v>
          </cell>
        </row>
        <row r="9">
          <cell r="A9" t="str">
            <v>1122</v>
          </cell>
        </row>
        <row r="10">
          <cell r="A10" t="str">
            <v>1123</v>
          </cell>
        </row>
        <row r="11">
          <cell r="A11" t="str">
            <v>1131</v>
          </cell>
        </row>
        <row r="12">
          <cell r="A12" t="str">
            <v>1132</v>
          </cell>
        </row>
        <row r="13">
          <cell r="A13" t="str">
            <v>1211</v>
          </cell>
        </row>
        <row r="14">
          <cell r="A14" t="str">
            <v>1212</v>
          </cell>
        </row>
        <row r="15">
          <cell r="A15" t="str">
            <v>1218</v>
          </cell>
        </row>
        <row r="16">
          <cell r="A16" t="str">
            <v>1281</v>
          </cell>
        </row>
        <row r="17">
          <cell r="A17" t="str">
            <v>1282</v>
          </cell>
        </row>
        <row r="18">
          <cell r="A18" t="str">
            <v>1283</v>
          </cell>
        </row>
        <row r="19">
          <cell r="A19" t="str">
            <v>1288</v>
          </cell>
        </row>
        <row r="20">
          <cell r="A20" t="str">
            <v>1331</v>
          </cell>
        </row>
        <row r="21">
          <cell r="A21" t="str">
            <v>1332</v>
          </cell>
        </row>
        <row r="22">
          <cell r="A22" t="str">
            <v>1361</v>
          </cell>
        </row>
        <row r="23">
          <cell r="A23" t="str">
            <v>1362</v>
          </cell>
        </row>
        <row r="24">
          <cell r="A24" t="str">
            <v>1363</v>
          </cell>
        </row>
        <row r="25">
          <cell r="A25" t="str">
            <v>1368</v>
          </cell>
        </row>
        <row r="26">
          <cell r="A26" t="str">
            <v>1381</v>
          </cell>
        </row>
        <row r="27">
          <cell r="A27" t="str">
            <v>1385</v>
          </cell>
        </row>
        <row r="28">
          <cell r="A28" t="str">
            <v>1388</v>
          </cell>
        </row>
        <row r="29">
          <cell r="A29" t="str">
            <v>141</v>
          </cell>
        </row>
        <row r="30">
          <cell r="A30" t="str">
            <v>151</v>
          </cell>
        </row>
        <row r="31">
          <cell r="A31" t="str">
            <v>152</v>
          </cell>
        </row>
        <row r="32">
          <cell r="A32" t="str">
            <v>1531</v>
          </cell>
        </row>
        <row r="33">
          <cell r="A33" t="str">
            <v>1532</v>
          </cell>
        </row>
        <row r="34">
          <cell r="A34" t="str">
            <v>1533</v>
          </cell>
        </row>
        <row r="35">
          <cell r="A35" t="str">
            <v>1534</v>
          </cell>
        </row>
        <row r="36">
          <cell r="A36" t="str">
            <v>154</v>
          </cell>
        </row>
        <row r="37">
          <cell r="A37" t="str">
            <v>1551</v>
          </cell>
        </row>
        <row r="38">
          <cell r="A38" t="str">
            <v>1557</v>
          </cell>
        </row>
        <row r="39">
          <cell r="A39" t="str">
            <v>1561</v>
          </cell>
        </row>
        <row r="40">
          <cell r="A40" t="str">
            <v>1562</v>
          </cell>
        </row>
        <row r="41">
          <cell r="A41" t="str">
            <v>1567</v>
          </cell>
        </row>
        <row r="42">
          <cell r="A42" t="str">
            <v>157</v>
          </cell>
        </row>
        <row r="43">
          <cell r="A43" t="str">
            <v>158</v>
          </cell>
        </row>
        <row r="44">
          <cell r="A44" t="str">
            <v>171</v>
          </cell>
        </row>
        <row r="45">
          <cell r="A45" t="str">
            <v>2111</v>
          </cell>
        </row>
        <row r="46">
          <cell r="A46" t="str">
            <v>2112</v>
          </cell>
        </row>
        <row r="47">
          <cell r="A47" t="str">
            <v>2113</v>
          </cell>
        </row>
        <row r="48">
          <cell r="A48" t="str">
            <v>2114</v>
          </cell>
        </row>
        <row r="49">
          <cell r="A49" t="str">
            <v>2115</v>
          </cell>
        </row>
        <row r="50">
          <cell r="A50" t="str">
            <v>2118</v>
          </cell>
        </row>
        <row r="51">
          <cell r="A51" t="str">
            <v>2121</v>
          </cell>
        </row>
        <row r="52">
          <cell r="A52" t="str">
            <v>2122</v>
          </cell>
        </row>
        <row r="53">
          <cell r="A53" t="str">
            <v>2131</v>
          </cell>
        </row>
        <row r="54">
          <cell r="A54" t="str">
            <v>2132</v>
          </cell>
        </row>
        <row r="55">
          <cell r="A55" t="str">
            <v>2133</v>
          </cell>
        </row>
        <row r="56">
          <cell r="A56" t="str">
            <v>2134</v>
          </cell>
        </row>
        <row r="57">
          <cell r="A57" t="str">
            <v>2135</v>
          </cell>
        </row>
        <row r="58">
          <cell r="A58" t="str">
            <v>2136</v>
          </cell>
        </row>
        <row r="59">
          <cell r="A59" t="str">
            <v>2138</v>
          </cell>
        </row>
        <row r="60">
          <cell r="A60" t="str">
            <v>2141</v>
          </cell>
        </row>
        <row r="61">
          <cell r="A61" t="str">
            <v>2142</v>
          </cell>
        </row>
        <row r="62">
          <cell r="A62" t="str">
            <v>2143</v>
          </cell>
        </row>
        <row r="63">
          <cell r="A63" t="str">
            <v>2147</v>
          </cell>
        </row>
        <row r="64">
          <cell r="A64" t="str">
            <v>217</v>
          </cell>
        </row>
        <row r="65">
          <cell r="A65" t="str">
            <v>221</v>
          </cell>
        </row>
        <row r="66">
          <cell r="A66" t="str">
            <v>222</v>
          </cell>
        </row>
        <row r="67">
          <cell r="A67" t="str">
            <v>2281</v>
          </cell>
        </row>
        <row r="68">
          <cell r="A68" t="str">
            <v>2288</v>
          </cell>
        </row>
        <row r="69">
          <cell r="A69" t="str">
            <v>2291</v>
          </cell>
        </row>
        <row r="70">
          <cell r="A70" t="str">
            <v>2292</v>
          </cell>
        </row>
        <row r="71">
          <cell r="A71" t="str">
            <v>2293</v>
          </cell>
        </row>
        <row r="72">
          <cell r="A72" t="str">
            <v>2294</v>
          </cell>
        </row>
        <row r="73">
          <cell r="A73" t="str">
            <v>2411</v>
          </cell>
        </row>
        <row r="74">
          <cell r="A74" t="str">
            <v>2412</v>
          </cell>
        </row>
        <row r="75">
          <cell r="A75" t="str">
            <v>2413</v>
          </cell>
        </row>
        <row r="76">
          <cell r="A76" t="str">
            <v>24201</v>
          </cell>
        </row>
        <row r="77">
          <cell r="A77" t="str">
            <v>24202</v>
          </cell>
        </row>
        <row r="78">
          <cell r="A78" t="str">
            <v>243</v>
          </cell>
        </row>
        <row r="79">
          <cell r="A79" t="str">
            <v>244</v>
          </cell>
        </row>
        <row r="80">
          <cell r="A80" t="str">
            <v>331</v>
          </cell>
        </row>
        <row r="81">
          <cell r="A81" t="str">
            <v>33311</v>
          </cell>
        </row>
        <row r="82">
          <cell r="A82" t="str">
            <v>33312</v>
          </cell>
        </row>
        <row r="83">
          <cell r="A83" t="str">
            <v>3332</v>
          </cell>
        </row>
        <row r="84">
          <cell r="A84" t="str">
            <v>3333</v>
          </cell>
        </row>
        <row r="85">
          <cell r="A85" t="str">
            <v>3334</v>
          </cell>
        </row>
        <row r="86">
          <cell r="A86" t="str">
            <v>3335</v>
          </cell>
        </row>
        <row r="87">
          <cell r="A87" t="str">
            <v>3336</v>
          </cell>
        </row>
        <row r="88">
          <cell r="A88" t="str">
            <v>3337</v>
          </cell>
        </row>
        <row r="89">
          <cell r="A89" t="str">
            <v>3338</v>
          </cell>
        </row>
        <row r="90">
          <cell r="A90" t="str">
            <v>3339</v>
          </cell>
        </row>
        <row r="91">
          <cell r="A91" t="str">
            <v>3341</v>
          </cell>
        </row>
        <row r="92">
          <cell r="A92" t="str">
            <v>3348</v>
          </cell>
        </row>
        <row r="93">
          <cell r="A93" t="str">
            <v>335</v>
          </cell>
        </row>
        <row r="94">
          <cell r="A94" t="str">
            <v>3361</v>
          </cell>
        </row>
        <row r="95">
          <cell r="A95" t="str">
            <v>3362</v>
          </cell>
        </row>
        <row r="96">
          <cell r="A96" t="str">
            <v>3363</v>
          </cell>
        </row>
        <row r="97">
          <cell r="A97" t="str">
            <v>3368</v>
          </cell>
        </row>
        <row r="98">
          <cell r="A98" t="str">
            <v>337</v>
          </cell>
        </row>
        <row r="99">
          <cell r="A99" t="str">
            <v>3381</v>
          </cell>
        </row>
        <row r="100">
          <cell r="A100" t="str">
            <v>3382</v>
          </cell>
        </row>
        <row r="101">
          <cell r="A101" t="str">
            <v>3383</v>
          </cell>
        </row>
        <row r="102">
          <cell r="A102" t="str">
            <v>3384</v>
          </cell>
        </row>
        <row r="103">
          <cell r="A103" t="str">
            <v>3385</v>
          </cell>
        </row>
        <row r="104">
          <cell r="A104" t="str">
            <v>3386</v>
          </cell>
        </row>
        <row r="105">
          <cell r="A105" t="str">
            <v>3387</v>
          </cell>
        </row>
        <row r="106">
          <cell r="A106" t="str">
            <v>3388</v>
          </cell>
        </row>
        <row r="107">
          <cell r="A107" t="str">
            <v>3411</v>
          </cell>
        </row>
        <row r="108">
          <cell r="A108" t="str">
            <v>3412</v>
          </cell>
        </row>
        <row r="109">
          <cell r="A109" t="str">
            <v>34311</v>
          </cell>
        </row>
        <row r="110">
          <cell r="A110" t="str">
            <v>34312</v>
          </cell>
        </row>
        <row r="111">
          <cell r="A111" t="str">
            <v>34313</v>
          </cell>
        </row>
        <row r="112">
          <cell r="A112" t="str">
            <v>3432</v>
          </cell>
        </row>
        <row r="113">
          <cell r="A113" t="str">
            <v>344</v>
          </cell>
        </row>
        <row r="114">
          <cell r="A114" t="str">
            <v>347</v>
          </cell>
        </row>
        <row r="115">
          <cell r="A115" t="str">
            <v>3521</v>
          </cell>
        </row>
        <row r="116">
          <cell r="A116" t="str">
            <v>3522</v>
          </cell>
        </row>
        <row r="117">
          <cell r="A117" t="str">
            <v>3523</v>
          </cell>
        </row>
        <row r="118">
          <cell r="A118" t="str">
            <v>3524</v>
          </cell>
        </row>
        <row r="119">
          <cell r="A119" t="str">
            <v>3531</v>
          </cell>
        </row>
        <row r="120">
          <cell r="A120" t="str">
            <v>3532</v>
          </cell>
        </row>
        <row r="121">
          <cell r="A121" t="str">
            <v>3533</v>
          </cell>
        </row>
        <row r="122">
          <cell r="A122" t="str">
            <v>3534</v>
          </cell>
        </row>
        <row r="123">
          <cell r="A123" t="str">
            <v>3561</v>
          </cell>
        </row>
        <row r="124">
          <cell r="A124" t="str">
            <v>3562</v>
          </cell>
        </row>
        <row r="125">
          <cell r="A125" t="str">
            <v>357</v>
          </cell>
        </row>
        <row r="126">
          <cell r="A126" t="str">
            <v>4111</v>
          </cell>
        </row>
        <row r="127">
          <cell r="A127" t="str">
            <v>4112</v>
          </cell>
        </row>
        <row r="128">
          <cell r="A128" t="str">
            <v>4113</v>
          </cell>
        </row>
        <row r="129">
          <cell r="A129" t="str">
            <v>4118</v>
          </cell>
        </row>
        <row r="130">
          <cell r="A130" t="str">
            <v>412</v>
          </cell>
        </row>
        <row r="131">
          <cell r="A131" t="str">
            <v>4131</v>
          </cell>
        </row>
        <row r="132">
          <cell r="A132" t="str">
            <v>4132</v>
          </cell>
        </row>
        <row r="133">
          <cell r="A133" t="str">
            <v>414</v>
          </cell>
        </row>
        <row r="134">
          <cell r="A134" t="str">
            <v>417</v>
          </cell>
        </row>
        <row r="135">
          <cell r="A135" t="str">
            <v>418</v>
          </cell>
        </row>
        <row r="136">
          <cell r="A136" t="str">
            <v>419</v>
          </cell>
        </row>
        <row r="137">
          <cell r="A137" t="str">
            <v>4211</v>
          </cell>
        </row>
        <row r="138">
          <cell r="A138" t="str">
            <v>4212</v>
          </cell>
        </row>
        <row r="139">
          <cell r="A139" t="str">
            <v>441</v>
          </cell>
        </row>
        <row r="140">
          <cell r="A140" t="str">
            <v>5111</v>
          </cell>
        </row>
        <row r="141">
          <cell r="A141" t="str">
            <v>5112</v>
          </cell>
        </row>
        <row r="142">
          <cell r="A142" t="str">
            <v>5113</v>
          </cell>
        </row>
        <row r="143">
          <cell r="A143" t="str">
            <v>5114</v>
          </cell>
        </row>
        <row r="144">
          <cell r="A144" t="str">
            <v>5117</v>
          </cell>
        </row>
        <row r="145">
          <cell r="A145" t="str">
            <v>5118</v>
          </cell>
        </row>
        <row r="146">
          <cell r="A146" t="str">
            <v>515</v>
          </cell>
        </row>
        <row r="147">
          <cell r="A147" t="str">
            <v>5211</v>
          </cell>
        </row>
        <row r="148">
          <cell r="A148" t="str">
            <v>5212</v>
          </cell>
        </row>
        <row r="149">
          <cell r="A149" t="str">
            <v>5213</v>
          </cell>
        </row>
        <row r="150">
          <cell r="A150" t="str">
            <v>621</v>
          </cell>
        </row>
        <row r="151">
          <cell r="A151" t="str">
            <v>622</v>
          </cell>
        </row>
        <row r="152">
          <cell r="A152" t="str">
            <v>623</v>
          </cell>
        </row>
        <row r="153">
          <cell r="A153" t="str">
            <v>627</v>
          </cell>
        </row>
        <row r="154">
          <cell r="A154" t="str">
            <v>631</v>
          </cell>
        </row>
        <row r="155">
          <cell r="A155" t="str">
            <v>632</v>
          </cell>
        </row>
        <row r="156">
          <cell r="A156" t="str">
            <v>635</v>
          </cell>
        </row>
        <row r="157">
          <cell r="A157" t="str">
            <v>6411</v>
          </cell>
        </row>
        <row r="158">
          <cell r="A158" t="str">
            <v>6412</v>
          </cell>
        </row>
        <row r="159">
          <cell r="A159" t="str">
            <v>6413</v>
          </cell>
        </row>
        <row r="160">
          <cell r="A160" t="str">
            <v>6414</v>
          </cell>
        </row>
        <row r="161">
          <cell r="A161" t="str">
            <v>6415</v>
          </cell>
        </row>
        <row r="162">
          <cell r="A162" t="str">
            <v>6417</v>
          </cell>
        </row>
        <row r="163">
          <cell r="A163" t="str">
            <v>6418</v>
          </cell>
        </row>
        <row r="164">
          <cell r="A164" t="str">
            <v>6421</v>
          </cell>
        </row>
        <row r="165">
          <cell r="A165" t="str">
            <v>6422</v>
          </cell>
        </row>
        <row r="166">
          <cell r="A166" t="str">
            <v>6423</v>
          </cell>
        </row>
        <row r="167">
          <cell r="A167" t="str">
            <v>6424</v>
          </cell>
        </row>
        <row r="168">
          <cell r="A168" t="str">
            <v>6425</v>
          </cell>
        </row>
        <row r="169">
          <cell r="A169" t="str">
            <v>6426</v>
          </cell>
        </row>
        <row r="170">
          <cell r="A170" t="str">
            <v>6427</v>
          </cell>
        </row>
        <row r="171">
          <cell r="A171" t="str">
            <v>6428</v>
          </cell>
        </row>
        <row r="172">
          <cell r="A172" t="str">
            <v>711</v>
          </cell>
        </row>
        <row r="173">
          <cell r="A173" t="str">
            <v>811</v>
          </cell>
        </row>
        <row r="174">
          <cell r="A174" t="str">
            <v>8211</v>
          </cell>
        </row>
        <row r="175">
          <cell r="A175" t="str">
            <v>8212</v>
          </cell>
        </row>
        <row r="176">
          <cell r="A176" t="str">
            <v>911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49"/>
  <sheetViews>
    <sheetView tabSelected="1" topLeftCell="A32" zoomScaleNormal="100" workbookViewId="0">
      <selection activeCell="J47" sqref="J47"/>
    </sheetView>
  </sheetViews>
  <sheetFormatPr defaultColWidth="9" defaultRowHeight="18.75" x14ac:dyDescent="0.3"/>
  <cols>
    <col min="1" max="1" width="11.28515625" style="1" customWidth="1"/>
    <col min="2" max="2" width="12.85546875" style="105" customWidth="1"/>
    <col min="3" max="3" width="12.140625" style="105" customWidth="1"/>
    <col min="4" max="4" width="13.42578125" style="86" customWidth="1"/>
    <col min="5" max="5" width="12.7109375" style="105" customWidth="1"/>
    <col min="6" max="6" width="17.140625" style="85" customWidth="1"/>
    <col min="7" max="7" width="18.28515625" style="85" customWidth="1"/>
    <col min="8" max="8" width="10.28515625" style="1" bestFit="1" customWidth="1"/>
    <col min="9" max="9" width="11.85546875" style="1" bestFit="1" customWidth="1"/>
    <col min="10" max="16384" width="9" style="1"/>
  </cols>
  <sheetData>
    <row r="1" spans="1:8" ht="15.75" customHeight="1" x14ac:dyDescent="0.3">
      <c r="A1"/>
      <c r="B1" s="248" t="s">
        <v>0</v>
      </c>
      <c r="C1" s="248"/>
      <c r="D1" s="248"/>
      <c r="E1" s="248"/>
      <c r="F1" s="248"/>
      <c r="G1" s="248"/>
      <c r="H1" s="50">
        <v>46</v>
      </c>
    </row>
    <row r="2" spans="1:8" ht="15.75" customHeight="1" x14ac:dyDescent="0.3">
      <c r="B2" s="249" t="s">
        <v>212</v>
      </c>
      <c r="C2" s="249"/>
      <c r="D2" s="249"/>
      <c r="E2" s="249"/>
      <c r="F2" s="249"/>
      <c r="G2" s="249"/>
    </row>
    <row r="3" spans="1:8" ht="20.25" customHeight="1" x14ac:dyDescent="0.3">
      <c r="A3" s="222" t="s">
        <v>67</v>
      </c>
      <c r="B3" s="222"/>
      <c r="C3" s="222"/>
      <c r="D3" s="222"/>
      <c r="E3" s="222"/>
      <c r="F3" s="222"/>
      <c r="G3" s="222"/>
    </row>
    <row r="4" spans="1:8" ht="20.25" hidden="1" customHeight="1" x14ac:dyDescent="0.3">
      <c r="A4" s="221" t="s">
        <v>35</v>
      </c>
      <c r="B4" s="221"/>
      <c r="C4" s="221"/>
      <c r="D4" s="221"/>
      <c r="E4" s="221"/>
      <c r="F4" s="221"/>
      <c r="G4" s="221"/>
    </row>
    <row r="5" spans="1:8" ht="17.25" customHeight="1" x14ac:dyDescent="0.3">
      <c r="A5" s="2" t="s">
        <v>15</v>
      </c>
      <c r="B5" s="223" t="str">
        <f>VLOOKUP(H1,'TH-17T4'!$A$7:$C$167,3,0)</f>
        <v>Bùi Thị Mỹ Dung</v>
      </c>
      <c r="C5" s="223"/>
      <c r="D5" s="223"/>
      <c r="E5" s="223"/>
      <c r="F5" s="83" t="s">
        <v>31</v>
      </c>
      <c r="G5" s="84">
        <f>VLOOKUP(H1,'TH-17T4'!$A$7:$B$167,2,0)</f>
        <v>46</v>
      </c>
    </row>
    <row r="6" spans="1:8" ht="15" customHeight="1" x14ac:dyDescent="0.3">
      <c r="A6" s="2" t="s">
        <v>16</v>
      </c>
      <c r="B6" s="224">
        <v>0</v>
      </c>
      <c r="C6" s="224"/>
      <c r="D6" s="148" t="s">
        <v>3</v>
      </c>
      <c r="E6" s="156">
        <f>VLOOKUP(H1,'TH-17T4'!$A$7:$E$167,5,0)</f>
        <v>706</v>
      </c>
      <c r="F6" s="149" t="s">
        <v>84</v>
      </c>
      <c r="G6" s="150" t="s">
        <v>210</v>
      </c>
    </row>
    <row r="7" spans="1:8" s="60" customFormat="1" ht="18" customHeight="1" x14ac:dyDescent="0.25">
      <c r="A7" s="58" t="s">
        <v>13</v>
      </c>
      <c r="B7" s="253" t="s">
        <v>17</v>
      </c>
      <c r="C7" s="253"/>
      <c r="D7" s="253"/>
      <c r="E7" s="253"/>
      <c r="F7" s="253"/>
      <c r="G7" s="253"/>
    </row>
    <row r="8" spans="1:8" s="60" customFormat="1" ht="15.75" customHeight="1" x14ac:dyDescent="0.25">
      <c r="A8" s="230">
        <v>1</v>
      </c>
      <c r="B8" s="254" t="s">
        <v>37</v>
      </c>
      <c r="C8" s="209"/>
      <c r="D8" s="209"/>
      <c r="E8" s="209"/>
      <c r="F8" s="209"/>
      <c r="G8" s="255"/>
    </row>
    <row r="9" spans="1:8" s="52" customFormat="1" ht="16.5" customHeight="1" x14ac:dyDescent="0.25">
      <c r="A9" s="230"/>
      <c r="B9" s="264" t="s">
        <v>58</v>
      </c>
      <c r="C9" s="265"/>
      <c r="D9" s="87" t="s">
        <v>18</v>
      </c>
      <c r="E9" s="256" t="s">
        <v>19</v>
      </c>
      <c r="F9" s="256"/>
      <c r="G9" s="256"/>
    </row>
    <row r="10" spans="1:8" s="52" customFormat="1" ht="16.5" customHeight="1" x14ac:dyDescent="0.25">
      <c r="A10" s="230"/>
      <c r="B10" s="260">
        <f>+VLOOKUP(H1,'TH-17T4'!$A$7:$F$145,6,0)</f>
        <v>3</v>
      </c>
      <c r="C10" s="261"/>
      <c r="D10" s="89">
        <f>+VLOOKUP(H1,'TH-17T4'!$A$7:$G$145,7,0)</f>
        <v>140000</v>
      </c>
      <c r="E10" s="257">
        <f>+VLOOKUP(H1,'TH-17T4'!$A$7:$H$145,8,0)</f>
        <v>420000</v>
      </c>
      <c r="F10" s="258"/>
      <c r="G10" s="259"/>
    </row>
    <row r="11" spans="1:8" s="51" customFormat="1" ht="19.5" customHeight="1" x14ac:dyDescent="0.25">
      <c r="A11" s="231">
        <f>+A8+1</f>
        <v>2</v>
      </c>
      <c r="B11" s="250" t="s">
        <v>46</v>
      </c>
      <c r="C11" s="251"/>
      <c r="D11" s="251"/>
      <c r="E11" s="251"/>
      <c r="F11" s="251"/>
      <c r="G11" s="252"/>
    </row>
    <row r="12" spans="1:8" s="52" customFormat="1" ht="15.75" customHeight="1" x14ac:dyDescent="0.25">
      <c r="A12" s="232"/>
      <c r="B12" s="90" t="s">
        <v>20</v>
      </c>
      <c r="C12" s="90" t="s">
        <v>21</v>
      </c>
      <c r="D12" s="87" t="s">
        <v>22</v>
      </c>
      <c r="E12" s="90" t="s">
        <v>23</v>
      </c>
      <c r="F12" s="87" t="s">
        <v>18</v>
      </c>
      <c r="G12" s="87" t="s">
        <v>19</v>
      </c>
    </row>
    <row r="13" spans="1:8" s="52" customFormat="1" ht="15.75" customHeight="1" x14ac:dyDescent="0.25">
      <c r="A13" s="232"/>
      <c r="B13" s="88">
        <f>VLOOKUP(H1,'TH-17T4'!$A$7:$I$167,9,0)</f>
        <v>2663</v>
      </c>
      <c r="C13" s="88">
        <f>VLOOKUP(H1,'TH-17T4'!$A$7:$J$167,10,0)</f>
        <v>2667</v>
      </c>
      <c r="D13" s="91">
        <f>C13-B13</f>
        <v>4</v>
      </c>
      <c r="E13" s="88">
        <f>VLOOKUP(H1,'TH-17T4'!$A$7:$L$167,12,0)</f>
        <v>4</v>
      </c>
      <c r="F13" s="91">
        <v>8625</v>
      </c>
      <c r="G13" s="91">
        <f>F13*E13</f>
        <v>34500</v>
      </c>
    </row>
    <row r="14" spans="1:8" s="52" customFormat="1" ht="15.75" customHeight="1" x14ac:dyDescent="0.25">
      <c r="A14" s="232"/>
      <c r="B14" s="88"/>
      <c r="C14" s="88"/>
      <c r="D14" s="91"/>
      <c r="E14" s="88">
        <f>VLOOKUP(H1,'TH-17T4'!$A$7:$N$167,14,0)</f>
        <v>0</v>
      </c>
      <c r="F14" s="91">
        <v>10120</v>
      </c>
      <c r="G14" s="91">
        <f t="shared" ref="G14:G17" si="0">F14*E14</f>
        <v>0</v>
      </c>
    </row>
    <row r="15" spans="1:8" s="52" customFormat="1" ht="15.75" customHeight="1" x14ac:dyDescent="0.25">
      <c r="A15" s="232"/>
      <c r="B15" s="88"/>
      <c r="C15" s="88"/>
      <c r="D15" s="91"/>
      <c r="E15" s="88">
        <f>VLOOKUP(H1,'TH-17T4'!$A$7:$P$167,16,0)</f>
        <v>0</v>
      </c>
      <c r="F15" s="91">
        <v>13800</v>
      </c>
      <c r="G15" s="91">
        <f t="shared" si="0"/>
        <v>0</v>
      </c>
    </row>
    <row r="16" spans="1:8" s="52" customFormat="1" ht="15.75" customHeight="1" x14ac:dyDescent="0.25">
      <c r="A16" s="232"/>
      <c r="B16" s="88"/>
      <c r="C16" s="88"/>
      <c r="D16" s="91"/>
      <c r="E16" s="88">
        <f>+VLOOKUP(H1,'TH-17T4'!$A$7:$T$145,18,0)</f>
        <v>0</v>
      </c>
      <c r="F16" s="91">
        <v>27600</v>
      </c>
      <c r="G16" s="91">
        <f t="shared" si="0"/>
        <v>0</v>
      </c>
    </row>
    <row r="17" spans="1:7" s="52" customFormat="1" ht="15.75" customHeight="1" x14ac:dyDescent="0.25">
      <c r="A17" s="232"/>
      <c r="B17" s="88"/>
      <c r="C17" s="88"/>
      <c r="D17" s="91"/>
      <c r="E17" s="88">
        <f>+VLOOKUP(H1,'TH-17T4'!$A$7:$T$145,20,0)</f>
        <v>0</v>
      </c>
      <c r="F17" s="91">
        <v>31050</v>
      </c>
      <c r="G17" s="91">
        <f t="shared" si="0"/>
        <v>0</v>
      </c>
    </row>
    <row r="18" spans="1:7" s="51" customFormat="1" ht="17.25" customHeight="1" x14ac:dyDescent="0.25">
      <c r="A18" s="232"/>
      <c r="B18" s="234" t="s">
        <v>211</v>
      </c>
      <c r="C18" s="235"/>
      <c r="D18" s="235"/>
      <c r="E18" s="235"/>
      <c r="F18" s="236"/>
      <c r="G18" s="92">
        <f>+SUM(G13:G17)</f>
        <v>34500</v>
      </c>
    </row>
    <row r="19" spans="1:7" s="52" customFormat="1" ht="17.25" customHeight="1" x14ac:dyDescent="0.25">
      <c r="A19" s="232"/>
      <c r="B19" s="237" t="s">
        <v>24</v>
      </c>
      <c r="C19" s="238"/>
      <c r="D19" s="238"/>
      <c r="E19" s="238"/>
      <c r="F19" s="239"/>
      <c r="G19" s="93">
        <f>+VLOOKUP(H1,'TH-17T4'!$A$7:$W$145,23,0)</f>
        <v>0</v>
      </c>
    </row>
    <row r="20" spans="1:7" s="52" customFormat="1" ht="17.25" customHeight="1" x14ac:dyDescent="0.25">
      <c r="A20" s="233"/>
      <c r="B20" s="240" t="s">
        <v>51</v>
      </c>
      <c r="C20" s="241"/>
      <c r="D20" s="241"/>
      <c r="E20" s="241"/>
      <c r="F20" s="242"/>
      <c r="G20" s="141">
        <f>+G18+G19</f>
        <v>34500</v>
      </c>
    </row>
    <row r="21" spans="1:7" s="52" customFormat="1" ht="15" customHeight="1" x14ac:dyDescent="0.25">
      <c r="A21" s="61">
        <v>3</v>
      </c>
      <c r="B21" s="254" t="s">
        <v>73</v>
      </c>
      <c r="C21" s="209"/>
      <c r="D21" s="255"/>
      <c r="E21" s="90" t="s">
        <v>38</v>
      </c>
      <c r="F21" s="90" t="s">
        <v>18</v>
      </c>
      <c r="G21" s="140" t="s">
        <v>19</v>
      </c>
    </row>
    <row r="22" spans="1:7" s="52" customFormat="1" ht="18.75" customHeight="1" x14ac:dyDescent="0.25">
      <c r="A22" s="58">
        <v>3.1</v>
      </c>
      <c r="B22" s="199" t="s">
        <v>41</v>
      </c>
      <c r="C22" s="200"/>
      <c r="D22" s="201"/>
      <c r="E22" s="88">
        <f>+VLOOKUP(H1,'TH-17T4'!$A$7:$X$145,24,0)</f>
        <v>2</v>
      </c>
      <c r="F22" s="88">
        <f>+VLOOKUP(H1,'TH-17T4'!$A$7:$Y$145,25,0)</f>
        <v>44182</v>
      </c>
      <c r="G22" s="91">
        <f>+F22*E22</f>
        <v>88364</v>
      </c>
    </row>
    <row r="23" spans="1:7" s="52" customFormat="1" ht="18.75" customHeight="1" x14ac:dyDescent="0.25">
      <c r="A23" s="58">
        <v>3.2</v>
      </c>
      <c r="B23" s="199" t="s">
        <v>42</v>
      </c>
      <c r="C23" s="200"/>
      <c r="D23" s="201"/>
      <c r="E23" s="88">
        <f>+VLOOKUP(H1,'TH-17T4'!$A$7:$AA$145,27,0)</f>
        <v>0</v>
      </c>
      <c r="F23" s="88">
        <f>+VLOOKUP(H1,'TH-17T4'!$A$7:$AB$145,28,0)</f>
        <v>98182</v>
      </c>
      <c r="G23" s="91">
        <f>+F23*E23</f>
        <v>0</v>
      </c>
    </row>
    <row r="24" spans="1:7" s="52" customFormat="1" ht="18.75" customHeight="1" x14ac:dyDescent="0.25">
      <c r="A24" s="58">
        <v>3.3</v>
      </c>
      <c r="B24" s="199" t="s">
        <v>39</v>
      </c>
      <c r="C24" s="200"/>
      <c r="D24" s="201"/>
      <c r="E24" s="88">
        <f>+VLOOKUP(H1,'TH-17T4'!$A$7:$AD$145,30,0)</f>
        <v>0</v>
      </c>
      <c r="F24" s="88">
        <f>+VLOOKUP(H1,'TH-17T4'!$A$7:$AE$145,31,0)</f>
        <v>932727</v>
      </c>
      <c r="G24" s="91">
        <f t="shared" ref="G24:G26" si="1">+F24*E24</f>
        <v>0</v>
      </c>
    </row>
    <row r="25" spans="1:7" s="52" customFormat="1" ht="18.75" customHeight="1" x14ac:dyDescent="0.25">
      <c r="A25" s="58">
        <v>3.4</v>
      </c>
      <c r="B25" s="199" t="s">
        <v>40</v>
      </c>
      <c r="C25" s="200"/>
      <c r="D25" s="201"/>
      <c r="E25" s="88">
        <f>+VLOOKUP(H1,'TH-17T4'!$A$7:$AG$145,33,0)</f>
        <v>0</v>
      </c>
      <c r="F25" s="88">
        <f>+VLOOKUP(H1,'TH-17T4'!$A$7:$AJ$145,34,0)</f>
        <v>0</v>
      </c>
      <c r="G25" s="91">
        <f t="shared" si="1"/>
        <v>0</v>
      </c>
    </row>
    <row r="26" spans="1:7" s="52" customFormat="1" ht="18.75" customHeight="1" x14ac:dyDescent="0.25">
      <c r="A26" s="58">
        <v>3.5</v>
      </c>
      <c r="B26" s="199" t="s">
        <v>43</v>
      </c>
      <c r="C26" s="200"/>
      <c r="D26" s="201"/>
      <c r="E26" s="88">
        <f>+VLOOKUP('IN PT T10'!H1,'TH-17T4'!$A$7:$AJ$145,36,0)</f>
        <v>0</v>
      </c>
      <c r="F26" s="88">
        <f>+VLOOKUP(H1,'TH-17T4'!$A$7:$AK$145,37,0)</f>
        <v>0</v>
      </c>
      <c r="G26" s="91">
        <f t="shared" si="1"/>
        <v>0</v>
      </c>
    </row>
    <row r="27" spans="1:7" s="52" customFormat="1" ht="18.75" customHeight="1" x14ac:dyDescent="0.25">
      <c r="A27" s="53">
        <v>3.6</v>
      </c>
      <c r="B27" s="243" t="s">
        <v>47</v>
      </c>
      <c r="C27" s="244"/>
      <c r="D27" s="245"/>
      <c r="E27" s="94"/>
      <c r="F27" s="94"/>
      <c r="G27" s="91">
        <f>+VLOOKUP(H1,'TH-17T4'!$A$7:$AN$145,40,0)</f>
        <v>0</v>
      </c>
    </row>
    <row r="28" spans="1:7" s="2" customFormat="1" ht="16.5" customHeight="1" x14ac:dyDescent="0.25">
      <c r="A28" s="55"/>
      <c r="B28" s="217" t="s">
        <v>50</v>
      </c>
      <c r="C28" s="218"/>
      <c r="D28" s="219"/>
      <c r="E28" s="95"/>
      <c r="F28" s="95"/>
      <c r="G28" s="141">
        <f>+SUM(G22:G27)</f>
        <v>88364</v>
      </c>
    </row>
    <row r="29" spans="1:7" s="52" customFormat="1" ht="16.5" customHeight="1" x14ac:dyDescent="0.25">
      <c r="A29" s="203">
        <v>4</v>
      </c>
      <c r="B29" s="211" t="s">
        <v>66</v>
      </c>
      <c r="C29" s="262"/>
      <c r="D29" s="212"/>
      <c r="E29" s="90" t="s">
        <v>58</v>
      </c>
      <c r="F29" s="90" t="s">
        <v>69</v>
      </c>
      <c r="G29" s="142" t="s">
        <v>19</v>
      </c>
    </row>
    <row r="30" spans="1:7" s="52" customFormat="1" ht="16.5" customHeight="1" x14ac:dyDescent="0.25">
      <c r="A30" s="204"/>
      <c r="B30" s="213"/>
      <c r="C30" s="263"/>
      <c r="D30" s="214"/>
      <c r="E30" s="90">
        <f>+VLOOKUP(H1,'TH-17T4'!$A$7:$AO$145,41,0)</f>
        <v>0</v>
      </c>
      <c r="F30" s="90">
        <f>+VLOOKUP(H1,'TH-17T4'!$A$7:$AP$145,42,0)</f>
        <v>0</v>
      </c>
      <c r="G30" s="141">
        <f>+VLOOKUP(H1,'TH-17T4'!$A$7:$AQ$145,43,0)</f>
        <v>0</v>
      </c>
    </row>
    <row r="31" spans="1:7" s="52" customFormat="1" ht="16.5" customHeight="1" x14ac:dyDescent="0.25">
      <c r="A31" s="203">
        <v>5</v>
      </c>
      <c r="B31" s="211" t="s">
        <v>49</v>
      </c>
      <c r="C31" s="212"/>
      <c r="D31" s="139" t="s">
        <v>76</v>
      </c>
      <c r="E31" s="90" t="s">
        <v>58</v>
      </c>
      <c r="F31" s="90" t="s">
        <v>77</v>
      </c>
      <c r="G31" s="142" t="s">
        <v>19</v>
      </c>
    </row>
    <row r="32" spans="1:7" s="52" customFormat="1" ht="16.5" customHeight="1" x14ac:dyDescent="0.25">
      <c r="A32" s="204"/>
      <c r="B32" s="213"/>
      <c r="C32" s="214"/>
      <c r="D32" s="197">
        <f>+VLOOKUP(H1,'TH-17T4'!$A$7:$AR$145,44,0)</f>
        <v>152.5</v>
      </c>
      <c r="E32" s="90">
        <f>+VLOOKUP(H1,'TH-17T4'!$A$7:$AS$145,45,0)</f>
        <v>0</v>
      </c>
      <c r="F32" s="90">
        <f>+VLOOKUP(H1,'TH-17T4'!$A$7:$AT$145,46,0)</f>
        <v>0</v>
      </c>
      <c r="G32" s="142">
        <f>+VLOOKUP(H1,'TH-17T4'!$A$7:$AU$145,47,0)</f>
        <v>0</v>
      </c>
    </row>
    <row r="33" spans="1:10" s="52" customFormat="1" ht="16.5" customHeight="1" x14ac:dyDescent="0.25">
      <c r="A33" s="206">
        <v>6</v>
      </c>
      <c r="B33" s="208" t="s">
        <v>48</v>
      </c>
      <c r="C33" s="208"/>
      <c r="D33" s="208"/>
      <c r="E33" s="90" t="s">
        <v>58</v>
      </c>
      <c r="F33" s="90" t="s">
        <v>18</v>
      </c>
      <c r="G33" s="142" t="s">
        <v>19</v>
      </c>
    </row>
    <row r="34" spans="1:10" s="52" customFormat="1" ht="16.5" customHeight="1" x14ac:dyDescent="0.25">
      <c r="A34" s="207"/>
      <c r="B34" s="208"/>
      <c r="C34" s="208"/>
      <c r="D34" s="208"/>
      <c r="E34" s="90">
        <v>1</v>
      </c>
      <c r="F34" s="90">
        <v>110000</v>
      </c>
      <c r="G34" s="142">
        <f>+VLOOKUP(H1,'TH-17T4'!$A$7:$AV$153,48,0)</f>
        <v>0</v>
      </c>
    </row>
    <row r="35" spans="1:10" s="52" customFormat="1" ht="16.5" customHeight="1" x14ac:dyDescent="0.25">
      <c r="A35" s="61">
        <v>7</v>
      </c>
      <c r="B35" s="209" t="s">
        <v>213</v>
      </c>
      <c r="C35" s="209"/>
      <c r="D35" s="209"/>
      <c r="E35" s="90"/>
      <c r="F35" s="90"/>
      <c r="G35" s="142">
        <v>0</v>
      </c>
    </row>
    <row r="36" spans="1:10" s="52" customFormat="1" ht="15.75" customHeight="1" x14ac:dyDescent="0.25">
      <c r="A36" s="225" t="s">
        <v>45</v>
      </c>
      <c r="B36" s="226"/>
      <c r="C36" s="226"/>
      <c r="D36" s="226"/>
      <c r="E36" s="226"/>
      <c r="F36" s="227"/>
      <c r="G36" s="93">
        <f>+G34+G32+G30+G28+G20+E10+G35</f>
        <v>542864</v>
      </c>
      <c r="H36" s="52" t="s">
        <v>34</v>
      </c>
      <c r="I36" s="196">
        <f>+G30+G17+E10</f>
        <v>420000</v>
      </c>
    </row>
    <row r="37" spans="1:10" s="59" customFormat="1" ht="36" customHeight="1" x14ac:dyDescent="0.25">
      <c r="A37" s="228" t="s">
        <v>27</v>
      </c>
      <c r="B37" s="228"/>
      <c r="C37" s="229" t="str">
        <f>+[2]!vnd(G36,TRUE,1,"đồng chẵn ./.")</f>
        <v>Năm trăm bốn mươi hai ngàn, tám trăm sáu mươi bốn đồng chẵn ./.</v>
      </c>
      <c r="D37" s="229"/>
      <c r="E37" s="229"/>
      <c r="F37" s="229"/>
      <c r="G37" s="229"/>
    </row>
    <row r="38" spans="1:10" s="59" customFormat="1" ht="17.25" x14ac:dyDescent="0.25">
      <c r="A38" s="51" t="s">
        <v>32</v>
      </c>
      <c r="B38" s="96"/>
      <c r="C38" s="97"/>
      <c r="D38" s="97"/>
      <c r="E38" s="97"/>
      <c r="F38" s="97"/>
      <c r="G38" s="97"/>
    </row>
    <row r="39" spans="1:10" s="75" customFormat="1" ht="21" customHeight="1" x14ac:dyDescent="0.25">
      <c r="A39" s="210" t="s">
        <v>54</v>
      </c>
      <c r="B39" s="210"/>
      <c r="C39" s="210"/>
      <c r="D39" s="210"/>
      <c r="E39" s="210"/>
      <c r="F39" s="210"/>
      <c r="G39" s="210"/>
      <c r="I39" s="51"/>
      <c r="J39" s="56"/>
    </row>
    <row r="40" spans="1:10" s="75" customFormat="1" ht="16.5" x14ac:dyDescent="0.25">
      <c r="A40" s="210" t="s">
        <v>55</v>
      </c>
      <c r="B40" s="210"/>
      <c r="C40" s="210"/>
      <c r="D40" s="98"/>
      <c r="E40" s="98"/>
      <c r="F40" s="98"/>
      <c r="G40" s="98"/>
      <c r="I40" s="76"/>
      <c r="J40" s="76"/>
    </row>
    <row r="41" spans="1:10" s="75" customFormat="1" ht="16.5" x14ac:dyDescent="0.25">
      <c r="A41" s="247" t="s">
        <v>56</v>
      </c>
      <c r="B41" s="247"/>
      <c r="C41" s="247"/>
      <c r="D41" s="247"/>
      <c r="E41" s="247"/>
      <c r="F41" s="247"/>
      <c r="G41" s="99"/>
      <c r="I41" s="52"/>
      <c r="J41" s="54"/>
    </row>
    <row r="42" spans="1:10" s="75" customFormat="1" ht="16.5" x14ac:dyDescent="0.25">
      <c r="A42" s="198" t="s">
        <v>53</v>
      </c>
      <c r="B42" s="198"/>
      <c r="C42" s="198"/>
      <c r="D42" s="198"/>
      <c r="E42" s="98"/>
      <c r="F42" s="98"/>
      <c r="G42" s="98"/>
      <c r="I42" s="246"/>
      <c r="J42" s="246"/>
    </row>
    <row r="43" spans="1:10" s="75" customFormat="1" ht="16.5" x14ac:dyDescent="0.25">
      <c r="A43" s="210" t="s">
        <v>214</v>
      </c>
      <c r="B43" s="210"/>
      <c r="C43" s="210"/>
      <c r="D43" s="210"/>
      <c r="E43" s="210"/>
      <c r="F43" s="210"/>
      <c r="G43" s="98"/>
      <c r="I43" s="147"/>
      <c r="J43" s="147"/>
    </row>
    <row r="44" spans="1:10" s="60" customFormat="1" ht="17.25" x14ac:dyDescent="0.25">
      <c r="A44" s="216" t="s">
        <v>33</v>
      </c>
      <c r="B44" s="216"/>
      <c r="C44" s="216"/>
      <c r="D44" s="100"/>
      <c r="E44" s="215" t="s">
        <v>52</v>
      </c>
      <c r="F44" s="215"/>
      <c r="G44" s="215"/>
      <c r="I44" s="77"/>
      <c r="J44" s="77"/>
    </row>
    <row r="45" spans="1:10" s="75" customFormat="1" ht="20.25" customHeight="1" x14ac:dyDescent="0.25">
      <c r="A45" s="205" t="s">
        <v>25</v>
      </c>
      <c r="B45" s="205"/>
      <c r="C45" s="98"/>
      <c r="D45" s="151"/>
      <c r="E45" s="98"/>
      <c r="F45" s="202" t="s">
        <v>26</v>
      </c>
      <c r="G45" s="202"/>
      <c r="H45" s="152"/>
    </row>
    <row r="46" spans="1:10" s="74" customFormat="1" ht="14.25" customHeight="1" x14ac:dyDescent="0.25">
      <c r="B46" s="101"/>
      <c r="C46" s="101"/>
      <c r="D46" s="102"/>
      <c r="E46" s="101"/>
      <c r="F46" s="103"/>
      <c r="G46" s="103"/>
    </row>
    <row r="47" spans="1:10" s="74" customFormat="1" x14ac:dyDescent="0.25">
      <c r="B47" s="101"/>
      <c r="C47" s="101"/>
      <c r="D47" s="102"/>
      <c r="E47" s="101"/>
      <c r="F47" s="104"/>
      <c r="G47" s="104"/>
    </row>
    <row r="49" spans="6:7" x14ac:dyDescent="0.3">
      <c r="F49" s="220"/>
      <c r="G49" s="220"/>
    </row>
  </sheetData>
  <mergeCells count="47">
    <mergeCell ref="I42:J42"/>
    <mergeCell ref="A41:F41"/>
    <mergeCell ref="B1:G1"/>
    <mergeCell ref="B2:G2"/>
    <mergeCell ref="B11:G11"/>
    <mergeCell ref="B7:G7"/>
    <mergeCell ref="B8:G8"/>
    <mergeCell ref="E9:G9"/>
    <mergeCell ref="E10:G10"/>
    <mergeCell ref="B21:D21"/>
    <mergeCell ref="B22:D22"/>
    <mergeCell ref="B10:C10"/>
    <mergeCell ref="B29:D30"/>
    <mergeCell ref="A29:A30"/>
    <mergeCell ref="B26:D26"/>
    <mergeCell ref="B9:C9"/>
    <mergeCell ref="F49:G49"/>
    <mergeCell ref="A4:G4"/>
    <mergeCell ref="A3:G3"/>
    <mergeCell ref="B5:E5"/>
    <mergeCell ref="B6:C6"/>
    <mergeCell ref="A36:F36"/>
    <mergeCell ref="A37:B37"/>
    <mergeCell ref="C37:G37"/>
    <mergeCell ref="A8:A10"/>
    <mergeCell ref="A11:A20"/>
    <mergeCell ref="B18:F18"/>
    <mergeCell ref="B19:F19"/>
    <mergeCell ref="B20:F20"/>
    <mergeCell ref="B27:D27"/>
    <mergeCell ref="B24:D24"/>
    <mergeCell ref="B25:D25"/>
    <mergeCell ref="B23:D23"/>
    <mergeCell ref="F45:G45"/>
    <mergeCell ref="A31:A32"/>
    <mergeCell ref="A45:B45"/>
    <mergeCell ref="A42:D42"/>
    <mergeCell ref="A33:A34"/>
    <mergeCell ref="B33:D34"/>
    <mergeCell ref="B35:D35"/>
    <mergeCell ref="A43:F43"/>
    <mergeCell ref="B31:C32"/>
    <mergeCell ref="E44:G44"/>
    <mergeCell ref="A44:C44"/>
    <mergeCell ref="A39:G39"/>
    <mergeCell ref="B28:D28"/>
    <mergeCell ref="A40:C40"/>
  </mergeCells>
  <pageMargins left="0.24" right="0.16" top="0.2" bottom="0.2" header="0.2" footer="0.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W147"/>
  <sheetViews>
    <sheetView zoomScale="85" zoomScaleNormal="85" workbookViewId="0">
      <pane xSplit="5" ySplit="6" topLeftCell="AJ44" activePane="bottomRight" state="frozen"/>
      <selection pane="topRight" activeCell="F1" sqref="F1"/>
      <selection pane="bottomLeft" activeCell="A7" sqref="A7"/>
      <selection pane="bottomRight" activeCell="AT52" sqref="AT52"/>
    </sheetView>
  </sheetViews>
  <sheetFormatPr defaultColWidth="9" defaultRowHeight="18.75" x14ac:dyDescent="0.3"/>
  <cols>
    <col min="1" max="1" width="5.5703125" style="1" customWidth="1"/>
    <col min="2" max="2" width="7.42578125" style="1" customWidth="1"/>
    <col min="3" max="3" width="26.7109375" style="1" bestFit="1" customWidth="1"/>
    <col min="4" max="4" width="15.42578125" style="42" hidden="1" customWidth="1"/>
    <col min="5" max="5" width="9" style="4"/>
    <col min="6" max="6" width="9.7109375" style="1" customWidth="1"/>
    <col min="7" max="8" width="16.42578125" style="6" bestFit="1" customWidth="1"/>
    <col min="9" max="9" width="11.85546875" style="24" customWidth="1"/>
    <col min="10" max="10" width="11.7109375" style="24" customWidth="1"/>
    <col min="11" max="11" width="7" style="4" customWidth="1"/>
    <col min="12" max="12" width="9.7109375" style="1" customWidth="1"/>
    <col min="13" max="13" width="13.140625" style="1" customWidth="1"/>
    <col min="14" max="14" width="9.7109375" style="1" customWidth="1"/>
    <col min="15" max="15" width="13.140625" style="1" customWidth="1"/>
    <col min="16" max="16" width="9.7109375" style="1" customWidth="1"/>
    <col min="17" max="19" width="13.140625" style="1" customWidth="1"/>
    <col min="20" max="20" width="11.5703125" style="1" customWidth="1"/>
    <col min="21" max="21" width="14.42578125" style="1" customWidth="1"/>
    <col min="22" max="22" width="14.5703125" style="1" customWidth="1"/>
    <col min="23" max="23" width="17.5703125" style="1" customWidth="1"/>
    <col min="24" max="24" width="9.28515625" style="1" customWidth="1"/>
    <col min="25" max="25" width="9" style="1" customWidth="1"/>
    <col min="26" max="26" width="16" style="1" customWidth="1"/>
    <col min="27" max="28" width="9" style="1" customWidth="1"/>
    <col min="29" max="29" width="16.42578125" style="1" customWidth="1"/>
    <col min="30" max="30" width="9" style="1" customWidth="1"/>
    <col min="31" max="31" width="10.5703125" style="1" customWidth="1"/>
    <col min="32" max="32" width="16.28515625" style="1" customWidth="1"/>
    <col min="33" max="33" width="9" style="1" customWidth="1"/>
    <col min="34" max="34" width="11.5703125" style="1" customWidth="1"/>
    <col min="35" max="35" width="13.7109375" style="1" customWidth="1"/>
    <col min="36" max="37" width="9" style="1" customWidth="1"/>
    <col min="38" max="38" width="11.5703125" style="1" customWidth="1"/>
    <col min="39" max="39" width="16" style="1" bestFit="1" customWidth="1"/>
    <col min="40" max="40" width="9" style="1"/>
    <col min="41" max="41" width="9.140625" style="1" bestFit="1" customWidth="1"/>
    <col min="42" max="43" width="15.140625" style="1" bestFit="1" customWidth="1"/>
    <col min="44" max="44" width="15.140625" style="1" customWidth="1"/>
    <col min="45" max="45" width="9.140625" style="1" bestFit="1" customWidth="1"/>
    <col min="46" max="46" width="15.140625" style="1" bestFit="1" customWidth="1"/>
    <col min="47" max="47" width="17.140625" style="1" bestFit="1" customWidth="1"/>
    <col min="48" max="48" width="14.85546875" style="6" customWidth="1"/>
    <col min="49" max="16384" width="9" style="1"/>
  </cols>
  <sheetData>
    <row r="1" spans="1:48" x14ac:dyDescent="0.3">
      <c r="A1" s="2" t="s">
        <v>0</v>
      </c>
      <c r="B1" s="2"/>
      <c r="I1" s="23"/>
      <c r="J1" s="23"/>
      <c r="K1" s="19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48" x14ac:dyDescent="0.3">
      <c r="A2" s="2" t="s">
        <v>215</v>
      </c>
      <c r="B2" s="2"/>
      <c r="I2" s="23"/>
      <c r="J2" s="23"/>
      <c r="K2" s="19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48" x14ac:dyDescent="0.3">
      <c r="I3" s="23"/>
      <c r="J3" s="23"/>
      <c r="K3" s="19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48" ht="22.5" x14ac:dyDescent="0.3">
      <c r="A4" s="3" t="s">
        <v>216</v>
      </c>
      <c r="B4" s="3"/>
      <c r="C4" s="3"/>
      <c r="D4" s="43"/>
      <c r="E4" s="5"/>
      <c r="F4" s="3"/>
      <c r="G4" s="7"/>
      <c r="H4" s="7"/>
      <c r="I4" s="268" t="s">
        <v>29</v>
      </c>
      <c r="J4" s="26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48" ht="75" x14ac:dyDescent="0.3">
      <c r="A5" s="269" t="s">
        <v>30</v>
      </c>
      <c r="B5" s="269"/>
      <c r="C5" s="25"/>
      <c r="D5" s="44"/>
      <c r="E5" s="26"/>
      <c r="F5" s="183" t="s">
        <v>79</v>
      </c>
      <c r="G5" s="183"/>
      <c r="H5" s="184"/>
      <c r="I5" s="27" t="s">
        <v>80</v>
      </c>
      <c r="J5" s="27" t="s">
        <v>81</v>
      </c>
      <c r="K5" s="28" t="s">
        <v>59</v>
      </c>
      <c r="L5" s="270" t="s">
        <v>5</v>
      </c>
      <c r="M5" s="271"/>
      <c r="N5" s="271" t="s">
        <v>6</v>
      </c>
      <c r="O5" s="272"/>
      <c r="P5" s="29" t="s">
        <v>7</v>
      </c>
      <c r="Q5" s="30"/>
      <c r="R5" s="29" t="s">
        <v>236</v>
      </c>
      <c r="S5" s="30"/>
      <c r="T5" s="31" t="s">
        <v>8</v>
      </c>
      <c r="U5" s="32"/>
      <c r="V5" s="28" t="s">
        <v>44</v>
      </c>
      <c r="W5" s="82" t="s">
        <v>60</v>
      </c>
      <c r="X5" s="273" t="s">
        <v>61</v>
      </c>
      <c r="Y5" s="274"/>
      <c r="Z5" s="275"/>
      <c r="AA5" s="273" t="s">
        <v>62</v>
      </c>
      <c r="AB5" s="274"/>
      <c r="AC5" s="275"/>
      <c r="AD5" s="273" t="s">
        <v>63</v>
      </c>
      <c r="AE5" s="274"/>
      <c r="AF5" s="275"/>
      <c r="AG5" s="273" t="s">
        <v>64</v>
      </c>
      <c r="AH5" s="274"/>
      <c r="AI5" s="275"/>
      <c r="AJ5" s="273" t="s">
        <v>65</v>
      </c>
      <c r="AK5" s="274"/>
      <c r="AL5" s="275"/>
      <c r="AM5" s="277" t="s">
        <v>83</v>
      </c>
      <c r="AN5" s="276" t="s">
        <v>68</v>
      </c>
      <c r="AO5" s="276" t="s">
        <v>70</v>
      </c>
      <c r="AP5" s="276"/>
      <c r="AQ5" s="276"/>
      <c r="AR5" s="129"/>
      <c r="AS5" s="276" t="s">
        <v>74</v>
      </c>
      <c r="AT5" s="276"/>
      <c r="AU5" s="276"/>
      <c r="AV5" s="266" t="s">
        <v>82</v>
      </c>
    </row>
    <row r="6" spans="1:48" s="16" customFormat="1" ht="39.75" customHeight="1" x14ac:dyDescent="0.25">
      <c r="A6" s="14" t="s">
        <v>1</v>
      </c>
      <c r="B6" s="17" t="s">
        <v>14</v>
      </c>
      <c r="C6" s="14" t="s">
        <v>2</v>
      </c>
      <c r="D6" s="45"/>
      <c r="E6" s="14" t="s">
        <v>3</v>
      </c>
      <c r="F6" s="17" t="s">
        <v>58</v>
      </c>
      <c r="G6" s="15" t="s">
        <v>28</v>
      </c>
      <c r="H6" s="15" t="s">
        <v>36</v>
      </c>
      <c r="I6" s="33" t="s">
        <v>9</v>
      </c>
      <c r="J6" s="33" t="s">
        <v>10</v>
      </c>
      <c r="K6" s="34"/>
      <c r="L6" s="27" t="s">
        <v>11</v>
      </c>
      <c r="M6" s="27" t="s">
        <v>12</v>
      </c>
      <c r="N6" s="29" t="s">
        <v>11</v>
      </c>
      <c r="O6" s="27" t="s">
        <v>12</v>
      </c>
      <c r="P6" s="29" t="s">
        <v>11</v>
      </c>
      <c r="Q6" s="27" t="s">
        <v>12</v>
      </c>
      <c r="R6" s="29" t="s">
        <v>11</v>
      </c>
      <c r="S6" s="27" t="s">
        <v>12</v>
      </c>
      <c r="T6" s="29" t="s">
        <v>11</v>
      </c>
      <c r="U6" s="27" t="s">
        <v>12</v>
      </c>
      <c r="V6" s="35"/>
      <c r="W6" s="36"/>
      <c r="X6" s="106" t="s">
        <v>38</v>
      </c>
      <c r="Y6" s="106" t="s">
        <v>18</v>
      </c>
      <c r="Z6" s="106" t="s">
        <v>19</v>
      </c>
      <c r="AA6" s="106" t="s">
        <v>38</v>
      </c>
      <c r="AB6" s="106" t="s">
        <v>18</v>
      </c>
      <c r="AC6" s="106" t="s">
        <v>19</v>
      </c>
      <c r="AD6" s="106" t="s">
        <v>38</v>
      </c>
      <c r="AE6" s="106" t="s">
        <v>18</v>
      </c>
      <c r="AF6" s="106" t="s">
        <v>19</v>
      </c>
      <c r="AG6" s="106" t="s">
        <v>38</v>
      </c>
      <c r="AH6" s="106" t="s">
        <v>18</v>
      </c>
      <c r="AI6" s="106" t="s">
        <v>19</v>
      </c>
      <c r="AJ6" s="106" t="s">
        <v>38</v>
      </c>
      <c r="AK6" s="106" t="s">
        <v>18</v>
      </c>
      <c r="AL6" s="106" t="s">
        <v>19</v>
      </c>
      <c r="AM6" s="278"/>
      <c r="AN6" s="276"/>
      <c r="AO6" s="14" t="s">
        <v>57</v>
      </c>
      <c r="AP6" s="14" t="s">
        <v>71</v>
      </c>
      <c r="AQ6" s="14" t="s">
        <v>72</v>
      </c>
      <c r="AR6" s="14" t="s">
        <v>75</v>
      </c>
      <c r="AS6" s="14" t="s">
        <v>57</v>
      </c>
      <c r="AT6" s="14" t="s">
        <v>71</v>
      </c>
      <c r="AU6" s="14" t="s">
        <v>72</v>
      </c>
      <c r="AV6" s="267"/>
    </row>
    <row r="7" spans="1:48" x14ac:dyDescent="0.3">
      <c r="A7" s="8">
        <v>1</v>
      </c>
      <c r="B7" s="21">
        <v>1</v>
      </c>
      <c r="C7" s="9" t="s">
        <v>85</v>
      </c>
      <c r="D7" s="46"/>
      <c r="E7" s="8">
        <v>201</v>
      </c>
      <c r="F7" s="78">
        <v>0</v>
      </c>
      <c r="G7" s="10">
        <v>0</v>
      </c>
      <c r="H7" s="10">
        <v>0</v>
      </c>
      <c r="I7" s="68">
        <v>1499</v>
      </c>
      <c r="J7" s="68">
        <v>1501</v>
      </c>
      <c r="K7" s="69">
        <v>2</v>
      </c>
      <c r="L7" s="70">
        <v>2</v>
      </c>
      <c r="M7" s="71">
        <v>17250</v>
      </c>
      <c r="N7" s="70">
        <v>0</v>
      </c>
      <c r="O7" s="71">
        <v>0</v>
      </c>
      <c r="P7" s="70">
        <v>0</v>
      </c>
      <c r="Q7" s="71">
        <v>0</v>
      </c>
      <c r="R7" s="71">
        <v>0</v>
      </c>
      <c r="S7" s="71">
        <v>0</v>
      </c>
      <c r="T7" s="71">
        <v>0</v>
      </c>
      <c r="U7" s="71">
        <v>0</v>
      </c>
      <c r="V7" s="71">
        <v>17250</v>
      </c>
      <c r="W7" s="9"/>
      <c r="X7" s="107">
        <v>0</v>
      </c>
      <c r="Y7" s="108">
        <v>44182</v>
      </c>
      <c r="Z7" s="108">
        <v>0</v>
      </c>
      <c r="AA7" s="108">
        <v>2</v>
      </c>
      <c r="AB7" s="108">
        <v>98182</v>
      </c>
      <c r="AC7" s="108">
        <v>196364</v>
      </c>
      <c r="AD7" s="108"/>
      <c r="AE7" s="112">
        <v>932727</v>
      </c>
      <c r="AF7" s="108">
        <v>0</v>
      </c>
      <c r="AG7" s="108"/>
      <c r="AH7" s="108"/>
      <c r="AI7" s="108"/>
      <c r="AJ7" s="109"/>
      <c r="AK7" s="113"/>
      <c r="AL7" s="109">
        <v>0</v>
      </c>
      <c r="AM7" s="128">
        <v>196364</v>
      </c>
      <c r="AN7" s="130"/>
      <c r="AO7" s="131">
        <v>5</v>
      </c>
      <c r="AP7" s="131">
        <v>12000</v>
      </c>
      <c r="AQ7" s="131">
        <v>60000</v>
      </c>
      <c r="AR7" s="131">
        <v>115</v>
      </c>
      <c r="AS7" s="131">
        <v>0</v>
      </c>
      <c r="AT7" s="131">
        <v>0</v>
      </c>
      <c r="AU7" s="131">
        <v>0</v>
      </c>
      <c r="AV7" s="131">
        <v>0</v>
      </c>
    </row>
    <row r="8" spans="1:48" x14ac:dyDescent="0.3">
      <c r="A8" s="11">
        <f>+A7+1</f>
        <v>2</v>
      </c>
      <c r="B8" s="22">
        <f>+B7+1</f>
        <v>2</v>
      </c>
      <c r="C8" s="12" t="s">
        <v>86</v>
      </c>
      <c r="D8" s="47"/>
      <c r="E8" s="11">
        <v>202</v>
      </c>
      <c r="F8" s="79">
        <v>0</v>
      </c>
      <c r="G8" s="13">
        <v>0</v>
      </c>
      <c r="H8" s="13">
        <v>0</v>
      </c>
      <c r="I8" s="66">
        <v>3153</v>
      </c>
      <c r="J8" s="66">
        <v>3155</v>
      </c>
      <c r="K8" s="67">
        <v>2</v>
      </c>
      <c r="L8" s="67">
        <v>2</v>
      </c>
      <c r="M8" s="20">
        <v>17250</v>
      </c>
      <c r="N8" s="67">
        <v>0</v>
      </c>
      <c r="O8" s="20">
        <v>0</v>
      </c>
      <c r="P8" s="67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17250</v>
      </c>
      <c r="W8" s="12"/>
      <c r="X8" s="110">
        <v>0</v>
      </c>
      <c r="Y8" s="111">
        <v>44182</v>
      </c>
      <c r="Z8" s="111">
        <v>0</v>
      </c>
      <c r="AA8" s="111">
        <v>2</v>
      </c>
      <c r="AB8" s="111">
        <v>98182</v>
      </c>
      <c r="AC8" s="111">
        <v>196364</v>
      </c>
      <c r="AD8" s="111"/>
      <c r="AE8" s="112">
        <v>932727</v>
      </c>
      <c r="AF8" s="108">
        <v>0</v>
      </c>
      <c r="AG8" s="111"/>
      <c r="AH8" s="108"/>
      <c r="AI8" s="108"/>
      <c r="AJ8" s="113"/>
      <c r="AK8" s="113"/>
      <c r="AL8" s="109">
        <v>0</v>
      </c>
      <c r="AM8" s="128">
        <v>196364</v>
      </c>
      <c r="AN8" s="130"/>
      <c r="AO8" s="131">
        <v>0</v>
      </c>
      <c r="AP8" s="131">
        <v>0</v>
      </c>
      <c r="AQ8" s="131">
        <v>0</v>
      </c>
      <c r="AR8" s="131">
        <v>119</v>
      </c>
      <c r="AS8" s="131">
        <v>3</v>
      </c>
      <c r="AT8" s="131">
        <v>238000</v>
      </c>
      <c r="AU8" s="131">
        <v>714000</v>
      </c>
      <c r="AV8" s="131">
        <v>0</v>
      </c>
    </row>
    <row r="9" spans="1:48" x14ac:dyDescent="0.3">
      <c r="A9" s="11">
        <f t="shared" ref="A9:A72" si="0">+A8+1</f>
        <v>3</v>
      </c>
      <c r="B9" s="22">
        <f t="shared" ref="B9:B72" si="1">+B8+1</f>
        <v>3</v>
      </c>
      <c r="C9" s="12" t="s">
        <v>87</v>
      </c>
      <c r="D9" s="47"/>
      <c r="E9" s="11">
        <v>203</v>
      </c>
      <c r="F9" s="79">
        <v>0</v>
      </c>
      <c r="G9" s="13">
        <v>0</v>
      </c>
      <c r="H9" s="13">
        <v>0</v>
      </c>
      <c r="I9" s="66">
        <v>6018</v>
      </c>
      <c r="J9" s="66">
        <v>6043</v>
      </c>
      <c r="K9" s="67">
        <v>25</v>
      </c>
      <c r="L9" s="67">
        <v>10</v>
      </c>
      <c r="M9" s="20">
        <v>86250</v>
      </c>
      <c r="N9" s="67">
        <v>10</v>
      </c>
      <c r="O9" s="20">
        <v>101200</v>
      </c>
      <c r="P9" s="67">
        <v>5</v>
      </c>
      <c r="Q9" s="20">
        <v>69000</v>
      </c>
      <c r="R9" s="20">
        <v>0</v>
      </c>
      <c r="S9" s="20">
        <v>0</v>
      </c>
      <c r="T9" s="20">
        <v>0</v>
      </c>
      <c r="U9" s="20">
        <v>0</v>
      </c>
      <c r="V9" s="20">
        <v>256450</v>
      </c>
      <c r="W9" s="13"/>
      <c r="X9" s="114">
        <v>1</v>
      </c>
      <c r="Y9" s="111">
        <v>44182</v>
      </c>
      <c r="Z9" s="111">
        <v>44182</v>
      </c>
      <c r="AA9" s="111">
        <v>0</v>
      </c>
      <c r="AB9" s="111">
        <v>98182</v>
      </c>
      <c r="AC9" s="111">
        <v>0</v>
      </c>
      <c r="AD9" s="115">
        <v>1</v>
      </c>
      <c r="AE9" s="112">
        <v>932727</v>
      </c>
      <c r="AF9" s="108">
        <v>932727</v>
      </c>
      <c r="AG9" s="115"/>
      <c r="AH9" s="108"/>
      <c r="AI9" s="108"/>
      <c r="AJ9" s="113"/>
      <c r="AK9" s="113"/>
      <c r="AL9" s="109">
        <v>0</v>
      </c>
      <c r="AM9" s="128">
        <v>976909</v>
      </c>
      <c r="AN9" s="130"/>
      <c r="AO9" s="131">
        <v>0</v>
      </c>
      <c r="AP9" s="131">
        <v>0</v>
      </c>
      <c r="AQ9" s="131">
        <v>0</v>
      </c>
      <c r="AR9" s="138">
        <v>152.5</v>
      </c>
      <c r="AS9" s="131">
        <v>0</v>
      </c>
      <c r="AT9" s="131">
        <v>0</v>
      </c>
      <c r="AU9" s="131">
        <v>0</v>
      </c>
      <c r="AV9" s="131">
        <v>0</v>
      </c>
    </row>
    <row r="10" spans="1:48" x14ac:dyDescent="0.3">
      <c r="A10" s="11">
        <f t="shared" si="0"/>
        <v>4</v>
      </c>
      <c r="B10" s="22">
        <f t="shared" si="1"/>
        <v>4</v>
      </c>
      <c r="C10" s="12" t="s">
        <v>88</v>
      </c>
      <c r="D10" s="47"/>
      <c r="E10" s="11">
        <v>204</v>
      </c>
      <c r="F10" s="79">
        <v>6</v>
      </c>
      <c r="G10" s="13">
        <v>140000</v>
      </c>
      <c r="H10" s="13">
        <v>840000</v>
      </c>
      <c r="I10" s="66">
        <v>0</v>
      </c>
      <c r="J10" s="66">
        <v>0</v>
      </c>
      <c r="K10" s="67">
        <v>0</v>
      </c>
      <c r="L10" s="67">
        <v>0</v>
      </c>
      <c r="M10" s="20">
        <v>0</v>
      </c>
      <c r="N10" s="67">
        <v>0</v>
      </c>
      <c r="O10" s="20">
        <v>0</v>
      </c>
      <c r="P10" s="67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12"/>
      <c r="X10" s="110">
        <v>2</v>
      </c>
      <c r="Y10" s="111">
        <v>44182</v>
      </c>
      <c r="Z10" s="111">
        <v>88364</v>
      </c>
      <c r="AA10" s="111">
        <v>0</v>
      </c>
      <c r="AB10" s="111">
        <v>98182</v>
      </c>
      <c r="AC10" s="111">
        <v>0</v>
      </c>
      <c r="AD10" s="111"/>
      <c r="AE10" s="112">
        <v>932727</v>
      </c>
      <c r="AF10" s="108">
        <v>0</v>
      </c>
      <c r="AG10" s="111"/>
      <c r="AH10" s="108"/>
      <c r="AI10" s="108"/>
      <c r="AJ10" s="116"/>
      <c r="AK10" s="113"/>
      <c r="AL10" s="109">
        <v>0</v>
      </c>
      <c r="AM10" s="128">
        <v>88364</v>
      </c>
      <c r="AN10" s="130"/>
      <c r="AO10" s="131">
        <v>0</v>
      </c>
      <c r="AP10" s="131">
        <v>0</v>
      </c>
      <c r="AQ10" s="131">
        <v>0</v>
      </c>
      <c r="AR10" s="131">
        <v>151</v>
      </c>
      <c r="AS10" s="131">
        <v>0</v>
      </c>
      <c r="AT10" s="131">
        <v>0</v>
      </c>
      <c r="AU10" s="131">
        <v>0</v>
      </c>
      <c r="AV10" s="131">
        <v>0</v>
      </c>
    </row>
    <row r="11" spans="1:48" x14ac:dyDescent="0.3">
      <c r="A11" s="11">
        <f t="shared" si="0"/>
        <v>5</v>
      </c>
      <c r="B11" s="22">
        <f t="shared" si="1"/>
        <v>5</v>
      </c>
      <c r="C11" s="12" t="s">
        <v>89</v>
      </c>
      <c r="D11" s="47"/>
      <c r="E11" s="11">
        <v>205</v>
      </c>
      <c r="F11" s="79">
        <v>6</v>
      </c>
      <c r="G11" s="13">
        <v>140000</v>
      </c>
      <c r="H11" s="13">
        <v>840000</v>
      </c>
      <c r="I11" s="66">
        <v>3712</v>
      </c>
      <c r="J11" s="66">
        <v>3718</v>
      </c>
      <c r="K11" s="67">
        <v>6</v>
      </c>
      <c r="L11" s="67">
        <v>6</v>
      </c>
      <c r="M11" s="20">
        <v>51750</v>
      </c>
      <c r="N11" s="67">
        <v>0</v>
      </c>
      <c r="O11" s="20">
        <v>0</v>
      </c>
      <c r="P11" s="67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51750</v>
      </c>
      <c r="W11" s="12"/>
      <c r="X11" s="110">
        <v>0</v>
      </c>
      <c r="Y11" s="111">
        <v>44182</v>
      </c>
      <c r="Z11" s="111">
        <v>0</v>
      </c>
      <c r="AA11" s="111">
        <v>0</v>
      </c>
      <c r="AB11" s="111">
        <v>98182</v>
      </c>
      <c r="AC11" s="111">
        <v>0</v>
      </c>
      <c r="AD11" s="111"/>
      <c r="AE11" s="112">
        <v>932727</v>
      </c>
      <c r="AF11" s="108">
        <v>0</v>
      </c>
      <c r="AG11" s="111"/>
      <c r="AH11" s="108"/>
      <c r="AI11" s="108"/>
      <c r="AJ11" s="113"/>
      <c r="AK11" s="113"/>
      <c r="AL11" s="109">
        <v>0</v>
      </c>
      <c r="AM11" s="128">
        <v>0</v>
      </c>
      <c r="AN11" s="130"/>
      <c r="AO11" s="131">
        <v>0</v>
      </c>
      <c r="AP11" s="131">
        <v>0</v>
      </c>
      <c r="AQ11" s="131">
        <v>0</v>
      </c>
      <c r="AR11" s="131">
        <v>117</v>
      </c>
      <c r="AS11" s="131">
        <v>6</v>
      </c>
      <c r="AT11" s="131">
        <v>234000</v>
      </c>
      <c r="AU11" s="131">
        <v>1404000</v>
      </c>
      <c r="AV11" s="131">
        <v>0</v>
      </c>
    </row>
    <row r="12" spans="1:48" x14ac:dyDescent="0.3">
      <c r="A12" s="11">
        <f t="shared" si="0"/>
        <v>6</v>
      </c>
      <c r="B12" s="22">
        <f t="shared" si="1"/>
        <v>6</v>
      </c>
      <c r="C12" s="12" t="s">
        <v>90</v>
      </c>
      <c r="D12" s="47"/>
      <c r="E12" s="11">
        <v>206</v>
      </c>
      <c r="F12" s="79">
        <v>0</v>
      </c>
      <c r="G12" s="13">
        <v>0</v>
      </c>
      <c r="H12" s="13">
        <v>0</v>
      </c>
      <c r="I12" s="66">
        <v>3773</v>
      </c>
      <c r="J12" s="66">
        <v>3785</v>
      </c>
      <c r="K12" s="67">
        <v>12</v>
      </c>
      <c r="L12" s="67">
        <v>10</v>
      </c>
      <c r="M12" s="20">
        <v>86250</v>
      </c>
      <c r="N12" s="67">
        <v>2</v>
      </c>
      <c r="O12" s="20">
        <v>20240</v>
      </c>
      <c r="P12" s="67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106490</v>
      </c>
      <c r="W12" s="12"/>
      <c r="X12" s="110">
        <v>2</v>
      </c>
      <c r="Y12" s="111">
        <v>44182</v>
      </c>
      <c r="Z12" s="111">
        <v>88364</v>
      </c>
      <c r="AA12" s="111">
        <v>0</v>
      </c>
      <c r="AB12" s="111">
        <v>98182</v>
      </c>
      <c r="AC12" s="111">
        <v>0</v>
      </c>
      <c r="AD12" s="111">
        <v>1</v>
      </c>
      <c r="AE12" s="112">
        <v>932727</v>
      </c>
      <c r="AF12" s="108">
        <v>932727</v>
      </c>
      <c r="AG12" s="111"/>
      <c r="AH12" s="108"/>
      <c r="AI12" s="108"/>
      <c r="AJ12" s="113"/>
      <c r="AK12" s="113"/>
      <c r="AL12" s="109">
        <v>0</v>
      </c>
      <c r="AM12" s="128">
        <v>1021091</v>
      </c>
      <c r="AN12" s="130"/>
      <c r="AO12" s="131">
        <v>0</v>
      </c>
      <c r="AP12" s="131">
        <v>0</v>
      </c>
      <c r="AQ12" s="131">
        <v>0</v>
      </c>
      <c r="AR12" s="138">
        <v>152.5</v>
      </c>
      <c r="AS12" s="131">
        <v>0</v>
      </c>
      <c r="AT12" s="131">
        <v>0</v>
      </c>
      <c r="AU12" s="131">
        <v>0</v>
      </c>
      <c r="AV12" s="131">
        <v>0</v>
      </c>
    </row>
    <row r="13" spans="1:48" x14ac:dyDescent="0.3">
      <c r="A13" s="11">
        <f t="shared" si="0"/>
        <v>7</v>
      </c>
      <c r="B13" s="22">
        <f t="shared" si="1"/>
        <v>7</v>
      </c>
      <c r="C13" s="12" t="s">
        <v>91</v>
      </c>
      <c r="D13" s="47"/>
      <c r="E13" s="11">
        <v>207</v>
      </c>
      <c r="F13" s="79">
        <v>0</v>
      </c>
      <c r="G13" s="13">
        <v>0</v>
      </c>
      <c r="H13" s="13">
        <v>0</v>
      </c>
      <c r="I13" s="66">
        <v>4100</v>
      </c>
      <c r="J13" s="66">
        <v>4100</v>
      </c>
      <c r="K13" s="67">
        <v>0</v>
      </c>
      <c r="L13" s="67">
        <v>0</v>
      </c>
      <c r="M13" s="20">
        <v>0</v>
      </c>
      <c r="N13" s="67">
        <v>0</v>
      </c>
      <c r="O13" s="20">
        <v>0</v>
      </c>
      <c r="P13" s="67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12"/>
      <c r="X13" s="110">
        <v>0</v>
      </c>
      <c r="Y13" s="111">
        <v>44182</v>
      </c>
      <c r="Z13" s="111">
        <v>0</v>
      </c>
      <c r="AA13" s="111">
        <v>0</v>
      </c>
      <c r="AB13" s="111">
        <v>98182</v>
      </c>
      <c r="AC13" s="111">
        <v>0</v>
      </c>
      <c r="AD13" s="111">
        <v>1</v>
      </c>
      <c r="AE13" s="112">
        <v>932727</v>
      </c>
      <c r="AF13" s="108">
        <v>932727</v>
      </c>
      <c r="AG13" s="111"/>
      <c r="AH13" s="108"/>
      <c r="AI13" s="108"/>
      <c r="AJ13" s="117"/>
      <c r="AK13" s="113">
        <v>9818</v>
      </c>
      <c r="AL13" s="109">
        <v>0</v>
      </c>
      <c r="AM13" s="128">
        <v>932727</v>
      </c>
      <c r="AN13" s="130"/>
      <c r="AO13" s="131">
        <v>0</v>
      </c>
      <c r="AP13" s="131">
        <v>0</v>
      </c>
      <c r="AQ13" s="131">
        <v>0</v>
      </c>
      <c r="AR13" s="131">
        <v>119</v>
      </c>
      <c r="AS13" s="131">
        <v>0</v>
      </c>
      <c r="AT13" s="131">
        <v>0</v>
      </c>
      <c r="AU13" s="131">
        <v>0</v>
      </c>
      <c r="AV13" s="131">
        <v>110000</v>
      </c>
    </row>
    <row r="14" spans="1:48" x14ac:dyDescent="0.3">
      <c r="A14" s="11">
        <f t="shared" si="0"/>
        <v>8</v>
      </c>
      <c r="B14" s="22">
        <f t="shared" si="1"/>
        <v>8</v>
      </c>
      <c r="C14" s="12" t="s">
        <v>92</v>
      </c>
      <c r="D14" s="47"/>
      <c r="E14" s="11">
        <v>208</v>
      </c>
      <c r="F14" s="79">
        <v>0</v>
      </c>
      <c r="G14" s="13">
        <v>0</v>
      </c>
      <c r="H14" s="13">
        <v>0</v>
      </c>
      <c r="I14" s="66">
        <v>157</v>
      </c>
      <c r="J14" s="66">
        <v>169</v>
      </c>
      <c r="K14" s="67">
        <v>12</v>
      </c>
      <c r="L14" s="67">
        <v>10</v>
      </c>
      <c r="M14" s="20">
        <v>86250</v>
      </c>
      <c r="N14" s="67">
        <v>2</v>
      </c>
      <c r="O14" s="20">
        <v>20240</v>
      </c>
      <c r="P14" s="67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106490</v>
      </c>
      <c r="W14" s="12"/>
      <c r="X14" s="110">
        <v>3</v>
      </c>
      <c r="Y14" s="111">
        <v>44182</v>
      </c>
      <c r="Z14" s="111">
        <v>132546</v>
      </c>
      <c r="AA14" s="111">
        <v>0</v>
      </c>
      <c r="AB14" s="111">
        <v>98182</v>
      </c>
      <c r="AC14" s="111">
        <v>0</v>
      </c>
      <c r="AD14" s="111"/>
      <c r="AE14" s="112">
        <v>932727</v>
      </c>
      <c r="AF14" s="108">
        <v>0</v>
      </c>
      <c r="AG14" s="111"/>
      <c r="AH14" s="108"/>
      <c r="AI14" s="108"/>
      <c r="AJ14" s="113"/>
      <c r="AK14" s="113"/>
      <c r="AL14" s="109">
        <v>0</v>
      </c>
      <c r="AM14" s="128">
        <v>132546</v>
      </c>
      <c r="AN14" s="130"/>
      <c r="AO14" s="131">
        <v>0</v>
      </c>
      <c r="AP14" s="131">
        <v>0</v>
      </c>
      <c r="AQ14" s="131">
        <v>0</v>
      </c>
      <c r="AR14" s="131">
        <v>115</v>
      </c>
      <c r="AS14" s="131">
        <v>6</v>
      </c>
      <c r="AT14" s="131">
        <v>230000</v>
      </c>
      <c r="AU14" s="131">
        <v>1380000</v>
      </c>
      <c r="AV14" s="131">
        <v>0</v>
      </c>
    </row>
    <row r="15" spans="1:48" x14ac:dyDescent="0.3">
      <c r="A15" s="11">
        <f t="shared" si="0"/>
        <v>9</v>
      </c>
      <c r="B15" s="22">
        <f t="shared" si="1"/>
        <v>9</v>
      </c>
      <c r="C15" s="12" t="s">
        <v>93</v>
      </c>
      <c r="D15" s="47"/>
      <c r="E15" s="11">
        <v>301</v>
      </c>
      <c r="F15" s="79">
        <v>0</v>
      </c>
      <c r="G15" s="13">
        <v>0</v>
      </c>
      <c r="H15" s="13">
        <v>0</v>
      </c>
      <c r="I15" s="66">
        <v>0</v>
      </c>
      <c r="J15" s="66">
        <v>0</v>
      </c>
      <c r="K15" s="67">
        <v>0</v>
      </c>
      <c r="L15" s="67">
        <v>0</v>
      </c>
      <c r="M15" s="20">
        <v>0</v>
      </c>
      <c r="N15" s="67">
        <v>0</v>
      </c>
      <c r="O15" s="20">
        <v>0</v>
      </c>
      <c r="P15" s="67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12"/>
      <c r="X15" s="114">
        <v>0</v>
      </c>
      <c r="Y15" s="111">
        <v>44182</v>
      </c>
      <c r="Z15" s="111">
        <v>0</v>
      </c>
      <c r="AA15" s="111">
        <v>0</v>
      </c>
      <c r="AB15" s="111">
        <v>98182</v>
      </c>
      <c r="AC15" s="111">
        <v>0</v>
      </c>
      <c r="AD15" s="115"/>
      <c r="AE15" s="112">
        <v>932727</v>
      </c>
      <c r="AF15" s="108">
        <v>0</v>
      </c>
      <c r="AG15" s="115"/>
      <c r="AH15" s="108"/>
      <c r="AI15" s="108"/>
      <c r="AJ15" s="113"/>
      <c r="AK15" s="113"/>
      <c r="AL15" s="109">
        <v>0</v>
      </c>
      <c r="AM15" s="128">
        <v>0</v>
      </c>
      <c r="AN15" s="130"/>
      <c r="AO15" s="131">
        <v>0</v>
      </c>
      <c r="AP15" s="131">
        <v>0</v>
      </c>
      <c r="AQ15" s="131">
        <v>0</v>
      </c>
      <c r="AR15" s="131">
        <v>115</v>
      </c>
      <c r="AS15" s="131">
        <v>0</v>
      </c>
      <c r="AT15" s="131">
        <v>0</v>
      </c>
      <c r="AU15" s="131">
        <v>0</v>
      </c>
      <c r="AV15" s="131">
        <v>0</v>
      </c>
    </row>
    <row r="16" spans="1:48" x14ac:dyDescent="0.3">
      <c r="A16" s="11">
        <f t="shared" si="0"/>
        <v>10</v>
      </c>
      <c r="B16" s="22">
        <f t="shared" si="1"/>
        <v>10</v>
      </c>
      <c r="C16" s="12" t="s">
        <v>94</v>
      </c>
      <c r="D16" s="47"/>
      <c r="E16" s="11">
        <v>302</v>
      </c>
      <c r="F16" s="79">
        <v>0</v>
      </c>
      <c r="G16" s="13">
        <v>0</v>
      </c>
      <c r="H16" s="13">
        <v>0</v>
      </c>
      <c r="I16" s="66">
        <v>989</v>
      </c>
      <c r="J16" s="66">
        <v>999</v>
      </c>
      <c r="K16" s="67">
        <v>10</v>
      </c>
      <c r="L16" s="67">
        <v>10</v>
      </c>
      <c r="M16" s="20">
        <v>86250</v>
      </c>
      <c r="N16" s="67">
        <v>0</v>
      </c>
      <c r="O16" s="20">
        <v>0</v>
      </c>
      <c r="P16" s="67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86250</v>
      </c>
      <c r="W16" s="12"/>
      <c r="X16" s="110">
        <v>1</v>
      </c>
      <c r="Y16" s="111">
        <v>44182</v>
      </c>
      <c r="Z16" s="111">
        <v>44182</v>
      </c>
      <c r="AA16" s="111">
        <v>0</v>
      </c>
      <c r="AB16" s="111">
        <v>98182</v>
      </c>
      <c r="AC16" s="111">
        <v>0</v>
      </c>
      <c r="AD16" s="111"/>
      <c r="AE16" s="112">
        <v>932727</v>
      </c>
      <c r="AF16" s="108">
        <v>0</v>
      </c>
      <c r="AG16" s="111"/>
      <c r="AH16" s="108"/>
      <c r="AI16" s="108"/>
      <c r="AJ16" s="116"/>
      <c r="AK16" s="113"/>
      <c r="AL16" s="109">
        <v>0</v>
      </c>
      <c r="AM16" s="128">
        <v>44182</v>
      </c>
      <c r="AN16" s="130"/>
      <c r="AO16" s="131">
        <v>0</v>
      </c>
      <c r="AP16" s="131">
        <v>0</v>
      </c>
      <c r="AQ16" s="131">
        <v>0</v>
      </c>
      <c r="AR16" s="131">
        <v>119</v>
      </c>
      <c r="AS16" s="131">
        <v>0</v>
      </c>
      <c r="AT16" s="131">
        <v>0</v>
      </c>
      <c r="AU16" s="131">
        <v>0</v>
      </c>
      <c r="AV16" s="131">
        <v>0</v>
      </c>
    </row>
    <row r="17" spans="1:49" x14ac:dyDescent="0.3">
      <c r="A17" s="11">
        <f t="shared" si="0"/>
        <v>11</v>
      </c>
      <c r="B17" s="22">
        <f t="shared" si="1"/>
        <v>11</v>
      </c>
      <c r="C17" s="12" t="s">
        <v>95</v>
      </c>
      <c r="D17" s="47"/>
      <c r="E17" s="11">
        <v>303</v>
      </c>
      <c r="F17" s="79">
        <v>0</v>
      </c>
      <c r="G17" s="13">
        <v>0</v>
      </c>
      <c r="H17" s="13">
        <v>0</v>
      </c>
      <c r="I17" s="66">
        <v>3045</v>
      </c>
      <c r="J17" s="66">
        <v>3057</v>
      </c>
      <c r="K17" s="67">
        <v>12</v>
      </c>
      <c r="L17" s="67">
        <v>10</v>
      </c>
      <c r="M17" s="20">
        <v>86250</v>
      </c>
      <c r="N17" s="67">
        <v>2</v>
      </c>
      <c r="O17" s="20">
        <v>20240</v>
      </c>
      <c r="P17" s="67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106490</v>
      </c>
      <c r="W17" s="12"/>
      <c r="X17" s="110">
        <v>2</v>
      </c>
      <c r="Y17" s="111">
        <v>44182</v>
      </c>
      <c r="Z17" s="111">
        <v>88364</v>
      </c>
      <c r="AA17" s="111">
        <v>0</v>
      </c>
      <c r="AB17" s="111">
        <v>98182</v>
      </c>
      <c r="AC17" s="111">
        <v>0</v>
      </c>
      <c r="AD17" s="111">
        <v>1</v>
      </c>
      <c r="AE17" s="112">
        <v>932727</v>
      </c>
      <c r="AF17" s="108">
        <v>932727</v>
      </c>
      <c r="AG17" s="111"/>
      <c r="AH17" s="108"/>
      <c r="AI17" s="108"/>
      <c r="AJ17" s="113"/>
      <c r="AK17" s="113"/>
      <c r="AL17" s="109">
        <v>0</v>
      </c>
      <c r="AM17" s="128">
        <v>1021091</v>
      </c>
      <c r="AN17" s="130"/>
      <c r="AO17" s="131">
        <v>0</v>
      </c>
      <c r="AP17" s="131">
        <v>0</v>
      </c>
      <c r="AQ17" s="131">
        <v>0</v>
      </c>
      <c r="AR17" s="138">
        <v>152.5</v>
      </c>
      <c r="AS17" s="131">
        <v>0</v>
      </c>
      <c r="AT17" s="131">
        <v>0</v>
      </c>
      <c r="AU17" s="131">
        <v>0</v>
      </c>
      <c r="AV17" s="131">
        <v>0</v>
      </c>
    </row>
    <row r="18" spans="1:49" x14ac:dyDescent="0.3">
      <c r="A18" s="11">
        <f t="shared" si="0"/>
        <v>12</v>
      </c>
      <c r="B18" s="22">
        <f t="shared" si="1"/>
        <v>12</v>
      </c>
      <c r="C18" s="12" t="s">
        <v>96</v>
      </c>
      <c r="D18" s="47"/>
      <c r="E18" s="11">
        <v>304</v>
      </c>
      <c r="F18" s="79">
        <v>0</v>
      </c>
      <c r="G18" s="13">
        <v>0</v>
      </c>
      <c r="H18" s="13">
        <v>0</v>
      </c>
      <c r="I18" s="66">
        <v>2537</v>
      </c>
      <c r="J18" s="66">
        <v>2553</v>
      </c>
      <c r="K18" s="67">
        <v>16</v>
      </c>
      <c r="L18" s="67">
        <v>10</v>
      </c>
      <c r="M18" s="20">
        <v>86250</v>
      </c>
      <c r="N18" s="67">
        <v>6</v>
      </c>
      <c r="O18" s="20">
        <v>60720</v>
      </c>
      <c r="P18" s="67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146970</v>
      </c>
      <c r="W18" s="12"/>
      <c r="X18" s="114">
        <v>3</v>
      </c>
      <c r="Y18" s="111">
        <v>44182</v>
      </c>
      <c r="Z18" s="111">
        <v>132546</v>
      </c>
      <c r="AA18" s="111">
        <v>0</v>
      </c>
      <c r="AB18" s="111">
        <v>98182</v>
      </c>
      <c r="AC18" s="111">
        <v>0</v>
      </c>
      <c r="AD18" s="115"/>
      <c r="AE18" s="112">
        <v>932727</v>
      </c>
      <c r="AF18" s="108">
        <v>0</v>
      </c>
      <c r="AG18" s="115"/>
      <c r="AH18" s="108"/>
      <c r="AI18" s="108"/>
      <c r="AJ18" s="113"/>
      <c r="AK18" s="113"/>
      <c r="AL18" s="109">
        <v>0</v>
      </c>
      <c r="AM18" s="128">
        <v>132546</v>
      </c>
      <c r="AN18" s="130"/>
      <c r="AO18" s="131">
        <v>0</v>
      </c>
      <c r="AP18" s="131">
        <v>0</v>
      </c>
      <c r="AQ18" s="131">
        <v>0</v>
      </c>
      <c r="AR18" s="131">
        <v>151</v>
      </c>
      <c r="AS18" s="131">
        <v>0</v>
      </c>
      <c r="AT18" s="131">
        <v>0</v>
      </c>
      <c r="AU18" s="131">
        <v>0</v>
      </c>
      <c r="AV18" s="131">
        <v>0</v>
      </c>
    </row>
    <row r="19" spans="1:49" x14ac:dyDescent="0.3">
      <c r="A19" s="11">
        <f t="shared" si="0"/>
        <v>13</v>
      </c>
      <c r="B19" s="22">
        <f t="shared" si="1"/>
        <v>13</v>
      </c>
      <c r="C19" s="12" t="s">
        <v>97</v>
      </c>
      <c r="D19" s="47"/>
      <c r="E19" s="11">
        <v>305</v>
      </c>
      <c r="F19" s="79">
        <v>0</v>
      </c>
      <c r="G19" s="13">
        <v>0</v>
      </c>
      <c r="H19" s="13">
        <v>0</v>
      </c>
      <c r="I19" s="66">
        <v>2823</v>
      </c>
      <c r="J19" s="66">
        <v>2837</v>
      </c>
      <c r="K19" s="67">
        <v>14</v>
      </c>
      <c r="L19" s="67">
        <v>10</v>
      </c>
      <c r="M19" s="20">
        <v>86250</v>
      </c>
      <c r="N19" s="67">
        <v>4</v>
      </c>
      <c r="O19" s="20">
        <v>40480</v>
      </c>
      <c r="P19" s="67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126730</v>
      </c>
      <c r="W19" s="12"/>
      <c r="X19" s="110">
        <v>3</v>
      </c>
      <c r="Y19" s="111">
        <v>44182</v>
      </c>
      <c r="Z19" s="111">
        <v>132546</v>
      </c>
      <c r="AA19" s="111">
        <v>0</v>
      </c>
      <c r="AB19" s="111">
        <v>98182</v>
      </c>
      <c r="AC19" s="111">
        <v>0</v>
      </c>
      <c r="AD19" s="111"/>
      <c r="AE19" s="112">
        <v>932727</v>
      </c>
      <c r="AF19" s="108">
        <v>0</v>
      </c>
      <c r="AG19" s="111"/>
      <c r="AH19" s="108"/>
      <c r="AI19" s="108"/>
      <c r="AJ19" s="113"/>
      <c r="AK19" s="113"/>
      <c r="AL19" s="109">
        <v>0</v>
      </c>
      <c r="AM19" s="128">
        <v>132546</v>
      </c>
      <c r="AN19" s="130"/>
      <c r="AO19" s="131">
        <v>0</v>
      </c>
      <c r="AP19" s="131">
        <v>0</v>
      </c>
      <c r="AQ19" s="131">
        <v>0</v>
      </c>
      <c r="AR19" s="131">
        <v>117</v>
      </c>
      <c r="AS19" s="131">
        <v>0</v>
      </c>
      <c r="AT19" s="131">
        <v>0</v>
      </c>
      <c r="AU19" s="131">
        <v>0</v>
      </c>
      <c r="AV19" s="131">
        <v>110000</v>
      </c>
    </row>
    <row r="20" spans="1:49" x14ac:dyDescent="0.3">
      <c r="A20" s="11">
        <f t="shared" si="0"/>
        <v>14</v>
      </c>
      <c r="B20" s="22">
        <f t="shared" si="1"/>
        <v>14</v>
      </c>
      <c r="C20" s="12" t="s">
        <v>98</v>
      </c>
      <c r="D20" s="47"/>
      <c r="E20" s="11">
        <v>306</v>
      </c>
      <c r="F20" s="79">
        <v>0</v>
      </c>
      <c r="G20" s="13">
        <v>0</v>
      </c>
      <c r="H20" s="13">
        <v>0</v>
      </c>
      <c r="I20" s="66">
        <v>2344</v>
      </c>
      <c r="J20" s="66">
        <v>2367</v>
      </c>
      <c r="K20" s="67">
        <v>23</v>
      </c>
      <c r="L20" s="67">
        <v>10</v>
      </c>
      <c r="M20" s="20">
        <v>86250</v>
      </c>
      <c r="N20" s="67">
        <v>10</v>
      </c>
      <c r="O20" s="20">
        <v>101200</v>
      </c>
      <c r="P20" s="67">
        <v>3</v>
      </c>
      <c r="Q20" s="20">
        <v>41400</v>
      </c>
      <c r="R20" s="20">
        <v>0</v>
      </c>
      <c r="S20" s="20">
        <v>0</v>
      </c>
      <c r="T20" s="20">
        <v>0</v>
      </c>
      <c r="U20" s="20">
        <v>0</v>
      </c>
      <c r="V20" s="20">
        <v>228850</v>
      </c>
      <c r="W20" s="12"/>
      <c r="X20" s="110">
        <v>2</v>
      </c>
      <c r="Y20" s="111">
        <v>44182</v>
      </c>
      <c r="Z20" s="111">
        <v>88364</v>
      </c>
      <c r="AA20" s="111">
        <v>0</v>
      </c>
      <c r="AB20" s="111">
        <v>98182</v>
      </c>
      <c r="AC20" s="111">
        <v>0</v>
      </c>
      <c r="AD20" s="111"/>
      <c r="AE20" s="112">
        <v>932727</v>
      </c>
      <c r="AF20" s="108">
        <v>0</v>
      </c>
      <c r="AG20" s="111"/>
      <c r="AH20" s="108"/>
      <c r="AI20" s="108"/>
      <c r="AJ20" s="113"/>
      <c r="AK20" s="113"/>
      <c r="AL20" s="109">
        <v>0</v>
      </c>
      <c r="AM20" s="128">
        <v>88364</v>
      </c>
      <c r="AN20" s="130"/>
      <c r="AO20" s="131">
        <v>0</v>
      </c>
      <c r="AP20" s="131">
        <v>0</v>
      </c>
      <c r="AQ20" s="131">
        <v>0</v>
      </c>
      <c r="AR20" s="138">
        <v>152.5</v>
      </c>
      <c r="AS20" s="131">
        <v>0</v>
      </c>
      <c r="AT20" s="131">
        <v>0</v>
      </c>
      <c r="AU20" s="131">
        <v>0</v>
      </c>
      <c r="AV20" s="131">
        <v>0</v>
      </c>
    </row>
    <row r="21" spans="1:49" x14ac:dyDescent="0.3">
      <c r="A21" s="11">
        <f t="shared" si="0"/>
        <v>15</v>
      </c>
      <c r="B21" s="22">
        <f t="shared" si="1"/>
        <v>15</v>
      </c>
      <c r="C21" s="12" t="s">
        <v>99</v>
      </c>
      <c r="D21" s="47"/>
      <c r="E21" s="11">
        <v>307</v>
      </c>
      <c r="F21" s="79">
        <v>0</v>
      </c>
      <c r="G21" s="13">
        <v>0</v>
      </c>
      <c r="H21" s="13">
        <v>0</v>
      </c>
      <c r="I21" s="66">
        <v>171</v>
      </c>
      <c r="J21" s="66">
        <v>186</v>
      </c>
      <c r="K21" s="67">
        <v>15</v>
      </c>
      <c r="L21" s="67">
        <v>10</v>
      </c>
      <c r="M21" s="20">
        <v>86250</v>
      </c>
      <c r="N21" s="67">
        <v>5</v>
      </c>
      <c r="O21" s="20">
        <v>50600</v>
      </c>
      <c r="P21" s="67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136850</v>
      </c>
      <c r="W21" s="12"/>
      <c r="X21" s="110">
        <v>3</v>
      </c>
      <c r="Y21" s="111">
        <v>44182</v>
      </c>
      <c r="Z21" s="111">
        <v>132546</v>
      </c>
      <c r="AA21" s="111">
        <v>0</v>
      </c>
      <c r="AB21" s="111">
        <v>98182</v>
      </c>
      <c r="AC21" s="111">
        <v>0</v>
      </c>
      <c r="AD21" s="111"/>
      <c r="AE21" s="112">
        <v>932727</v>
      </c>
      <c r="AF21" s="108">
        <v>0</v>
      </c>
      <c r="AG21" s="111"/>
      <c r="AH21" s="108"/>
      <c r="AI21" s="108"/>
      <c r="AJ21" s="113"/>
      <c r="AK21" s="113"/>
      <c r="AL21" s="109">
        <v>0</v>
      </c>
      <c r="AM21" s="128">
        <v>132546</v>
      </c>
      <c r="AN21" s="130"/>
      <c r="AO21" s="131">
        <v>0</v>
      </c>
      <c r="AP21" s="131">
        <v>0</v>
      </c>
      <c r="AQ21" s="131">
        <v>0</v>
      </c>
      <c r="AR21" s="131">
        <v>119</v>
      </c>
      <c r="AS21" s="131">
        <v>0</v>
      </c>
      <c r="AT21" s="131">
        <v>0</v>
      </c>
      <c r="AU21" s="131">
        <v>0</v>
      </c>
      <c r="AV21" s="131">
        <v>0</v>
      </c>
    </row>
    <row r="22" spans="1:49" x14ac:dyDescent="0.3">
      <c r="A22" s="11">
        <f t="shared" si="0"/>
        <v>16</v>
      </c>
      <c r="B22" s="22">
        <f t="shared" si="1"/>
        <v>16</v>
      </c>
      <c r="C22" s="12" t="s">
        <v>100</v>
      </c>
      <c r="D22" s="47"/>
      <c r="E22" s="11">
        <v>308</v>
      </c>
      <c r="F22" s="79">
        <v>0</v>
      </c>
      <c r="G22" s="13">
        <v>0</v>
      </c>
      <c r="H22" s="13">
        <v>0</v>
      </c>
      <c r="I22" s="66">
        <v>230</v>
      </c>
      <c r="J22" s="66">
        <v>248</v>
      </c>
      <c r="K22" s="67">
        <v>18</v>
      </c>
      <c r="L22" s="67">
        <v>10</v>
      </c>
      <c r="M22" s="20">
        <v>86250</v>
      </c>
      <c r="N22" s="67">
        <v>8</v>
      </c>
      <c r="O22" s="20">
        <v>80960</v>
      </c>
      <c r="P22" s="67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167210</v>
      </c>
      <c r="W22" s="12"/>
      <c r="X22" s="110">
        <v>0</v>
      </c>
      <c r="Y22" s="111">
        <v>44182</v>
      </c>
      <c r="Z22" s="111">
        <v>0</v>
      </c>
      <c r="AA22" s="111">
        <v>0</v>
      </c>
      <c r="AB22" s="111">
        <v>98182</v>
      </c>
      <c r="AC22" s="111">
        <v>0</v>
      </c>
      <c r="AD22" s="111"/>
      <c r="AE22" s="112">
        <v>932727</v>
      </c>
      <c r="AF22" s="108">
        <v>0</v>
      </c>
      <c r="AG22" s="111"/>
      <c r="AH22" s="108"/>
      <c r="AI22" s="108"/>
      <c r="AJ22" s="113"/>
      <c r="AK22" s="113"/>
      <c r="AL22" s="109">
        <v>0</v>
      </c>
      <c r="AM22" s="128">
        <v>0</v>
      </c>
      <c r="AN22" s="130"/>
      <c r="AO22" s="131">
        <v>0</v>
      </c>
      <c r="AP22" s="131">
        <v>0</v>
      </c>
      <c r="AQ22" s="131">
        <v>0</v>
      </c>
      <c r="AR22" s="131">
        <v>115</v>
      </c>
      <c r="AS22" s="131">
        <v>0</v>
      </c>
      <c r="AT22" s="131">
        <v>0</v>
      </c>
      <c r="AU22" s="131">
        <v>0</v>
      </c>
      <c r="AV22" s="131">
        <v>0</v>
      </c>
    </row>
    <row r="23" spans="1:49" x14ac:dyDescent="0.3">
      <c r="A23" s="11">
        <f t="shared" si="0"/>
        <v>17</v>
      </c>
      <c r="B23" s="22">
        <f t="shared" si="1"/>
        <v>17</v>
      </c>
      <c r="C23" s="12" t="s">
        <v>101</v>
      </c>
      <c r="D23" s="47"/>
      <c r="E23" s="11">
        <v>401</v>
      </c>
      <c r="F23" s="79">
        <v>6</v>
      </c>
      <c r="G23" s="13">
        <v>140000</v>
      </c>
      <c r="H23" s="13">
        <v>840000</v>
      </c>
      <c r="I23" s="66">
        <v>0</v>
      </c>
      <c r="J23" s="66">
        <v>0</v>
      </c>
      <c r="K23" s="67">
        <v>0</v>
      </c>
      <c r="L23" s="67">
        <v>0</v>
      </c>
      <c r="M23" s="20">
        <v>0</v>
      </c>
      <c r="N23" s="67">
        <v>0</v>
      </c>
      <c r="O23" s="20">
        <v>0</v>
      </c>
      <c r="P23" s="67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12"/>
      <c r="X23" s="110">
        <v>0</v>
      </c>
      <c r="Y23" s="111">
        <v>44182</v>
      </c>
      <c r="Z23" s="111">
        <v>0</v>
      </c>
      <c r="AA23" s="111">
        <v>0</v>
      </c>
      <c r="AB23" s="111">
        <v>98182</v>
      </c>
      <c r="AC23" s="111">
        <v>0</v>
      </c>
      <c r="AD23" s="118"/>
      <c r="AE23" s="112">
        <v>932727</v>
      </c>
      <c r="AF23" s="108">
        <v>0</v>
      </c>
      <c r="AG23" s="118"/>
      <c r="AH23" s="108"/>
      <c r="AI23" s="108"/>
      <c r="AJ23" s="113"/>
      <c r="AK23" s="113"/>
      <c r="AL23" s="109">
        <v>0</v>
      </c>
      <c r="AM23" s="128">
        <v>0</v>
      </c>
      <c r="AN23" s="130"/>
      <c r="AO23" s="131">
        <v>0</v>
      </c>
      <c r="AP23" s="131">
        <v>0</v>
      </c>
      <c r="AQ23" s="131">
        <v>0</v>
      </c>
      <c r="AR23" s="131">
        <v>115</v>
      </c>
      <c r="AS23" s="131">
        <v>6</v>
      </c>
      <c r="AT23" s="131">
        <v>230000</v>
      </c>
      <c r="AU23" s="131">
        <v>1380000</v>
      </c>
      <c r="AV23" s="131">
        <v>0</v>
      </c>
    </row>
    <row r="24" spans="1:49" x14ac:dyDescent="0.3">
      <c r="A24" s="11">
        <f t="shared" si="0"/>
        <v>18</v>
      </c>
      <c r="B24" s="22">
        <f t="shared" si="1"/>
        <v>18</v>
      </c>
      <c r="C24" s="12" t="s">
        <v>102</v>
      </c>
      <c r="D24" s="47"/>
      <c r="E24" s="11">
        <v>402</v>
      </c>
      <c r="F24" s="79">
        <v>0</v>
      </c>
      <c r="G24" s="13">
        <v>0</v>
      </c>
      <c r="H24" s="13">
        <v>0</v>
      </c>
      <c r="I24" s="66">
        <v>3787</v>
      </c>
      <c r="J24" s="66">
        <v>3812</v>
      </c>
      <c r="K24" s="67">
        <v>25</v>
      </c>
      <c r="L24" s="67">
        <v>10</v>
      </c>
      <c r="M24" s="20">
        <v>86250</v>
      </c>
      <c r="N24" s="67">
        <v>10</v>
      </c>
      <c r="O24" s="20">
        <v>101200</v>
      </c>
      <c r="P24" s="67">
        <v>5</v>
      </c>
      <c r="Q24" s="20">
        <v>69000</v>
      </c>
      <c r="R24" s="20">
        <v>0</v>
      </c>
      <c r="S24" s="20">
        <v>0</v>
      </c>
      <c r="T24" s="20">
        <v>0</v>
      </c>
      <c r="U24" s="20">
        <v>0</v>
      </c>
      <c r="V24" s="20">
        <v>256450</v>
      </c>
      <c r="W24" s="12"/>
      <c r="X24" s="110">
        <v>1</v>
      </c>
      <c r="Y24" s="111">
        <v>44182</v>
      </c>
      <c r="Z24" s="111">
        <v>44182</v>
      </c>
      <c r="AA24" s="111">
        <v>0</v>
      </c>
      <c r="AB24" s="111">
        <v>98182</v>
      </c>
      <c r="AC24" s="111">
        <v>0</v>
      </c>
      <c r="AD24" s="111"/>
      <c r="AE24" s="112">
        <v>932727</v>
      </c>
      <c r="AF24" s="108">
        <v>0</v>
      </c>
      <c r="AG24" s="111"/>
      <c r="AH24" s="108"/>
      <c r="AI24" s="108"/>
      <c r="AJ24" s="113"/>
      <c r="AK24" s="113"/>
      <c r="AL24" s="109">
        <v>0</v>
      </c>
      <c r="AM24" s="128">
        <v>44182</v>
      </c>
      <c r="AN24" s="130"/>
      <c r="AO24" s="131">
        <v>0</v>
      </c>
      <c r="AP24" s="131">
        <v>0</v>
      </c>
      <c r="AQ24" s="131">
        <v>0</v>
      </c>
      <c r="AR24" s="131">
        <v>119</v>
      </c>
      <c r="AS24" s="131">
        <v>0</v>
      </c>
      <c r="AT24" s="131">
        <v>0</v>
      </c>
      <c r="AU24" s="131">
        <v>0</v>
      </c>
      <c r="AV24" s="131">
        <v>110000</v>
      </c>
    </row>
    <row r="25" spans="1:49" x14ac:dyDescent="0.3">
      <c r="A25" s="11">
        <f t="shared" si="0"/>
        <v>19</v>
      </c>
      <c r="B25" s="22">
        <f t="shared" si="1"/>
        <v>19</v>
      </c>
      <c r="C25" s="12" t="s">
        <v>103</v>
      </c>
      <c r="D25" s="47"/>
      <c r="E25" s="11">
        <v>403</v>
      </c>
      <c r="F25" s="79">
        <v>0</v>
      </c>
      <c r="G25" s="13">
        <v>0</v>
      </c>
      <c r="H25" s="13">
        <v>0</v>
      </c>
      <c r="I25" s="66">
        <v>985</v>
      </c>
      <c r="J25" s="66">
        <v>992</v>
      </c>
      <c r="K25" s="67">
        <v>7</v>
      </c>
      <c r="L25" s="67">
        <v>7</v>
      </c>
      <c r="M25" s="20">
        <v>60375</v>
      </c>
      <c r="N25" s="67">
        <v>0</v>
      </c>
      <c r="O25" s="20">
        <v>0</v>
      </c>
      <c r="P25" s="67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60375</v>
      </c>
      <c r="W25" s="12"/>
      <c r="X25" s="110">
        <v>0</v>
      </c>
      <c r="Y25" s="111">
        <v>44182</v>
      </c>
      <c r="Z25" s="111">
        <v>0</v>
      </c>
      <c r="AA25" s="111">
        <v>0</v>
      </c>
      <c r="AB25" s="111">
        <v>98182</v>
      </c>
      <c r="AC25" s="111">
        <v>0</v>
      </c>
      <c r="AD25" s="111"/>
      <c r="AE25" s="112">
        <v>932727</v>
      </c>
      <c r="AF25" s="108">
        <v>0</v>
      </c>
      <c r="AG25" s="111"/>
      <c r="AH25" s="108"/>
      <c r="AI25" s="108"/>
      <c r="AJ25" s="113"/>
      <c r="AK25" s="113"/>
      <c r="AL25" s="109">
        <v>0</v>
      </c>
      <c r="AM25" s="128">
        <v>0</v>
      </c>
      <c r="AN25" s="130"/>
      <c r="AO25" s="131">
        <v>0</v>
      </c>
      <c r="AP25" s="131">
        <v>0</v>
      </c>
      <c r="AQ25" s="131">
        <v>0</v>
      </c>
      <c r="AR25" s="138">
        <v>152.5</v>
      </c>
      <c r="AS25" s="131">
        <v>0</v>
      </c>
      <c r="AT25" s="131">
        <v>0</v>
      </c>
      <c r="AU25" s="131">
        <v>0</v>
      </c>
      <c r="AV25" s="131">
        <v>0</v>
      </c>
    </row>
    <row r="26" spans="1:49" x14ac:dyDescent="0.3">
      <c r="A26" s="11">
        <f t="shared" si="0"/>
        <v>20</v>
      </c>
      <c r="B26" s="22">
        <f t="shared" si="1"/>
        <v>20</v>
      </c>
      <c r="C26" s="12" t="s">
        <v>104</v>
      </c>
      <c r="D26" s="47"/>
      <c r="E26" s="11">
        <v>404</v>
      </c>
      <c r="F26" s="79">
        <v>0</v>
      </c>
      <c r="G26" s="13">
        <v>0</v>
      </c>
      <c r="H26" s="13">
        <v>0</v>
      </c>
      <c r="I26" s="66">
        <v>72</v>
      </c>
      <c r="J26" s="66">
        <v>74</v>
      </c>
      <c r="K26" s="67">
        <v>2</v>
      </c>
      <c r="L26" s="67">
        <v>2</v>
      </c>
      <c r="M26" s="20">
        <v>17250</v>
      </c>
      <c r="N26" s="67">
        <v>0</v>
      </c>
      <c r="O26" s="20">
        <v>0</v>
      </c>
      <c r="P26" s="67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17250</v>
      </c>
      <c r="W26" s="12"/>
      <c r="X26" s="110">
        <v>3</v>
      </c>
      <c r="Y26" s="111">
        <v>44182</v>
      </c>
      <c r="Z26" s="111">
        <v>132546</v>
      </c>
      <c r="AA26" s="111">
        <v>0</v>
      </c>
      <c r="AB26" s="111">
        <v>98182</v>
      </c>
      <c r="AC26" s="111">
        <v>0</v>
      </c>
      <c r="AD26" s="111"/>
      <c r="AE26" s="112">
        <v>932727</v>
      </c>
      <c r="AF26" s="108">
        <v>0</v>
      </c>
      <c r="AG26" s="111"/>
      <c r="AH26" s="108"/>
      <c r="AI26" s="108"/>
      <c r="AJ26" s="116"/>
      <c r="AK26" s="113"/>
      <c r="AL26" s="109">
        <v>0</v>
      </c>
      <c r="AM26" s="128">
        <v>132546</v>
      </c>
      <c r="AN26" s="130"/>
      <c r="AO26" s="131">
        <v>0</v>
      </c>
      <c r="AP26" s="131">
        <v>0</v>
      </c>
      <c r="AQ26" s="131">
        <v>0</v>
      </c>
      <c r="AR26" s="131">
        <v>151</v>
      </c>
      <c r="AS26" s="131">
        <v>0</v>
      </c>
      <c r="AT26" s="131">
        <v>0</v>
      </c>
      <c r="AU26" s="131">
        <v>0</v>
      </c>
      <c r="AV26" s="131">
        <v>0</v>
      </c>
    </row>
    <row r="27" spans="1:49" x14ac:dyDescent="0.3">
      <c r="A27" s="11">
        <f t="shared" si="0"/>
        <v>21</v>
      </c>
      <c r="B27" s="22">
        <f t="shared" si="1"/>
        <v>21</v>
      </c>
      <c r="C27" s="12" t="s">
        <v>105</v>
      </c>
      <c r="D27" s="47"/>
      <c r="E27" s="11">
        <v>405</v>
      </c>
      <c r="F27" s="79">
        <v>0</v>
      </c>
      <c r="G27" s="13">
        <v>0</v>
      </c>
      <c r="H27" s="13">
        <v>0</v>
      </c>
      <c r="I27" s="66">
        <v>280</v>
      </c>
      <c r="J27" s="66">
        <v>287</v>
      </c>
      <c r="K27" s="67">
        <v>7</v>
      </c>
      <c r="L27" s="67">
        <v>7</v>
      </c>
      <c r="M27" s="20">
        <v>60375</v>
      </c>
      <c r="N27" s="67">
        <v>0</v>
      </c>
      <c r="O27" s="20">
        <v>0</v>
      </c>
      <c r="P27" s="67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60375</v>
      </c>
      <c r="W27" s="12"/>
      <c r="X27" s="110">
        <v>2</v>
      </c>
      <c r="Y27" s="111">
        <v>44182</v>
      </c>
      <c r="Z27" s="111">
        <v>88364</v>
      </c>
      <c r="AA27" s="111">
        <v>0</v>
      </c>
      <c r="AB27" s="111">
        <v>98182</v>
      </c>
      <c r="AC27" s="111">
        <v>0</v>
      </c>
      <c r="AD27" s="111"/>
      <c r="AE27" s="112">
        <v>932727</v>
      </c>
      <c r="AF27" s="108">
        <v>0</v>
      </c>
      <c r="AG27" s="111"/>
      <c r="AH27" s="108"/>
      <c r="AI27" s="108"/>
      <c r="AJ27" s="113"/>
      <c r="AK27" s="113"/>
      <c r="AL27" s="109">
        <v>0</v>
      </c>
      <c r="AM27" s="128">
        <v>88364</v>
      </c>
      <c r="AN27" s="130"/>
      <c r="AO27" s="131">
        <v>0</v>
      </c>
      <c r="AP27" s="131">
        <v>0</v>
      </c>
      <c r="AQ27" s="131">
        <v>0</v>
      </c>
      <c r="AR27" s="131">
        <v>117</v>
      </c>
      <c r="AS27" s="131">
        <v>0</v>
      </c>
      <c r="AT27" s="131">
        <v>0</v>
      </c>
      <c r="AU27" s="131">
        <v>0</v>
      </c>
      <c r="AV27" s="131">
        <v>0</v>
      </c>
    </row>
    <row r="28" spans="1:49" x14ac:dyDescent="0.3">
      <c r="A28" s="11">
        <f t="shared" si="0"/>
        <v>22</v>
      </c>
      <c r="B28" s="22">
        <f t="shared" si="1"/>
        <v>22</v>
      </c>
      <c r="C28" s="12" t="s">
        <v>106</v>
      </c>
      <c r="D28" s="47"/>
      <c r="E28" s="11">
        <v>406</v>
      </c>
      <c r="F28" s="79">
        <v>0</v>
      </c>
      <c r="G28" s="13">
        <v>0</v>
      </c>
      <c r="H28" s="13">
        <v>0</v>
      </c>
      <c r="I28" s="66">
        <v>96</v>
      </c>
      <c r="J28" s="66">
        <v>102</v>
      </c>
      <c r="K28" s="67">
        <v>6</v>
      </c>
      <c r="L28" s="67">
        <v>6</v>
      </c>
      <c r="M28" s="20">
        <v>51750</v>
      </c>
      <c r="N28" s="67">
        <v>0</v>
      </c>
      <c r="O28" s="20">
        <v>0</v>
      </c>
      <c r="P28" s="67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51750</v>
      </c>
      <c r="W28" s="12"/>
      <c r="X28" s="110">
        <v>0</v>
      </c>
      <c r="Y28" s="111">
        <v>44182</v>
      </c>
      <c r="Z28" s="111">
        <v>0</v>
      </c>
      <c r="AA28" s="111">
        <v>0</v>
      </c>
      <c r="AB28" s="111">
        <v>98182</v>
      </c>
      <c r="AC28" s="111">
        <v>0</v>
      </c>
      <c r="AD28" s="111"/>
      <c r="AE28" s="112">
        <v>932727</v>
      </c>
      <c r="AF28" s="108">
        <v>0</v>
      </c>
      <c r="AG28" s="111"/>
      <c r="AH28" s="108"/>
      <c r="AI28" s="108"/>
      <c r="AJ28" s="116"/>
      <c r="AK28" s="113"/>
      <c r="AL28" s="109">
        <v>0</v>
      </c>
      <c r="AM28" s="128">
        <v>0</v>
      </c>
      <c r="AN28" s="130"/>
      <c r="AO28" s="131">
        <v>0</v>
      </c>
      <c r="AP28" s="131">
        <v>0</v>
      </c>
      <c r="AQ28" s="131">
        <v>0</v>
      </c>
      <c r="AR28" s="138">
        <v>152.5</v>
      </c>
      <c r="AS28" s="131">
        <v>0</v>
      </c>
      <c r="AT28" s="131">
        <v>0</v>
      </c>
      <c r="AU28" s="131">
        <v>0</v>
      </c>
      <c r="AV28" s="131">
        <v>0</v>
      </c>
    </row>
    <row r="29" spans="1:49" x14ac:dyDescent="0.3">
      <c r="A29" s="11">
        <f t="shared" si="0"/>
        <v>23</v>
      </c>
      <c r="B29" s="22">
        <f t="shared" si="1"/>
        <v>23</v>
      </c>
      <c r="C29" s="12" t="s">
        <v>107</v>
      </c>
      <c r="D29" s="47"/>
      <c r="E29" s="11">
        <v>407</v>
      </c>
      <c r="F29" s="79">
        <v>3</v>
      </c>
      <c r="G29" s="13">
        <v>140000</v>
      </c>
      <c r="H29" s="13">
        <v>420000</v>
      </c>
      <c r="I29" s="66">
        <v>2252</v>
      </c>
      <c r="J29" s="66">
        <v>2265</v>
      </c>
      <c r="K29" s="67">
        <v>13</v>
      </c>
      <c r="L29" s="67">
        <v>10</v>
      </c>
      <c r="M29" s="20">
        <v>86250</v>
      </c>
      <c r="N29" s="67">
        <v>3</v>
      </c>
      <c r="O29" s="20">
        <v>30360</v>
      </c>
      <c r="P29" s="67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116610</v>
      </c>
      <c r="W29" s="12"/>
      <c r="X29" s="110">
        <v>2</v>
      </c>
      <c r="Y29" s="111">
        <v>44182</v>
      </c>
      <c r="Z29" s="111">
        <v>88364</v>
      </c>
      <c r="AA29" s="111">
        <v>0</v>
      </c>
      <c r="AB29" s="111">
        <v>98182</v>
      </c>
      <c r="AC29" s="111">
        <v>0</v>
      </c>
      <c r="AD29" s="111"/>
      <c r="AE29" s="112">
        <v>932727</v>
      </c>
      <c r="AF29" s="108">
        <v>0</v>
      </c>
      <c r="AG29" s="111"/>
      <c r="AH29" s="108"/>
      <c r="AI29" s="108"/>
      <c r="AJ29" s="113"/>
      <c r="AK29" s="113"/>
      <c r="AL29" s="109">
        <v>0</v>
      </c>
      <c r="AM29" s="128">
        <v>88364</v>
      </c>
      <c r="AN29" s="130"/>
      <c r="AO29" s="131">
        <v>0</v>
      </c>
      <c r="AP29" s="131">
        <v>0</v>
      </c>
      <c r="AQ29" s="131">
        <v>0</v>
      </c>
      <c r="AR29" s="131">
        <v>119</v>
      </c>
      <c r="AS29" s="131">
        <v>0</v>
      </c>
      <c r="AT29" s="131">
        <v>0</v>
      </c>
      <c r="AU29" s="131">
        <v>0</v>
      </c>
      <c r="AV29" s="131">
        <v>0</v>
      </c>
    </row>
    <row r="30" spans="1:49" x14ac:dyDescent="0.3">
      <c r="A30" s="11">
        <f t="shared" si="0"/>
        <v>24</v>
      </c>
      <c r="B30" s="22">
        <f t="shared" si="1"/>
        <v>24</v>
      </c>
      <c r="C30" s="12" t="s">
        <v>258</v>
      </c>
      <c r="D30" s="47"/>
      <c r="E30" s="11">
        <v>408</v>
      </c>
      <c r="F30" s="79">
        <v>3</v>
      </c>
      <c r="G30" s="13">
        <v>1300000</v>
      </c>
      <c r="H30" s="13">
        <v>3900000</v>
      </c>
      <c r="I30" s="66">
        <v>2518</v>
      </c>
      <c r="J30" s="66">
        <v>2524</v>
      </c>
      <c r="K30" s="67">
        <v>6</v>
      </c>
      <c r="L30" s="67">
        <v>0</v>
      </c>
      <c r="M30" s="20">
        <v>0</v>
      </c>
      <c r="N30" s="67">
        <v>0</v>
      </c>
      <c r="O30" s="20">
        <v>0</v>
      </c>
      <c r="P30" s="67">
        <v>0</v>
      </c>
      <c r="Q30" s="20">
        <v>0</v>
      </c>
      <c r="R30" s="20">
        <v>0</v>
      </c>
      <c r="S30" s="20">
        <v>0</v>
      </c>
      <c r="T30" s="20">
        <v>6</v>
      </c>
      <c r="U30" s="20">
        <v>186300</v>
      </c>
      <c r="V30" s="20">
        <v>186300</v>
      </c>
      <c r="W30" s="12"/>
      <c r="X30" s="110">
        <v>0</v>
      </c>
      <c r="Y30" s="111">
        <v>44182</v>
      </c>
      <c r="Z30" s="111">
        <v>0</v>
      </c>
      <c r="AA30" s="111">
        <v>2</v>
      </c>
      <c r="AB30" s="111">
        <v>98182</v>
      </c>
      <c r="AC30" s="111">
        <v>196364</v>
      </c>
      <c r="AD30" s="111"/>
      <c r="AE30" s="112">
        <v>932727</v>
      </c>
      <c r="AF30" s="108">
        <v>0</v>
      </c>
      <c r="AG30" s="111"/>
      <c r="AH30" s="108"/>
      <c r="AI30" s="108"/>
      <c r="AJ30" s="113"/>
      <c r="AK30" s="113"/>
      <c r="AL30" s="109">
        <v>0</v>
      </c>
      <c r="AM30" s="128">
        <v>196364</v>
      </c>
      <c r="AN30" s="130"/>
      <c r="AO30" s="131">
        <v>3</v>
      </c>
      <c r="AP30" s="131">
        <v>130000</v>
      </c>
      <c r="AQ30" s="131">
        <v>390000</v>
      </c>
      <c r="AR30" s="131">
        <v>115</v>
      </c>
      <c r="AS30" s="131">
        <v>0</v>
      </c>
      <c r="AT30" s="131">
        <v>0</v>
      </c>
      <c r="AU30" s="131">
        <v>0</v>
      </c>
      <c r="AV30" s="131">
        <v>0</v>
      </c>
      <c r="AW30" s="1" t="s">
        <v>8</v>
      </c>
    </row>
    <row r="31" spans="1:49" x14ac:dyDescent="0.3">
      <c r="A31" s="11">
        <f t="shared" si="0"/>
        <v>25</v>
      </c>
      <c r="B31" s="22">
        <f t="shared" si="1"/>
        <v>25</v>
      </c>
      <c r="C31" s="12" t="s">
        <v>109</v>
      </c>
      <c r="D31" s="47"/>
      <c r="E31" s="11">
        <v>501</v>
      </c>
      <c r="F31" s="79">
        <v>0</v>
      </c>
      <c r="G31" s="13">
        <v>0</v>
      </c>
      <c r="H31" s="13">
        <v>0</v>
      </c>
      <c r="I31" s="66">
        <v>3204</v>
      </c>
      <c r="J31" s="66">
        <v>3219</v>
      </c>
      <c r="K31" s="67">
        <v>15</v>
      </c>
      <c r="L31" s="67">
        <v>10</v>
      </c>
      <c r="M31" s="20">
        <v>86250</v>
      </c>
      <c r="N31" s="67">
        <v>5</v>
      </c>
      <c r="O31" s="20">
        <v>50600</v>
      </c>
      <c r="P31" s="67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136850</v>
      </c>
      <c r="W31" s="12"/>
      <c r="X31" s="110">
        <v>0</v>
      </c>
      <c r="Y31" s="111">
        <v>44182</v>
      </c>
      <c r="Z31" s="111">
        <v>0</v>
      </c>
      <c r="AA31" s="111">
        <v>0</v>
      </c>
      <c r="AB31" s="111">
        <v>98182</v>
      </c>
      <c r="AC31" s="111">
        <v>0</v>
      </c>
      <c r="AD31" s="111"/>
      <c r="AE31" s="112">
        <v>932727</v>
      </c>
      <c r="AF31" s="108">
        <v>0</v>
      </c>
      <c r="AG31" s="111"/>
      <c r="AH31" s="108"/>
      <c r="AI31" s="108"/>
      <c r="AJ31" s="113"/>
      <c r="AK31" s="113"/>
      <c r="AL31" s="109">
        <v>0</v>
      </c>
      <c r="AM31" s="128">
        <v>0</v>
      </c>
      <c r="AN31" s="130"/>
      <c r="AO31" s="131">
        <v>0</v>
      </c>
      <c r="AP31" s="131">
        <v>0</v>
      </c>
      <c r="AQ31" s="131">
        <v>0</v>
      </c>
      <c r="AR31" s="131">
        <v>115</v>
      </c>
      <c r="AS31" s="131">
        <v>0</v>
      </c>
      <c r="AT31" s="131">
        <v>0</v>
      </c>
      <c r="AU31" s="131">
        <v>0</v>
      </c>
      <c r="AV31" s="131">
        <v>0</v>
      </c>
    </row>
    <row r="32" spans="1:49" x14ac:dyDescent="0.3">
      <c r="A32" s="11">
        <f t="shared" si="0"/>
        <v>26</v>
      </c>
      <c r="B32" s="22">
        <f t="shared" si="1"/>
        <v>26</v>
      </c>
      <c r="C32" s="12" t="s">
        <v>110</v>
      </c>
      <c r="D32" s="47"/>
      <c r="E32" s="11">
        <v>502</v>
      </c>
      <c r="F32" s="79">
        <v>0</v>
      </c>
      <c r="G32" s="13">
        <v>0</v>
      </c>
      <c r="H32" s="13">
        <v>0</v>
      </c>
      <c r="I32" s="66">
        <v>3802</v>
      </c>
      <c r="J32" s="66">
        <v>3802</v>
      </c>
      <c r="K32" s="67">
        <v>0</v>
      </c>
      <c r="L32" s="67">
        <v>0</v>
      </c>
      <c r="M32" s="20">
        <v>0</v>
      </c>
      <c r="N32" s="67">
        <v>0</v>
      </c>
      <c r="O32" s="20">
        <v>0</v>
      </c>
      <c r="P32" s="67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12"/>
      <c r="X32" s="110">
        <v>0</v>
      </c>
      <c r="Y32" s="111">
        <v>44182</v>
      </c>
      <c r="Z32" s="111">
        <v>0</v>
      </c>
      <c r="AA32" s="111">
        <v>0</v>
      </c>
      <c r="AB32" s="111">
        <v>98182</v>
      </c>
      <c r="AC32" s="111">
        <v>0</v>
      </c>
      <c r="AD32" s="111"/>
      <c r="AE32" s="112">
        <v>932727</v>
      </c>
      <c r="AF32" s="108">
        <v>0</v>
      </c>
      <c r="AG32" s="111"/>
      <c r="AH32" s="108"/>
      <c r="AI32" s="108"/>
      <c r="AJ32" s="113"/>
      <c r="AK32" s="113"/>
      <c r="AL32" s="109">
        <v>0</v>
      </c>
      <c r="AM32" s="128">
        <v>0</v>
      </c>
      <c r="AN32" s="130"/>
      <c r="AO32" s="131">
        <v>0</v>
      </c>
      <c r="AP32" s="131">
        <v>0</v>
      </c>
      <c r="AQ32" s="131">
        <v>0</v>
      </c>
      <c r="AR32" s="131">
        <v>119</v>
      </c>
      <c r="AS32" s="131">
        <v>0</v>
      </c>
      <c r="AT32" s="131">
        <v>0</v>
      </c>
      <c r="AU32" s="131">
        <v>0</v>
      </c>
      <c r="AV32" s="131">
        <v>0</v>
      </c>
    </row>
    <row r="33" spans="1:49" x14ac:dyDescent="0.3">
      <c r="A33" s="11">
        <f t="shared" si="0"/>
        <v>27</v>
      </c>
      <c r="B33" s="22">
        <f t="shared" si="1"/>
        <v>27</v>
      </c>
      <c r="C33" s="12" t="s">
        <v>111</v>
      </c>
      <c r="D33" s="47"/>
      <c r="E33" s="11">
        <v>503</v>
      </c>
      <c r="F33" s="79">
        <v>0</v>
      </c>
      <c r="G33" s="13">
        <v>0</v>
      </c>
      <c r="H33" s="13">
        <v>0</v>
      </c>
      <c r="I33" s="66">
        <v>3967</v>
      </c>
      <c r="J33" s="66">
        <v>3979</v>
      </c>
      <c r="K33" s="67">
        <v>12</v>
      </c>
      <c r="L33" s="67">
        <v>10</v>
      </c>
      <c r="M33" s="20">
        <v>86250</v>
      </c>
      <c r="N33" s="67">
        <v>2</v>
      </c>
      <c r="O33" s="20">
        <v>20240</v>
      </c>
      <c r="P33" s="67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106490</v>
      </c>
      <c r="W33" s="12"/>
      <c r="X33" s="110">
        <v>1</v>
      </c>
      <c r="Y33" s="111">
        <v>44182</v>
      </c>
      <c r="Z33" s="111">
        <v>44182</v>
      </c>
      <c r="AA33" s="111">
        <v>0</v>
      </c>
      <c r="AB33" s="111">
        <v>98182</v>
      </c>
      <c r="AC33" s="111">
        <v>0</v>
      </c>
      <c r="AD33" s="111"/>
      <c r="AE33" s="112">
        <v>932727</v>
      </c>
      <c r="AF33" s="108">
        <v>0</v>
      </c>
      <c r="AG33" s="111"/>
      <c r="AH33" s="108"/>
      <c r="AI33" s="108"/>
      <c r="AJ33" s="113"/>
      <c r="AK33" s="113"/>
      <c r="AL33" s="109">
        <v>0</v>
      </c>
      <c r="AM33" s="128">
        <v>44182</v>
      </c>
      <c r="AN33" s="130"/>
      <c r="AO33" s="131">
        <v>0</v>
      </c>
      <c r="AP33" s="131">
        <v>0</v>
      </c>
      <c r="AQ33" s="131">
        <v>0</v>
      </c>
      <c r="AR33" s="138">
        <v>152.5</v>
      </c>
      <c r="AS33" s="131">
        <v>0</v>
      </c>
      <c r="AT33" s="131">
        <v>0</v>
      </c>
      <c r="AU33" s="131">
        <v>0</v>
      </c>
      <c r="AV33" s="131">
        <v>110000</v>
      </c>
    </row>
    <row r="34" spans="1:49" x14ac:dyDescent="0.3">
      <c r="A34" s="11">
        <f t="shared" si="0"/>
        <v>28</v>
      </c>
      <c r="B34" s="22">
        <f t="shared" si="1"/>
        <v>28</v>
      </c>
      <c r="C34" s="12" t="s">
        <v>112</v>
      </c>
      <c r="D34" s="47"/>
      <c r="E34" s="11">
        <v>504</v>
      </c>
      <c r="F34" s="79">
        <v>0</v>
      </c>
      <c r="G34" s="13">
        <v>0</v>
      </c>
      <c r="H34" s="13">
        <v>0</v>
      </c>
      <c r="I34" s="66">
        <v>6121</v>
      </c>
      <c r="J34" s="66">
        <v>6139</v>
      </c>
      <c r="K34" s="67">
        <v>18</v>
      </c>
      <c r="L34" s="67">
        <v>10</v>
      </c>
      <c r="M34" s="20">
        <v>86250</v>
      </c>
      <c r="N34" s="67">
        <v>8</v>
      </c>
      <c r="O34" s="20">
        <v>80960</v>
      </c>
      <c r="P34" s="67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167210</v>
      </c>
      <c r="W34" s="12"/>
      <c r="X34" s="110">
        <v>2</v>
      </c>
      <c r="Y34" s="111">
        <v>44182</v>
      </c>
      <c r="Z34" s="111">
        <v>88364</v>
      </c>
      <c r="AA34" s="111">
        <v>0</v>
      </c>
      <c r="AB34" s="111">
        <v>98182</v>
      </c>
      <c r="AC34" s="111">
        <v>0</v>
      </c>
      <c r="AD34" s="111"/>
      <c r="AE34" s="112">
        <v>932727</v>
      </c>
      <c r="AF34" s="108">
        <v>0</v>
      </c>
      <c r="AG34" s="111"/>
      <c r="AH34" s="108"/>
      <c r="AI34" s="108"/>
      <c r="AJ34" s="113"/>
      <c r="AK34" s="113"/>
      <c r="AL34" s="109">
        <v>0</v>
      </c>
      <c r="AM34" s="128">
        <v>88364</v>
      </c>
      <c r="AN34" s="130"/>
      <c r="AO34" s="131">
        <v>0</v>
      </c>
      <c r="AP34" s="131">
        <v>0</v>
      </c>
      <c r="AQ34" s="131">
        <v>0</v>
      </c>
      <c r="AR34" s="131">
        <v>151</v>
      </c>
      <c r="AS34" s="131">
        <v>0</v>
      </c>
      <c r="AT34" s="131">
        <v>0</v>
      </c>
      <c r="AU34" s="131">
        <v>0</v>
      </c>
      <c r="AV34" s="131">
        <v>0</v>
      </c>
    </row>
    <row r="35" spans="1:49" x14ac:dyDescent="0.3">
      <c r="A35" s="11">
        <f t="shared" si="0"/>
        <v>29</v>
      </c>
      <c r="B35" s="22">
        <f t="shared" si="1"/>
        <v>29</v>
      </c>
      <c r="C35" s="12" t="s">
        <v>113</v>
      </c>
      <c r="D35" s="47"/>
      <c r="E35" s="11">
        <v>505</v>
      </c>
      <c r="F35" s="79">
        <v>0</v>
      </c>
      <c r="G35" s="13">
        <v>0</v>
      </c>
      <c r="H35" s="13">
        <v>0</v>
      </c>
      <c r="I35" s="66">
        <v>3883</v>
      </c>
      <c r="J35" s="66">
        <v>3894</v>
      </c>
      <c r="K35" s="67">
        <v>11</v>
      </c>
      <c r="L35" s="67">
        <v>10</v>
      </c>
      <c r="M35" s="20">
        <v>86250</v>
      </c>
      <c r="N35" s="67">
        <v>1</v>
      </c>
      <c r="O35" s="20">
        <v>10120</v>
      </c>
      <c r="P35" s="67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96370</v>
      </c>
      <c r="W35" s="12"/>
      <c r="X35" s="110">
        <v>3</v>
      </c>
      <c r="Y35" s="111">
        <v>44182</v>
      </c>
      <c r="Z35" s="111">
        <v>132546</v>
      </c>
      <c r="AA35" s="111">
        <v>0</v>
      </c>
      <c r="AB35" s="111">
        <v>98182</v>
      </c>
      <c r="AC35" s="111">
        <v>0</v>
      </c>
      <c r="AD35" s="111"/>
      <c r="AE35" s="112">
        <v>932727</v>
      </c>
      <c r="AF35" s="108">
        <v>0</v>
      </c>
      <c r="AG35" s="111"/>
      <c r="AH35" s="108"/>
      <c r="AI35" s="108"/>
      <c r="AJ35" s="113"/>
      <c r="AK35" s="113"/>
      <c r="AL35" s="109">
        <v>0</v>
      </c>
      <c r="AM35" s="128">
        <v>132546</v>
      </c>
      <c r="AN35" s="130"/>
      <c r="AO35" s="131">
        <v>0</v>
      </c>
      <c r="AP35" s="131">
        <v>0</v>
      </c>
      <c r="AQ35" s="131">
        <v>0</v>
      </c>
      <c r="AR35" s="131">
        <v>117</v>
      </c>
      <c r="AS35" s="131">
        <v>0</v>
      </c>
      <c r="AT35" s="131">
        <v>0</v>
      </c>
      <c r="AU35" s="131">
        <v>0</v>
      </c>
      <c r="AV35" s="131">
        <v>0</v>
      </c>
    </row>
    <row r="36" spans="1:49" x14ac:dyDescent="0.3">
      <c r="A36" s="11">
        <f t="shared" si="0"/>
        <v>30</v>
      </c>
      <c r="B36" s="22">
        <f t="shared" si="1"/>
        <v>30</v>
      </c>
      <c r="C36" s="12" t="s">
        <v>114</v>
      </c>
      <c r="D36" s="47"/>
      <c r="E36" s="11">
        <v>506</v>
      </c>
      <c r="F36" s="79">
        <v>0</v>
      </c>
      <c r="G36" s="13">
        <v>0</v>
      </c>
      <c r="H36" s="13">
        <v>0</v>
      </c>
      <c r="I36" s="66">
        <v>0</v>
      </c>
      <c r="J36" s="66">
        <v>0</v>
      </c>
      <c r="K36" s="67">
        <v>0</v>
      </c>
      <c r="L36" s="67">
        <v>0</v>
      </c>
      <c r="M36" s="20">
        <v>0</v>
      </c>
      <c r="N36" s="67">
        <v>0</v>
      </c>
      <c r="O36" s="20">
        <v>0</v>
      </c>
      <c r="P36" s="67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12"/>
      <c r="X36" s="110">
        <v>2</v>
      </c>
      <c r="Y36" s="111">
        <v>44182</v>
      </c>
      <c r="Z36" s="111">
        <v>88364</v>
      </c>
      <c r="AA36" s="111">
        <v>0</v>
      </c>
      <c r="AB36" s="111">
        <v>98182</v>
      </c>
      <c r="AC36" s="111">
        <v>0</v>
      </c>
      <c r="AD36" s="111"/>
      <c r="AE36" s="112">
        <v>932727</v>
      </c>
      <c r="AF36" s="108">
        <v>0</v>
      </c>
      <c r="AG36" s="111"/>
      <c r="AH36" s="108"/>
      <c r="AI36" s="108"/>
      <c r="AJ36" s="116"/>
      <c r="AK36" s="113"/>
      <c r="AL36" s="109">
        <v>0</v>
      </c>
      <c r="AM36" s="128">
        <v>88364</v>
      </c>
      <c r="AN36" s="130"/>
      <c r="AO36" s="131">
        <v>0</v>
      </c>
      <c r="AP36" s="131">
        <v>0</v>
      </c>
      <c r="AQ36" s="131">
        <v>0</v>
      </c>
      <c r="AR36" s="138">
        <v>152.5</v>
      </c>
      <c r="AS36" s="131">
        <v>0</v>
      </c>
      <c r="AT36" s="131">
        <v>0</v>
      </c>
      <c r="AU36" s="131">
        <v>0</v>
      </c>
      <c r="AV36" s="131">
        <v>110000</v>
      </c>
    </row>
    <row r="37" spans="1:49" x14ac:dyDescent="0.3">
      <c r="A37" s="11">
        <f t="shared" si="0"/>
        <v>31</v>
      </c>
      <c r="B37" s="22">
        <f t="shared" si="1"/>
        <v>31</v>
      </c>
      <c r="C37" s="12" t="s">
        <v>115</v>
      </c>
      <c r="D37" s="47"/>
      <c r="E37" s="11">
        <v>507</v>
      </c>
      <c r="F37" s="79">
        <v>0</v>
      </c>
      <c r="G37" s="13">
        <v>0</v>
      </c>
      <c r="H37" s="13">
        <v>0</v>
      </c>
      <c r="I37" s="66">
        <v>1263</v>
      </c>
      <c r="J37" s="66">
        <v>1301</v>
      </c>
      <c r="K37" s="67">
        <v>38</v>
      </c>
      <c r="L37" s="67">
        <v>20</v>
      </c>
      <c r="M37" s="20">
        <v>172500</v>
      </c>
      <c r="N37" s="67">
        <v>18</v>
      </c>
      <c r="O37" s="20">
        <v>182160</v>
      </c>
      <c r="P37" s="67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354660</v>
      </c>
      <c r="W37" s="12"/>
      <c r="X37" s="110">
        <v>1</v>
      </c>
      <c r="Y37" s="111">
        <v>44182</v>
      </c>
      <c r="Z37" s="111">
        <v>44182</v>
      </c>
      <c r="AA37" s="111">
        <v>0</v>
      </c>
      <c r="AB37" s="111">
        <v>98182</v>
      </c>
      <c r="AC37" s="111">
        <v>0</v>
      </c>
      <c r="AD37" s="111"/>
      <c r="AE37" s="112">
        <v>932727</v>
      </c>
      <c r="AF37" s="108">
        <v>0</v>
      </c>
      <c r="AG37" s="111"/>
      <c r="AH37" s="108"/>
      <c r="AI37" s="108"/>
      <c r="AJ37" s="113"/>
      <c r="AK37" s="113"/>
      <c r="AL37" s="109">
        <v>0</v>
      </c>
      <c r="AM37" s="128">
        <v>44182</v>
      </c>
      <c r="AN37" s="130"/>
      <c r="AO37" s="131">
        <v>0</v>
      </c>
      <c r="AP37" s="131">
        <v>0</v>
      </c>
      <c r="AQ37" s="131">
        <v>0</v>
      </c>
      <c r="AR37" s="131">
        <v>119</v>
      </c>
      <c r="AS37" s="131">
        <v>0</v>
      </c>
      <c r="AT37" s="131">
        <v>0</v>
      </c>
      <c r="AU37" s="131">
        <v>0</v>
      </c>
      <c r="AV37" s="131">
        <v>0</v>
      </c>
    </row>
    <row r="38" spans="1:49" x14ac:dyDescent="0.3">
      <c r="A38" s="11">
        <f t="shared" si="0"/>
        <v>32</v>
      </c>
      <c r="B38" s="22">
        <f t="shared" si="1"/>
        <v>32</v>
      </c>
      <c r="C38" s="12" t="s">
        <v>116</v>
      </c>
      <c r="D38" s="47"/>
      <c r="E38" s="11">
        <v>508</v>
      </c>
      <c r="F38" s="79">
        <v>0</v>
      </c>
      <c r="G38" s="13">
        <v>0</v>
      </c>
      <c r="H38" s="13">
        <v>0</v>
      </c>
      <c r="I38" s="66">
        <v>2666</v>
      </c>
      <c r="J38" s="66">
        <v>2680</v>
      </c>
      <c r="K38" s="67">
        <v>14</v>
      </c>
      <c r="L38" s="67">
        <v>10</v>
      </c>
      <c r="M38" s="20">
        <v>86250</v>
      </c>
      <c r="N38" s="67">
        <v>4</v>
      </c>
      <c r="O38" s="20">
        <v>40480</v>
      </c>
      <c r="P38" s="67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126730</v>
      </c>
      <c r="W38" s="12"/>
      <c r="X38" s="114">
        <v>3</v>
      </c>
      <c r="Y38" s="111">
        <v>44182</v>
      </c>
      <c r="Z38" s="111">
        <v>132546</v>
      </c>
      <c r="AA38" s="111">
        <v>0</v>
      </c>
      <c r="AB38" s="111">
        <v>98182</v>
      </c>
      <c r="AC38" s="111">
        <v>0</v>
      </c>
      <c r="AD38" s="115"/>
      <c r="AE38" s="112">
        <v>932727</v>
      </c>
      <c r="AF38" s="108">
        <v>0</v>
      </c>
      <c r="AG38" s="115"/>
      <c r="AH38" s="108"/>
      <c r="AI38" s="108"/>
      <c r="AJ38" s="113"/>
      <c r="AK38" s="113"/>
      <c r="AL38" s="109">
        <v>0</v>
      </c>
      <c r="AM38" s="128">
        <v>132546</v>
      </c>
      <c r="AN38" s="130"/>
      <c r="AO38" s="131">
        <v>0</v>
      </c>
      <c r="AP38" s="131">
        <v>0</v>
      </c>
      <c r="AQ38" s="131">
        <v>0</v>
      </c>
      <c r="AR38" s="131">
        <v>115</v>
      </c>
      <c r="AS38" s="131">
        <v>12</v>
      </c>
      <c r="AT38" s="131">
        <v>230000</v>
      </c>
      <c r="AU38" s="131">
        <v>2760000</v>
      </c>
      <c r="AV38" s="131">
        <v>0</v>
      </c>
    </row>
    <row r="39" spans="1:49" x14ac:dyDescent="0.3">
      <c r="A39" s="11">
        <f t="shared" si="0"/>
        <v>33</v>
      </c>
      <c r="B39" s="22">
        <f t="shared" si="1"/>
        <v>33</v>
      </c>
      <c r="C39" s="12" t="s">
        <v>117</v>
      </c>
      <c r="D39" s="47"/>
      <c r="E39" s="11">
        <v>601</v>
      </c>
      <c r="F39" s="79">
        <v>6</v>
      </c>
      <c r="G39" s="13">
        <v>140000</v>
      </c>
      <c r="H39" s="13">
        <v>840000</v>
      </c>
      <c r="I39" s="66">
        <v>438</v>
      </c>
      <c r="J39" s="66">
        <v>450</v>
      </c>
      <c r="K39" s="67">
        <v>12</v>
      </c>
      <c r="L39" s="67">
        <v>10</v>
      </c>
      <c r="M39" s="20">
        <v>86250</v>
      </c>
      <c r="N39" s="67">
        <v>2</v>
      </c>
      <c r="O39" s="20">
        <v>20240</v>
      </c>
      <c r="P39" s="67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106490</v>
      </c>
      <c r="W39" s="12"/>
      <c r="X39" s="110">
        <v>0</v>
      </c>
      <c r="Y39" s="111">
        <v>44182</v>
      </c>
      <c r="Z39" s="111">
        <v>0</v>
      </c>
      <c r="AA39" s="111">
        <v>0</v>
      </c>
      <c r="AB39" s="111">
        <v>98182</v>
      </c>
      <c r="AC39" s="111">
        <v>0</v>
      </c>
      <c r="AD39" s="111"/>
      <c r="AE39" s="112">
        <v>932727</v>
      </c>
      <c r="AF39" s="108">
        <v>0</v>
      </c>
      <c r="AG39" s="111"/>
      <c r="AH39" s="108"/>
      <c r="AI39" s="108"/>
      <c r="AJ39" s="116"/>
      <c r="AK39" s="113"/>
      <c r="AL39" s="109">
        <v>0</v>
      </c>
      <c r="AM39" s="128">
        <v>0</v>
      </c>
      <c r="AN39" s="130"/>
      <c r="AO39" s="131">
        <v>6</v>
      </c>
      <c r="AP39" s="131">
        <v>12000</v>
      </c>
      <c r="AQ39" s="131">
        <v>72000</v>
      </c>
      <c r="AR39" s="131">
        <v>115</v>
      </c>
      <c r="AS39" s="131">
        <v>6</v>
      </c>
      <c r="AT39" s="131">
        <v>230000</v>
      </c>
      <c r="AU39" s="131">
        <v>1380000</v>
      </c>
      <c r="AV39" s="131">
        <v>0</v>
      </c>
    </row>
    <row r="40" spans="1:49" x14ac:dyDescent="0.3">
      <c r="A40" s="11">
        <f t="shared" si="0"/>
        <v>34</v>
      </c>
      <c r="B40" s="22">
        <f t="shared" si="1"/>
        <v>34</v>
      </c>
      <c r="C40" s="12" t="s">
        <v>118</v>
      </c>
      <c r="D40" s="47"/>
      <c r="E40" s="11">
        <v>602</v>
      </c>
      <c r="F40" s="79">
        <v>0</v>
      </c>
      <c r="G40" s="13">
        <v>0</v>
      </c>
      <c r="H40" s="13">
        <v>0</v>
      </c>
      <c r="I40" s="66">
        <v>161</v>
      </c>
      <c r="J40" s="66">
        <v>165</v>
      </c>
      <c r="K40" s="67">
        <v>4</v>
      </c>
      <c r="L40" s="67">
        <v>4</v>
      </c>
      <c r="M40" s="20">
        <v>34500</v>
      </c>
      <c r="N40" s="67">
        <v>0</v>
      </c>
      <c r="O40" s="20">
        <v>0</v>
      </c>
      <c r="P40" s="67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34500</v>
      </c>
      <c r="W40" s="12"/>
      <c r="X40" s="110">
        <v>4</v>
      </c>
      <c r="Y40" s="111">
        <v>44182</v>
      </c>
      <c r="Z40" s="111">
        <v>176728</v>
      </c>
      <c r="AA40" s="111">
        <v>0</v>
      </c>
      <c r="AB40" s="111">
        <v>98182</v>
      </c>
      <c r="AC40" s="111">
        <v>0</v>
      </c>
      <c r="AD40" s="111"/>
      <c r="AE40" s="112">
        <v>932727</v>
      </c>
      <c r="AF40" s="108">
        <v>0</v>
      </c>
      <c r="AG40" s="111"/>
      <c r="AH40" s="108"/>
      <c r="AI40" s="108"/>
      <c r="AJ40" s="113"/>
      <c r="AK40" s="113"/>
      <c r="AL40" s="109">
        <v>0</v>
      </c>
      <c r="AM40" s="128">
        <v>176728</v>
      </c>
      <c r="AN40" s="130"/>
      <c r="AO40" s="131">
        <v>0</v>
      </c>
      <c r="AP40" s="131">
        <v>0</v>
      </c>
      <c r="AQ40" s="131">
        <v>0</v>
      </c>
      <c r="AR40" s="131">
        <v>119</v>
      </c>
      <c r="AS40" s="131">
        <v>0</v>
      </c>
      <c r="AT40" s="131">
        <v>0</v>
      </c>
      <c r="AU40" s="131">
        <v>0</v>
      </c>
      <c r="AV40" s="131">
        <v>0</v>
      </c>
    </row>
    <row r="41" spans="1:49" x14ac:dyDescent="0.3">
      <c r="A41" s="11">
        <f t="shared" si="0"/>
        <v>35</v>
      </c>
      <c r="B41" s="22">
        <f t="shared" si="1"/>
        <v>35</v>
      </c>
      <c r="C41" s="12" t="s">
        <v>119</v>
      </c>
      <c r="D41" s="47"/>
      <c r="E41" s="11">
        <v>603</v>
      </c>
      <c r="F41" s="79">
        <v>0</v>
      </c>
      <c r="G41" s="13">
        <v>0</v>
      </c>
      <c r="H41" s="13">
        <v>0</v>
      </c>
      <c r="I41" s="66">
        <v>4465</v>
      </c>
      <c r="J41" s="66">
        <v>4471</v>
      </c>
      <c r="K41" s="67">
        <v>6</v>
      </c>
      <c r="L41" s="67">
        <v>6</v>
      </c>
      <c r="M41" s="20">
        <v>51750</v>
      </c>
      <c r="N41" s="67">
        <v>0</v>
      </c>
      <c r="O41" s="20">
        <v>0</v>
      </c>
      <c r="P41" s="67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51750</v>
      </c>
      <c r="W41" s="12"/>
      <c r="X41" s="110">
        <v>0</v>
      </c>
      <c r="Y41" s="111">
        <v>44182</v>
      </c>
      <c r="Z41" s="111">
        <v>0</v>
      </c>
      <c r="AA41" s="111">
        <v>0</v>
      </c>
      <c r="AB41" s="111">
        <v>98182</v>
      </c>
      <c r="AC41" s="111">
        <v>0</v>
      </c>
      <c r="AD41" s="111">
        <v>1</v>
      </c>
      <c r="AE41" s="112">
        <v>932727</v>
      </c>
      <c r="AF41" s="108">
        <v>932727</v>
      </c>
      <c r="AG41" s="111"/>
      <c r="AH41" s="108"/>
      <c r="AI41" s="108"/>
      <c r="AJ41" s="113"/>
      <c r="AK41" s="113"/>
      <c r="AL41" s="109">
        <v>0</v>
      </c>
      <c r="AM41" s="128">
        <v>932727</v>
      </c>
      <c r="AN41" s="130"/>
      <c r="AO41" s="131">
        <v>0</v>
      </c>
      <c r="AP41" s="131">
        <v>0</v>
      </c>
      <c r="AQ41" s="131">
        <v>0</v>
      </c>
      <c r="AR41" s="138">
        <v>152.5</v>
      </c>
      <c r="AS41" s="131">
        <v>0</v>
      </c>
      <c r="AT41" s="131">
        <v>0</v>
      </c>
      <c r="AU41" s="131">
        <v>0</v>
      </c>
      <c r="AV41" s="131">
        <v>0</v>
      </c>
    </row>
    <row r="42" spans="1:49" x14ac:dyDescent="0.3">
      <c r="A42" s="11">
        <f t="shared" si="0"/>
        <v>36</v>
      </c>
      <c r="B42" s="22">
        <f t="shared" si="1"/>
        <v>36</v>
      </c>
      <c r="C42" s="12" t="s">
        <v>120</v>
      </c>
      <c r="D42" s="47"/>
      <c r="E42" s="11">
        <v>604</v>
      </c>
      <c r="F42" s="79">
        <v>0</v>
      </c>
      <c r="G42" s="13">
        <v>0</v>
      </c>
      <c r="H42" s="13">
        <v>0</v>
      </c>
      <c r="I42" s="66">
        <v>4877</v>
      </c>
      <c r="J42" s="66">
        <v>4893</v>
      </c>
      <c r="K42" s="67">
        <v>16</v>
      </c>
      <c r="L42" s="67">
        <v>10</v>
      </c>
      <c r="M42" s="20">
        <v>86250</v>
      </c>
      <c r="N42" s="67">
        <v>6</v>
      </c>
      <c r="O42" s="20">
        <v>60720</v>
      </c>
      <c r="P42" s="67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146970</v>
      </c>
      <c r="W42" s="12"/>
      <c r="X42" s="110">
        <v>2</v>
      </c>
      <c r="Y42" s="111">
        <v>44182</v>
      </c>
      <c r="Z42" s="111">
        <v>88364</v>
      </c>
      <c r="AA42" s="111">
        <v>0</v>
      </c>
      <c r="AB42" s="111">
        <v>98182</v>
      </c>
      <c r="AC42" s="111">
        <v>0</v>
      </c>
      <c r="AD42" s="111">
        <v>1</v>
      </c>
      <c r="AE42" s="112">
        <v>932727</v>
      </c>
      <c r="AF42" s="108">
        <v>932727</v>
      </c>
      <c r="AG42" s="111"/>
      <c r="AH42" s="108"/>
      <c r="AI42" s="108"/>
      <c r="AJ42" s="113"/>
      <c r="AK42" s="113"/>
      <c r="AL42" s="109">
        <v>0</v>
      </c>
      <c r="AM42" s="128">
        <v>1021091</v>
      </c>
      <c r="AN42" s="130"/>
      <c r="AO42" s="131">
        <v>0</v>
      </c>
      <c r="AP42" s="131">
        <v>0</v>
      </c>
      <c r="AQ42" s="131">
        <v>0</v>
      </c>
      <c r="AR42" s="131">
        <v>151</v>
      </c>
      <c r="AS42" s="131">
        <v>0</v>
      </c>
      <c r="AT42" s="131">
        <v>0</v>
      </c>
      <c r="AU42" s="131">
        <v>0</v>
      </c>
      <c r="AV42" s="131">
        <v>110000</v>
      </c>
    </row>
    <row r="43" spans="1:49" x14ac:dyDescent="0.3">
      <c r="A43" s="11">
        <f t="shared" si="0"/>
        <v>37</v>
      </c>
      <c r="B43" s="22">
        <f t="shared" si="1"/>
        <v>37</v>
      </c>
      <c r="C43" s="12" t="s">
        <v>121</v>
      </c>
      <c r="D43" s="47"/>
      <c r="E43" s="11">
        <v>605</v>
      </c>
      <c r="F43" s="79">
        <v>0</v>
      </c>
      <c r="G43" s="13">
        <v>0</v>
      </c>
      <c r="H43" s="13">
        <v>0</v>
      </c>
      <c r="I43" s="66">
        <v>1101</v>
      </c>
      <c r="J43" s="66">
        <v>1106</v>
      </c>
      <c r="K43" s="67">
        <v>5</v>
      </c>
      <c r="L43" s="67">
        <v>5</v>
      </c>
      <c r="M43" s="20">
        <v>43125</v>
      </c>
      <c r="N43" s="67">
        <v>0</v>
      </c>
      <c r="O43" s="20">
        <v>0</v>
      </c>
      <c r="P43" s="67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43125</v>
      </c>
      <c r="W43" s="12"/>
      <c r="X43" s="110">
        <v>0</v>
      </c>
      <c r="Y43" s="111">
        <v>44182</v>
      </c>
      <c r="Z43" s="111">
        <v>0</v>
      </c>
      <c r="AA43" s="111">
        <v>0</v>
      </c>
      <c r="AB43" s="111">
        <v>98182</v>
      </c>
      <c r="AC43" s="111">
        <v>0</v>
      </c>
      <c r="AD43" s="115"/>
      <c r="AE43" s="112">
        <v>932727</v>
      </c>
      <c r="AF43" s="108">
        <v>0</v>
      </c>
      <c r="AG43" s="115"/>
      <c r="AH43" s="108"/>
      <c r="AI43" s="108"/>
      <c r="AJ43" s="113"/>
      <c r="AK43" s="113"/>
      <c r="AL43" s="109">
        <v>0</v>
      </c>
      <c r="AM43" s="128">
        <v>0</v>
      </c>
      <c r="AN43" s="130"/>
      <c r="AO43" s="131">
        <v>0</v>
      </c>
      <c r="AP43" s="131">
        <v>0</v>
      </c>
      <c r="AQ43" s="131">
        <v>0</v>
      </c>
      <c r="AR43" s="131">
        <v>117</v>
      </c>
      <c r="AS43" s="131">
        <v>0</v>
      </c>
      <c r="AT43" s="131">
        <v>0</v>
      </c>
      <c r="AU43" s="131">
        <v>0</v>
      </c>
      <c r="AV43" s="131">
        <v>0</v>
      </c>
    </row>
    <row r="44" spans="1:49" x14ac:dyDescent="0.3">
      <c r="A44" s="11">
        <f t="shared" si="0"/>
        <v>38</v>
      </c>
      <c r="B44" s="22">
        <f t="shared" si="1"/>
        <v>38</v>
      </c>
      <c r="C44" s="12" t="s">
        <v>259</v>
      </c>
      <c r="D44" s="47"/>
      <c r="E44" s="11">
        <v>606</v>
      </c>
      <c r="F44" s="79">
        <v>3</v>
      </c>
      <c r="G44" s="13">
        <v>1300000</v>
      </c>
      <c r="H44" s="13">
        <v>3900000</v>
      </c>
      <c r="I44" s="66">
        <v>5205</v>
      </c>
      <c r="J44" s="66">
        <v>5213</v>
      </c>
      <c r="K44" s="67">
        <v>8</v>
      </c>
      <c r="L44" s="67">
        <v>0</v>
      </c>
      <c r="M44" s="20">
        <v>0</v>
      </c>
      <c r="N44" s="67">
        <v>0</v>
      </c>
      <c r="O44" s="20">
        <v>0</v>
      </c>
      <c r="P44" s="67">
        <v>0</v>
      </c>
      <c r="Q44" s="20">
        <v>0</v>
      </c>
      <c r="R44" s="20">
        <v>0</v>
      </c>
      <c r="S44" s="20">
        <v>0</v>
      </c>
      <c r="T44" s="20">
        <v>8</v>
      </c>
      <c r="U44" s="20">
        <v>248400</v>
      </c>
      <c r="V44" s="20">
        <v>248400</v>
      </c>
      <c r="W44" s="12"/>
      <c r="X44" s="110">
        <v>2</v>
      </c>
      <c r="Y44" s="111">
        <v>98182</v>
      </c>
      <c r="Z44" s="111">
        <v>196364</v>
      </c>
      <c r="AA44" s="111">
        <v>3</v>
      </c>
      <c r="AB44" s="111">
        <v>98182</v>
      </c>
      <c r="AC44" s="111">
        <v>294546</v>
      </c>
      <c r="AD44" s="111"/>
      <c r="AE44" s="112">
        <v>932727</v>
      </c>
      <c r="AF44" s="108">
        <v>0</v>
      </c>
      <c r="AG44" s="111"/>
      <c r="AH44" s="108"/>
      <c r="AI44" s="108"/>
      <c r="AJ44" s="113"/>
      <c r="AK44" s="113"/>
      <c r="AL44" s="109">
        <v>0</v>
      </c>
      <c r="AM44" s="128">
        <v>490910</v>
      </c>
      <c r="AN44" s="130"/>
      <c r="AO44" s="131">
        <v>3</v>
      </c>
      <c r="AP44" s="131">
        <v>130000</v>
      </c>
      <c r="AQ44" s="131">
        <v>390000</v>
      </c>
      <c r="AR44" s="138">
        <v>152.5</v>
      </c>
      <c r="AS44" s="131">
        <v>0</v>
      </c>
      <c r="AT44" s="131">
        <v>0</v>
      </c>
      <c r="AU44" s="131">
        <v>0</v>
      </c>
      <c r="AV44" s="131">
        <v>0</v>
      </c>
      <c r="AW44" s="1" t="s">
        <v>8</v>
      </c>
    </row>
    <row r="45" spans="1:49" x14ac:dyDescent="0.3">
      <c r="A45" s="11">
        <f t="shared" si="0"/>
        <v>39</v>
      </c>
      <c r="B45" s="22">
        <f t="shared" si="1"/>
        <v>39</v>
      </c>
      <c r="C45" s="12" t="s">
        <v>123</v>
      </c>
      <c r="D45" s="47"/>
      <c r="E45" s="11">
        <v>607</v>
      </c>
      <c r="F45" s="79">
        <v>0</v>
      </c>
      <c r="G45" s="13">
        <v>0</v>
      </c>
      <c r="H45" s="13">
        <v>0</v>
      </c>
      <c r="I45" s="66">
        <v>3013</v>
      </c>
      <c r="J45" s="66">
        <v>3027</v>
      </c>
      <c r="K45" s="67">
        <v>14</v>
      </c>
      <c r="L45" s="67">
        <v>10</v>
      </c>
      <c r="M45" s="20">
        <v>86250</v>
      </c>
      <c r="N45" s="67">
        <v>4</v>
      </c>
      <c r="O45" s="20">
        <v>40480</v>
      </c>
      <c r="P45" s="67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126730</v>
      </c>
      <c r="W45" s="12"/>
      <c r="X45" s="110">
        <v>1</v>
      </c>
      <c r="Y45" s="111">
        <v>44182</v>
      </c>
      <c r="Z45" s="111">
        <v>44182</v>
      </c>
      <c r="AA45" s="111">
        <v>0</v>
      </c>
      <c r="AB45" s="111">
        <v>98182</v>
      </c>
      <c r="AC45" s="111">
        <v>0</v>
      </c>
      <c r="AD45" s="111">
        <v>1</v>
      </c>
      <c r="AE45" s="112">
        <v>932727</v>
      </c>
      <c r="AF45" s="108">
        <v>932727</v>
      </c>
      <c r="AG45" s="111"/>
      <c r="AH45" s="108"/>
      <c r="AI45" s="108"/>
      <c r="AJ45" s="113"/>
      <c r="AK45" s="113"/>
      <c r="AL45" s="109">
        <v>0</v>
      </c>
      <c r="AM45" s="128">
        <v>976909</v>
      </c>
      <c r="AN45" s="130"/>
      <c r="AO45" s="131">
        <v>0</v>
      </c>
      <c r="AP45" s="131">
        <v>0</v>
      </c>
      <c r="AQ45" s="131">
        <v>0</v>
      </c>
      <c r="AR45" s="131">
        <v>119</v>
      </c>
      <c r="AS45" s="131">
        <v>6</v>
      </c>
      <c r="AT45" s="131">
        <v>238000</v>
      </c>
      <c r="AU45" s="131">
        <v>1428000</v>
      </c>
      <c r="AV45" s="131">
        <v>110000</v>
      </c>
    </row>
    <row r="46" spans="1:49" x14ac:dyDescent="0.3">
      <c r="A46" s="11">
        <f t="shared" si="0"/>
        <v>40</v>
      </c>
      <c r="B46" s="22">
        <f t="shared" si="1"/>
        <v>40</v>
      </c>
      <c r="C46" s="12" t="s">
        <v>124</v>
      </c>
      <c r="D46" s="47"/>
      <c r="E46" s="11">
        <v>608</v>
      </c>
      <c r="F46" s="79">
        <v>1</v>
      </c>
      <c r="G46" s="13">
        <v>1300000</v>
      </c>
      <c r="H46" s="13">
        <v>1300000</v>
      </c>
      <c r="I46" s="66">
        <v>2793</v>
      </c>
      <c r="J46" s="66">
        <v>2812</v>
      </c>
      <c r="K46" s="67">
        <v>19</v>
      </c>
      <c r="L46" s="67">
        <v>0</v>
      </c>
      <c r="M46" s="20">
        <v>0</v>
      </c>
      <c r="N46" s="67">
        <v>0</v>
      </c>
      <c r="O46" s="20">
        <v>0</v>
      </c>
      <c r="P46" s="67">
        <v>0</v>
      </c>
      <c r="Q46" s="20">
        <v>0</v>
      </c>
      <c r="R46" s="20">
        <v>0</v>
      </c>
      <c r="S46" s="20">
        <v>0</v>
      </c>
      <c r="T46" s="20">
        <v>19</v>
      </c>
      <c r="U46" s="20">
        <v>589950</v>
      </c>
      <c r="V46" s="20">
        <v>589950</v>
      </c>
      <c r="W46" s="12"/>
      <c r="X46" s="114">
        <v>0</v>
      </c>
      <c r="Y46" s="111">
        <v>44182</v>
      </c>
      <c r="Z46" s="111">
        <v>0</v>
      </c>
      <c r="AA46" s="111">
        <v>3</v>
      </c>
      <c r="AB46" s="111">
        <v>98182</v>
      </c>
      <c r="AC46" s="111">
        <v>294546</v>
      </c>
      <c r="AD46" s="115"/>
      <c r="AE46" s="112">
        <v>932727</v>
      </c>
      <c r="AF46" s="108">
        <v>0</v>
      </c>
      <c r="AG46" s="115"/>
      <c r="AH46" s="108"/>
      <c r="AI46" s="108"/>
      <c r="AJ46" s="113"/>
      <c r="AK46" s="113"/>
      <c r="AL46" s="109">
        <v>0</v>
      </c>
      <c r="AM46" s="128">
        <v>294546</v>
      </c>
      <c r="AN46" s="130"/>
      <c r="AO46" s="131">
        <v>1</v>
      </c>
      <c r="AP46" s="131">
        <v>130000</v>
      </c>
      <c r="AQ46" s="131">
        <v>130000</v>
      </c>
      <c r="AR46" s="131">
        <v>115</v>
      </c>
      <c r="AS46" s="131">
        <v>0</v>
      </c>
      <c r="AT46" s="131">
        <v>0</v>
      </c>
      <c r="AU46" s="131">
        <v>0</v>
      </c>
      <c r="AV46" s="131">
        <v>0</v>
      </c>
      <c r="AW46" s="1" t="s">
        <v>8</v>
      </c>
    </row>
    <row r="47" spans="1:49" x14ac:dyDescent="0.3">
      <c r="A47" s="11">
        <f t="shared" si="0"/>
        <v>41</v>
      </c>
      <c r="B47" s="22">
        <f t="shared" si="1"/>
        <v>41</v>
      </c>
      <c r="C47" s="12" t="s">
        <v>125</v>
      </c>
      <c r="D47" s="47"/>
      <c r="E47" s="11">
        <v>701</v>
      </c>
      <c r="F47" s="79">
        <v>0</v>
      </c>
      <c r="G47" s="13">
        <v>0</v>
      </c>
      <c r="H47" s="13">
        <v>0</v>
      </c>
      <c r="I47" s="66">
        <v>4312</v>
      </c>
      <c r="J47" s="66">
        <v>4325</v>
      </c>
      <c r="K47" s="67">
        <v>13</v>
      </c>
      <c r="L47" s="67">
        <v>10</v>
      </c>
      <c r="M47" s="20">
        <v>86250</v>
      </c>
      <c r="N47" s="67">
        <v>3</v>
      </c>
      <c r="O47" s="20">
        <v>30360</v>
      </c>
      <c r="P47" s="67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116610</v>
      </c>
      <c r="W47" s="12"/>
      <c r="X47" s="110">
        <v>1</v>
      </c>
      <c r="Y47" s="111">
        <v>44182</v>
      </c>
      <c r="Z47" s="111">
        <v>44182</v>
      </c>
      <c r="AA47" s="111">
        <v>0</v>
      </c>
      <c r="AB47" s="111">
        <v>98182</v>
      </c>
      <c r="AC47" s="111">
        <v>0</v>
      </c>
      <c r="AD47" s="111"/>
      <c r="AE47" s="112">
        <v>932727</v>
      </c>
      <c r="AF47" s="108">
        <v>0</v>
      </c>
      <c r="AG47" s="111"/>
      <c r="AH47" s="108"/>
      <c r="AI47" s="108"/>
      <c r="AJ47" s="113"/>
      <c r="AK47" s="113"/>
      <c r="AL47" s="109">
        <v>0</v>
      </c>
      <c r="AM47" s="128">
        <v>44182</v>
      </c>
      <c r="AN47" s="130"/>
      <c r="AO47" s="131">
        <v>0</v>
      </c>
      <c r="AP47" s="131">
        <v>0</v>
      </c>
      <c r="AQ47" s="131">
        <v>0</v>
      </c>
      <c r="AR47" s="131">
        <v>115</v>
      </c>
      <c r="AS47" s="131">
        <v>0</v>
      </c>
      <c r="AT47" s="131">
        <v>0</v>
      </c>
      <c r="AU47" s="131">
        <v>0</v>
      </c>
      <c r="AV47" s="131">
        <v>0</v>
      </c>
    </row>
    <row r="48" spans="1:49" x14ac:dyDescent="0.3">
      <c r="A48" s="11">
        <f t="shared" si="0"/>
        <v>42</v>
      </c>
      <c r="B48" s="22">
        <f t="shared" si="1"/>
        <v>42</v>
      </c>
      <c r="C48" s="12" t="s">
        <v>126</v>
      </c>
      <c r="D48" s="47"/>
      <c r="E48" s="11">
        <v>702</v>
      </c>
      <c r="F48" s="79">
        <v>0</v>
      </c>
      <c r="G48" s="13">
        <v>0</v>
      </c>
      <c r="H48" s="13">
        <v>0</v>
      </c>
      <c r="I48" s="66">
        <v>2054</v>
      </c>
      <c r="J48" s="66">
        <v>2066</v>
      </c>
      <c r="K48" s="67">
        <v>12</v>
      </c>
      <c r="L48" s="67">
        <v>10</v>
      </c>
      <c r="M48" s="20">
        <v>86250</v>
      </c>
      <c r="N48" s="67">
        <v>2</v>
      </c>
      <c r="O48" s="20">
        <v>20240</v>
      </c>
      <c r="P48" s="67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106490</v>
      </c>
      <c r="W48" s="12"/>
      <c r="X48" s="110">
        <v>4</v>
      </c>
      <c r="Y48" s="111">
        <v>44182</v>
      </c>
      <c r="Z48" s="111">
        <v>176728</v>
      </c>
      <c r="AA48" s="111">
        <v>0</v>
      </c>
      <c r="AB48" s="111">
        <v>98182</v>
      </c>
      <c r="AC48" s="111">
        <v>0</v>
      </c>
      <c r="AD48" s="111"/>
      <c r="AE48" s="112">
        <v>932727</v>
      </c>
      <c r="AF48" s="108">
        <v>0</v>
      </c>
      <c r="AG48" s="111"/>
      <c r="AH48" s="108"/>
      <c r="AI48" s="108"/>
      <c r="AJ48" s="113"/>
      <c r="AK48" s="113"/>
      <c r="AL48" s="109">
        <v>0</v>
      </c>
      <c r="AM48" s="128">
        <v>176728</v>
      </c>
      <c r="AN48" s="130"/>
      <c r="AO48" s="131">
        <v>0</v>
      </c>
      <c r="AP48" s="131">
        <v>0</v>
      </c>
      <c r="AQ48" s="131">
        <v>0</v>
      </c>
      <c r="AR48" s="131">
        <v>119</v>
      </c>
      <c r="AS48" s="131">
        <v>0</v>
      </c>
      <c r="AT48" s="131">
        <v>0</v>
      </c>
      <c r="AU48" s="131">
        <v>0</v>
      </c>
      <c r="AV48" s="131">
        <v>110000</v>
      </c>
    </row>
    <row r="49" spans="1:49" x14ac:dyDescent="0.3">
      <c r="A49" s="11">
        <f t="shared" si="0"/>
        <v>43</v>
      </c>
      <c r="B49" s="22">
        <f t="shared" si="1"/>
        <v>43</v>
      </c>
      <c r="C49" s="12" t="s">
        <v>127</v>
      </c>
      <c r="D49" s="47"/>
      <c r="E49" s="11">
        <v>703</v>
      </c>
      <c r="F49" s="79">
        <v>0</v>
      </c>
      <c r="G49" s="13">
        <v>0</v>
      </c>
      <c r="H49" s="13">
        <v>0</v>
      </c>
      <c r="I49" s="66">
        <v>4070</v>
      </c>
      <c r="J49" s="66">
        <v>4083</v>
      </c>
      <c r="K49" s="67">
        <v>13</v>
      </c>
      <c r="L49" s="67">
        <v>10</v>
      </c>
      <c r="M49" s="20">
        <v>86250</v>
      </c>
      <c r="N49" s="67">
        <v>3</v>
      </c>
      <c r="O49" s="20">
        <v>30360</v>
      </c>
      <c r="P49" s="67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116610</v>
      </c>
      <c r="W49" s="12"/>
      <c r="X49" s="110">
        <v>2</v>
      </c>
      <c r="Y49" s="111">
        <v>44182</v>
      </c>
      <c r="Z49" s="111">
        <v>88364</v>
      </c>
      <c r="AA49" s="111">
        <v>0</v>
      </c>
      <c r="AB49" s="111">
        <v>98182</v>
      </c>
      <c r="AC49" s="111">
        <v>0</v>
      </c>
      <c r="AD49" s="111">
        <v>1</v>
      </c>
      <c r="AE49" s="112">
        <v>932727</v>
      </c>
      <c r="AF49" s="108">
        <v>932727</v>
      </c>
      <c r="AG49" s="111"/>
      <c r="AH49" s="108"/>
      <c r="AI49" s="108"/>
      <c r="AJ49" s="113">
        <v>1</v>
      </c>
      <c r="AK49" s="113">
        <v>9818</v>
      </c>
      <c r="AL49" s="109">
        <v>9818</v>
      </c>
      <c r="AM49" s="128">
        <v>1030909</v>
      </c>
      <c r="AN49" s="130"/>
      <c r="AO49" s="131">
        <v>0</v>
      </c>
      <c r="AP49" s="131">
        <v>0</v>
      </c>
      <c r="AQ49" s="131">
        <v>0</v>
      </c>
      <c r="AR49" s="138">
        <v>152.5</v>
      </c>
      <c r="AS49" s="131">
        <v>0</v>
      </c>
      <c r="AT49" s="131">
        <v>0</v>
      </c>
      <c r="AU49" s="131">
        <v>0</v>
      </c>
      <c r="AV49" s="131">
        <v>0</v>
      </c>
    </row>
    <row r="50" spans="1:49" x14ac:dyDescent="0.3">
      <c r="A50" s="11">
        <f t="shared" si="0"/>
        <v>44</v>
      </c>
      <c r="B50" s="22">
        <f t="shared" si="1"/>
        <v>44</v>
      </c>
      <c r="C50" s="12" t="s">
        <v>128</v>
      </c>
      <c r="D50" s="47"/>
      <c r="E50" s="11">
        <v>704</v>
      </c>
      <c r="F50" s="79">
        <v>0</v>
      </c>
      <c r="G50" s="13">
        <v>0</v>
      </c>
      <c r="H50" s="13">
        <v>0</v>
      </c>
      <c r="I50" s="66">
        <v>4134</v>
      </c>
      <c r="J50" s="66">
        <v>4149</v>
      </c>
      <c r="K50" s="67">
        <v>15</v>
      </c>
      <c r="L50" s="67">
        <v>10</v>
      </c>
      <c r="M50" s="20">
        <v>86250</v>
      </c>
      <c r="N50" s="67">
        <v>5</v>
      </c>
      <c r="O50" s="20">
        <v>50600</v>
      </c>
      <c r="P50" s="67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136850</v>
      </c>
      <c r="W50" s="12"/>
      <c r="X50" s="110">
        <v>2</v>
      </c>
      <c r="Y50" s="111">
        <v>44182</v>
      </c>
      <c r="Z50" s="111">
        <v>88364</v>
      </c>
      <c r="AA50" s="111">
        <v>0</v>
      </c>
      <c r="AB50" s="111">
        <v>98182</v>
      </c>
      <c r="AC50" s="111">
        <v>0</v>
      </c>
      <c r="AD50" s="111"/>
      <c r="AE50" s="112">
        <v>932727</v>
      </c>
      <c r="AF50" s="108">
        <v>0</v>
      </c>
      <c r="AG50" s="111"/>
      <c r="AH50" s="108"/>
      <c r="AI50" s="108"/>
      <c r="AJ50" s="113"/>
      <c r="AK50" s="113"/>
      <c r="AL50" s="109">
        <v>0</v>
      </c>
      <c r="AM50" s="128">
        <v>88364</v>
      </c>
      <c r="AN50" s="130"/>
      <c r="AO50" s="131">
        <v>0</v>
      </c>
      <c r="AP50" s="131">
        <v>0</v>
      </c>
      <c r="AQ50" s="131">
        <v>0</v>
      </c>
      <c r="AR50" s="131">
        <v>151</v>
      </c>
      <c r="AS50" s="131">
        <v>12</v>
      </c>
      <c r="AT50" s="131">
        <v>230000</v>
      </c>
      <c r="AU50" s="131">
        <v>2760000</v>
      </c>
      <c r="AV50" s="131">
        <v>0</v>
      </c>
    </row>
    <row r="51" spans="1:49" x14ac:dyDescent="0.3">
      <c r="A51" s="11">
        <f t="shared" si="0"/>
        <v>45</v>
      </c>
      <c r="B51" s="22">
        <f t="shared" si="1"/>
        <v>45</v>
      </c>
      <c r="C51" s="12" t="s">
        <v>129</v>
      </c>
      <c r="D51" s="47"/>
      <c r="E51" s="11">
        <v>705</v>
      </c>
      <c r="F51" s="79">
        <v>0</v>
      </c>
      <c r="G51" s="13">
        <v>0</v>
      </c>
      <c r="H51" s="13">
        <v>0</v>
      </c>
      <c r="I51" s="66">
        <v>2117</v>
      </c>
      <c r="J51" s="66">
        <v>2127</v>
      </c>
      <c r="K51" s="67">
        <v>10</v>
      </c>
      <c r="L51" s="67">
        <v>10</v>
      </c>
      <c r="M51" s="20">
        <v>86250</v>
      </c>
      <c r="N51" s="67">
        <v>0</v>
      </c>
      <c r="O51" s="20">
        <v>0</v>
      </c>
      <c r="P51" s="67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86250</v>
      </c>
      <c r="W51" s="12"/>
      <c r="X51" s="114">
        <v>3</v>
      </c>
      <c r="Y51" s="111">
        <v>44182</v>
      </c>
      <c r="Z51" s="111">
        <v>132546</v>
      </c>
      <c r="AA51" s="111">
        <v>0</v>
      </c>
      <c r="AB51" s="111">
        <v>98182</v>
      </c>
      <c r="AC51" s="111">
        <v>0</v>
      </c>
      <c r="AD51" s="111"/>
      <c r="AE51" s="112">
        <v>932727</v>
      </c>
      <c r="AF51" s="108">
        <v>0</v>
      </c>
      <c r="AG51" s="111"/>
      <c r="AH51" s="108"/>
      <c r="AI51" s="108"/>
      <c r="AJ51" s="113"/>
      <c r="AK51" s="113">
        <v>9818</v>
      </c>
      <c r="AL51" s="109">
        <v>0</v>
      </c>
      <c r="AM51" s="128">
        <v>132546</v>
      </c>
      <c r="AN51" s="130"/>
      <c r="AO51" s="131">
        <v>0</v>
      </c>
      <c r="AP51" s="131">
        <v>0</v>
      </c>
      <c r="AQ51" s="131">
        <v>0</v>
      </c>
      <c r="AR51" s="131">
        <v>117</v>
      </c>
      <c r="AS51" s="131">
        <v>0</v>
      </c>
      <c r="AT51" s="131">
        <v>0</v>
      </c>
      <c r="AU51" s="131">
        <v>0</v>
      </c>
      <c r="AV51" s="131">
        <v>0</v>
      </c>
    </row>
    <row r="52" spans="1:49" x14ac:dyDescent="0.3">
      <c r="A52" s="11">
        <f t="shared" si="0"/>
        <v>46</v>
      </c>
      <c r="B52" s="22">
        <f t="shared" si="1"/>
        <v>46</v>
      </c>
      <c r="C52" s="12" t="s">
        <v>130</v>
      </c>
      <c r="D52" s="47"/>
      <c r="E52" s="11">
        <v>706</v>
      </c>
      <c r="F52" s="79">
        <v>3</v>
      </c>
      <c r="G52" s="13">
        <v>140000</v>
      </c>
      <c r="H52" s="13">
        <v>420000</v>
      </c>
      <c r="I52" s="66">
        <v>2663</v>
      </c>
      <c r="J52" s="66">
        <v>2667</v>
      </c>
      <c r="K52" s="67">
        <v>4</v>
      </c>
      <c r="L52" s="67">
        <v>4</v>
      </c>
      <c r="M52" s="20">
        <v>34500</v>
      </c>
      <c r="N52" s="67">
        <v>0</v>
      </c>
      <c r="O52" s="20">
        <v>0</v>
      </c>
      <c r="P52" s="67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34500</v>
      </c>
      <c r="W52" s="12"/>
      <c r="X52" s="110">
        <v>2</v>
      </c>
      <c r="Y52" s="111">
        <v>44182</v>
      </c>
      <c r="Z52" s="111">
        <v>88364</v>
      </c>
      <c r="AA52" s="111">
        <v>0</v>
      </c>
      <c r="AB52" s="111">
        <v>98182</v>
      </c>
      <c r="AC52" s="111">
        <v>0</v>
      </c>
      <c r="AD52" s="111"/>
      <c r="AE52" s="112">
        <v>932727</v>
      </c>
      <c r="AF52" s="108">
        <v>0</v>
      </c>
      <c r="AG52" s="111"/>
      <c r="AH52" s="108"/>
      <c r="AI52" s="108"/>
      <c r="AJ52" s="113"/>
      <c r="AK52" s="113"/>
      <c r="AL52" s="109">
        <v>0</v>
      </c>
      <c r="AM52" s="128">
        <v>88364</v>
      </c>
      <c r="AN52" s="130"/>
      <c r="AO52" s="131">
        <v>0</v>
      </c>
      <c r="AP52" s="131">
        <v>0</v>
      </c>
      <c r="AQ52" s="131">
        <v>0</v>
      </c>
      <c r="AR52" s="138">
        <v>152.5</v>
      </c>
      <c r="AS52" s="131">
        <v>0</v>
      </c>
      <c r="AT52" s="131">
        <v>0</v>
      </c>
      <c r="AU52" s="131">
        <v>0</v>
      </c>
      <c r="AV52" s="131">
        <v>0</v>
      </c>
    </row>
    <row r="53" spans="1:49" x14ac:dyDescent="0.3">
      <c r="A53" s="11">
        <f t="shared" si="0"/>
        <v>47</v>
      </c>
      <c r="B53" s="22">
        <f t="shared" si="1"/>
        <v>47</v>
      </c>
      <c r="C53" s="12" t="s">
        <v>131</v>
      </c>
      <c r="D53" s="47"/>
      <c r="E53" s="11">
        <v>707</v>
      </c>
      <c r="F53" s="79">
        <v>0</v>
      </c>
      <c r="G53" s="13">
        <v>0</v>
      </c>
      <c r="H53" s="13">
        <v>0</v>
      </c>
      <c r="I53" s="66">
        <v>2638</v>
      </c>
      <c r="J53" s="66">
        <v>2658</v>
      </c>
      <c r="K53" s="67">
        <v>20</v>
      </c>
      <c r="L53" s="67">
        <v>10</v>
      </c>
      <c r="M53" s="20">
        <v>86250</v>
      </c>
      <c r="N53" s="67">
        <v>10</v>
      </c>
      <c r="O53" s="20">
        <v>101200</v>
      </c>
      <c r="P53" s="67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187450</v>
      </c>
      <c r="W53" s="12"/>
      <c r="X53" s="110">
        <v>2</v>
      </c>
      <c r="Y53" s="111">
        <v>44182</v>
      </c>
      <c r="Z53" s="111">
        <v>88364</v>
      </c>
      <c r="AA53" s="111">
        <v>0</v>
      </c>
      <c r="AB53" s="111">
        <v>98182</v>
      </c>
      <c r="AC53" s="111">
        <v>0</v>
      </c>
      <c r="AD53" s="111"/>
      <c r="AE53" s="112">
        <v>932727</v>
      </c>
      <c r="AF53" s="108">
        <v>0</v>
      </c>
      <c r="AG53" s="111"/>
      <c r="AH53" s="108"/>
      <c r="AI53" s="108"/>
      <c r="AJ53" s="113"/>
      <c r="AK53" s="113"/>
      <c r="AL53" s="109">
        <v>0</v>
      </c>
      <c r="AM53" s="128">
        <v>88364</v>
      </c>
      <c r="AN53" s="130"/>
      <c r="AO53" s="131">
        <v>0</v>
      </c>
      <c r="AP53" s="131">
        <v>0</v>
      </c>
      <c r="AQ53" s="131">
        <v>0</v>
      </c>
      <c r="AR53" s="131">
        <v>119</v>
      </c>
      <c r="AS53" s="131">
        <v>0</v>
      </c>
      <c r="AT53" s="131">
        <v>0</v>
      </c>
      <c r="AU53" s="131">
        <v>0</v>
      </c>
      <c r="AV53" s="131">
        <v>0</v>
      </c>
    </row>
    <row r="54" spans="1:49" x14ac:dyDescent="0.3">
      <c r="A54" s="11">
        <f t="shared" si="0"/>
        <v>48</v>
      </c>
      <c r="B54" s="22">
        <f t="shared" si="1"/>
        <v>48</v>
      </c>
      <c r="C54" s="12" t="s">
        <v>132</v>
      </c>
      <c r="D54" s="47"/>
      <c r="E54" s="11">
        <v>708</v>
      </c>
      <c r="F54" s="79">
        <v>0</v>
      </c>
      <c r="G54" s="13">
        <v>0</v>
      </c>
      <c r="H54" s="13">
        <v>0</v>
      </c>
      <c r="I54" s="66">
        <v>1123</v>
      </c>
      <c r="J54" s="66">
        <v>1147</v>
      </c>
      <c r="K54" s="67">
        <v>24</v>
      </c>
      <c r="L54" s="67">
        <v>10</v>
      </c>
      <c r="M54" s="20">
        <v>86250</v>
      </c>
      <c r="N54" s="67">
        <v>10</v>
      </c>
      <c r="O54" s="20">
        <v>101200</v>
      </c>
      <c r="P54" s="67">
        <v>4</v>
      </c>
      <c r="Q54" s="20">
        <v>55200</v>
      </c>
      <c r="R54" s="20">
        <v>0</v>
      </c>
      <c r="S54" s="20">
        <v>0</v>
      </c>
      <c r="T54" s="20">
        <v>0</v>
      </c>
      <c r="U54" s="20">
        <v>0</v>
      </c>
      <c r="V54" s="20">
        <v>242650</v>
      </c>
      <c r="W54" s="12"/>
      <c r="X54" s="110">
        <v>2</v>
      </c>
      <c r="Y54" s="111">
        <v>44182</v>
      </c>
      <c r="Z54" s="111">
        <v>88364</v>
      </c>
      <c r="AA54" s="111">
        <v>0</v>
      </c>
      <c r="AB54" s="111">
        <v>98182</v>
      </c>
      <c r="AC54" s="111">
        <v>0</v>
      </c>
      <c r="AD54" s="111"/>
      <c r="AE54" s="112">
        <v>932727</v>
      </c>
      <c r="AF54" s="108">
        <v>0</v>
      </c>
      <c r="AG54" s="111"/>
      <c r="AH54" s="108"/>
      <c r="AI54" s="108"/>
      <c r="AJ54" s="113"/>
      <c r="AK54" s="113"/>
      <c r="AL54" s="109">
        <v>0</v>
      </c>
      <c r="AM54" s="128">
        <v>88364</v>
      </c>
      <c r="AN54" s="130"/>
      <c r="AO54" s="131">
        <v>0</v>
      </c>
      <c r="AP54" s="131">
        <v>0</v>
      </c>
      <c r="AQ54" s="131">
        <v>0</v>
      </c>
      <c r="AR54" s="131">
        <v>115</v>
      </c>
      <c r="AS54" s="131">
        <v>0</v>
      </c>
      <c r="AT54" s="131">
        <v>0</v>
      </c>
      <c r="AU54" s="131">
        <v>0</v>
      </c>
      <c r="AV54" s="131">
        <v>0</v>
      </c>
    </row>
    <row r="55" spans="1:49" x14ac:dyDescent="0.3">
      <c r="A55" s="11">
        <f t="shared" si="0"/>
        <v>49</v>
      </c>
      <c r="B55" s="22">
        <f t="shared" si="1"/>
        <v>49</v>
      </c>
      <c r="C55" s="12" t="s">
        <v>133</v>
      </c>
      <c r="D55" s="47"/>
      <c r="E55" s="11">
        <v>801</v>
      </c>
      <c r="F55" s="79">
        <v>0</v>
      </c>
      <c r="G55" s="13">
        <v>0</v>
      </c>
      <c r="H55" s="13">
        <v>0</v>
      </c>
      <c r="I55" s="66">
        <v>1947</v>
      </c>
      <c r="J55" s="66">
        <v>1964</v>
      </c>
      <c r="K55" s="67">
        <v>17</v>
      </c>
      <c r="L55" s="67">
        <v>10</v>
      </c>
      <c r="M55" s="20">
        <v>86250</v>
      </c>
      <c r="N55" s="67">
        <v>7</v>
      </c>
      <c r="O55" s="20">
        <v>70840</v>
      </c>
      <c r="P55" s="67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157090</v>
      </c>
      <c r="W55" s="12"/>
      <c r="X55" s="110">
        <v>3</v>
      </c>
      <c r="Y55" s="111">
        <v>44182</v>
      </c>
      <c r="Z55" s="111">
        <v>132546</v>
      </c>
      <c r="AA55" s="111">
        <v>0</v>
      </c>
      <c r="AB55" s="111">
        <v>98182</v>
      </c>
      <c r="AC55" s="111">
        <v>0</v>
      </c>
      <c r="AD55" s="111"/>
      <c r="AE55" s="112">
        <v>932727</v>
      </c>
      <c r="AF55" s="108">
        <v>0</v>
      </c>
      <c r="AG55" s="111"/>
      <c r="AH55" s="108"/>
      <c r="AI55" s="108"/>
      <c r="AJ55" s="113"/>
      <c r="AK55" s="113"/>
      <c r="AL55" s="109">
        <v>0</v>
      </c>
      <c r="AM55" s="128">
        <v>132546</v>
      </c>
      <c r="AN55" s="130"/>
      <c r="AO55" s="131">
        <v>0</v>
      </c>
      <c r="AP55" s="131">
        <v>0</v>
      </c>
      <c r="AQ55" s="131">
        <v>0</v>
      </c>
      <c r="AR55" s="131">
        <v>115</v>
      </c>
      <c r="AS55" s="131">
        <v>0</v>
      </c>
      <c r="AT55" s="131">
        <v>0</v>
      </c>
      <c r="AU55" s="131">
        <v>0</v>
      </c>
      <c r="AV55" s="131">
        <v>0</v>
      </c>
    </row>
    <row r="56" spans="1:49" x14ac:dyDescent="0.3">
      <c r="A56" s="11">
        <f t="shared" si="0"/>
        <v>50</v>
      </c>
      <c r="B56" s="22">
        <f t="shared" si="1"/>
        <v>50</v>
      </c>
      <c r="C56" s="12" t="s">
        <v>96</v>
      </c>
      <c r="D56" s="47"/>
      <c r="E56" s="11">
        <v>802</v>
      </c>
      <c r="F56" s="79">
        <v>0</v>
      </c>
      <c r="G56" s="13">
        <v>0</v>
      </c>
      <c r="H56" s="13">
        <v>0</v>
      </c>
      <c r="I56" s="66">
        <v>2566</v>
      </c>
      <c r="J56" s="66">
        <v>2597</v>
      </c>
      <c r="K56" s="67">
        <v>31</v>
      </c>
      <c r="L56" s="67">
        <v>10</v>
      </c>
      <c r="M56" s="20">
        <v>86250</v>
      </c>
      <c r="N56" s="67">
        <v>10</v>
      </c>
      <c r="O56" s="20">
        <v>101200</v>
      </c>
      <c r="P56" s="67">
        <v>10</v>
      </c>
      <c r="Q56" s="20">
        <v>138000</v>
      </c>
      <c r="R56" s="20">
        <v>1</v>
      </c>
      <c r="S56" s="20">
        <v>27600</v>
      </c>
      <c r="T56" s="20">
        <v>0</v>
      </c>
      <c r="U56" s="20">
        <v>0</v>
      </c>
      <c r="V56" s="20">
        <v>353050</v>
      </c>
      <c r="W56" s="12"/>
      <c r="X56" s="110">
        <v>3</v>
      </c>
      <c r="Y56" s="111">
        <v>44182</v>
      </c>
      <c r="Z56" s="111">
        <v>132546</v>
      </c>
      <c r="AA56" s="111">
        <v>0</v>
      </c>
      <c r="AB56" s="111">
        <v>98182</v>
      </c>
      <c r="AC56" s="111">
        <v>0</v>
      </c>
      <c r="AD56" s="111"/>
      <c r="AE56" s="112">
        <v>932727</v>
      </c>
      <c r="AF56" s="108">
        <v>0</v>
      </c>
      <c r="AG56" s="111"/>
      <c r="AH56" s="108"/>
      <c r="AI56" s="108"/>
      <c r="AJ56" s="113"/>
      <c r="AK56" s="113"/>
      <c r="AL56" s="109">
        <v>0</v>
      </c>
      <c r="AM56" s="128">
        <v>132546</v>
      </c>
      <c r="AN56" s="130"/>
      <c r="AO56" s="131">
        <v>0</v>
      </c>
      <c r="AP56" s="131">
        <v>0</v>
      </c>
      <c r="AQ56" s="131">
        <v>0</v>
      </c>
      <c r="AR56" s="131">
        <v>119</v>
      </c>
      <c r="AS56" s="131">
        <v>6</v>
      </c>
      <c r="AT56" s="131">
        <v>238000</v>
      </c>
      <c r="AU56" s="131">
        <v>1428000</v>
      </c>
      <c r="AV56" s="131">
        <v>0</v>
      </c>
    </row>
    <row r="57" spans="1:49" x14ac:dyDescent="0.3">
      <c r="A57" s="11">
        <f t="shared" si="0"/>
        <v>51</v>
      </c>
      <c r="B57" s="22">
        <f t="shared" si="1"/>
        <v>51</v>
      </c>
      <c r="C57" s="12" t="s">
        <v>134</v>
      </c>
      <c r="D57" s="47"/>
      <c r="E57" s="11">
        <v>803</v>
      </c>
      <c r="F57" s="79">
        <v>6</v>
      </c>
      <c r="G57" s="13">
        <v>140000</v>
      </c>
      <c r="H57" s="13">
        <v>840000</v>
      </c>
      <c r="I57" s="66">
        <v>4286</v>
      </c>
      <c r="J57" s="66">
        <v>4303</v>
      </c>
      <c r="K57" s="67">
        <v>17</v>
      </c>
      <c r="L57" s="67">
        <v>10</v>
      </c>
      <c r="M57" s="20">
        <v>86250</v>
      </c>
      <c r="N57" s="67">
        <v>7</v>
      </c>
      <c r="O57" s="20">
        <v>70840</v>
      </c>
      <c r="P57" s="67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157090</v>
      </c>
      <c r="W57" s="12"/>
      <c r="X57" s="110">
        <v>2</v>
      </c>
      <c r="Y57" s="111">
        <v>44182</v>
      </c>
      <c r="Z57" s="111">
        <v>88364</v>
      </c>
      <c r="AA57" s="111">
        <v>0</v>
      </c>
      <c r="AB57" s="111">
        <v>98182</v>
      </c>
      <c r="AC57" s="111">
        <v>0</v>
      </c>
      <c r="AD57" s="111">
        <v>1</v>
      </c>
      <c r="AE57" s="112">
        <v>932727</v>
      </c>
      <c r="AF57" s="108">
        <v>932727</v>
      </c>
      <c r="AG57" s="111"/>
      <c r="AH57" s="108"/>
      <c r="AI57" s="108"/>
      <c r="AJ57" s="113"/>
      <c r="AK57" s="113">
        <v>9818</v>
      </c>
      <c r="AL57" s="109">
        <v>0</v>
      </c>
      <c r="AM57" s="128">
        <v>1021091</v>
      </c>
      <c r="AN57" s="130"/>
      <c r="AO57" s="131">
        <v>0</v>
      </c>
      <c r="AP57" s="131">
        <v>0</v>
      </c>
      <c r="AQ57" s="131">
        <v>0</v>
      </c>
      <c r="AR57" s="138">
        <v>152.5</v>
      </c>
      <c r="AS57" s="131">
        <v>6</v>
      </c>
      <c r="AT57" s="131">
        <v>305000</v>
      </c>
      <c r="AU57" s="131">
        <v>1830000</v>
      </c>
      <c r="AV57" s="131">
        <v>0</v>
      </c>
    </row>
    <row r="58" spans="1:49" x14ac:dyDescent="0.3">
      <c r="A58" s="11">
        <f t="shared" si="0"/>
        <v>52</v>
      </c>
      <c r="B58" s="22">
        <f t="shared" si="1"/>
        <v>52</v>
      </c>
      <c r="C58" s="12" t="s">
        <v>135</v>
      </c>
      <c r="D58" s="47"/>
      <c r="E58" s="11">
        <v>804</v>
      </c>
      <c r="F58" s="79">
        <v>6</v>
      </c>
      <c r="G58" s="13">
        <v>140000</v>
      </c>
      <c r="H58" s="13">
        <v>840000</v>
      </c>
      <c r="I58" s="66">
        <v>4750</v>
      </c>
      <c r="J58" s="66">
        <v>4776</v>
      </c>
      <c r="K58" s="67">
        <v>26</v>
      </c>
      <c r="L58" s="67">
        <v>10</v>
      </c>
      <c r="M58" s="20">
        <v>86250</v>
      </c>
      <c r="N58" s="67">
        <v>10</v>
      </c>
      <c r="O58" s="20">
        <v>101200</v>
      </c>
      <c r="P58" s="67">
        <v>6</v>
      </c>
      <c r="Q58" s="20">
        <v>82800</v>
      </c>
      <c r="R58" s="20">
        <v>0</v>
      </c>
      <c r="S58" s="20">
        <v>0</v>
      </c>
      <c r="T58" s="20">
        <v>0</v>
      </c>
      <c r="U58" s="20">
        <v>0</v>
      </c>
      <c r="V58" s="20">
        <v>270250</v>
      </c>
      <c r="W58" s="12"/>
      <c r="X58" s="110">
        <v>4</v>
      </c>
      <c r="Y58" s="111">
        <v>44182</v>
      </c>
      <c r="Z58" s="111">
        <v>176728</v>
      </c>
      <c r="AA58" s="111">
        <v>0</v>
      </c>
      <c r="AB58" s="111">
        <v>98182</v>
      </c>
      <c r="AC58" s="111">
        <v>0</v>
      </c>
      <c r="AD58" s="111"/>
      <c r="AE58" s="112">
        <v>932727</v>
      </c>
      <c r="AF58" s="108">
        <v>0</v>
      </c>
      <c r="AG58" s="111"/>
      <c r="AH58" s="108"/>
      <c r="AI58" s="108"/>
      <c r="AJ58" s="113"/>
      <c r="AK58" s="113"/>
      <c r="AL58" s="109">
        <v>0</v>
      </c>
      <c r="AM58" s="128">
        <v>176728</v>
      </c>
      <c r="AN58" s="130"/>
      <c r="AO58" s="131">
        <v>0</v>
      </c>
      <c r="AP58" s="131">
        <v>0</v>
      </c>
      <c r="AQ58" s="131">
        <v>0</v>
      </c>
      <c r="AR58" s="131">
        <v>151</v>
      </c>
      <c r="AS58" s="131">
        <v>6</v>
      </c>
      <c r="AT58" s="131">
        <v>302000</v>
      </c>
      <c r="AU58" s="131">
        <v>1812000</v>
      </c>
      <c r="AV58" s="131">
        <v>0</v>
      </c>
    </row>
    <row r="59" spans="1:49" x14ac:dyDescent="0.3">
      <c r="A59" s="11">
        <f t="shared" si="0"/>
        <v>53</v>
      </c>
      <c r="B59" s="22">
        <f t="shared" si="1"/>
        <v>53</v>
      </c>
      <c r="C59" s="12" t="s">
        <v>260</v>
      </c>
      <c r="D59" s="47"/>
      <c r="E59" s="11">
        <v>805</v>
      </c>
      <c r="F59" s="79">
        <v>3</v>
      </c>
      <c r="G59" s="13">
        <v>1300000</v>
      </c>
      <c r="H59" s="13">
        <v>3900000</v>
      </c>
      <c r="I59" s="66">
        <v>2381</v>
      </c>
      <c r="J59" s="66">
        <v>2389</v>
      </c>
      <c r="K59" s="67">
        <v>8</v>
      </c>
      <c r="L59" s="67">
        <v>0</v>
      </c>
      <c r="M59" s="20">
        <v>0</v>
      </c>
      <c r="N59" s="67">
        <v>0</v>
      </c>
      <c r="O59" s="20">
        <v>0</v>
      </c>
      <c r="P59" s="67">
        <v>0</v>
      </c>
      <c r="Q59" s="20">
        <v>0</v>
      </c>
      <c r="R59" s="20">
        <v>0</v>
      </c>
      <c r="S59" s="20">
        <v>0</v>
      </c>
      <c r="T59" s="20">
        <v>8</v>
      </c>
      <c r="U59" s="20">
        <v>248400</v>
      </c>
      <c r="V59" s="20">
        <v>248400</v>
      </c>
      <c r="W59" s="12"/>
      <c r="X59" s="110">
        <v>0</v>
      </c>
      <c r="Y59" s="111">
        <v>44182</v>
      </c>
      <c r="Z59" s="111">
        <v>0</v>
      </c>
      <c r="AA59" s="111">
        <v>0</v>
      </c>
      <c r="AB59" s="111">
        <v>98182</v>
      </c>
      <c r="AC59" s="111">
        <v>0</v>
      </c>
      <c r="AD59" s="111"/>
      <c r="AE59" s="112">
        <v>932727</v>
      </c>
      <c r="AF59" s="108">
        <v>0</v>
      </c>
      <c r="AG59" s="111"/>
      <c r="AH59" s="108"/>
      <c r="AI59" s="108"/>
      <c r="AJ59" s="113"/>
      <c r="AK59" s="113"/>
      <c r="AL59" s="109">
        <v>0</v>
      </c>
      <c r="AM59" s="128">
        <v>0</v>
      </c>
      <c r="AN59" s="130"/>
      <c r="AO59" s="131">
        <v>3</v>
      </c>
      <c r="AP59" s="131">
        <v>130000</v>
      </c>
      <c r="AQ59" s="131">
        <v>390000</v>
      </c>
      <c r="AR59" s="131">
        <v>117</v>
      </c>
      <c r="AS59" s="131">
        <v>0</v>
      </c>
      <c r="AT59" s="131">
        <v>0</v>
      </c>
      <c r="AU59" s="131">
        <v>0</v>
      </c>
      <c r="AV59" s="131">
        <v>0</v>
      </c>
      <c r="AW59" s="1" t="s">
        <v>8</v>
      </c>
    </row>
    <row r="60" spans="1:49" x14ac:dyDescent="0.3">
      <c r="A60" s="11">
        <f t="shared" si="0"/>
        <v>54</v>
      </c>
      <c r="B60" s="22">
        <f t="shared" si="1"/>
        <v>54</v>
      </c>
      <c r="C60" s="12" t="s">
        <v>137</v>
      </c>
      <c r="D60" s="47"/>
      <c r="E60" s="11">
        <v>806</v>
      </c>
      <c r="F60" s="79">
        <v>3</v>
      </c>
      <c r="G60" s="13">
        <v>140000</v>
      </c>
      <c r="H60" s="13">
        <v>420000</v>
      </c>
      <c r="I60" s="66">
        <v>4337</v>
      </c>
      <c r="J60" s="66">
        <v>4351</v>
      </c>
      <c r="K60" s="67">
        <v>14</v>
      </c>
      <c r="L60" s="67">
        <v>10</v>
      </c>
      <c r="M60" s="20">
        <v>86250</v>
      </c>
      <c r="N60" s="67">
        <v>4</v>
      </c>
      <c r="O60" s="20">
        <v>40480</v>
      </c>
      <c r="P60" s="67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126730</v>
      </c>
      <c r="W60" s="12"/>
      <c r="X60" s="110">
        <v>3</v>
      </c>
      <c r="Y60" s="111">
        <v>44182</v>
      </c>
      <c r="Z60" s="111">
        <v>132546</v>
      </c>
      <c r="AA60" s="111">
        <v>0</v>
      </c>
      <c r="AB60" s="111">
        <v>98182</v>
      </c>
      <c r="AC60" s="111">
        <v>0</v>
      </c>
      <c r="AD60" s="111">
        <v>1</v>
      </c>
      <c r="AE60" s="112">
        <v>932727</v>
      </c>
      <c r="AF60" s="108">
        <v>932727</v>
      </c>
      <c r="AG60" s="111"/>
      <c r="AH60" s="108"/>
      <c r="AI60" s="108"/>
      <c r="AJ60" s="113"/>
      <c r="AK60" s="113"/>
      <c r="AL60" s="109">
        <v>0</v>
      </c>
      <c r="AM60" s="128">
        <v>1065273</v>
      </c>
      <c r="AN60" s="130"/>
      <c r="AO60" s="131">
        <v>0</v>
      </c>
      <c r="AP60" s="131">
        <v>0</v>
      </c>
      <c r="AQ60" s="131">
        <v>0</v>
      </c>
      <c r="AR60" s="138">
        <v>152.5</v>
      </c>
      <c r="AS60" s="131">
        <v>3</v>
      </c>
      <c r="AT60" s="131">
        <v>305000</v>
      </c>
      <c r="AU60" s="131">
        <v>915000</v>
      </c>
      <c r="AV60" s="131">
        <v>0</v>
      </c>
    </row>
    <row r="61" spans="1:49" x14ac:dyDescent="0.3">
      <c r="A61" s="11">
        <f t="shared" si="0"/>
        <v>55</v>
      </c>
      <c r="B61" s="22">
        <f t="shared" si="1"/>
        <v>55</v>
      </c>
      <c r="C61" s="12" t="s">
        <v>138</v>
      </c>
      <c r="D61" s="47"/>
      <c r="E61" s="11">
        <v>807</v>
      </c>
      <c r="F61" s="79">
        <v>0</v>
      </c>
      <c r="G61" s="13">
        <v>0</v>
      </c>
      <c r="H61" s="13">
        <v>0</v>
      </c>
      <c r="I61" s="66">
        <v>1249</v>
      </c>
      <c r="J61" s="66">
        <v>1261</v>
      </c>
      <c r="K61" s="67">
        <v>12</v>
      </c>
      <c r="L61" s="67">
        <v>10</v>
      </c>
      <c r="M61" s="20">
        <v>86250</v>
      </c>
      <c r="N61" s="67">
        <v>2</v>
      </c>
      <c r="O61" s="20">
        <v>20240</v>
      </c>
      <c r="P61" s="67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106490</v>
      </c>
      <c r="W61" s="12"/>
      <c r="X61" s="110">
        <v>2</v>
      </c>
      <c r="Y61" s="111">
        <v>44182</v>
      </c>
      <c r="Z61" s="111">
        <v>88364</v>
      </c>
      <c r="AA61" s="111">
        <v>0</v>
      </c>
      <c r="AB61" s="111">
        <v>98182</v>
      </c>
      <c r="AC61" s="111">
        <v>0</v>
      </c>
      <c r="AD61" s="111"/>
      <c r="AE61" s="112">
        <v>932727</v>
      </c>
      <c r="AF61" s="108">
        <v>0</v>
      </c>
      <c r="AG61" s="111"/>
      <c r="AH61" s="108"/>
      <c r="AI61" s="108"/>
      <c r="AJ61" s="113"/>
      <c r="AK61" s="113"/>
      <c r="AL61" s="109">
        <v>0</v>
      </c>
      <c r="AM61" s="128">
        <v>88364</v>
      </c>
      <c r="AN61" s="130"/>
      <c r="AO61" s="131">
        <v>0</v>
      </c>
      <c r="AP61" s="131">
        <v>0</v>
      </c>
      <c r="AQ61" s="131">
        <v>0</v>
      </c>
      <c r="AR61" s="131">
        <v>119</v>
      </c>
      <c r="AS61" s="131">
        <v>0</v>
      </c>
      <c r="AT61" s="131">
        <v>0</v>
      </c>
      <c r="AU61" s="131">
        <v>0</v>
      </c>
      <c r="AV61" s="131">
        <v>110000</v>
      </c>
    </row>
    <row r="62" spans="1:49" x14ac:dyDescent="0.3">
      <c r="A62" s="11">
        <f t="shared" si="0"/>
        <v>56</v>
      </c>
      <c r="B62" s="22">
        <f t="shared" si="1"/>
        <v>56</v>
      </c>
      <c r="C62" s="12" t="s">
        <v>139</v>
      </c>
      <c r="D62" s="47"/>
      <c r="E62" s="11">
        <v>808</v>
      </c>
      <c r="F62" s="79">
        <v>0</v>
      </c>
      <c r="G62" s="13">
        <v>0</v>
      </c>
      <c r="H62" s="13">
        <v>0</v>
      </c>
      <c r="I62" s="66">
        <v>845</v>
      </c>
      <c r="J62" s="66">
        <v>868</v>
      </c>
      <c r="K62" s="67">
        <v>23</v>
      </c>
      <c r="L62" s="67">
        <v>10</v>
      </c>
      <c r="M62" s="20">
        <v>86250</v>
      </c>
      <c r="N62" s="67">
        <v>10</v>
      </c>
      <c r="O62" s="20">
        <v>101200</v>
      </c>
      <c r="P62" s="67">
        <v>3</v>
      </c>
      <c r="Q62" s="20">
        <v>41400</v>
      </c>
      <c r="R62" s="20">
        <v>0</v>
      </c>
      <c r="S62" s="20">
        <v>0</v>
      </c>
      <c r="T62" s="20">
        <v>0</v>
      </c>
      <c r="U62" s="20">
        <v>0</v>
      </c>
      <c r="V62" s="20">
        <v>228850</v>
      </c>
      <c r="W62" s="12"/>
      <c r="X62" s="110">
        <v>0</v>
      </c>
      <c r="Y62" s="111">
        <v>44182</v>
      </c>
      <c r="Z62" s="111">
        <v>0</v>
      </c>
      <c r="AA62" s="111">
        <v>0</v>
      </c>
      <c r="AB62" s="111">
        <v>98182</v>
      </c>
      <c r="AC62" s="111">
        <v>0</v>
      </c>
      <c r="AD62" s="111">
        <v>1</v>
      </c>
      <c r="AE62" s="112">
        <v>932727</v>
      </c>
      <c r="AF62" s="108">
        <v>932727</v>
      </c>
      <c r="AG62" s="111"/>
      <c r="AH62" s="108"/>
      <c r="AI62" s="108"/>
      <c r="AJ62" s="113"/>
      <c r="AK62" s="113"/>
      <c r="AL62" s="109">
        <v>0</v>
      </c>
      <c r="AM62" s="128">
        <v>932727</v>
      </c>
      <c r="AN62" s="130"/>
      <c r="AO62" s="131">
        <v>0</v>
      </c>
      <c r="AP62" s="131">
        <v>0</v>
      </c>
      <c r="AQ62" s="131">
        <v>0</v>
      </c>
      <c r="AR62" s="131">
        <v>115</v>
      </c>
      <c r="AS62" s="131">
        <v>0</v>
      </c>
      <c r="AT62" s="131">
        <v>0</v>
      </c>
      <c r="AU62" s="131">
        <v>0</v>
      </c>
      <c r="AV62" s="131">
        <v>0</v>
      </c>
    </row>
    <row r="63" spans="1:49" x14ac:dyDescent="0.3">
      <c r="A63" s="11">
        <f t="shared" si="0"/>
        <v>57</v>
      </c>
      <c r="B63" s="22">
        <f t="shared" si="1"/>
        <v>57</v>
      </c>
      <c r="C63" s="12" t="s">
        <v>140</v>
      </c>
      <c r="D63" s="47"/>
      <c r="E63" s="11">
        <v>901</v>
      </c>
      <c r="F63" s="79">
        <v>6</v>
      </c>
      <c r="G63" s="13">
        <v>140000</v>
      </c>
      <c r="H63" s="13">
        <v>840000</v>
      </c>
      <c r="I63" s="66">
        <v>512</v>
      </c>
      <c r="J63" s="66">
        <v>523</v>
      </c>
      <c r="K63" s="67">
        <v>11</v>
      </c>
      <c r="L63" s="67">
        <v>10</v>
      </c>
      <c r="M63" s="20">
        <v>86250</v>
      </c>
      <c r="N63" s="67">
        <v>1</v>
      </c>
      <c r="O63" s="20">
        <v>10120</v>
      </c>
      <c r="P63" s="67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96370</v>
      </c>
      <c r="W63" s="12"/>
      <c r="X63" s="110">
        <v>3</v>
      </c>
      <c r="Y63" s="111">
        <v>44182</v>
      </c>
      <c r="Z63" s="111">
        <v>132546</v>
      </c>
      <c r="AA63" s="111">
        <v>0</v>
      </c>
      <c r="AB63" s="111">
        <v>98182</v>
      </c>
      <c r="AC63" s="111">
        <v>0</v>
      </c>
      <c r="AD63" s="111"/>
      <c r="AE63" s="112">
        <v>932727</v>
      </c>
      <c r="AF63" s="108">
        <v>0</v>
      </c>
      <c r="AG63" s="111"/>
      <c r="AH63" s="108"/>
      <c r="AI63" s="108"/>
      <c r="AJ63" s="116"/>
      <c r="AK63" s="113"/>
      <c r="AL63" s="109">
        <v>0</v>
      </c>
      <c r="AM63" s="128">
        <v>132546</v>
      </c>
      <c r="AN63" s="130"/>
      <c r="AO63" s="131">
        <v>0</v>
      </c>
      <c r="AP63" s="131">
        <v>0</v>
      </c>
      <c r="AQ63" s="131">
        <v>0</v>
      </c>
      <c r="AR63" s="131">
        <v>115</v>
      </c>
      <c r="AS63" s="131">
        <v>6</v>
      </c>
      <c r="AT63" s="131">
        <v>230000</v>
      </c>
      <c r="AU63" s="131">
        <v>1380000</v>
      </c>
      <c r="AV63" s="131">
        <v>0</v>
      </c>
    </row>
    <row r="64" spans="1:49" x14ac:dyDescent="0.3">
      <c r="A64" s="11">
        <f t="shared" si="0"/>
        <v>58</v>
      </c>
      <c r="B64" s="22">
        <f t="shared" si="1"/>
        <v>58</v>
      </c>
      <c r="C64" s="12" t="s">
        <v>141</v>
      </c>
      <c r="D64" s="47"/>
      <c r="E64" s="11">
        <v>902</v>
      </c>
      <c r="F64" s="79">
        <v>3</v>
      </c>
      <c r="G64" s="13">
        <v>1300000</v>
      </c>
      <c r="H64" s="13">
        <v>3900000</v>
      </c>
      <c r="I64" s="66">
        <v>2418</v>
      </c>
      <c r="J64" s="66">
        <v>2420</v>
      </c>
      <c r="K64" s="67">
        <v>2</v>
      </c>
      <c r="L64" s="67">
        <v>0</v>
      </c>
      <c r="M64" s="20">
        <v>0</v>
      </c>
      <c r="N64" s="67">
        <v>0</v>
      </c>
      <c r="O64" s="20">
        <v>0</v>
      </c>
      <c r="P64" s="67">
        <v>0</v>
      </c>
      <c r="Q64" s="20">
        <v>0</v>
      </c>
      <c r="R64" s="20">
        <v>0</v>
      </c>
      <c r="S64" s="20">
        <v>0</v>
      </c>
      <c r="T64" s="20">
        <v>2</v>
      </c>
      <c r="U64" s="20">
        <v>62100</v>
      </c>
      <c r="V64" s="20">
        <v>62100</v>
      </c>
      <c r="W64" s="12"/>
      <c r="X64" s="110">
        <v>1</v>
      </c>
      <c r="Y64" s="111">
        <v>98182</v>
      </c>
      <c r="Z64" s="111">
        <v>98182</v>
      </c>
      <c r="AA64" s="111">
        <v>5</v>
      </c>
      <c r="AB64" s="111">
        <v>98182</v>
      </c>
      <c r="AC64" s="111">
        <v>490910</v>
      </c>
      <c r="AD64" s="111"/>
      <c r="AE64" s="112">
        <v>932727</v>
      </c>
      <c r="AF64" s="108">
        <v>0</v>
      </c>
      <c r="AG64" s="111"/>
      <c r="AH64" s="108"/>
      <c r="AI64" s="108"/>
      <c r="AJ64" s="113"/>
      <c r="AK64" s="113"/>
      <c r="AL64" s="109">
        <v>0</v>
      </c>
      <c r="AM64" s="128">
        <v>589092</v>
      </c>
      <c r="AN64" s="130"/>
      <c r="AO64" s="131">
        <v>3</v>
      </c>
      <c r="AP64" s="131">
        <v>130000</v>
      </c>
      <c r="AQ64" s="131">
        <v>390000</v>
      </c>
      <c r="AR64" s="131">
        <v>119</v>
      </c>
      <c r="AS64" s="131">
        <v>0</v>
      </c>
      <c r="AT64" s="131">
        <v>0</v>
      </c>
      <c r="AU64" s="131">
        <v>0</v>
      </c>
      <c r="AV64" s="131">
        <v>0</v>
      </c>
      <c r="AW64" s="1" t="s">
        <v>8</v>
      </c>
    </row>
    <row r="65" spans="1:48" x14ac:dyDescent="0.3">
      <c r="A65" s="11">
        <f t="shared" si="0"/>
        <v>59</v>
      </c>
      <c r="B65" s="22">
        <f t="shared" si="1"/>
        <v>59</v>
      </c>
      <c r="C65" s="12" t="s">
        <v>142</v>
      </c>
      <c r="D65" s="47"/>
      <c r="E65" s="11">
        <v>903</v>
      </c>
      <c r="F65" s="79">
        <v>0</v>
      </c>
      <c r="G65" s="13">
        <v>0</v>
      </c>
      <c r="H65" s="13">
        <v>0</v>
      </c>
      <c r="I65" s="66">
        <v>3971</v>
      </c>
      <c r="J65" s="66">
        <v>3995</v>
      </c>
      <c r="K65" s="67">
        <v>24</v>
      </c>
      <c r="L65" s="67">
        <v>10</v>
      </c>
      <c r="M65" s="20">
        <v>86250</v>
      </c>
      <c r="N65" s="67">
        <v>10</v>
      </c>
      <c r="O65" s="20">
        <v>101200</v>
      </c>
      <c r="P65" s="67">
        <v>4</v>
      </c>
      <c r="Q65" s="20">
        <v>55200</v>
      </c>
      <c r="R65" s="20">
        <v>0</v>
      </c>
      <c r="S65" s="20">
        <v>0</v>
      </c>
      <c r="T65" s="20">
        <v>0</v>
      </c>
      <c r="U65" s="20">
        <v>0</v>
      </c>
      <c r="V65" s="20">
        <v>242650</v>
      </c>
      <c r="W65" s="12"/>
      <c r="X65" s="110">
        <v>2</v>
      </c>
      <c r="Y65" s="111">
        <v>44182</v>
      </c>
      <c r="Z65" s="111">
        <v>88364</v>
      </c>
      <c r="AA65" s="111">
        <v>0</v>
      </c>
      <c r="AB65" s="111">
        <v>98182</v>
      </c>
      <c r="AC65" s="111">
        <v>0</v>
      </c>
      <c r="AD65" s="111"/>
      <c r="AE65" s="112">
        <v>932727</v>
      </c>
      <c r="AF65" s="108">
        <v>0</v>
      </c>
      <c r="AG65" s="111"/>
      <c r="AH65" s="108"/>
      <c r="AI65" s="108"/>
      <c r="AJ65" s="113"/>
      <c r="AK65" s="113"/>
      <c r="AL65" s="109">
        <v>0</v>
      </c>
      <c r="AM65" s="128">
        <v>88364</v>
      </c>
      <c r="AN65" s="130"/>
      <c r="AO65" s="131">
        <v>0</v>
      </c>
      <c r="AP65" s="131">
        <v>0</v>
      </c>
      <c r="AQ65" s="131">
        <v>0</v>
      </c>
      <c r="AR65" s="138">
        <v>152.5</v>
      </c>
      <c r="AS65" s="131">
        <v>0</v>
      </c>
      <c r="AT65" s="131">
        <v>0</v>
      </c>
      <c r="AU65" s="131">
        <v>0</v>
      </c>
      <c r="AV65" s="131">
        <v>0</v>
      </c>
    </row>
    <row r="66" spans="1:48" x14ac:dyDescent="0.3">
      <c r="A66" s="11">
        <f t="shared" si="0"/>
        <v>60</v>
      </c>
      <c r="B66" s="22">
        <f t="shared" si="1"/>
        <v>60</v>
      </c>
      <c r="C66" s="12" t="s">
        <v>143</v>
      </c>
      <c r="D66" s="47"/>
      <c r="E66" s="11">
        <v>904</v>
      </c>
      <c r="F66" s="79">
        <v>0</v>
      </c>
      <c r="G66" s="13">
        <v>0</v>
      </c>
      <c r="H66" s="13">
        <v>0</v>
      </c>
      <c r="I66" s="66">
        <v>5686</v>
      </c>
      <c r="J66" s="66">
        <v>5689</v>
      </c>
      <c r="K66" s="67">
        <v>3</v>
      </c>
      <c r="L66" s="67">
        <v>3</v>
      </c>
      <c r="M66" s="20">
        <v>25875</v>
      </c>
      <c r="N66" s="67">
        <v>0</v>
      </c>
      <c r="O66" s="20">
        <v>0</v>
      </c>
      <c r="P66" s="67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25875</v>
      </c>
      <c r="W66" s="12"/>
      <c r="X66" s="110">
        <v>2</v>
      </c>
      <c r="Y66" s="111">
        <v>44182</v>
      </c>
      <c r="Z66" s="111">
        <v>88364</v>
      </c>
      <c r="AA66" s="111">
        <v>0</v>
      </c>
      <c r="AB66" s="111">
        <v>98182</v>
      </c>
      <c r="AC66" s="111">
        <v>0</v>
      </c>
      <c r="AD66" s="111">
        <v>1</v>
      </c>
      <c r="AE66" s="112">
        <v>932727</v>
      </c>
      <c r="AF66" s="108">
        <v>932727</v>
      </c>
      <c r="AG66" s="111"/>
      <c r="AH66" s="108"/>
      <c r="AI66" s="108"/>
      <c r="AJ66" s="113"/>
      <c r="AK66" s="113"/>
      <c r="AL66" s="109">
        <v>0</v>
      </c>
      <c r="AM66" s="128">
        <v>1021091</v>
      </c>
      <c r="AN66" s="130"/>
      <c r="AO66" s="131">
        <v>0</v>
      </c>
      <c r="AP66" s="131">
        <v>0</v>
      </c>
      <c r="AQ66" s="131">
        <v>0</v>
      </c>
      <c r="AR66" s="131">
        <v>151</v>
      </c>
      <c r="AS66" s="131">
        <v>0</v>
      </c>
      <c r="AT66" s="131">
        <v>0</v>
      </c>
      <c r="AU66" s="131">
        <v>0</v>
      </c>
      <c r="AV66" s="131">
        <v>0</v>
      </c>
    </row>
    <row r="67" spans="1:48" x14ac:dyDescent="0.3">
      <c r="A67" s="11">
        <f t="shared" si="0"/>
        <v>61</v>
      </c>
      <c r="B67" s="22">
        <f t="shared" si="1"/>
        <v>61</v>
      </c>
      <c r="C67" s="12" t="s">
        <v>144</v>
      </c>
      <c r="D67" s="47"/>
      <c r="E67" s="11">
        <v>905</v>
      </c>
      <c r="F67" s="79">
        <v>0</v>
      </c>
      <c r="G67" s="13">
        <v>0</v>
      </c>
      <c r="H67" s="13">
        <v>0</v>
      </c>
      <c r="I67" s="66">
        <v>804</v>
      </c>
      <c r="J67" s="66">
        <v>829</v>
      </c>
      <c r="K67" s="67">
        <v>25</v>
      </c>
      <c r="L67" s="67">
        <v>10</v>
      </c>
      <c r="M67" s="20">
        <v>86250</v>
      </c>
      <c r="N67" s="67">
        <v>10</v>
      </c>
      <c r="O67" s="20">
        <v>101200</v>
      </c>
      <c r="P67" s="67">
        <v>5</v>
      </c>
      <c r="Q67" s="20">
        <v>69000</v>
      </c>
      <c r="R67" s="20">
        <v>0</v>
      </c>
      <c r="S67" s="20">
        <v>0</v>
      </c>
      <c r="T67" s="20">
        <v>0</v>
      </c>
      <c r="U67" s="20">
        <v>0</v>
      </c>
      <c r="V67" s="20">
        <v>256450</v>
      </c>
      <c r="W67" s="12"/>
      <c r="X67" s="110">
        <v>2</v>
      </c>
      <c r="Y67" s="111">
        <v>44182</v>
      </c>
      <c r="Z67" s="111">
        <v>88364</v>
      </c>
      <c r="AA67" s="111">
        <v>0</v>
      </c>
      <c r="AB67" s="111">
        <v>98182</v>
      </c>
      <c r="AC67" s="111">
        <v>0</v>
      </c>
      <c r="AD67" s="111"/>
      <c r="AE67" s="112">
        <v>932727</v>
      </c>
      <c r="AF67" s="108">
        <v>0</v>
      </c>
      <c r="AG67" s="111"/>
      <c r="AH67" s="108"/>
      <c r="AI67" s="108"/>
      <c r="AJ67" s="113"/>
      <c r="AK67" s="113"/>
      <c r="AL67" s="109">
        <v>0</v>
      </c>
      <c r="AM67" s="128">
        <v>88364</v>
      </c>
      <c r="AN67" s="130"/>
      <c r="AO67" s="131">
        <v>0</v>
      </c>
      <c r="AP67" s="131">
        <v>0</v>
      </c>
      <c r="AQ67" s="131">
        <v>0</v>
      </c>
      <c r="AR67" s="131">
        <v>117</v>
      </c>
      <c r="AS67" s="131">
        <v>0</v>
      </c>
      <c r="AT67" s="131">
        <v>0</v>
      </c>
      <c r="AU67" s="131">
        <v>0</v>
      </c>
      <c r="AV67" s="131">
        <v>0</v>
      </c>
    </row>
    <row r="68" spans="1:48" x14ac:dyDescent="0.3">
      <c r="A68" s="11">
        <f t="shared" si="0"/>
        <v>62</v>
      </c>
      <c r="B68" s="22">
        <f t="shared" si="1"/>
        <v>62</v>
      </c>
      <c r="C68" s="12" t="s">
        <v>145</v>
      </c>
      <c r="D68" s="47"/>
      <c r="E68" s="11">
        <v>906</v>
      </c>
      <c r="F68" s="79">
        <v>0</v>
      </c>
      <c r="G68" s="13">
        <v>0</v>
      </c>
      <c r="H68" s="13">
        <v>0</v>
      </c>
      <c r="I68" s="66">
        <v>4721</v>
      </c>
      <c r="J68" s="66">
        <v>4750</v>
      </c>
      <c r="K68" s="67">
        <v>29</v>
      </c>
      <c r="L68" s="67">
        <v>10</v>
      </c>
      <c r="M68" s="20">
        <v>86250</v>
      </c>
      <c r="N68" s="67">
        <v>10</v>
      </c>
      <c r="O68" s="20">
        <v>101200</v>
      </c>
      <c r="P68" s="67">
        <v>9</v>
      </c>
      <c r="Q68" s="20">
        <v>124200</v>
      </c>
      <c r="R68" s="20">
        <v>0</v>
      </c>
      <c r="S68" s="20">
        <v>0</v>
      </c>
      <c r="T68" s="20">
        <v>0</v>
      </c>
      <c r="U68" s="20">
        <v>0</v>
      </c>
      <c r="V68" s="20">
        <v>311650</v>
      </c>
      <c r="W68" s="12"/>
      <c r="X68" s="110">
        <v>1</v>
      </c>
      <c r="Y68" s="111">
        <v>44182</v>
      </c>
      <c r="Z68" s="111">
        <v>44182</v>
      </c>
      <c r="AA68" s="111">
        <v>0</v>
      </c>
      <c r="AB68" s="111">
        <v>98182</v>
      </c>
      <c r="AC68" s="111">
        <v>0</v>
      </c>
      <c r="AD68" s="111">
        <v>1</v>
      </c>
      <c r="AE68" s="112">
        <v>932727</v>
      </c>
      <c r="AF68" s="108">
        <v>932727</v>
      </c>
      <c r="AG68" s="111"/>
      <c r="AH68" s="108"/>
      <c r="AI68" s="108"/>
      <c r="AJ68" s="113"/>
      <c r="AK68" s="113"/>
      <c r="AL68" s="109">
        <v>0</v>
      </c>
      <c r="AM68" s="128">
        <v>976909</v>
      </c>
      <c r="AN68" s="130"/>
      <c r="AO68" s="131">
        <v>0</v>
      </c>
      <c r="AP68" s="131">
        <v>0</v>
      </c>
      <c r="AQ68" s="131">
        <v>0</v>
      </c>
      <c r="AR68" s="138">
        <v>152.5</v>
      </c>
      <c r="AS68" s="131">
        <v>0</v>
      </c>
      <c r="AT68" s="131">
        <v>0</v>
      </c>
      <c r="AU68" s="131">
        <v>0</v>
      </c>
      <c r="AV68" s="131">
        <v>0</v>
      </c>
    </row>
    <row r="69" spans="1:48" x14ac:dyDescent="0.3">
      <c r="A69" s="11">
        <f t="shared" si="0"/>
        <v>63</v>
      </c>
      <c r="B69" s="22">
        <f t="shared" si="1"/>
        <v>63</v>
      </c>
      <c r="C69" s="12" t="s">
        <v>146</v>
      </c>
      <c r="D69" s="47"/>
      <c r="E69" s="11">
        <v>907</v>
      </c>
      <c r="F69" s="79">
        <v>0</v>
      </c>
      <c r="G69" s="13">
        <v>0</v>
      </c>
      <c r="H69" s="13">
        <v>0</v>
      </c>
      <c r="I69" s="66">
        <v>4557</v>
      </c>
      <c r="J69" s="66">
        <v>4571</v>
      </c>
      <c r="K69" s="67">
        <v>14</v>
      </c>
      <c r="L69" s="67">
        <v>10</v>
      </c>
      <c r="M69" s="20">
        <v>86250</v>
      </c>
      <c r="N69" s="67">
        <v>4</v>
      </c>
      <c r="O69" s="20">
        <v>40480</v>
      </c>
      <c r="P69" s="67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126730</v>
      </c>
      <c r="W69" s="12"/>
      <c r="X69" s="110">
        <v>2</v>
      </c>
      <c r="Y69" s="111">
        <v>44182</v>
      </c>
      <c r="Z69" s="111">
        <v>88364</v>
      </c>
      <c r="AA69" s="111">
        <v>0</v>
      </c>
      <c r="AB69" s="111">
        <v>98182</v>
      </c>
      <c r="AC69" s="111">
        <v>0</v>
      </c>
      <c r="AD69" s="115"/>
      <c r="AE69" s="112">
        <v>932727</v>
      </c>
      <c r="AF69" s="108">
        <v>0</v>
      </c>
      <c r="AG69" s="115"/>
      <c r="AH69" s="108"/>
      <c r="AI69" s="108"/>
      <c r="AJ69" s="113">
        <v>1</v>
      </c>
      <c r="AK69" s="113">
        <v>9818</v>
      </c>
      <c r="AL69" s="109">
        <v>9818</v>
      </c>
      <c r="AM69" s="128">
        <v>98182</v>
      </c>
      <c r="AN69" s="130"/>
      <c r="AO69" s="131">
        <v>0</v>
      </c>
      <c r="AP69" s="131">
        <v>0</v>
      </c>
      <c r="AQ69" s="131">
        <v>0</v>
      </c>
      <c r="AR69" s="131">
        <v>119</v>
      </c>
      <c r="AS69" s="131">
        <v>0</v>
      </c>
      <c r="AT69" s="131">
        <v>0</v>
      </c>
      <c r="AU69" s="131">
        <v>0</v>
      </c>
      <c r="AV69" s="131">
        <v>110000</v>
      </c>
    </row>
    <row r="70" spans="1:48" x14ac:dyDescent="0.3">
      <c r="A70" s="11">
        <f t="shared" si="0"/>
        <v>64</v>
      </c>
      <c r="B70" s="22">
        <f t="shared" si="1"/>
        <v>64</v>
      </c>
      <c r="C70" s="12" t="s">
        <v>147</v>
      </c>
      <c r="D70" s="47"/>
      <c r="E70" s="11">
        <v>908</v>
      </c>
      <c r="F70" s="79">
        <v>0</v>
      </c>
      <c r="G70" s="13">
        <v>0</v>
      </c>
      <c r="H70" s="13">
        <v>0</v>
      </c>
      <c r="I70" s="66">
        <v>1559</v>
      </c>
      <c r="J70" s="66">
        <v>1578</v>
      </c>
      <c r="K70" s="67">
        <v>19</v>
      </c>
      <c r="L70" s="67">
        <v>10</v>
      </c>
      <c r="M70" s="20">
        <v>86250</v>
      </c>
      <c r="N70" s="67">
        <v>9</v>
      </c>
      <c r="O70" s="20">
        <v>91080</v>
      </c>
      <c r="P70" s="67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177330</v>
      </c>
      <c r="W70" s="12"/>
      <c r="X70" s="110">
        <v>1</v>
      </c>
      <c r="Y70" s="111">
        <v>44182</v>
      </c>
      <c r="Z70" s="111">
        <v>44182</v>
      </c>
      <c r="AA70" s="111">
        <v>0</v>
      </c>
      <c r="AB70" s="111">
        <v>98182</v>
      </c>
      <c r="AC70" s="111">
        <v>0</v>
      </c>
      <c r="AD70" s="115">
        <v>1</v>
      </c>
      <c r="AE70" s="112">
        <v>932727</v>
      </c>
      <c r="AF70" s="108">
        <v>932727</v>
      </c>
      <c r="AG70" s="115"/>
      <c r="AH70" s="108"/>
      <c r="AI70" s="108"/>
      <c r="AJ70" s="113"/>
      <c r="AK70" s="113"/>
      <c r="AL70" s="109">
        <v>0</v>
      </c>
      <c r="AM70" s="128">
        <v>976909</v>
      </c>
      <c r="AN70" s="130"/>
      <c r="AO70" s="131">
        <v>0</v>
      </c>
      <c r="AP70" s="131">
        <v>0</v>
      </c>
      <c r="AQ70" s="131">
        <v>0</v>
      </c>
      <c r="AR70" s="131">
        <v>115</v>
      </c>
      <c r="AS70" s="131">
        <v>0</v>
      </c>
      <c r="AT70" s="131">
        <v>0</v>
      </c>
      <c r="AU70" s="131">
        <v>0</v>
      </c>
      <c r="AV70" s="131">
        <v>0</v>
      </c>
    </row>
    <row r="71" spans="1:48" x14ac:dyDescent="0.3">
      <c r="A71" s="11">
        <f t="shared" si="0"/>
        <v>65</v>
      </c>
      <c r="B71" s="22">
        <f t="shared" si="1"/>
        <v>65</v>
      </c>
      <c r="C71" s="12" t="s">
        <v>148</v>
      </c>
      <c r="D71" s="47"/>
      <c r="E71" s="11">
        <v>1001</v>
      </c>
      <c r="F71" s="79">
        <v>0</v>
      </c>
      <c r="G71" s="13">
        <v>0</v>
      </c>
      <c r="H71" s="13">
        <v>0</v>
      </c>
      <c r="I71" s="66">
        <v>2271</v>
      </c>
      <c r="J71" s="66">
        <v>2297</v>
      </c>
      <c r="K71" s="67">
        <v>26</v>
      </c>
      <c r="L71" s="67">
        <v>10</v>
      </c>
      <c r="M71" s="20">
        <v>86250</v>
      </c>
      <c r="N71" s="67">
        <v>10</v>
      </c>
      <c r="O71" s="20">
        <v>101200</v>
      </c>
      <c r="P71" s="67">
        <v>6</v>
      </c>
      <c r="Q71" s="20">
        <v>82800</v>
      </c>
      <c r="R71" s="20">
        <v>0</v>
      </c>
      <c r="S71" s="20">
        <v>0</v>
      </c>
      <c r="T71" s="20">
        <v>0</v>
      </c>
      <c r="U71" s="20">
        <v>0</v>
      </c>
      <c r="V71" s="20">
        <v>270250</v>
      </c>
      <c r="W71" s="12"/>
      <c r="X71" s="110">
        <v>2</v>
      </c>
      <c r="Y71" s="111">
        <v>44182</v>
      </c>
      <c r="Z71" s="111">
        <v>88364</v>
      </c>
      <c r="AA71" s="111">
        <v>0</v>
      </c>
      <c r="AB71" s="111">
        <v>98182</v>
      </c>
      <c r="AC71" s="111">
        <v>0</v>
      </c>
      <c r="AD71" s="111"/>
      <c r="AE71" s="112">
        <v>932727</v>
      </c>
      <c r="AF71" s="108">
        <v>0</v>
      </c>
      <c r="AG71" s="111"/>
      <c r="AH71" s="108"/>
      <c r="AI71" s="108"/>
      <c r="AJ71" s="113"/>
      <c r="AK71" s="113"/>
      <c r="AL71" s="109">
        <v>0</v>
      </c>
      <c r="AM71" s="128">
        <v>88364</v>
      </c>
      <c r="AN71" s="130"/>
      <c r="AO71" s="131">
        <v>0</v>
      </c>
      <c r="AP71" s="131">
        <v>0</v>
      </c>
      <c r="AQ71" s="131">
        <v>0</v>
      </c>
      <c r="AR71" s="131">
        <v>115</v>
      </c>
      <c r="AS71" s="131">
        <v>0</v>
      </c>
      <c r="AT71" s="131">
        <v>0</v>
      </c>
      <c r="AU71" s="131">
        <v>0</v>
      </c>
      <c r="AV71" s="131">
        <v>0</v>
      </c>
    </row>
    <row r="72" spans="1:48" x14ac:dyDescent="0.3">
      <c r="A72" s="11">
        <f t="shared" si="0"/>
        <v>66</v>
      </c>
      <c r="B72" s="22">
        <f t="shared" si="1"/>
        <v>66</v>
      </c>
      <c r="C72" s="12" t="s">
        <v>149</v>
      </c>
      <c r="D72" s="47"/>
      <c r="E72" s="11">
        <v>1002</v>
      </c>
      <c r="F72" s="79">
        <v>0</v>
      </c>
      <c r="G72" s="13">
        <v>0</v>
      </c>
      <c r="H72" s="13">
        <v>0</v>
      </c>
      <c r="I72" s="66">
        <v>2436</v>
      </c>
      <c r="J72" s="66">
        <v>2442</v>
      </c>
      <c r="K72" s="67">
        <v>6</v>
      </c>
      <c r="L72" s="67">
        <v>6</v>
      </c>
      <c r="M72" s="20">
        <v>51750</v>
      </c>
      <c r="N72" s="67">
        <v>0</v>
      </c>
      <c r="O72" s="20">
        <v>0</v>
      </c>
      <c r="P72" s="67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51750</v>
      </c>
      <c r="W72" s="12"/>
      <c r="X72" s="110">
        <v>1</v>
      </c>
      <c r="Y72" s="111">
        <v>44182</v>
      </c>
      <c r="Z72" s="111">
        <v>44182</v>
      </c>
      <c r="AA72" s="111">
        <v>0</v>
      </c>
      <c r="AB72" s="111">
        <v>98182</v>
      </c>
      <c r="AC72" s="111">
        <v>0</v>
      </c>
      <c r="AD72" s="111">
        <v>1</v>
      </c>
      <c r="AE72" s="112">
        <v>932727</v>
      </c>
      <c r="AF72" s="108">
        <v>932727</v>
      </c>
      <c r="AG72" s="111"/>
      <c r="AH72" s="108"/>
      <c r="AI72" s="108"/>
      <c r="AJ72" s="113"/>
      <c r="AK72" s="113"/>
      <c r="AL72" s="109">
        <v>0</v>
      </c>
      <c r="AM72" s="128">
        <v>976909</v>
      </c>
      <c r="AN72" s="130"/>
      <c r="AO72" s="131">
        <v>0</v>
      </c>
      <c r="AP72" s="131">
        <v>0</v>
      </c>
      <c r="AQ72" s="131">
        <v>0</v>
      </c>
      <c r="AR72" s="131">
        <v>119</v>
      </c>
      <c r="AS72" s="131">
        <v>0</v>
      </c>
      <c r="AT72" s="131">
        <v>0</v>
      </c>
      <c r="AU72" s="131">
        <v>0</v>
      </c>
      <c r="AV72" s="131">
        <v>0</v>
      </c>
    </row>
    <row r="73" spans="1:48" x14ac:dyDescent="0.3">
      <c r="A73" s="11">
        <f t="shared" ref="A73:A137" si="2">+A72+1</f>
        <v>67</v>
      </c>
      <c r="B73" s="22">
        <f t="shared" ref="B73:B137" si="3">+B72+1</f>
        <v>67</v>
      </c>
      <c r="C73" s="12" t="s">
        <v>150</v>
      </c>
      <c r="D73" s="47"/>
      <c r="E73" s="11">
        <v>1003</v>
      </c>
      <c r="F73" s="79">
        <v>0</v>
      </c>
      <c r="G73" s="13">
        <v>0</v>
      </c>
      <c r="H73" s="13">
        <v>0</v>
      </c>
      <c r="I73" s="66">
        <v>6679</v>
      </c>
      <c r="J73" s="66">
        <v>6703</v>
      </c>
      <c r="K73" s="67">
        <v>24</v>
      </c>
      <c r="L73" s="67">
        <v>10</v>
      </c>
      <c r="M73" s="20">
        <v>86250</v>
      </c>
      <c r="N73" s="67">
        <v>10</v>
      </c>
      <c r="O73" s="20">
        <v>101200</v>
      </c>
      <c r="P73" s="67">
        <v>4</v>
      </c>
      <c r="Q73" s="20">
        <v>55200</v>
      </c>
      <c r="R73" s="20">
        <v>0</v>
      </c>
      <c r="S73" s="20">
        <v>0</v>
      </c>
      <c r="T73" s="20">
        <v>0</v>
      </c>
      <c r="U73" s="20">
        <v>0</v>
      </c>
      <c r="V73" s="20">
        <v>242650</v>
      </c>
      <c r="W73" s="12"/>
      <c r="X73" s="110">
        <v>1</v>
      </c>
      <c r="Y73" s="111">
        <v>44182</v>
      </c>
      <c r="Z73" s="111">
        <v>44182</v>
      </c>
      <c r="AA73" s="111">
        <v>0</v>
      </c>
      <c r="AB73" s="111">
        <v>98182</v>
      </c>
      <c r="AC73" s="111">
        <v>0</v>
      </c>
      <c r="AD73" s="111">
        <v>1</v>
      </c>
      <c r="AE73" s="112">
        <v>932727</v>
      </c>
      <c r="AF73" s="108">
        <v>932727</v>
      </c>
      <c r="AG73" s="111"/>
      <c r="AH73" s="108"/>
      <c r="AI73" s="108"/>
      <c r="AJ73" s="113"/>
      <c r="AK73" s="113"/>
      <c r="AL73" s="109">
        <v>0</v>
      </c>
      <c r="AM73" s="128">
        <v>976909</v>
      </c>
      <c r="AN73" s="130"/>
      <c r="AO73" s="131">
        <v>0</v>
      </c>
      <c r="AP73" s="131">
        <v>0</v>
      </c>
      <c r="AQ73" s="131">
        <v>0</v>
      </c>
      <c r="AR73" s="138">
        <v>152.5</v>
      </c>
      <c r="AS73" s="131">
        <v>0</v>
      </c>
      <c r="AT73" s="131">
        <v>0</v>
      </c>
      <c r="AU73" s="131">
        <v>0</v>
      </c>
      <c r="AV73" s="131">
        <v>0</v>
      </c>
    </row>
    <row r="74" spans="1:48" x14ac:dyDescent="0.3">
      <c r="A74" s="11">
        <f t="shared" si="2"/>
        <v>68</v>
      </c>
      <c r="B74" s="22">
        <f t="shared" si="3"/>
        <v>68</v>
      </c>
      <c r="C74" s="12" t="s">
        <v>151</v>
      </c>
      <c r="D74" s="47"/>
      <c r="E74" s="11">
        <v>1004</v>
      </c>
      <c r="F74" s="79">
        <v>0</v>
      </c>
      <c r="G74" s="13">
        <v>0</v>
      </c>
      <c r="H74" s="13">
        <v>0</v>
      </c>
      <c r="I74" s="66">
        <v>5488</v>
      </c>
      <c r="J74" s="66">
        <v>5503</v>
      </c>
      <c r="K74" s="67">
        <v>15</v>
      </c>
      <c r="L74" s="67">
        <v>10</v>
      </c>
      <c r="M74" s="20">
        <v>86250</v>
      </c>
      <c r="N74" s="67">
        <v>5</v>
      </c>
      <c r="O74" s="20">
        <v>50600</v>
      </c>
      <c r="P74" s="67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136850</v>
      </c>
      <c r="W74" s="12"/>
      <c r="X74" s="110">
        <v>1</v>
      </c>
      <c r="Y74" s="111">
        <v>44182</v>
      </c>
      <c r="Z74" s="111">
        <v>44182</v>
      </c>
      <c r="AA74" s="111">
        <v>0</v>
      </c>
      <c r="AB74" s="111">
        <v>98182</v>
      </c>
      <c r="AC74" s="111">
        <v>0</v>
      </c>
      <c r="AD74" s="111"/>
      <c r="AE74" s="112">
        <v>932727</v>
      </c>
      <c r="AF74" s="108">
        <v>0</v>
      </c>
      <c r="AG74" s="111"/>
      <c r="AH74" s="108"/>
      <c r="AI74" s="108"/>
      <c r="AJ74" s="113"/>
      <c r="AK74" s="113"/>
      <c r="AL74" s="109">
        <v>0</v>
      </c>
      <c r="AM74" s="128">
        <v>44182</v>
      </c>
      <c r="AN74" s="130"/>
      <c r="AO74" s="131">
        <v>0</v>
      </c>
      <c r="AP74" s="131">
        <v>0</v>
      </c>
      <c r="AQ74" s="131">
        <v>0</v>
      </c>
      <c r="AR74" s="131">
        <v>151</v>
      </c>
      <c r="AS74" s="131">
        <v>0</v>
      </c>
      <c r="AT74" s="131">
        <v>0</v>
      </c>
      <c r="AU74" s="131">
        <v>0</v>
      </c>
      <c r="AV74" s="131">
        <v>0</v>
      </c>
    </row>
    <row r="75" spans="1:48" x14ac:dyDescent="0.3">
      <c r="A75" s="11">
        <f t="shared" si="2"/>
        <v>69</v>
      </c>
      <c r="B75" s="22">
        <f t="shared" si="3"/>
        <v>69</v>
      </c>
      <c r="C75" s="12" t="s">
        <v>152</v>
      </c>
      <c r="D75" s="47"/>
      <c r="E75" s="11">
        <v>1005</v>
      </c>
      <c r="F75" s="79">
        <v>0</v>
      </c>
      <c r="G75" s="13">
        <v>0</v>
      </c>
      <c r="H75" s="13">
        <v>0</v>
      </c>
      <c r="I75" s="66">
        <v>1690</v>
      </c>
      <c r="J75" s="66">
        <v>1707</v>
      </c>
      <c r="K75" s="67">
        <v>17</v>
      </c>
      <c r="L75" s="67">
        <v>10</v>
      </c>
      <c r="M75" s="20">
        <v>86250</v>
      </c>
      <c r="N75" s="67">
        <v>7</v>
      </c>
      <c r="O75" s="20">
        <v>70840</v>
      </c>
      <c r="P75" s="67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157090</v>
      </c>
      <c r="W75" s="12"/>
      <c r="X75" s="110">
        <v>1</v>
      </c>
      <c r="Y75" s="111">
        <v>44182</v>
      </c>
      <c r="Z75" s="111">
        <v>44182</v>
      </c>
      <c r="AA75" s="111">
        <v>0</v>
      </c>
      <c r="AB75" s="111">
        <v>98182</v>
      </c>
      <c r="AC75" s="111">
        <v>0</v>
      </c>
      <c r="AD75" s="111"/>
      <c r="AE75" s="112">
        <v>932727</v>
      </c>
      <c r="AF75" s="108">
        <v>0</v>
      </c>
      <c r="AG75" s="111"/>
      <c r="AH75" s="108"/>
      <c r="AI75" s="108"/>
      <c r="AJ75" s="113">
        <v>1</v>
      </c>
      <c r="AK75" s="113">
        <v>9818</v>
      </c>
      <c r="AL75" s="109">
        <v>9818</v>
      </c>
      <c r="AM75" s="128">
        <v>54000</v>
      </c>
      <c r="AN75" s="130"/>
      <c r="AO75" s="131">
        <v>0</v>
      </c>
      <c r="AP75" s="131">
        <v>0</v>
      </c>
      <c r="AQ75" s="131">
        <v>0</v>
      </c>
      <c r="AR75" s="131">
        <v>117</v>
      </c>
      <c r="AS75" s="131">
        <v>0</v>
      </c>
      <c r="AT75" s="131">
        <v>0</v>
      </c>
      <c r="AU75" s="131">
        <v>0</v>
      </c>
      <c r="AV75" s="131">
        <v>0</v>
      </c>
    </row>
    <row r="76" spans="1:48" x14ac:dyDescent="0.3">
      <c r="A76" s="11">
        <f t="shared" si="2"/>
        <v>70</v>
      </c>
      <c r="B76" s="22">
        <f t="shared" si="3"/>
        <v>70</v>
      </c>
      <c r="C76" s="12" t="s">
        <v>153</v>
      </c>
      <c r="D76" s="47"/>
      <c r="E76" s="11">
        <v>1006</v>
      </c>
      <c r="F76" s="79">
        <v>0</v>
      </c>
      <c r="G76" s="13">
        <v>0</v>
      </c>
      <c r="H76" s="13">
        <v>0</v>
      </c>
      <c r="I76" s="66">
        <v>4361</v>
      </c>
      <c r="J76" s="66">
        <v>4390</v>
      </c>
      <c r="K76" s="67">
        <v>29</v>
      </c>
      <c r="L76" s="67">
        <v>10</v>
      </c>
      <c r="M76" s="20">
        <v>86250</v>
      </c>
      <c r="N76" s="67">
        <v>10</v>
      </c>
      <c r="O76" s="20">
        <v>101200</v>
      </c>
      <c r="P76" s="67">
        <v>9</v>
      </c>
      <c r="Q76" s="20">
        <v>124200</v>
      </c>
      <c r="R76" s="20">
        <v>0</v>
      </c>
      <c r="S76" s="20">
        <v>0</v>
      </c>
      <c r="T76" s="20">
        <v>0</v>
      </c>
      <c r="U76" s="20">
        <v>0</v>
      </c>
      <c r="V76" s="20">
        <v>311650</v>
      </c>
      <c r="W76" s="12"/>
      <c r="X76" s="110">
        <v>4</v>
      </c>
      <c r="Y76" s="111">
        <v>44182</v>
      </c>
      <c r="Z76" s="111">
        <v>176728</v>
      </c>
      <c r="AA76" s="111">
        <v>0</v>
      </c>
      <c r="AB76" s="111">
        <v>98182</v>
      </c>
      <c r="AC76" s="111">
        <v>0</v>
      </c>
      <c r="AD76" s="111"/>
      <c r="AE76" s="112">
        <v>932727</v>
      </c>
      <c r="AF76" s="108">
        <v>0</v>
      </c>
      <c r="AG76" s="111"/>
      <c r="AH76" s="108"/>
      <c r="AI76" s="108"/>
      <c r="AJ76" s="113">
        <v>1</v>
      </c>
      <c r="AK76" s="113">
        <v>9818</v>
      </c>
      <c r="AL76" s="109">
        <v>9818</v>
      </c>
      <c r="AM76" s="128">
        <v>186546</v>
      </c>
      <c r="AN76" s="130"/>
      <c r="AO76" s="131">
        <v>0</v>
      </c>
      <c r="AP76" s="131">
        <v>0</v>
      </c>
      <c r="AQ76" s="131">
        <v>0</v>
      </c>
      <c r="AR76" s="138">
        <v>152.5</v>
      </c>
      <c r="AS76" s="131">
        <v>0</v>
      </c>
      <c r="AT76" s="131">
        <v>0</v>
      </c>
      <c r="AU76" s="131">
        <v>0</v>
      </c>
      <c r="AV76" s="131">
        <v>0</v>
      </c>
    </row>
    <row r="77" spans="1:48" x14ac:dyDescent="0.3">
      <c r="A77" s="11">
        <f t="shared" si="2"/>
        <v>71</v>
      </c>
      <c r="B77" s="22">
        <f t="shared" si="3"/>
        <v>71</v>
      </c>
      <c r="C77" s="12" t="s">
        <v>154</v>
      </c>
      <c r="D77" s="47"/>
      <c r="E77" s="11">
        <v>1007</v>
      </c>
      <c r="F77" s="79">
        <v>0</v>
      </c>
      <c r="G77" s="13">
        <v>0</v>
      </c>
      <c r="H77" s="13">
        <v>0</v>
      </c>
      <c r="I77" s="66">
        <v>3628</v>
      </c>
      <c r="J77" s="66">
        <v>3644</v>
      </c>
      <c r="K77" s="67">
        <v>16</v>
      </c>
      <c r="L77" s="67">
        <v>10</v>
      </c>
      <c r="M77" s="20">
        <v>86250</v>
      </c>
      <c r="N77" s="67">
        <v>6</v>
      </c>
      <c r="O77" s="20">
        <v>60720</v>
      </c>
      <c r="P77" s="67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146970</v>
      </c>
      <c r="W77" s="12"/>
      <c r="X77" s="119">
        <v>5</v>
      </c>
      <c r="Y77" s="111">
        <v>44182</v>
      </c>
      <c r="Z77" s="111">
        <v>220910</v>
      </c>
      <c r="AA77" s="111">
        <v>0</v>
      </c>
      <c r="AB77" s="111">
        <v>98182</v>
      </c>
      <c r="AC77" s="111">
        <v>0</v>
      </c>
      <c r="AD77" s="120"/>
      <c r="AE77" s="112">
        <v>932727</v>
      </c>
      <c r="AF77" s="108">
        <v>0</v>
      </c>
      <c r="AG77" s="120"/>
      <c r="AH77" s="108"/>
      <c r="AI77" s="108"/>
      <c r="AJ77" s="113"/>
      <c r="AK77" s="113"/>
      <c r="AL77" s="109">
        <v>0</v>
      </c>
      <c r="AM77" s="128">
        <v>220910</v>
      </c>
      <c r="AN77" s="130"/>
      <c r="AO77" s="131">
        <v>0</v>
      </c>
      <c r="AP77" s="131">
        <v>0</v>
      </c>
      <c r="AQ77" s="131">
        <v>0</v>
      </c>
      <c r="AR77" s="131">
        <v>119</v>
      </c>
      <c r="AS77" s="131">
        <v>0</v>
      </c>
      <c r="AT77" s="131">
        <v>0</v>
      </c>
      <c r="AU77" s="131">
        <v>0</v>
      </c>
      <c r="AV77" s="131">
        <v>0</v>
      </c>
    </row>
    <row r="78" spans="1:48" x14ac:dyDescent="0.3">
      <c r="A78" s="11">
        <f t="shared" si="2"/>
        <v>72</v>
      </c>
      <c r="B78" s="22">
        <f t="shared" si="3"/>
        <v>72</v>
      </c>
      <c r="C78" s="18" t="s">
        <v>155</v>
      </c>
      <c r="D78" s="48"/>
      <c r="E78" s="11">
        <v>1008</v>
      </c>
      <c r="F78" s="79">
        <v>0</v>
      </c>
      <c r="G78" s="13">
        <v>0</v>
      </c>
      <c r="H78" s="13">
        <v>0</v>
      </c>
      <c r="I78" s="66">
        <v>2649</v>
      </c>
      <c r="J78" s="66">
        <v>2659</v>
      </c>
      <c r="K78" s="67">
        <v>10</v>
      </c>
      <c r="L78" s="67">
        <v>10</v>
      </c>
      <c r="M78" s="20">
        <v>86250</v>
      </c>
      <c r="N78" s="67">
        <v>0</v>
      </c>
      <c r="O78" s="20">
        <v>0</v>
      </c>
      <c r="P78" s="67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86250</v>
      </c>
      <c r="W78" s="12"/>
      <c r="X78" s="119">
        <v>1</v>
      </c>
      <c r="Y78" s="111">
        <v>44182</v>
      </c>
      <c r="Z78" s="111">
        <v>44182</v>
      </c>
      <c r="AA78" s="111">
        <v>0</v>
      </c>
      <c r="AB78" s="111">
        <v>98182</v>
      </c>
      <c r="AC78" s="111">
        <v>0</v>
      </c>
      <c r="AD78" s="120"/>
      <c r="AE78" s="112">
        <v>932727</v>
      </c>
      <c r="AF78" s="108">
        <v>0</v>
      </c>
      <c r="AG78" s="120"/>
      <c r="AH78" s="108"/>
      <c r="AI78" s="108"/>
      <c r="AJ78" s="113"/>
      <c r="AK78" s="113"/>
      <c r="AL78" s="109">
        <v>0</v>
      </c>
      <c r="AM78" s="128">
        <v>44182</v>
      </c>
      <c r="AN78" s="130"/>
      <c r="AO78" s="131">
        <v>0</v>
      </c>
      <c r="AP78" s="131">
        <v>0</v>
      </c>
      <c r="AQ78" s="131">
        <v>0</v>
      </c>
      <c r="AR78" s="131">
        <v>115</v>
      </c>
      <c r="AS78" s="131">
        <v>0</v>
      </c>
      <c r="AT78" s="131">
        <v>0</v>
      </c>
      <c r="AU78" s="131">
        <v>0</v>
      </c>
      <c r="AV78" s="131">
        <v>0</v>
      </c>
    </row>
    <row r="79" spans="1:48" x14ac:dyDescent="0.3">
      <c r="A79" s="11">
        <f t="shared" si="2"/>
        <v>73</v>
      </c>
      <c r="B79" s="22">
        <f t="shared" si="3"/>
        <v>73</v>
      </c>
      <c r="C79" s="12" t="s">
        <v>156</v>
      </c>
      <c r="D79" s="47"/>
      <c r="E79" s="11">
        <v>1101</v>
      </c>
      <c r="F79" s="79">
        <v>0</v>
      </c>
      <c r="G79" s="13">
        <v>0</v>
      </c>
      <c r="H79" s="13">
        <v>0</v>
      </c>
      <c r="I79" s="66">
        <v>2770</v>
      </c>
      <c r="J79" s="66">
        <v>2787</v>
      </c>
      <c r="K79" s="67">
        <v>17</v>
      </c>
      <c r="L79" s="67">
        <v>10</v>
      </c>
      <c r="M79" s="20">
        <v>86250</v>
      </c>
      <c r="N79" s="67">
        <v>7</v>
      </c>
      <c r="O79" s="20">
        <v>70840</v>
      </c>
      <c r="P79" s="67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157090</v>
      </c>
      <c r="W79" s="12"/>
      <c r="X79" s="121">
        <v>0</v>
      </c>
      <c r="Y79" s="111">
        <v>44182</v>
      </c>
      <c r="Z79" s="111">
        <v>0</v>
      </c>
      <c r="AA79" s="111">
        <v>0</v>
      </c>
      <c r="AB79" s="111">
        <v>98182</v>
      </c>
      <c r="AC79" s="111">
        <v>0</v>
      </c>
      <c r="AD79" s="120"/>
      <c r="AE79" s="112">
        <v>932727</v>
      </c>
      <c r="AF79" s="108">
        <v>0</v>
      </c>
      <c r="AG79" s="120"/>
      <c r="AH79" s="108"/>
      <c r="AI79" s="108"/>
      <c r="AJ79" s="113"/>
      <c r="AK79" s="113"/>
      <c r="AL79" s="109">
        <v>0</v>
      </c>
      <c r="AM79" s="128">
        <v>0</v>
      </c>
      <c r="AN79" s="130"/>
      <c r="AO79" s="131">
        <v>0</v>
      </c>
      <c r="AP79" s="131">
        <v>0</v>
      </c>
      <c r="AQ79" s="131">
        <v>0</v>
      </c>
      <c r="AR79" s="131">
        <v>115</v>
      </c>
      <c r="AS79" s="131">
        <v>0</v>
      </c>
      <c r="AT79" s="131">
        <v>0</v>
      </c>
      <c r="AU79" s="131">
        <v>0</v>
      </c>
      <c r="AV79" s="131">
        <v>0</v>
      </c>
    </row>
    <row r="80" spans="1:48" x14ac:dyDescent="0.3">
      <c r="A80" s="11">
        <f t="shared" si="2"/>
        <v>74</v>
      </c>
      <c r="B80" s="22">
        <f t="shared" si="3"/>
        <v>74</v>
      </c>
      <c r="C80" s="12" t="s">
        <v>157</v>
      </c>
      <c r="D80" s="47"/>
      <c r="E80" s="11">
        <v>1102</v>
      </c>
      <c r="F80" s="79">
        <v>0</v>
      </c>
      <c r="G80" s="13">
        <v>0</v>
      </c>
      <c r="H80" s="13">
        <v>0</v>
      </c>
      <c r="I80" s="66">
        <v>3743</v>
      </c>
      <c r="J80" s="66">
        <v>3750</v>
      </c>
      <c r="K80" s="67">
        <v>7</v>
      </c>
      <c r="L80" s="67">
        <v>7</v>
      </c>
      <c r="M80" s="20">
        <v>60375</v>
      </c>
      <c r="N80" s="67">
        <v>0</v>
      </c>
      <c r="O80" s="20">
        <v>0</v>
      </c>
      <c r="P80" s="67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60375</v>
      </c>
      <c r="W80" s="20"/>
      <c r="X80" s="121">
        <v>0</v>
      </c>
      <c r="Y80" s="111">
        <v>44182</v>
      </c>
      <c r="Z80" s="111">
        <v>0</v>
      </c>
      <c r="AA80" s="111">
        <v>0</v>
      </c>
      <c r="AB80" s="111">
        <v>98182</v>
      </c>
      <c r="AC80" s="111">
        <v>0</v>
      </c>
      <c r="AD80" s="120">
        <v>1</v>
      </c>
      <c r="AE80" s="112">
        <v>932727</v>
      </c>
      <c r="AF80" s="108">
        <v>932727</v>
      </c>
      <c r="AG80" s="120"/>
      <c r="AH80" s="108"/>
      <c r="AI80" s="108"/>
      <c r="AJ80" s="113"/>
      <c r="AK80" s="113"/>
      <c r="AL80" s="109">
        <v>0</v>
      </c>
      <c r="AM80" s="128">
        <v>932727</v>
      </c>
      <c r="AN80" s="130"/>
      <c r="AO80" s="131">
        <v>0</v>
      </c>
      <c r="AP80" s="131">
        <v>0</v>
      </c>
      <c r="AQ80" s="131">
        <v>0</v>
      </c>
      <c r="AR80" s="131">
        <v>119</v>
      </c>
      <c r="AS80" s="131">
        <v>0</v>
      </c>
      <c r="AT80" s="131">
        <v>0</v>
      </c>
      <c r="AU80" s="131">
        <v>0</v>
      </c>
      <c r="AV80" s="131">
        <v>110000</v>
      </c>
    </row>
    <row r="81" spans="1:49" x14ac:dyDescent="0.3">
      <c r="A81" s="11">
        <f t="shared" si="2"/>
        <v>75</v>
      </c>
      <c r="B81" s="22">
        <f t="shared" si="3"/>
        <v>75</v>
      </c>
      <c r="C81" s="12" t="s">
        <v>158</v>
      </c>
      <c r="D81" s="47"/>
      <c r="E81" s="11">
        <v>1103</v>
      </c>
      <c r="F81" s="79">
        <v>6</v>
      </c>
      <c r="G81" s="13">
        <v>140000</v>
      </c>
      <c r="H81" s="13">
        <v>840000</v>
      </c>
      <c r="I81" s="66">
        <v>4105</v>
      </c>
      <c r="J81" s="66">
        <v>4119</v>
      </c>
      <c r="K81" s="67">
        <v>14</v>
      </c>
      <c r="L81" s="67">
        <v>10</v>
      </c>
      <c r="M81" s="20">
        <v>86250</v>
      </c>
      <c r="N81" s="67">
        <v>4</v>
      </c>
      <c r="O81" s="20">
        <v>40480</v>
      </c>
      <c r="P81" s="67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126730</v>
      </c>
      <c r="W81" s="12"/>
      <c r="X81" s="119">
        <v>2</v>
      </c>
      <c r="Y81" s="111">
        <v>44182</v>
      </c>
      <c r="Z81" s="111">
        <v>88364</v>
      </c>
      <c r="AA81" s="111">
        <v>0</v>
      </c>
      <c r="AB81" s="111">
        <v>98182</v>
      </c>
      <c r="AC81" s="111">
        <v>0</v>
      </c>
      <c r="AD81" s="120"/>
      <c r="AE81" s="112">
        <v>932727</v>
      </c>
      <c r="AF81" s="108">
        <v>0</v>
      </c>
      <c r="AG81" s="120"/>
      <c r="AH81" s="108"/>
      <c r="AI81" s="108"/>
      <c r="AJ81" s="113"/>
      <c r="AK81" s="113"/>
      <c r="AL81" s="109">
        <v>0</v>
      </c>
      <c r="AM81" s="128">
        <v>88364</v>
      </c>
      <c r="AN81" s="130"/>
      <c r="AO81" s="131">
        <v>0</v>
      </c>
      <c r="AP81" s="131">
        <v>0</v>
      </c>
      <c r="AQ81" s="131">
        <v>0</v>
      </c>
      <c r="AR81" s="138">
        <v>152.5</v>
      </c>
      <c r="AS81" s="131">
        <v>6</v>
      </c>
      <c r="AT81" s="131">
        <v>305000</v>
      </c>
      <c r="AU81" s="131">
        <v>1830000</v>
      </c>
      <c r="AV81" s="131">
        <v>110000</v>
      </c>
    </row>
    <row r="82" spans="1:49" x14ac:dyDescent="0.3">
      <c r="A82" s="11">
        <f t="shared" si="2"/>
        <v>76</v>
      </c>
      <c r="B82" s="22">
        <f t="shared" si="3"/>
        <v>76</v>
      </c>
      <c r="C82" s="73" t="s">
        <v>159</v>
      </c>
      <c r="D82" s="47"/>
      <c r="E82" s="11">
        <v>1104</v>
      </c>
      <c r="F82" s="79">
        <v>0</v>
      </c>
      <c r="G82" s="13">
        <v>0</v>
      </c>
      <c r="H82" s="13">
        <v>0</v>
      </c>
      <c r="I82" s="66">
        <v>1427</v>
      </c>
      <c r="J82" s="66">
        <v>1437</v>
      </c>
      <c r="K82" s="67">
        <v>10</v>
      </c>
      <c r="L82" s="67">
        <v>10</v>
      </c>
      <c r="M82" s="20">
        <v>86250</v>
      </c>
      <c r="N82" s="67">
        <v>0</v>
      </c>
      <c r="O82" s="20">
        <v>0</v>
      </c>
      <c r="P82" s="67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86250</v>
      </c>
      <c r="W82" s="12"/>
      <c r="X82" s="121">
        <v>3</v>
      </c>
      <c r="Y82" s="111">
        <v>44182</v>
      </c>
      <c r="Z82" s="111">
        <v>132546</v>
      </c>
      <c r="AA82" s="111">
        <v>0</v>
      </c>
      <c r="AB82" s="111">
        <v>98182</v>
      </c>
      <c r="AC82" s="111">
        <v>0</v>
      </c>
      <c r="AD82" s="120">
        <v>1</v>
      </c>
      <c r="AE82" s="112">
        <v>932727</v>
      </c>
      <c r="AF82" s="108">
        <v>932727</v>
      </c>
      <c r="AG82" s="120"/>
      <c r="AH82" s="108"/>
      <c r="AI82" s="108"/>
      <c r="AJ82" s="113"/>
      <c r="AK82" s="113"/>
      <c r="AL82" s="109">
        <v>0</v>
      </c>
      <c r="AM82" s="128">
        <v>1065273</v>
      </c>
      <c r="AN82" s="130"/>
      <c r="AO82" s="131">
        <v>0</v>
      </c>
      <c r="AP82" s="131">
        <v>0</v>
      </c>
      <c r="AQ82" s="131">
        <v>0</v>
      </c>
      <c r="AR82" s="131">
        <v>151</v>
      </c>
      <c r="AS82" s="131">
        <v>0</v>
      </c>
      <c r="AT82" s="131">
        <v>0</v>
      </c>
      <c r="AU82" s="131">
        <v>0</v>
      </c>
      <c r="AV82" s="131">
        <v>0</v>
      </c>
    </row>
    <row r="83" spans="1:49" x14ac:dyDescent="0.3">
      <c r="A83" s="11">
        <f t="shared" si="2"/>
        <v>77</v>
      </c>
      <c r="B83" s="22">
        <f t="shared" si="3"/>
        <v>77</v>
      </c>
      <c r="C83" s="12" t="s">
        <v>160</v>
      </c>
      <c r="D83" s="47"/>
      <c r="E83" s="11">
        <v>1105</v>
      </c>
      <c r="F83" s="79">
        <v>0</v>
      </c>
      <c r="G83" s="13">
        <v>0</v>
      </c>
      <c r="H83" s="13">
        <v>0</v>
      </c>
      <c r="I83" s="66">
        <v>3047</v>
      </c>
      <c r="J83" s="66">
        <v>3047</v>
      </c>
      <c r="K83" s="67">
        <v>0</v>
      </c>
      <c r="L83" s="67">
        <v>0</v>
      </c>
      <c r="M83" s="20">
        <v>0</v>
      </c>
      <c r="N83" s="67">
        <v>0</v>
      </c>
      <c r="O83" s="20">
        <v>0</v>
      </c>
      <c r="P83" s="67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12"/>
      <c r="X83" s="121">
        <v>3</v>
      </c>
      <c r="Y83" s="111">
        <v>44182</v>
      </c>
      <c r="Z83" s="111">
        <v>132546</v>
      </c>
      <c r="AA83" s="111">
        <v>0</v>
      </c>
      <c r="AB83" s="111">
        <v>98182</v>
      </c>
      <c r="AC83" s="111">
        <v>0</v>
      </c>
      <c r="AD83" s="120"/>
      <c r="AE83" s="112">
        <v>932727</v>
      </c>
      <c r="AF83" s="108">
        <v>0</v>
      </c>
      <c r="AG83" s="120"/>
      <c r="AH83" s="108"/>
      <c r="AI83" s="108"/>
      <c r="AJ83" s="113">
        <v>1</v>
      </c>
      <c r="AK83" s="113">
        <v>9818</v>
      </c>
      <c r="AL83" s="109">
        <v>9818</v>
      </c>
      <c r="AM83" s="128">
        <v>142364</v>
      </c>
      <c r="AN83" s="130"/>
      <c r="AO83" s="131">
        <v>0</v>
      </c>
      <c r="AP83" s="131">
        <v>0</v>
      </c>
      <c r="AQ83" s="131">
        <v>0</v>
      </c>
      <c r="AR83" s="131">
        <v>117</v>
      </c>
      <c r="AS83" s="131">
        <v>0</v>
      </c>
      <c r="AT83" s="131">
        <v>0</v>
      </c>
      <c r="AU83" s="131">
        <v>0</v>
      </c>
      <c r="AV83" s="131">
        <v>0</v>
      </c>
    </row>
    <row r="84" spans="1:49" x14ac:dyDescent="0.3">
      <c r="A84" s="11">
        <f t="shared" si="2"/>
        <v>78</v>
      </c>
      <c r="B84" s="22">
        <f t="shared" si="3"/>
        <v>78</v>
      </c>
      <c r="C84" s="12" t="s">
        <v>261</v>
      </c>
      <c r="D84" s="47"/>
      <c r="E84" s="11">
        <v>1106</v>
      </c>
      <c r="F84" s="79">
        <v>3</v>
      </c>
      <c r="G84" s="13">
        <v>1300000</v>
      </c>
      <c r="H84" s="13">
        <v>3900000</v>
      </c>
      <c r="I84" s="66">
        <v>3223</v>
      </c>
      <c r="J84" s="66">
        <v>3227</v>
      </c>
      <c r="K84" s="67">
        <v>4</v>
      </c>
      <c r="L84" s="67">
        <v>0</v>
      </c>
      <c r="M84" s="20">
        <v>0</v>
      </c>
      <c r="N84" s="67">
        <v>0</v>
      </c>
      <c r="O84" s="20">
        <v>0</v>
      </c>
      <c r="P84" s="67">
        <v>0</v>
      </c>
      <c r="Q84" s="20">
        <v>0</v>
      </c>
      <c r="R84" s="20">
        <v>0</v>
      </c>
      <c r="S84" s="20">
        <v>0</v>
      </c>
      <c r="T84" s="20">
        <v>4</v>
      </c>
      <c r="U84" s="20">
        <v>124200</v>
      </c>
      <c r="V84" s="20">
        <v>124200</v>
      </c>
      <c r="W84" s="12"/>
      <c r="X84" s="121">
        <v>0</v>
      </c>
      <c r="Y84" s="111">
        <v>44182</v>
      </c>
      <c r="Z84" s="111">
        <v>0</v>
      </c>
      <c r="AA84" s="111">
        <v>0</v>
      </c>
      <c r="AB84" s="111">
        <v>98182</v>
      </c>
      <c r="AC84" s="111">
        <v>0</v>
      </c>
      <c r="AD84" s="113"/>
      <c r="AE84" s="112">
        <v>932727</v>
      </c>
      <c r="AF84" s="108">
        <v>0</v>
      </c>
      <c r="AG84" s="113"/>
      <c r="AH84" s="108"/>
      <c r="AI84" s="108"/>
      <c r="AJ84" s="113"/>
      <c r="AK84" s="113"/>
      <c r="AL84" s="109">
        <v>0</v>
      </c>
      <c r="AM84" s="128">
        <v>0</v>
      </c>
      <c r="AN84" s="130"/>
      <c r="AO84" s="131">
        <v>3</v>
      </c>
      <c r="AP84" s="131">
        <v>130000</v>
      </c>
      <c r="AQ84" s="131">
        <v>390000</v>
      </c>
      <c r="AR84" s="138">
        <v>152.5</v>
      </c>
      <c r="AS84" s="131">
        <v>0</v>
      </c>
      <c r="AT84" s="131">
        <v>0</v>
      </c>
      <c r="AU84" s="131">
        <v>0</v>
      </c>
      <c r="AV84" s="131">
        <v>0</v>
      </c>
      <c r="AW84" s="1" t="s">
        <v>8</v>
      </c>
    </row>
    <row r="85" spans="1:49" x14ac:dyDescent="0.3">
      <c r="A85" s="11">
        <f t="shared" si="2"/>
        <v>79</v>
      </c>
      <c r="B85" s="22">
        <f t="shared" si="3"/>
        <v>79</v>
      </c>
      <c r="C85" s="12" t="s">
        <v>162</v>
      </c>
      <c r="D85" s="47"/>
      <c r="E85" s="11">
        <v>1107</v>
      </c>
      <c r="F85" s="79">
        <v>0</v>
      </c>
      <c r="G85" s="13">
        <v>0</v>
      </c>
      <c r="H85" s="13">
        <v>0</v>
      </c>
      <c r="I85" s="66">
        <v>4152</v>
      </c>
      <c r="J85" s="66">
        <v>4166</v>
      </c>
      <c r="K85" s="67">
        <v>14</v>
      </c>
      <c r="L85" s="67">
        <v>10</v>
      </c>
      <c r="M85" s="20">
        <v>86250</v>
      </c>
      <c r="N85" s="67">
        <v>4</v>
      </c>
      <c r="O85" s="20">
        <v>40480</v>
      </c>
      <c r="P85" s="67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126730</v>
      </c>
      <c r="W85" s="12"/>
      <c r="X85" s="121">
        <v>3</v>
      </c>
      <c r="Y85" s="111">
        <v>44182</v>
      </c>
      <c r="Z85" s="111">
        <v>132546</v>
      </c>
      <c r="AA85" s="111">
        <v>0</v>
      </c>
      <c r="AB85" s="111">
        <v>98182</v>
      </c>
      <c r="AC85" s="111">
        <v>0</v>
      </c>
      <c r="AD85" s="113">
        <v>1</v>
      </c>
      <c r="AE85" s="112">
        <v>932727</v>
      </c>
      <c r="AF85" s="108">
        <v>932727</v>
      </c>
      <c r="AG85" s="113"/>
      <c r="AH85" s="108"/>
      <c r="AI85" s="108"/>
      <c r="AJ85" s="113"/>
      <c r="AK85" s="113"/>
      <c r="AL85" s="109">
        <v>0</v>
      </c>
      <c r="AM85" s="128">
        <v>1065273</v>
      </c>
      <c r="AN85" s="130"/>
      <c r="AO85" s="131">
        <v>0</v>
      </c>
      <c r="AP85" s="131">
        <v>0</v>
      </c>
      <c r="AQ85" s="131">
        <v>0</v>
      </c>
      <c r="AR85" s="131">
        <v>119</v>
      </c>
      <c r="AS85" s="131">
        <v>0</v>
      </c>
      <c r="AT85" s="131">
        <v>0</v>
      </c>
      <c r="AU85" s="131">
        <v>0</v>
      </c>
      <c r="AV85" s="131">
        <v>0</v>
      </c>
    </row>
    <row r="86" spans="1:49" x14ac:dyDescent="0.3">
      <c r="A86" s="11">
        <f t="shared" si="2"/>
        <v>80</v>
      </c>
      <c r="B86" s="22">
        <f t="shared" si="3"/>
        <v>80</v>
      </c>
      <c r="C86" s="12" t="s">
        <v>163</v>
      </c>
      <c r="D86" s="47"/>
      <c r="E86" s="11">
        <v>1108</v>
      </c>
      <c r="F86" s="79">
        <v>3</v>
      </c>
      <c r="G86" s="13">
        <v>140000</v>
      </c>
      <c r="H86" s="13">
        <v>420000</v>
      </c>
      <c r="I86" s="66">
        <v>3299</v>
      </c>
      <c r="J86" s="66">
        <v>3306</v>
      </c>
      <c r="K86" s="67">
        <v>7</v>
      </c>
      <c r="L86" s="67">
        <v>7</v>
      </c>
      <c r="M86" s="20">
        <v>60375</v>
      </c>
      <c r="N86" s="67">
        <v>0</v>
      </c>
      <c r="O86" s="20">
        <v>0</v>
      </c>
      <c r="P86" s="67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60375</v>
      </c>
      <c r="W86" s="12"/>
      <c r="X86" s="121">
        <v>1</v>
      </c>
      <c r="Y86" s="111">
        <v>44182</v>
      </c>
      <c r="Z86" s="111">
        <v>44182</v>
      </c>
      <c r="AA86" s="111">
        <v>0</v>
      </c>
      <c r="AB86" s="111">
        <v>98182</v>
      </c>
      <c r="AC86" s="111">
        <v>0</v>
      </c>
      <c r="AD86" s="113"/>
      <c r="AE86" s="112">
        <v>932727</v>
      </c>
      <c r="AF86" s="108">
        <v>0</v>
      </c>
      <c r="AG86" s="113"/>
      <c r="AH86" s="108"/>
      <c r="AI86" s="108"/>
      <c r="AJ86" s="113"/>
      <c r="AK86" s="113"/>
      <c r="AL86" s="109">
        <v>0</v>
      </c>
      <c r="AM86" s="128">
        <v>44182</v>
      </c>
      <c r="AN86" s="130"/>
      <c r="AO86" s="131">
        <v>0</v>
      </c>
      <c r="AP86" s="131">
        <v>0</v>
      </c>
      <c r="AQ86" s="131">
        <v>0</v>
      </c>
      <c r="AR86" s="131">
        <v>115</v>
      </c>
      <c r="AS86" s="131">
        <v>3</v>
      </c>
      <c r="AT86" s="131">
        <v>230000</v>
      </c>
      <c r="AU86" s="131">
        <v>690000</v>
      </c>
      <c r="AV86" s="131">
        <v>0</v>
      </c>
    </row>
    <row r="87" spans="1:49" x14ac:dyDescent="0.3">
      <c r="A87" s="11">
        <f t="shared" si="2"/>
        <v>81</v>
      </c>
      <c r="B87" s="22">
        <f t="shared" si="3"/>
        <v>81</v>
      </c>
      <c r="C87" s="12" t="s">
        <v>164</v>
      </c>
      <c r="D87" s="47"/>
      <c r="E87" s="11">
        <v>1201</v>
      </c>
      <c r="F87" s="79">
        <v>0</v>
      </c>
      <c r="G87" s="13">
        <v>0</v>
      </c>
      <c r="H87" s="13">
        <v>0</v>
      </c>
      <c r="I87" s="66">
        <v>4391</v>
      </c>
      <c r="J87" s="66">
        <v>4399</v>
      </c>
      <c r="K87" s="67">
        <v>8</v>
      </c>
      <c r="L87" s="67">
        <v>8</v>
      </c>
      <c r="M87" s="20">
        <v>69000</v>
      </c>
      <c r="N87" s="67">
        <v>0</v>
      </c>
      <c r="O87" s="20">
        <v>0</v>
      </c>
      <c r="P87" s="67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69000</v>
      </c>
      <c r="W87" s="12"/>
      <c r="X87" s="121">
        <v>1</v>
      </c>
      <c r="Y87" s="111">
        <v>44182</v>
      </c>
      <c r="Z87" s="111">
        <v>44182</v>
      </c>
      <c r="AA87" s="111">
        <v>0</v>
      </c>
      <c r="AB87" s="111">
        <v>98182</v>
      </c>
      <c r="AC87" s="111">
        <v>0</v>
      </c>
      <c r="AD87" s="113">
        <v>1</v>
      </c>
      <c r="AE87" s="112">
        <v>932727</v>
      </c>
      <c r="AF87" s="108">
        <v>932727</v>
      </c>
      <c r="AG87" s="113"/>
      <c r="AH87" s="108"/>
      <c r="AI87" s="108"/>
      <c r="AJ87" s="113"/>
      <c r="AK87" s="113"/>
      <c r="AL87" s="109">
        <v>0</v>
      </c>
      <c r="AM87" s="128">
        <v>976909</v>
      </c>
      <c r="AN87" s="130"/>
      <c r="AO87" s="131">
        <v>0</v>
      </c>
      <c r="AP87" s="131">
        <v>0</v>
      </c>
      <c r="AQ87" s="131">
        <v>0</v>
      </c>
      <c r="AR87" s="131">
        <v>115</v>
      </c>
      <c r="AS87" s="131">
        <v>0</v>
      </c>
      <c r="AT87" s="131">
        <v>0</v>
      </c>
      <c r="AU87" s="131">
        <v>0</v>
      </c>
      <c r="AV87" s="131">
        <v>0</v>
      </c>
    </row>
    <row r="88" spans="1:49" x14ac:dyDescent="0.3">
      <c r="A88" s="11">
        <f t="shared" si="2"/>
        <v>82</v>
      </c>
      <c r="B88" s="22">
        <f t="shared" si="3"/>
        <v>82</v>
      </c>
      <c r="C88" s="12" t="s">
        <v>165</v>
      </c>
      <c r="D88" s="47"/>
      <c r="E88" s="11">
        <v>1202</v>
      </c>
      <c r="F88" s="79">
        <v>0</v>
      </c>
      <c r="G88" s="13">
        <v>0</v>
      </c>
      <c r="H88" s="13">
        <v>0</v>
      </c>
      <c r="I88" s="66">
        <v>838</v>
      </c>
      <c r="J88" s="66">
        <v>846</v>
      </c>
      <c r="K88" s="67">
        <v>8</v>
      </c>
      <c r="L88" s="67">
        <v>8</v>
      </c>
      <c r="M88" s="20">
        <v>69000</v>
      </c>
      <c r="N88" s="67">
        <v>0</v>
      </c>
      <c r="O88" s="20">
        <v>0</v>
      </c>
      <c r="P88" s="67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69000</v>
      </c>
      <c r="W88" s="12"/>
      <c r="X88" s="121">
        <v>2</v>
      </c>
      <c r="Y88" s="111">
        <v>44182</v>
      </c>
      <c r="Z88" s="111">
        <v>88364</v>
      </c>
      <c r="AA88" s="111">
        <v>0</v>
      </c>
      <c r="AB88" s="111">
        <v>98182</v>
      </c>
      <c r="AC88" s="111">
        <v>0</v>
      </c>
      <c r="AD88" s="113"/>
      <c r="AE88" s="112">
        <v>932727</v>
      </c>
      <c r="AF88" s="108">
        <v>0</v>
      </c>
      <c r="AG88" s="113"/>
      <c r="AH88" s="108"/>
      <c r="AI88" s="108"/>
      <c r="AJ88" s="113"/>
      <c r="AK88" s="113"/>
      <c r="AL88" s="109">
        <v>0</v>
      </c>
      <c r="AM88" s="128">
        <v>88364</v>
      </c>
      <c r="AN88" s="130"/>
      <c r="AO88" s="131">
        <v>0</v>
      </c>
      <c r="AP88" s="131">
        <v>0</v>
      </c>
      <c r="AQ88" s="131">
        <v>0</v>
      </c>
      <c r="AR88" s="131">
        <v>119</v>
      </c>
      <c r="AS88" s="131">
        <v>6</v>
      </c>
      <c r="AT88" s="131">
        <v>238000</v>
      </c>
      <c r="AU88" s="131">
        <v>1428000</v>
      </c>
      <c r="AV88" s="131">
        <v>0</v>
      </c>
    </row>
    <row r="89" spans="1:49" x14ac:dyDescent="0.3">
      <c r="A89" s="11">
        <f t="shared" si="2"/>
        <v>83</v>
      </c>
      <c r="B89" s="22">
        <f t="shared" si="3"/>
        <v>83</v>
      </c>
      <c r="C89" s="12" t="s">
        <v>166</v>
      </c>
      <c r="D89" s="47"/>
      <c r="E89" s="11">
        <v>1203</v>
      </c>
      <c r="F89" s="79">
        <v>3</v>
      </c>
      <c r="G89" s="13">
        <v>1300000</v>
      </c>
      <c r="H89" s="13">
        <v>3900000</v>
      </c>
      <c r="I89" s="66">
        <v>4775</v>
      </c>
      <c r="J89" s="66">
        <v>4783</v>
      </c>
      <c r="K89" s="67">
        <v>8</v>
      </c>
      <c r="L89" s="67">
        <v>0</v>
      </c>
      <c r="M89" s="20">
        <v>0</v>
      </c>
      <c r="N89" s="67">
        <v>0</v>
      </c>
      <c r="O89" s="20">
        <v>0</v>
      </c>
      <c r="P89" s="67">
        <v>0</v>
      </c>
      <c r="Q89" s="20">
        <v>0</v>
      </c>
      <c r="R89" s="20">
        <v>0</v>
      </c>
      <c r="S89" s="20">
        <v>0</v>
      </c>
      <c r="T89" s="20">
        <v>8</v>
      </c>
      <c r="U89" s="20">
        <v>248400</v>
      </c>
      <c r="V89" s="20">
        <v>248400</v>
      </c>
      <c r="W89" s="12"/>
      <c r="X89" s="121">
        <v>0</v>
      </c>
      <c r="Y89" s="111">
        <v>44182</v>
      </c>
      <c r="Z89" s="111">
        <v>0</v>
      </c>
      <c r="AA89" s="111">
        <v>12</v>
      </c>
      <c r="AB89" s="111">
        <v>98182</v>
      </c>
      <c r="AC89" s="111">
        <v>1178184</v>
      </c>
      <c r="AD89" s="113"/>
      <c r="AE89" s="112">
        <v>932727</v>
      </c>
      <c r="AF89" s="108">
        <v>0</v>
      </c>
      <c r="AG89" s="113"/>
      <c r="AH89" s="108"/>
      <c r="AI89" s="108"/>
      <c r="AJ89" s="113"/>
      <c r="AK89" s="113"/>
      <c r="AL89" s="109">
        <v>0</v>
      </c>
      <c r="AM89" s="128">
        <v>1178184</v>
      </c>
      <c r="AN89" s="130"/>
      <c r="AO89" s="131">
        <v>3</v>
      </c>
      <c r="AP89" s="131">
        <v>130000</v>
      </c>
      <c r="AQ89" s="131">
        <v>390000</v>
      </c>
      <c r="AR89" s="138">
        <v>152.5</v>
      </c>
      <c r="AS89" s="131">
        <v>0</v>
      </c>
      <c r="AT89" s="131">
        <v>0</v>
      </c>
      <c r="AU89" s="131">
        <v>0</v>
      </c>
      <c r="AV89" s="131">
        <v>0</v>
      </c>
      <c r="AW89" s="1" t="s">
        <v>8</v>
      </c>
    </row>
    <row r="90" spans="1:49" x14ac:dyDescent="0.3">
      <c r="A90" s="11">
        <f t="shared" si="2"/>
        <v>84</v>
      </c>
      <c r="B90" s="22">
        <f t="shared" si="3"/>
        <v>84</v>
      </c>
      <c r="C90" s="12" t="s">
        <v>262</v>
      </c>
      <c r="D90" s="47"/>
      <c r="E90" s="11">
        <v>1204</v>
      </c>
      <c r="F90" s="79">
        <v>1</v>
      </c>
      <c r="G90" s="13">
        <v>1300000</v>
      </c>
      <c r="H90" s="13">
        <v>1300000</v>
      </c>
      <c r="I90" s="66">
        <v>2031</v>
      </c>
      <c r="J90" s="66">
        <v>2034</v>
      </c>
      <c r="K90" s="67">
        <v>3</v>
      </c>
      <c r="L90" s="67">
        <v>0</v>
      </c>
      <c r="M90" s="20">
        <v>0</v>
      </c>
      <c r="N90" s="67">
        <v>0</v>
      </c>
      <c r="O90" s="20">
        <v>0</v>
      </c>
      <c r="P90" s="67">
        <v>0</v>
      </c>
      <c r="Q90" s="20">
        <v>0</v>
      </c>
      <c r="R90" s="20">
        <v>0</v>
      </c>
      <c r="S90" s="20">
        <v>0</v>
      </c>
      <c r="T90" s="20">
        <v>3</v>
      </c>
      <c r="U90" s="20">
        <v>93150</v>
      </c>
      <c r="V90" s="20">
        <v>93150</v>
      </c>
      <c r="W90" s="12"/>
      <c r="X90" s="121">
        <v>0</v>
      </c>
      <c r="Y90" s="111">
        <v>44182</v>
      </c>
      <c r="Z90" s="111">
        <v>0</v>
      </c>
      <c r="AA90" s="111">
        <v>4</v>
      </c>
      <c r="AB90" s="111">
        <v>98182</v>
      </c>
      <c r="AC90" s="111">
        <v>392728</v>
      </c>
      <c r="AD90" s="113"/>
      <c r="AE90" s="112">
        <v>932727</v>
      </c>
      <c r="AF90" s="108">
        <v>0</v>
      </c>
      <c r="AG90" s="113"/>
      <c r="AH90" s="108"/>
      <c r="AI90" s="108"/>
      <c r="AJ90" s="113"/>
      <c r="AK90" s="113"/>
      <c r="AL90" s="109">
        <v>0</v>
      </c>
      <c r="AM90" s="128">
        <v>392728</v>
      </c>
      <c r="AN90" s="130"/>
      <c r="AO90" s="131">
        <v>1</v>
      </c>
      <c r="AP90" s="131">
        <v>130000</v>
      </c>
      <c r="AQ90" s="131">
        <v>130000</v>
      </c>
      <c r="AR90" s="131">
        <v>151</v>
      </c>
      <c r="AS90" s="131">
        <v>0</v>
      </c>
      <c r="AT90" s="131">
        <v>0</v>
      </c>
      <c r="AU90" s="131">
        <v>0</v>
      </c>
      <c r="AV90" s="131">
        <v>0</v>
      </c>
      <c r="AW90" s="1" t="s">
        <v>8</v>
      </c>
    </row>
    <row r="91" spans="1:49" x14ac:dyDescent="0.3">
      <c r="A91" s="11">
        <f t="shared" si="2"/>
        <v>85</v>
      </c>
      <c r="B91" s="22">
        <f t="shared" si="3"/>
        <v>85</v>
      </c>
      <c r="C91" s="12" t="s">
        <v>168</v>
      </c>
      <c r="D91" s="47"/>
      <c r="E91" s="11">
        <v>1205</v>
      </c>
      <c r="F91" s="79">
        <v>0</v>
      </c>
      <c r="G91" s="13">
        <v>0</v>
      </c>
      <c r="H91" s="13">
        <v>0</v>
      </c>
      <c r="I91" s="66">
        <v>4446</v>
      </c>
      <c r="J91" s="66">
        <v>4474</v>
      </c>
      <c r="K91" s="67">
        <v>28</v>
      </c>
      <c r="L91" s="67">
        <v>10</v>
      </c>
      <c r="M91" s="20">
        <v>86250</v>
      </c>
      <c r="N91" s="67">
        <v>10</v>
      </c>
      <c r="O91" s="20">
        <v>101200</v>
      </c>
      <c r="P91" s="67">
        <v>8</v>
      </c>
      <c r="Q91" s="20">
        <v>110400</v>
      </c>
      <c r="R91" s="20">
        <v>0</v>
      </c>
      <c r="S91" s="20">
        <v>0</v>
      </c>
      <c r="T91" s="20">
        <v>0</v>
      </c>
      <c r="U91" s="20">
        <v>0</v>
      </c>
      <c r="V91" s="20">
        <v>297850</v>
      </c>
      <c r="W91" s="12"/>
      <c r="X91" s="121">
        <v>3</v>
      </c>
      <c r="Y91" s="111">
        <v>44182</v>
      </c>
      <c r="Z91" s="111">
        <v>132546</v>
      </c>
      <c r="AA91" s="111">
        <v>0</v>
      </c>
      <c r="AB91" s="111">
        <v>98182</v>
      </c>
      <c r="AC91" s="111">
        <v>0</v>
      </c>
      <c r="AD91" s="113">
        <v>1</v>
      </c>
      <c r="AE91" s="112">
        <v>932727</v>
      </c>
      <c r="AF91" s="108">
        <v>932727</v>
      </c>
      <c r="AG91" s="113"/>
      <c r="AH91" s="108"/>
      <c r="AI91" s="108"/>
      <c r="AJ91" s="113"/>
      <c r="AK91" s="113"/>
      <c r="AL91" s="109">
        <v>0</v>
      </c>
      <c r="AM91" s="128">
        <v>1065273</v>
      </c>
      <c r="AN91" s="130"/>
      <c r="AO91" s="131">
        <v>0</v>
      </c>
      <c r="AP91" s="131">
        <v>0</v>
      </c>
      <c r="AQ91" s="131">
        <v>0</v>
      </c>
      <c r="AR91" s="131">
        <v>117</v>
      </c>
      <c r="AS91" s="131">
        <v>0</v>
      </c>
      <c r="AT91" s="131">
        <v>0</v>
      </c>
      <c r="AU91" s="131">
        <v>0</v>
      </c>
      <c r="AV91" s="131">
        <v>0</v>
      </c>
    </row>
    <row r="92" spans="1:49" x14ac:dyDescent="0.3">
      <c r="A92" s="11">
        <f t="shared" si="2"/>
        <v>86</v>
      </c>
      <c r="B92" s="22">
        <f t="shared" si="3"/>
        <v>86</v>
      </c>
      <c r="C92" s="12" t="s">
        <v>263</v>
      </c>
      <c r="D92" s="47"/>
      <c r="E92" s="11">
        <v>1206</v>
      </c>
      <c r="F92" s="79">
        <v>1</v>
      </c>
      <c r="G92" s="13">
        <v>1300000</v>
      </c>
      <c r="H92" s="13">
        <v>1300000</v>
      </c>
      <c r="I92" s="66">
        <v>1943</v>
      </c>
      <c r="J92" s="66">
        <v>1945</v>
      </c>
      <c r="K92" s="67">
        <v>2</v>
      </c>
      <c r="L92" s="67">
        <v>0</v>
      </c>
      <c r="M92" s="20">
        <v>0</v>
      </c>
      <c r="N92" s="67">
        <v>0</v>
      </c>
      <c r="O92" s="20">
        <v>0</v>
      </c>
      <c r="P92" s="67">
        <v>0</v>
      </c>
      <c r="Q92" s="20">
        <v>0</v>
      </c>
      <c r="R92" s="20">
        <v>0</v>
      </c>
      <c r="S92" s="20">
        <v>0</v>
      </c>
      <c r="T92" s="20">
        <v>2</v>
      </c>
      <c r="U92" s="20">
        <v>62100</v>
      </c>
      <c r="V92" s="20">
        <v>62100</v>
      </c>
      <c r="W92" s="12"/>
      <c r="X92" s="121">
        <v>0</v>
      </c>
      <c r="Y92" s="111">
        <v>44182</v>
      </c>
      <c r="Z92" s="111">
        <v>0</v>
      </c>
      <c r="AA92" s="111">
        <v>0</v>
      </c>
      <c r="AB92" s="111">
        <v>98182</v>
      </c>
      <c r="AC92" s="111">
        <v>0</v>
      </c>
      <c r="AD92" s="113"/>
      <c r="AE92" s="112">
        <v>932727</v>
      </c>
      <c r="AF92" s="108">
        <v>0</v>
      </c>
      <c r="AG92" s="113"/>
      <c r="AH92" s="108"/>
      <c r="AI92" s="108"/>
      <c r="AJ92" s="113"/>
      <c r="AK92" s="113"/>
      <c r="AL92" s="109">
        <v>0</v>
      </c>
      <c r="AM92" s="128">
        <v>0</v>
      </c>
      <c r="AN92" s="130"/>
      <c r="AO92" s="131">
        <v>1</v>
      </c>
      <c r="AP92" s="131">
        <v>130000</v>
      </c>
      <c r="AQ92" s="131">
        <v>130000</v>
      </c>
      <c r="AR92" s="138">
        <v>152.5</v>
      </c>
      <c r="AS92" s="131">
        <v>0</v>
      </c>
      <c r="AT92" s="131">
        <v>0</v>
      </c>
      <c r="AU92" s="131">
        <v>0</v>
      </c>
      <c r="AV92" s="131">
        <v>0</v>
      </c>
      <c r="AW92" s="1" t="s">
        <v>8</v>
      </c>
    </row>
    <row r="93" spans="1:49" x14ac:dyDescent="0.3">
      <c r="A93" s="11">
        <f t="shared" si="2"/>
        <v>87</v>
      </c>
      <c r="B93" s="22">
        <f t="shared" si="3"/>
        <v>87</v>
      </c>
      <c r="C93" s="12" t="s">
        <v>170</v>
      </c>
      <c r="D93" s="47"/>
      <c r="E93" s="11">
        <v>1207</v>
      </c>
      <c r="F93" s="79">
        <v>0</v>
      </c>
      <c r="G93" s="13">
        <v>0</v>
      </c>
      <c r="H93" s="13">
        <v>0</v>
      </c>
      <c r="I93" s="66">
        <v>2954</v>
      </c>
      <c r="J93" s="66">
        <v>2970</v>
      </c>
      <c r="K93" s="67">
        <v>16</v>
      </c>
      <c r="L93" s="67">
        <v>10</v>
      </c>
      <c r="M93" s="20">
        <v>86250</v>
      </c>
      <c r="N93" s="67">
        <v>6</v>
      </c>
      <c r="O93" s="20">
        <v>60720</v>
      </c>
      <c r="P93" s="67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146970</v>
      </c>
      <c r="W93" s="12"/>
      <c r="X93" s="121">
        <v>2</v>
      </c>
      <c r="Y93" s="111">
        <v>44182</v>
      </c>
      <c r="Z93" s="111">
        <v>88364</v>
      </c>
      <c r="AA93" s="111">
        <v>0</v>
      </c>
      <c r="AB93" s="111">
        <v>98182</v>
      </c>
      <c r="AC93" s="111">
        <v>0</v>
      </c>
      <c r="AD93" s="113">
        <v>1</v>
      </c>
      <c r="AE93" s="112">
        <v>932727</v>
      </c>
      <c r="AF93" s="108">
        <v>932727</v>
      </c>
      <c r="AG93" s="113"/>
      <c r="AH93" s="108"/>
      <c r="AI93" s="108"/>
      <c r="AJ93" s="113"/>
      <c r="AK93" s="113"/>
      <c r="AL93" s="109">
        <v>0</v>
      </c>
      <c r="AM93" s="128">
        <v>1021091</v>
      </c>
      <c r="AN93" s="130"/>
      <c r="AO93" s="131">
        <v>0</v>
      </c>
      <c r="AP93" s="131">
        <v>0</v>
      </c>
      <c r="AQ93" s="131">
        <v>0</v>
      </c>
      <c r="AR93" s="131">
        <v>119</v>
      </c>
      <c r="AS93" s="131">
        <v>0</v>
      </c>
      <c r="AT93" s="131">
        <v>0</v>
      </c>
      <c r="AU93" s="131">
        <v>0</v>
      </c>
      <c r="AV93" s="131">
        <v>0</v>
      </c>
    </row>
    <row r="94" spans="1:49" x14ac:dyDescent="0.3">
      <c r="A94" s="11">
        <f t="shared" si="2"/>
        <v>88</v>
      </c>
      <c r="B94" s="22">
        <f t="shared" si="3"/>
        <v>88</v>
      </c>
      <c r="C94" s="12" t="s">
        <v>171</v>
      </c>
      <c r="D94" s="47"/>
      <c r="E94" s="11">
        <v>1208</v>
      </c>
      <c r="F94" s="79">
        <v>0</v>
      </c>
      <c r="G94" s="13">
        <v>0</v>
      </c>
      <c r="H94" s="13">
        <v>0</v>
      </c>
      <c r="I94" s="66">
        <v>877</v>
      </c>
      <c r="J94" s="66">
        <v>892</v>
      </c>
      <c r="K94" s="67">
        <v>15</v>
      </c>
      <c r="L94" s="67">
        <v>10</v>
      </c>
      <c r="M94" s="20">
        <v>86250</v>
      </c>
      <c r="N94" s="67">
        <v>5</v>
      </c>
      <c r="O94" s="20">
        <v>50600</v>
      </c>
      <c r="P94" s="67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136850</v>
      </c>
      <c r="W94" s="20"/>
      <c r="X94" s="121">
        <v>1</v>
      </c>
      <c r="Y94" s="111">
        <v>44182</v>
      </c>
      <c r="Z94" s="111">
        <v>44182</v>
      </c>
      <c r="AA94" s="111">
        <v>0</v>
      </c>
      <c r="AB94" s="111">
        <v>98182</v>
      </c>
      <c r="AC94" s="111">
        <v>0</v>
      </c>
      <c r="AD94" s="113"/>
      <c r="AE94" s="112">
        <v>932727</v>
      </c>
      <c r="AF94" s="108">
        <v>0</v>
      </c>
      <c r="AG94" s="113"/>
      <c r="AH94" s="108"/>
      <c r="AI94" s="108"/>
      <c r="AJ94" s="113">
        <v>1</v>
      </c>
      <c r="AK94" s="113">
        <v>9818</v>
      </c>
      <c r="AL94" s="109">
        <v>9818</v>
      </c>
      <c r="AM94" s="128">
        <v>54000</v>
      </c>
      <c r="AN94" s="130"/>
      <c r="AO94" s="131">
        <v>0</v>
      </c>
      <c r="AP94" s="131">
        <v>0</v>
      </c>
      <c r="AQ94" s="131">
        <v>0</v>
      </c>
      <c r="AR94" s="131">
        <v>115</v>
      </c>
      <c r="AS94" s="131">
        <v>12</v>
      </c>
      <c r="AT94" s="131">
        <v>230000</v>
      </c>
      <c r="AU94" s="131">
        <v>2760000</v>
      </c>
      <c r="AV94" s="131">
        <v>0</v>
      </c>
    </row>
    <row r="95" spans="1:49" x14ac:dyDescent="0.3">
      <c r="A95" s="11">
        <f t="shared" si="2"/>
        <v>89</v>
      </c>
      <c r="B95" s="22">
        <f t="shared" si="3"/>
        <v>89</v>
      </c>
      <c r="C95" s="12" t="s">
        <v>172</v>
      </c>
      <c r="D95" s="47"/>
      <c r="E95" s="11">
        <v>1301</v>
      </c>
      <c r="F95" s="79">
        <v>0</v>
      </c>
      <c r="G95" s="13">
        <v>0</v>
      </c>
      <c r="H95" s="13">
        <v>0</v>
      </c>
      <c r="I95" s="66">
        <v>2730</v>
      </c>
      <c r="J95" s="66">
        <v>2736</v>
      </c>
      <c r="K95" s="67">
        <v>6</v>
      </c>
      <c r="L95" s="67">
        <v>6</v>
      </c>
      <c r="M95" s="20">
        <v>51750</v>
      </c>
      <c r="N95" s="67">
        <v>0</v>
      </c>
      <c r="O95" s="20">
        <v>0</v>
      </c>
      <c r="P95" s="67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51750</v>
      </c>
      <c r="W95" s="12"/>
      <c r="X95" s="121">
        <v>2</v>
      </c>
      <c r="Y95" s="111">
        <v>44182</v>
      </c>
      <c r="Z95" s="111">
        <v>88364</v>
      </c>
      <c r="AA95" s="111">
        <v>0</v>
      </c>
      <c r="AB95" s="111">
        <v>98182</v>
      </c>
      <c r="AC95" s="111">
        <v>0</v>
      </c>
      <c r="AD95" s="113">
        <v>1</v>
      </c>
      <c r="AE95" s="112">
        <v>932727</v>
      </c>
      <c r="AF95" s="108">
        <v>932727</v>
      </c>
      <c r="AG95" s="113"/>
      <c r="AH95" s="108"/>
      <c r="AI95" s="108"/>
      <c r="AJ95" s="113"/>
      <c r="AK95" s="113"/>
      <c r="AL95" s="109">
        <v>0</v>
      </c>
      <c r="AM95" s="128">
        <v>1021091</v>
      </c>
      <c r="AN95" s="130"/>
      <c r="AO95" s="131">
        <v>0</v>
      </c>
      <c r="AP95" s="131">
        <v>0</v>
      </c>
      <c r="AQ95" s="131">
        <v>0</v>
      </c>
      <c r="AR95" s="131">
        <v>115</v>
      </c>
      <c r="AS95" s="131">
        <v>0</v>
      </c>
      <c r="AT95" s="131">
        <v>0</v>
      </c>
      <c r="AU95" s="131">
        <v>0</v>
      </c>
      <c r="AV95" s="131">
        <v>0</v>
      </c>
    </row>
    <row r="96" spans="1:49" x14ac:dyDescent="0.3">
      <c r="A96" s="11">
        <f t="shared" si="2"/>
        <v>90</v>
      </c>
      <c r="B96" s="22">
        <f t="shared" si="3"/>
        <v>90</v>
      </c>
      <c r="C96" s="12" t="s">
        <v>173</v>
      </c>
      <c r="D96" s="47"/>
      <c r="E96" s="11">
        <v>1302</v>
      </c>
      <c r="F96" s="79">
        <v>0</v>
      </c>
      <c r="G96" s="13">
        <v>0</v>
      </c>
      <c r="H96" s="13">
        <v>0</v>
      </c>
      <c r="I96" s="66">
        <v>3150</v>
      </c>
      <c r="J96" s="66">
        <v>3176</v>
      </c>
      <c r="K96" s="67">
        <v>26</v>
      </c>
      <c r="L96" s="67">
        <v>10</v>
      </c>
      <c r="M96" s="20">
        <v>86250</v>
      </c>
      <c r="N96" s="67">
        <v>10</v>
      </c>
      <c r="O96" s="20">
        <v>101200</v>
      </c>
      <c r="P96" s="67">
        <v>6</v>
      </c>
      <c r="Q96" s="20">
        <v>82800</v>
      </c>
      <c r="R96" s="20">
        <v>0</v>
      </c>
      <c r="S96" s="20">
        <v>0</v>
      </c>
      <c r="T96" s="20">
        <v>0</v>
      </c>
      <c r="U96" s="20">
        <v>0</v>
      </c>
      <c r="V96" s="20">
        <v>270250</v>
      </c>
      <c r="W96" s="12"/>
      <c r="X96" s="121">
        <v>2</v>
      </c>
      <c r="Y96" s="111">
        <v>44182</v>
      </c>
      <c r="Z96" s="111">
        <v>88364</v>
      </c>
      <c r="AA96" s="111">
        <v>0</v>
      </c>
      <c r="AB96" s="111">
        <v>98182</v>
      </c>
      <c r="AC96" s="111">
        <v>0</v>
      </c>
      <c r="AD96" s="113">
        <v>1</v>
      </c>
      <c r="AE96" s="112">
        <v>932727</v>
      </c>
      <c r="AF96" s="108">
        <v>932727</v>
      </c>
      <c r="AG96" s="113"/>
      <c r="AH96" s="108"/>
      <c r="AI96" s="108"/>
      <c r="AJ96" s="113">
        <v>1</v>
      </c>
      <c r="AK96" s="113">
        <v>9818</v>
      </c>
      <c r="AL96" s="109">
        <v>9818</v>
      </c>
      <c r="AM96" s="128">
        <v>1030909</v>
      </c>
      <c r="AN96" s="130"/>
      <c r="AO96" s="131">
        <v>0</v>
      </c>
      <c r="AP96" s="131">
        <v>0</v>
      </c>
      <c r="AQ96" s="131">
        <v>0</v>
      </c>
      <c r="AR96" s="131">
        <v>119</v>
      </c>
      <c r="AS96" s="131">
        <v>0</v>
      </c>
      <c r="AT96" s="131">
        <v>0</v>
      </c>
      <c r="AU96" s="131">
        <v>0</v>
      </c>
      <c r="AV96" s="131">
        <v>110000</v>
      </c>
    </row>
    <row r="97" spans="1:49" x14ac:dyDescent="0.3">
      <c r="A97" s="11">
        <f t="shared" si="2"/>
        <v>91</v>
      </c>
      <c r="B97" s="22">
        <f t="shared" si="3"/>
        <v>91</v>
      </c>
      <c r="C97" s="12" t="s">
        <v>174</v>
      </c>
      <c r="D97" s="47"/>
      <c r="E97" s="11">
        <v>1303</v>
      </c>
      <c r="F97" s="79">
        <v>0</v>
      </c>
      <c r="G97" s="13">
        <v>0</v>
      </c>
      <c r="H97" s="13">
        <v>0</v>
      </c>
      <c r="I97" s="66">
        <v>668</v>
      </c>
      <c r="J97" s="66">
        <v>694</v>
      </c>
      <c r="K97" s="67">
        <v>26</v>
      </c>
      <c r="L97" s="67">
        <v>10</v>
      </c>
      <c r="M97" s="20">
        <v>86250</v>
      </c>
      <c r="N97" s="67">
        <v>10</v>
      </c>
      <c r="O97" s="20">
        <v>101200</v>
      </c>
      <c r="P97" s="67">
        <v>6</v>
      </c>
      <c r="Q97" s="20">
        <v>82800</v>
      </c>
      <c r="R97" s="20">
        <v>0</v>
      </c>
      <c r="S97" s="20">
        <v>0</v>
      </c>
      <c r="T97" s="20">
        <v>0</v>
      </c>
      <c r="U97" s="20">
        <v>0</v>
      </c>
      <c r="V97" s="20">
        <v>270250</v>
      </c>
      <c r="W97" s="12"/>
      <c r="X97" s="121">
        <v>0</v>
      </c>
      <c r="Y97" s="111">
        <v>44182</v>
      </c>
      <c r="Z97" s="111">
        <v>0</v>
      </c>
      <c r="AA97" s="111">
        <v>0</v>
      </c>
      <c r="AB97" s="111">
        <v>98182</v>
      </c>
      <c r="AC97" s="111">
        <v>0</v>
      </c>
      <c r="AD97" s="113">
        <v>1</v>
      </c>
      <c r="AE97" s="112">
        <v>932727</v>
      </c>
      <c r="AF97" s="108">
        <v>932727</v>
      </c>
      <c r="AG97" s="113"/>
      <c r="AH97" s="108"/>
      <c r="AI97" s="108"/>
      <c r="AJ97" s="113"/>
      <c r="AK97" s="113"/>
      <c r="AL97" s="109">
        <v>0</v>
      </c>
      <c r="AM97" s="128">
        <v>932727</v>
      </c>
      <c r="AN97" s="130"/>
      <c r="AO97" s="131">
        <v>0</v>
      </c>
      <c r="AP97" s="131">
        <v>0</v>
      </c>
      <c r="AQ97" s="131">
        <v>0</v>
      </c>
      <c r="AR97" s="138">
        <v>152.5</v>
      </c>
      <c r="AS97" s="131">
        <v>0</v>
      </c>
      <c r="AT97" s="131">
        <v>0</v>
      </c>
      <c r="AU97" s="131">
        <v>0</v>
      </c>
      <c r="AV97" s="131">
        <v>0</v>
      </c>
    </row>
    <row r="98" spans="1:49" x14ac:dyDescent="0.3">
      <c r="A98" s="11">
        <f t="shared" si="2"/>
        <v>92</v>
      </c>
      <c r="B98" s="22">
        <f t="shared" si="3"/>
        <v>92</v>
      </c>
      <c r="C98" s="12" t="s">
        <v>175</v>
      </c>
      <c r="D98" s="47"/>
      <c r="E98" s="11">
        <v>1304</v>
      </c>
      <c r="F98" s="79">
        <v>0</v>
      </c>
      <c r="G98" s="13">
        <v>0</v>
      </c>
      <c r="H98" s="13">
        <v>0</v>
      </c>
      <c r="I98" s="66">
        <v>5064</v>
      </c>
      <c r="J98" s="66">
        <v>5078</v>
      </c>
      <c r="K98" s="67">
        <v>14</v>
      </c>
      <c r="L98" s="67">
        <v>10</v>
      </c>
      <c r="M98" s="20">
        <v>86250</v>
      </c>
      <c r="N98" s="67">
        <v>4</v>
      </c>
      <c r="O98" s="20">
        <v>40480</v>
      </c>
      <c r="P98" s="67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126730</v>
      </c>
      <c r="W98" s="12"/>
      <c r="X98" s="121">
        <v>7</v>
      </c>
      <c r="Y98" s="111">
        <v>44182</v>
      </c>
      <c r="Z98" s="111">
        <v>309274</v>
      </c>
      <c r="AA98" s="111">
        <v>0</v>
      </c>
      <c r="AB98" s="111">
        <v>98182</v>
      </c>
      <c r="AC98" s="111">
        <v>0</v>
      </c>
      <c r="AD98" s="113">
        <v>1</v>
      </c>
      <c r="AE98" s="112">
        <v>932727</v>
      </c>
      <c r="AF98" s="108">
        <v>932727</v>
      </c>
      <c r="AG98" s="113"/>
      <c r="AH98" s="108"/>
      <c r="AI98" s="108"/>
      <c r="AJ98" s="113">
        <v>1</v>
      </c>
      <c r="AK98" s="113">
        <v>9818</v>
      </c>
      <c r="AL98" s="109">
        <v>9818</v>
      </c>
      <c r="AM98" s="128">
        <v>1251819</v>
      </c>
      <c r="AN98" s="130"/>
      <c r="AO98" s="131">
        <v>0</v>
      </c>
      <c r="AP98" s="131">
        <v>0</v>
      </c>
      <c r="AQ98" s="131">
        <v>0</v>
      </c>
      <c r="AR98" s="131">
        <v>151</v>
      </c>
      <c r="AS98" s="131">
        <v>0</v>
      </c>
      <c r="AT98" s="131">
        <v>0</v>
      </c>
      <c r="AU98" s="131">
        <v>0</v>
      </c>
      <c r="AV98" s="131">
        <v>110000</v>
      </c>
    </row>
    <row r="99" spans="1:49" x14ac:dyDescent="0.3">
      <c r="A99" s="11">
        <f t="shared" si="2"/>
        <v>93</v>
      </c>
      <c r="B99" s="22">
        <f t="shared" si="3"/>
        <v>93</v>
      </c>
      <c r="C99" s="12" t="s">
        <v>176</v>
      </c>
      <c r="D99" s="47"/>
      <c r="E99" s="11">
        <v>1305</v>
      </c>
      <c r="F99" s="79">
        <v>0</v>
      </c>
      <c r="G99" s="13">
        <v>0</v>
      </c>
      <c r="H99" s="13">
        <v>0</v>
      </c>
      <c r="I99" s="66">
        <v>2114</v>
      </c>
      <c r="J99" s="66">
        <v>2121</v>
      </c>
      <c r="K99" s="67">
        <v>7</v>
      </c>
      <c r="L99" s="67">
        <v>7</v>
      </c>
      <c r="M99" s="20">
        <v>60375</v>
      </c>
      <c r="N99" s="67">
        <v>0</v>
      </c>
      <c r="O99" s="20">
        <v>0</v>
      </c>
      <c r="P99" s="67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60375</v>
      </c>
      <c r="W99" s="13"/>
      <c r="X99" s="121">
        <v>1</v>
      </c>
      <c r="Y99" s="111">
        <v>44182</v>
      </c>
      <c r="Z99" s="111">
        <v>44182</v>
      </c>
      <c r="AA99" s="111">
        <v>0</v>
      </c>
      <c r="AB99" s="111">
        <v>98182</v>
      </c>
      <c r="AC99" s="111">
        <v>0</v>
      </c>
      <c r="AD99" s="113"/>
      <c r="AE99" s="112">
        <v>932727</v>
      </c>
      <c r="AF99" s="108">
        <v>0</v>
      </c>
      <c r="AG99" s="113"/>
      <c r="AH99" s="108"/>
      <c r="AI99" s="108"/>
      <c r="AJ99" s="113"/>
      <c r="AK99" s="113"/>
      <c r="AL99" s="109">
        <v>0</v>
      </c>
      <c r="AM99" s="128">
        <v>44182</v>
      </c>
      <c r="AN99" s="130"/>
      <c r="AO99" s="131">
        <v>0</v>
      </c>
      <c r="AP99" s="131">
        <v>0</v>
      </c>
      <c r="AQ99" s="131">
        <v>0</v>
      </c>
      <c r="AR99" s="131">
        <v>117</v>
      </c>
      <c r="AS99" s="131">
        <v>0</v>
      </c>
      <c r="AT99" s="131">
        <v>0</v>
      </c>
      <c r="AU99" s="131">
        <v>0</v>
      </c>
      <c r="AV99" s="131">
        <v>0</v>
      </c>
    </row>
    <row r="100" spans="1:49" x14ac:dyDescent="0.3">
      <c r="A100" s="11">
        <f t="shared" si="2"/>
        <v>94</v>
      </c>
      <c r="B100" s="22">
        <f t="shared" si="3"/>
        <v>94</v>
      </c>
      <c r="C100" s="62" t="s">
        <v>177</v>
      </c>
      <c r="D100" s="47"/>
      <c r="E100" s="11">
        <v>1306</v>
      </c>
      <c r="F100" s="79">
        <v>0</v>
      </c>
      <c r="G100" s="13">
        <v>0</v>
      </c>
      <c r="H100" s="13">
        <v>0</v>
      </c>
      <c r="I100" s="66">
        <v>3453</v>
      </c>
      <c r="J100" s="66">
        <v>3466</v>
      </c>
      <c r="K100" s="67">
        <v>13</v>
      </c>
      <c r="L100" s="67">
        <v>10</v>
      </c>
      <c r="M100" s="20">
        <v>86250</v>
      </c>
      <c r="N100" s="67">
        <v>3</v>
      </c>
      <c r="O100" s="20">
        <v>30360</v>
      </c>
      <c r="P100" s="67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116610</v>
      </c>
      <c r="W100" s="12"/>
      <c r="X100" s="121">
        <v>4</v>
      </c>
      <c r="Y100" s="111">
        <v>44182</v>
      </c>
      <c r="Z100" s="111">
        <v>176728</v>
      </c>
      <c r="AA100" s="111">
        <v>0</v>
      </c>
      <c r="AB100" s="111">
        <v>98182</v>
      </c>
      <c r="AC100" s="111">
        <v>0</v>
      </c>
      <c r="AD100" s="113">
        <v>1</v>
      </c>
      <c r="AE100" s="112">
        <v>932727</v>
      </c>
      <c r="AF100" s="108">
        <v>932727</v>
      </c>
      <c r="AG100" s="113"/>
      <c r="AH100" s="108"/>
      <c r="AI100" s="108"/>
      <c r="AJ100" s="113"/>
      <c r="AK100" s="113"/>
      <c r="AL100" s="109">
        <v>0</v>
      </c>
      <c r="AM100" s="128">
        <v>1109455</v>
      </c>
      <c r="AN100" s="130"/>
      <c r="AO100" s="131">
        <v>0</v>
      </c>
      <c r="AP100" s="131">
        <v>0</v>
      </c>
      <c r="AQ100" s="131">
        <v>0</v>
      </c>
      <c r="AR100" s="138">
        <v>152.5</v>
      </c>
      <c r="AS100" s="131">
        <v>0</v>
      </c>
      <c r="AT100" s="131">
        <v>0</v>
      </c>
      <c r="AU100" s="131">
        <v>0</v>
      </c>
      <c r="AV100" s="131">
        <v>110000</v>
      </c>
    </row>
    <row r="101" spans="1:49" x14ac:dyDescent="0.3">
      <c r="A101" s="11">
        <f t="shared" si="2"/>
        <v>95</v>
      </c>
      <c r="B101" s="22">
        <f t="shared" si="3"/>
        <v>95</v>
      </c>
      <c r="C101" s="12" t="s">
        <v>178</v>
      </c>
      <c r="D101" s="47"/>
      <c r="E101" s="11">
        <v>1307</v>
      </c>
      <c r="F101" s="79">
        <v>0</v>
      </c>
      <c r="G101" s="13">
        <v>0</v>
      </c>
      <c r="H101" s="13">
        <v>0</v>
      </c>
      <c r="I101" s="66">
        <v>4587</v>
      </c>
      <c r="J101" s="66">
        <v>4607</v>
      </c>
      <c r="K101" s="67">
        <v>20</v>
      </c>
      <c r="L101" s="67">
        <v>10</v>
      </c>
      <c r="M101" s="20">
        <v>86250</v>
      </c>
      <c r="N101" s="67">
        <v>10</v>
      </c>
      <c r="O101" s="20">
        <v>101200</v>
      </c>
      <c r="P101" s="67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187450</v>
      </c>
      <c r="W101" s="12"/>
      <c r="X101" s="121">
        <v>3</v>
      </c>
      <c r="Y101" s="111">
        <v>44182</v>
      </c>
      <c r="Z101" s="111">
        <v>132546</v>
      </c>
      <c r="AA101" s="111">
        <v>0</v>
      </c>
      <c r="AB101" s="111">
        <v>98182</v>
      </c>
      <c r="AC101" s="111">
        <v>0</v>
      </c>
      <c r="AD101" s="113"/>
      <c r="AE101" s="112">
        <v>932727</v>
      </c>
      <c r="AF101" s="108">
        <v>0</v>
      </c>
      <c r="AG101" s="113"/>
      <c r="AH101" s="108"/>
      <c r="AI101" s="108"/>
      <c r="AJ101" s="113"/>
      <c r="AK101" s="113"/>
      <c r="AL101" s="109">
        <v>0</v>
      </c>
      <c r="AM101" s="128">
        <v>132546</v>
      </c>
      <c r="AN101" s="130"/>
      <c r="AO101" s="131">
        <v>0</v>
      </c>
      <c r="AP101" s="131">
        <v>0</v>
      </c>
      <c r="AQ101" s="131">
        <v>0</v>
      </c>
      <c r="AR101" s="131">
        <v>119</v>
      </c>
      <c r="AS101" s="131">
        <v>0</v>
      </c>
      <c r="AT101" s="131">
        <v>0</v>
      </c>
      <c r="AU101" s="131">
        <v>0</v>
      </c>
      <c r="AV101" s="131">
        <v>0</v>
      </c>
    </row>
    <row r="102" spans="1:49" x14ac:dyDescent="0.3">
      <c r="A102" s="11">
        <f t="shared" si="2"/>
        <v>96</v>
      </c>
      <c r="B102" s="22">
        <f t="shared" si="3"/>
        <v>96</v>
      </c>
      <c r="C102" s="12" t="s">
        <v>179</v>
      </c>
      <c r="D102" s="47"/>
      <c r="E102" s="11">
        <v>1308</v>
      </c>
      <c r="F102" s="79">
        <v>0</v>
      </c>
      <c r="G102" s="13">
        <v>0</v>
      </c>
      <c r="H102" s="13">
        <v>0</v>
      </c>
      <c r="I102" s="66">
        <v>2373</v>
      </c>
      <c r="J102" s="66">
        <v>2382</v>
      </c>
      <c r="K102" s="67">
        <v>9</v>
      </c>
      <c r="L102" s="67">
        <v>9</v>
      </c>
      <c r="M102" s="20">
        <v>77625</v>
      </c>
      <c r="N102" s="67">
        <v>0</v>
      </c>
      <c r="O102" s="20">
        <v>0</v>
      </c>
      <c r="P102" s="67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77625</v>
      </c>
      <c r="W102" s="12"/>
      <c r="X102" s="122">
        <v>1</v>
      </c>
      <c r="Y102" s="111">
        <v>44182</v>
      </c>
      <c r="Z102" s="111">
        <v>44182</v>
      </c>
      <c r="AA102" s="111">
        <v>0</v>
      </c>
      <c r="AB102" s="111">
        <v>98182</v>
      </c>
      <c r="AC102" s="111">
        <v>0</v>
      </c>
      <c r="AD102" s="116"/>
      <c r="AE102" s="112">
        <v>932727</v>
      </c>
      <c r="AF102" s="108">
        <v>0</v>
      </c>
      <c r="AG102" s="116"/>
      <c r="AH102" s="108"/>
      <c r="AI102" s="108"/>
      <c r="AJ102" s="116"/>
      <c r="AK102" s="113"/>
      <c r="AL102" s="109">
        <v>0</v>
      </c>
      <c r="AM102" s="128">
        <v>44182</v>
      </c>
      <c r="AN102" s="130"/>
      <c r="AO102" s="131">
        <v>0</v>
      </c>
      <c r="AP102" s="131">
        <v>0</v>
      </c>
      <c r="AQ102" s="131">
        <v>0</v>
      </c>
      <c r="AR102" s="131">
        <v>115</v>
      </c>
      <c r="AS102" s="131">
        <v>0</v>
      </c>
      <c r="AT102" s="131">
        <v>0</v>
      </c>
      <c r="AU102" s="131">
        <v>0</v>
      </c>
      <c r="AV102" s="131">
        <v>110000</v>
      </c>
    </row>
    <row r="103" spans="1:49" x14ac:dyDescent="0.3">
      <c r="A103" s="11">
        <f t="shared" si="2"/>
        <v>97</v>
      </c>
      <c r="B103" s="22">
        <f t="shared" si="3"/>
        <v>97</v>
      </c>
      <c r="C103" s="12" t="s">
        <v>264</v>
      </c>
      <c r="D103" s="47"/>
      <c r="E103" s="11">
        <v>1401</v>
      </c>
      <c r="F103" s="79">
        <v>0</v>
      </c>
      <c r="G103" s="13">
        <v>0</v>
      </c>
      <c r="H103" s="13">
        <v>0</v>
      </c>
      <c r="I103" s="66">
        <v>5768</v>
      </c>
      <c r="J103" s="66">
        <v>5775</v>
      </c>
      <c r="K103" s="67">
        <v>7</v>
      </c>
      <c r="L103" s="67">
        <v>0</v>
      </c>
      <c r="M103" s="20">
        <v>0</v>
      </c>
      <c r="N103" s="67">
        <v>0</v>
      </c>
      <c r="O103" s="20">
        <v>0</v>
      </c>
      <c r="P103" s="67">
        <v>0</v>
      </c>
      <c r="Q103" s="20">
        <v>0</v>
      </c>
      <c r="R103" s="20">
        <v>0</v>
      </c>
      <c r="S103" s="20">
        <v>0</v>
      </c>
      <c r="T103" s="20">
        <v>7</v>
      </c>
      <c r="U103" s="20">
        <v>217350</v>
      </c>
      <c r="V103" s="20">
        <v>217350</v>
      </c>
      <c r="W103" s="12"/>
      <c r="X103" s="121">
        <v>1</v>
      </c>
      <c r="Y103" s="111">
        <v>98182</v>
      </c>
      <c r="Z103" s="111">
        <v>98182</v>
      </c>
      <c r="AA103" s="112">
        <v>27</v>
      </c>
      <c r="AB103" s="111">
        <v>98182</v>
      </c>
      <c r="AC103" s="111">
        <v>2650914</v>
      </c>
      <c r="AD103" s="113"/>
      <c r="AE103" s="112">
        <v>932727</v>
      </c>
      <c r="AF103" s="108">
        <v>0</v>
      </c>
      <c r="AG103" s="113"/>
      <c r="AH103" s="108"/>
      <c r="AI103" s="108"/>
      <c r="AJ103" s="113"/>
      <c r="AK103" s="113"/>
      <c r="AL103" s="109">
        <v>0</v>
      </c>
      <c r="AM103" s="128">
        <v>2749096</v>
      </c>
      <c r="AN103" s="130"/>
      <c r="AO103" s="131">
        <v>0</v>
      </c>
      <c r="AP103" s="131">
        <v>0</v>
      </c>
      <c r="AQ103" s="131">
        <v>0</v>
      </c>
      <c r="AR103" s="138">
        <v>233.5</v>
      </c>
      <c r="AS103" s="131">
        <v>0</v>
      </c>
      <c r="AT103" s="131">
        <v>0</v>
      </c>
      <c r="AU103" s="131">
        <v>0</v>
      </c>
      <c r="AV103" s="131">
        <v>0</v>
      </c>
      <c r="AW103" s="1" t="s">
        <v>8</v>
      </c>
    </row>
    <row r="104" spans="1:49" x14ac:dyDescent="0.3">
      <c r="A104" s="11">
        <f t="shared" si="2"/>
        <v>98</v>
      </c>
      <c r="B104" s="22">
        <f t="shared" si="3"/>
        <v>98</v>
      </c>
      <c r="C104" s="12" t="s">
        <v>181</v>
      </c>
      <c r="D104" s="47"/>
      <c r="E104" s="11">
        <v>1402</v>
      </c>
      <c r="F104" s="79">
        <v>0</v>
      </c>
      <c r="G104" s="13">
        <v>0</v>
      </c>
      <c r="H104" s="13">
        <v>0</v>
      </c>
      <c r="I104" s="66">
        <v>4551</v>
      </c>
      <c r="J104" s="66">
        <v>4567</v>
      </c>
      <c r="K104" s="67">
        <v>16</v>
      </c>
      <c r="L104" s="67">
        <v>10</v>
      </c>
      <c r="M104" s="20">
        <v>86250</v>
      </c>
      <c r="N104" s="67">
        <v>6</v>
      </c>
      <c r="O104" s="20">
        <v>60720</v>
      </c>
      <c r="P104" s="67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146970</v>
      </c>
      <c r="W104" s="12"/>
      <c r="X104" s="121">
        <v>0</v>
      </c>
      <c r="Y104" s="111">
        <v>44182</v>
      </c>
      <c r="Z104" s="111">
        <v>0</v>
      </c>
      <c r="AA104" s="111">
        <v>0</v>
      </c>
      <c r="AB104" s="111">
        <v>98182</v>
      </c>
      <c r="AC104" s="111">
        <v>0</v>
      </c>
      <c r="AD104" s="113"/>
      <c r="AE104" s="112">
        <v>932727</v>
      </c>
      <c r="AF104" s="108"/>
      <c r="AG104" s="113"/>
      <c r="AH104" s="108"/>
      <c r="AI104" s="108"/>
      <c r="AJ104" s="113"/>
      <c r="AK104" s="113"/>
      <c r="AL104" s="109"/>
      <c r="AM104" s="128">
        <v>0</v>
      </c>
      <c r="AN104" s="130"/>
      <c r="AO104" s="131">
        <v>0</v>
      </c>
      <c r="AP104" s="131">
        <v>0</v>
      </c>
      <c r="AQ104" s="131">
        <v>0</v>
      </c>
      <c r="AR104" s="138">
        <v>152.5</v>
      </c>
      <c r="AS104" s="131">
        <v>0</v>
      </c>
      <c r="AT104" s="131">
        <v>0</v>
      </c>
      <c r="AU104" s="131">
        <v>0</v>
      </c>
      <c r="AV104" s="131">
        <v>0</v>
      </c>
    </row>
    <row r="105" spans="1:49" x14ac:dyDescent="0.3">
      <c r="A105" s="11">
        <f t="shared" si="2"/>
        <v>99</v>
      </c>
      <c r="B105" s="22">
        <f t="shared" si="3"/>
        <v>99</v>
      </c>
      <c r="C105" s="12" t="s">
        <v>182</v>
      </c>
      <c r="D105" s="47"/>
      <c r="E105" s="11">
        <v>1403</v>
      </c>
      <c r="F105" s="79">
        <v>0</v>
      </c>
      <c r="G105" s="13">
        <v>0</v>
      </c>
      <c r="H105" s="13">
        <v>0</v>
      </c>
      <c r="I105" s="66">
        <v>0</v>
      </c>
      <c r="J105" s="66">
        <v>0</v>
      </c>
      <c r="K105" s="67">
        <v>0</v>
      </c>
      <c r="L105" s="67">
        <v>0</v>
      </c>
      <c r="M105" s="20">
        <v>0</v>
      </c>
      <c r="N105" s="67">
        <v>0</v>
      </c>
      <c r="O105" s="20">
        <v>0</v>
      </c>
      <c r="P105" s="67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12"/>
      <c r="X105" s="121">
        <v>1</v>
      </c>
      <c r="Y105" s="111">
        <v>44182</v>
      </c>
      <c r="Z105" s="111">
        <v>44182</v>
      </c>
      <c r="AA105" s="111">
        <v>0</v>
      </c>
      <c r="AB105" s="111">
        <v>98182</v>
      </c>
      <c r="AC105" s="111">
        <v>0</v>
      </c>
      <c r="AD105" s="113">
        <v>1</v>
      </c>
      <c r="AE105" s="112">
        <v>932727</v>
      </c>
      <c r="AF105" s="108">
        <v>932727</v>
      </c>
      <c r="AG105" s="113"/>
      <c r="AH105" s="108"/>
      <c r="AI105" s="108"/>
      <c r="AJ105" s="113"/>
      <c r="AK105" s="113"/>
      <c r="AL105" s="109">
        <v>0</v>
      </c>
      <c r="AM105" s="128">
        <v>976909</v>
      </c>
      <c r="AN105" s="130"/>
      <c r="AO105" s="131">
        <v>0</v>
      </c>
      <c r="AP105" s="131">
        <v>0</v>
      </c>
      <c r="AQ105" s="131">
        <v>0</v>
      </c>
      <c r="AR105" s="131">
        <v>151</v>
      </c>
      <c r="AS105" s="131">
        <v>0</v>
      </c>
      <c r="AT105" s="131">
        <v>0</v>
      </c>
      <c r="AU105" s="131">
        <v>0</v>
      </c>
      <c r="AV105" s="131">
        <v>0</v>
      </c>
    </row>
    <row r="106" spans="1:49" x14ac:dyDescent="0.3">
      <c r="A106" s="11">
        <f t="shared" si="2"/>
        <v>100</v>
      </c>
      <c r="B106" s="22">
        <f t="shared" si="3"/>
        <v>100</v>
      </c>
      <c r="C106" s="12" t="s">
        <v>183</v>
      </c>
      <c r="D106" s="47"/>
      <c r="E106" s="11">
        <v>1404</v>
      </c>
      <c r="F106" s="79">
        <v>0</v>
      </c>
      <c r="G106" s="13">
        <v>0</v>
      </c>
      <c r="H106" s="13">
        <v>0</v>
      </c>
      <c r="I106" s="66">
        <v>2808</v>
      </c>
      <c r="J106" s="66">
        <v>2818</v>
      </c>
      <c r="K106" s="67">
        <v>10</v>
      </c>
      <c r="L106" s="67">
        <v>10</v>
      </c>
      <c r="M106" s="20">
        <v>86250</v>
      </c>
      <c r="N106" s="67">
        <v>0</v>
      </c>
      <c r="O106" s="20">
        <v>0</v>
      </c>
      <c r="P106" s="67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86250</v>
      </c>
      <c r="W106" s="12"/>
      <c r="X106" s="121">
        <v>1</v>
      </c>
      <c r="Y106" s="111">
        <v>44182</v>
      </c>
      <c r="Z106" s="111">
        <v>44182</v>
      </c>
      <c r="AA106" s="111">
        <v>0</v>
      </c>
      <c r="AB106" s="111">
        <v>98182</v>
      </c>
      <c r="AC106" s="111">
        <v>0</v>
      </c>
      <c r="AD106" s="113"/>
      <c r="AE106" s="112">
        <v>932727</v>
      </c>
      <c r="AF106" s="108">
        <v>0</v>
      </c>
      <c r="AG106" s="113"/>
      <c r="AH106" s="108"/>
      <c r="AI106" s="108"/>
      <c r="AJ106" s="113"/>
      <c r="AK106" s="113"/>
      <c r="AL106" s="109">
        <v>0</v>
      </c>
      <c r="AM106" s="128">
        <v>44182</v>
      </c>
      <c r="AN106" s="130"/>
      <c r="AO106" s="131">
        <v>0</v>
      </c>
      <c r="AP106" s="131">
        <v>0</v>
      </c>
      <c r="AQ106" s="131">
        <v>0</v>
      </c>
      <c r="AR106" s="131">
        <v>117</v>
      </c>
      <c r="AS106" s="131">
        <v>0</v>
      </c>
      <c r="AT106" s="131">
        <v>0</v>
      </c>
      <c r="AU106" s="131">
        <v>0</v>
      </c>
      <c r="AV106" s="131">
        <v>110000</v>
      </c>
    </row>
    <row r="107" spans="1:49" x14ac:dyDescent="0.3">
      <c r="A107" s="11">
        <f t="shared" si="2"/>
        <v>101</v>
      </c>
      <c r="B107" s="22">
        <f t="shared" si="3"/>
        <v>101</v>
      </c>
      <c r="C107" s="12" t="s">
        <v>184</v>
      </c>
      <c r="D107" s="47"/>
      <c r="E107" s="11">
        <v>1405</v>
      </c>
      <c r="F107" s="79">
        <v>0</v>
      </c>
      <c r="G107" s="13">
        <v>0</v>
      </c>
      <c r="H107" s="13">
        <v>0</v>
      </c>
      <c r="I107" s="66">
        <v>2053</v>
      </c>
      <c r="J107" s="66">
        <v>2071</v>
      </c>
      <c r="K107" s="67">
        <v>18</v>
      </c>
      <c r="L107" s="67">
        <v>10</v>
      </c>
      <c r="M107" s="20">
        <v>86250</v>
      </c>
      <c r="N107" s="67">
        <v>8</v>
      </c>
      <c r="O107" s="20">
        <v>80960</v>
      </c>
      <c r="P107" s="67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167210</v>
      </c>
      <c r="W107" s="20"/>
      <c r="X107" s="121">
        <v>1</v>
      </c>
      <c r="Y107" s="111">
        <v>44182</v>
      </c>
      <c r="Z107" s="111">
        <v>44182</v>
      </c>
      <c r="AA107" s="111">
        <v>0</v>
      </c>
      <c r="AB107" s="111">
        <v>98182</v>
      </c>
      <c r="AC107" s="111">
        <v>0</v>
      </c>
      <c r="AD107" s="113"/>
      <c r="AE107" s="112">
        <v>932727</v>
      </c>
      <c r="AF107" s="108">
        <v>0</v>
      </c>
      <c r="AG107" s="113"/>
      <c r="AH107" s="108"/>
      <c r="AI107" s="108"/>
      <c r="AJ107" s="113"/>
      <c r="AK107" s="113"/>
      <c r="AL107" s="109">
        <v>0</v>
      </c>
      <c r="AM107" s="128">
        <v>44182</v>
      </c>
      <c r="AN107" s="130"/>
      <c r="AO107" s="131">
        <v>0</v>
      </c>
      <c r="AP107" s="131">
        <v>0</v>
      </c>
      <c r="AQ107" s="131">
        <v>0</v>
      </c>
      <c r="AR107" s="138">
        <v>152.5</v>
      </c>
      <c r="AS107" s="131">
        <v>0</v>
      </c>
      <c r="AT107" s="131">
        <v>0</v>
      </c>
      <c r="AU107" s="131">
        <v>0</v>
      </c>
      <c r="AV107" s="131">
        <v>0</v>
      </c>
    </row>
    <row r="108" spans="1:49" x14ac:dyDescent="0.3">
      <c r="A108" s="11">
        <f t="shared" si="2"/>
        <v>102</v>
      </c>
      <c r="B108" s="22">
        <f t="shared" si="3"/>
        <v>102</v>
      </c>
      <c r="C108" s="12" t="s">
        <v>185</v>
      </c>
      <c r="D108" s="47"/>
      <c r="E108" s="11">
        <v>1406</v>
      </c>
      <c r="F108" s="79">
        <v>0</v>
      </c>
      <c r="G108" s="13">
        <v>0</v>
      </c>
      <c r="H108" s="13">
        <v>0</v>
      </c>
      <c r="I108" s="66">
        <v>342</v>
      </c>
      <c r="J108" s="66">
        <v>368</v>
      </c>
      <c r="K108" s="67">
        <v>26</v>
      </c>
      <c r="L108" s="67">
        <v>10</v>
      </c>
      <c r="M108" s="20">
        <v>86250</v>
      </c>
      <c r="N108" s="67">
        <v>10</v>
      </c>
      <c r="O108" s="20">
        <v>101200</v>
      </c>
      <c r="P108" s="67">
        <v>6</v>
      </c>
      <c r="Q108" s="20">
        <v>82800</v>
      </c>
      <c r="R108" s="20">
        <v>0</v>
      </c>
      <c r="S108" s="20">
        <v>0</v>
      </c>
      <c r="T108" s="20">
        <v>0</v>
      </c>
      <c r="U108" s="20">
        <v>0</v>
      </c>
      <c r="V108" s="20">
        <v>270250</v>
      </c>
      <c r="W108" s="20"/>
      <c r="X108" s="121">
        <v>2</v>
      </c>
      <c r="Y108" s="111">
        <v>44182</v>
      </c>
      <c r="Z108" s="111">
        <v>88364</v>
      </c>
      <c r="AA108" s="111">
        <v>0</v>
      </c>
      <c r="AB108" s="111">
        <v>98182</v>
      </c>
      <c r="AC108" s="111">
        <v>0</v>
      </c>
      <c r="AD108" s="113"/>
      <c r="AE108" s="112">
        <v>932727</v>
      </c>
      <c r="AF108" s="108">
        <v>0</v>
      </c>
      <c r="AG108" s="113"/>
      <c r="AH108" s="108"/>
      <c r="AI108" s="108"/>
      <c r="AJ108" s="113">
        <v>1</v>
      </c>
      <c r="AK108" s="113">
        <v>9818</v>
      </c>
      <c r="AL108" s="109">
        <v>9818</v>
      </c>
      <c r="AM108" s="128">
        <v>98182</v>
      </c>
      <c r="AN108" s="130"/>
      <c r="AO108" s="131">
        <v>0</v>
      </c>
      <c r="AP108" s="131">
        <v>0</v>
      </c>
      <c r="AQ108" s="131">
        <v>0</v>
      </c>
      <c r="AR108" s="131">
        <v>119</v>
      </c>
      <c r="AS108" s="131">
        <v>0</v>
      </c>
      <c r="AT108" s="131">
        <v>0</v>
      </c>
      <c r="AU108" s="131">
        <v>0</v>
      </c>
      <c r="AV108" s="131">
        <v>0</v>
      </c>
    </row>
    <row r="109" spans="1:49" x14ac:dyDescent="0.3">
      <c r="A109" s="11">
        <f t="shared" si="2"/>
        <v>103</v>
      </c>
      <c r="B109" s="22">
        <f t="shared" si="3"/>
        <v>103</v>
      </c>
      <c r="C109" s="12" t="s">
        <v>186</v>
      </c>
      <c r="D109" s="47"/>
      <c r="E109" s="11">
        <v>1407</v>
      </c>
      <c r="F109" s="79">
        <v>0</v>
      </c>
      <c r="G109" s="13">
        <v>0</v>
      </c>
      <c r="H109" s="13">
        <v>0</v>
      </c>
      <c r="I109" s="66">
        <v>2364</v>
      </c>
      <c r="J109" s="66">
        <v>2366</v>
      </c>
      <c r="K109" s="67">
        <v>2</v>
      </c>
      <c r="L109" s="67">
        <v>2</v>
      </c>
      <c r="M109" s="20">
        <v>17250</v>
      </c>
      <c r="N109" s="67">
        <v>0</v>
      </c>
      <c r="O109" s="20">
        <v>0</v>
      </c>
      <c r="P109" s="67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17250</v>
      </c>
      <c r="W109" s="12"/>
      <c r="X109" s="121">
        <v>1</v>
      </c>
      <c r="Y109" s="111">
        <v>44182</v>
      </c>
      <c r="Z109" s="111">
        <v>44182</v>
      </c>
      <c r="AA109" s="111">
        <v>0</v>
      </c>
      <c r="AB109" s="111">
        <v>98182</v>
      </c>
      <c r="AC109" s="111">
        <v>0</v>
      </c>
      <c r="AD109" s="116"/>
      <c r="AE109" s="112">
        <v>932727</v>
      </c>
      <c r="AF109" s="108">
        <v>0</v>
      </c>
      <c r="AG109" s="113"/>
      <c r="AH109" s="108"/>
      <c r="AI109" s="108"/>
      <c r="AJ109" s="113"/>
      <c r="AK109" s="113"/>
      <c r="AL109" s="109">
        <v>0</v>
      </c>
      <c r="AM109" s="128">
        <v>44182</v>
      </c>
      <c r="AN109" s="130"/>
      <c r="AO109" s="131">
        <v>0</v>
      </c>
      <c r="AP109" s="131">
        <v>0</v>
      </c>
      <c r="AQ109" s="131">
        <v>0</v>
      </c>
      <c r="AR109" s="131">
        <v>115</v>
      </c>
      <c r="AS109" s="131">
        <v>0</v>
      </c>
      <c r="AT109" s="131">
        <v>0</v>
      </c>
      <c r="AU109" s="131">
        <v>0</v>
      </c>
      <c r="AV109" s="131">
        <v>0</v>
      </c>
    </row>
    <row r="110" spans="1:49" x14ac:dyDescent="0.3">
      <c r="A110" s="11">
        <f t="shared" si="2"/>
        <v>104</v>
      </c>
      <c r="B110" s="22">
        <f t="shared" si="3"/>
        <v>104</v>
      </c>
      <c r="C110" s="12" t="s">
        <v>267</v>
      </c>
      <c r="D110" s="47"/>
      <c r="E110" s="11">
        <v>1501</v>
      </c>
      <c r="F110" s="79">
        <v>3</v>
      </c>
      <c r="G110" s="13">
        <v>1300000</v>
      </c>
      <c r="H110" s="13">
        <v>3900000</v>
      </c>
      <c r="I110" s="66">
        <v>329</v>
      </c>
      <c r="J110" s="66">
        <v>340</v>
      </c>
      <c r="K110" s="67">
        <v>11</v>
      </c>
      <c r="L110" s="67">
        <v>0</v>
      </c>
      <c r="M110" s="20">
        <v>0</v>
      </c>
      <c r="N110" s="67">
        <v>0</v>
      </c>
      <c r="O110" s="20">
        <v>0</v>
      </c>
      <c r="P110" s="67">
        <v>0</v>
      </c>
      <c r="Q110" s="20">
        <v>0</v>
      </c>
      <c r="R110" s="20">
        <v>0</v>
      </c>
      <c r="S110" s="20">
        <v>0</v>
      </c>
      <c r="T110" s="20">
        <v>11</v>
      </c>
      <c r="U110" s="20">
        <v>341550</v>
      </c>
      <c r="V110" s="20">
        <v>341550</v>
      </c>
      <c r="W110" s="12"/>
      <c r="X110" s="121">
        <v>2</v>
      </c>
      <c r="Y110" s="111">
        <v>98182</v>
      </c>
      <c r="Z110" s="111">
        <v>196364</v>
      </c>
      <c r="AA110" s="112">
        <v>6</v>
      </c>
      <c r="AB110" s="111">
        <v>98182</v>
      </c>
      <c r="AC110" s="111">
        <v>589092</v>
      </c>
      <c r="AD110" s="113"/>
      <c r="AE110" s="112">
        <v>932727</v>
      </c>
      <c r="AF110" s="108">
        <v>0</v>
      </c>
      <c r="AG110" s="113"/>
      <c r="AH110" s="108"/>
      <c r="AI110" s="108"/>
      <c r="AJ110" s="113"/>
      <c r="AK110" s="113"/>
      <c r="AL110" s="109">
        <v>0</v>
      </c>
      <c r="AM110" s="128">
        <v>785456</v>
      </c>
      <c r="AN110" s="130"/>
      <c r="AO110" s="131">
        <v>3</v>
      </c>
      <c r="AP110" s="131">
        <v>130000</v>
      </c>
      <c r="AQ110" s="131">
        <v>390000</v>
      </c>
      <c r="AR110" s="138">
        <v>233.5</v>
      </c>
      <c r="AS110" s="131">
        <v>0</v>
      </c>
      <c r="AT110" s="131">
        <v>0</v>
      </c>
      <c r="AU110" s="131">
        <v>0</v>
      </c>
      <c r="AV110" s="131">
        <v>0</v>
      </c>
      <c r="AW110" s="1" t="s">
        <v>8</v>
      </c>
    </row>
    <row r="111" spans="1:49" x14ac:dyDescent="0.3">
      <c r="A111" s="11">
        <f t="shared" si="2"/>
        <v>105</v>
      </c>
      <c r="B111" s="22">
        <f t="shared" si="3"/>
        <v>105</v>
      </c>
      <c r="C111" s="12" t="s">
        <v>188</v>
      </c>
      <c r="D111" s="47"/>
      <c r="E111" s="11">
        <v>1502</v>
      </c>
      <c r="F111" s="79">
        <v>0</v>
      </c>
      <c r="G111" s="13">
        <v>0</v>
      </c>
      <c r="H111" s="13">
        <v>0</v>
      </c>
      <c r="I111" s="66">
        <v>3808</v>
      </c>
      <c r="J111" s="66">
        <v>3836</v>
      </c>
      <c r="K111" s="67">
        <v>28</v>
      </c>
      <c r="L111" s="67">
        <v>10</v>
      </c>
      <c r="M111" s="20">
        <v>68690</v>
      </c>
      <c r="N111" s="67">
        <v>10</v>
      </c>
      <c r="O111" s="20">
        <v>101200</v>
      </c>
      <c r="P111" s="67">
        <v>8</v>
      </c>
      <c r="Q111" s="20">
        <v>110400</v>
      </c>
      <c r="R111" s="20">
        <v>0</v>
      </c>
      <c r="S111" s="20">
        <v>0</v>
      </c>
      <c r="T111" s="20">
        <v>0</v>
      </c>
      <c r="U111" s="20">
        <v>0</v>
      </c>
      <c r="V111" s="20">
        <v>280290</v>
      </c>
      <c r="W111" s="12"/>
      <c r="X111" s="121">
        <v>2</v>
      </c>
      <c r="Y111" s="111">
        <v>44182</v>
      </c>
      <c r="Z111" s="111">
        <v>88364</v>
      </c>
      <c r="AA111" s="111">
        <v>0</v>
      </c>
      <c r="AB111" s="111">
        <v>98182</v>
      </c>
      <c r="AC111" s="111">
        <v>0</v>
      </c>
      <c r="AD111" s="116"/>
      <c r="AE111" s="112">
        <v>932727</v>
      </c>
      <c r="AF111" s="108">
        <v>0</v>
      </c>
      <c r="AG111" s="113"/>
      <c r="AH111" s="108"/>
      <c r="AI111" s="108"/>
      <c r="AJ111" s="113"/>
      <c r="AK111" s="113"/>
      <c r="AL111" s="109">
        <v>0</v>
      </c>
      <c r="AM111" s="128">
        <v>88364</v>
      </c>
      <c r="AN111" s="130"/>
      <c r="AO111" s="131">
        <v>0</v>
      </c>
      <c r="AP111" s="131">
        <v>0</v>
      </c>
      <c r="AQ111" s="131">
        <v>0</v>
      </c>
      <c r="AR111" s="138">
        <v>152.5</v>
      </c>
      <c r="AS111" s="131">
        <v>0</v>
      </c>
      <c r="AT111" s="131">
        <v>0</v>
      </c>
      <c r="AU111" s="131">
        <v>0</v>
      </c>
      <c r="AV111" s="131">
        <v>110000</v>
      </c>
    </row>
    <row r="112" spans="1:49" x14ac:dyDescent="0.3">
      <c r="A112" s="11">
        <f t="shared" si="2"/>
        <v>106</v>
      </c>
      <c r="B112" s="22">
        <f t="shared" si="3"/>
        <v>106</v>
      </c>
      <c r="C112" s="12" t="s">
        <v>189</v>
      </c>
      <c r="D112" s="47"/>
      <c r="E112" s="11">
        <v>1503</v>
      </c>
      <c r="F112" s="79">
        <v>0</v>
      </c>
      <c r="G112" s="13">
        <v>0</v>
      </c>
      <c r="H112" s="13">
        <v>0</v>
      </c>
      <c r="I112" s="66">
        <v>4122</v>
      </c>
      <c r="J112" s="66">
        <v>4131</v>
      </c>
      <c r="K112" s="67">
        <v>9</v>
      </c>
      <c r="L112" s="67">
        <v>9</v>
      </c>
      <c r="M112" s="20">
        <v>77625</v>
      </c>
      <c r="N112" s="67">
        <v>0</v>
      </c>
      <c r="O112" s="20">
        <v>0</v>
      </c>
      <c r="P112" s="67">
        <v>0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77625</v>
      </c>
      <c r="W112" s="20"/>
      <c r="X112" s="121">
        <v>1</v>
      </c>
      <c r="Y112" s="111">
        <v>44182</v>
      </c>
      <c r="Z112" s="111">
        <v>44182</v>
      </c>
      <c r="AA112" s="111">
        <v>0</v>
      </c>
      <c r="AB112" s="111">
        <v>98182</v>
      </c>
      <c r="AC112" s="111">
        <v>0</v>
      </c>
      <c r="AD112" s="116">
        <v>1</v>
      </c>
      <c r="AE112" s="112">
        <v>932727</v>
      </c>
      <c r="AF112" s="108">
        <v>932727</v>
      </c>
      <c r="AG112" s="113"/>
      <c r="AH112" s="108"/>
      <c r="AI112" s="108"/>
      <c r="AJ112" s="113"/>
      <c r="AK112" s="113"/>
      <c r="AL112" s="109">
        <v>0</v>
      </c>
      <c r="AM112" s="128">
        <v>976909</v>
      </c>
      <c r="AN112" s="130"/>
      <c r="AO112" s="131">
        <v>0</v>
      </c>
      <c r="AP112" s="131">
        <v>0</v>
      </c>
      <c r="AQ112" s="131">
        <v>0</v>
      </c>
      <c r="AR112" s="131">
        <v>151</v>
      </c>
      <c r="AS112" s="131">
        <v>0</v>
      </c>
      <c r="AT112" s="131">
        <v>0</v>
      </c>
      <c r="AU112" s="131">
        <v>0</v>
      </c>
      <c r="AV112" s="131">
        <v>0</v>
      </c>
    </row>
    <row r="113" spans="1:49" x14ac:dyDescent="0.3">
      <c r="A113" s="11">
        <f t="shared" si="2"/>
        <v>107</v>
      </c>
      <c r="B113" s="22">
        <f t="shared" si="3"/>
        <v>107</v>
      </c>
      <c r="C113" s="12" t="s">
        <v>190</v>
      </c>
      <c r="D113" s="47"/>
      <c r="E113" s="11">
        <v>1504</v>
      </c>
      <c r="F113" s="79">
        <v>0</v>
      </c>
      <c r="G113" s="13">
        <v>0</v>
      </c>
      <c r="H113" s="13">
        <v>0</v>
      </c>
      <c r="I113" s="72">
        <v>216</v>
      </c>
      <c r="J113" s="72">
        <v>222</v>
      </c>
      <c r="K113" s="67">
        <v>6</v>
      </c>
      <c r="L113" s="67">
        <v>6</v>
      </c>
      <c r="M113" s="20">
        <v>51750</v>
      </c>
      <c r="N113" s="67">
        <v>0</v>
      </c>
      <c r="O113" s="20">
        <v>0</v>
      </c>
      <c r="P113" s="67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51750</v>
      </c>
      <c r="W113" s="20"/>
      <c r="X113" s="121">
        <v>0</v>
      </c>
      <c r="Y113" s="111">
        <v>44182</v>
      </c>
      <c r="Z113" s="111">
        <v>0</v>
      </c>
      <c r="AA113" s="111">
        <v>0</v>
      </c>
      <c r="AB113" s="111">
        <v>98182</v>
      </c>
      <c r="AC113" s="111">
        <v>0</v>
      </c>
      <c r="AD113" s="113"/>
      <c r="AE113" s="112">
        <v>932727</v>
      </c>
      <c r="AF113" s="108">
        <v>0</v>
      </c>
      <c r="AG113" s="113"/>
      <c r="AH113" s="108"/>
      <c r="AI113" s="108"/>
      <c r="AJ113" s="113"/>
      <c r="AK113" s="113"/>
      <c r="AL113" s="109">
        <v>0</v>
      </c>
      <c r="AM113" s="128">
        <v>0</v>
      </c>
      <c r="AN113" s="130"/>
      <c r="AO113" s="131">
        <v>0</v>
      </c>
      <c r="AP113" s="131">
        <v>0</v>
      </c>
      <c r="AQ113" s="131">
        <v>0</v>
      </c>
      <c r="AR113" s="131">
        <v>117</v>
      </c>
      <c r="AS113" s="131">
        <v>0</v>
      </c>
      <c r="AT113" s="131">
        <v>0</v>
      </c>
      <c r="AU113" s="131">
        <v>0</v>
      </c>
      <c r="AV113" s="131">
        <v>0</v>
      </c>
    </row>
    <row r="114" spans="1:49" x14ac:dyDescent="0.3">
      <c r="A114" s="11">
        <f t="shared" si="2"/>
        <v>108</v>
      </c>
      <c r="B114" s="22">
        <f t="shared" si="3"/>
        <v>108</v>
      </c>
      <c r="C114" s="12" t="s">
        <v>191</v>
      </c>
      <c r="D114" s="47"/>
      <c r="E114" s="11">
        <v>1505</v>
      </c>
      <c r="F114" s="79">
        <v>0</v>
      </c>
      <c r="G114" s="13">
        <v>0</v>
      </c>
      <c r="H114" s="13">
        <v>0</v>
      </c>
      <c r="I114" s="66">
        <v>5214</v>
      </c>
      <c r="J114" s="66">
        <v>5222</v>
      </c>
      <c r="K114" s="67">
        <v>8</v>
      </c>
      <c r="L114" s="67">
        <v>8</v>
      </c>
      <c r="M114" s="20">
        <v>69000</v>
      </c>
      <c r="N114" s="67">
        <v>0</v>
      </c>
      <c r="O114" s="20">
        <v>0</v>
      </c>
      <c r="P114" s="67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69000</v>
      </c>
      <c r="W114" s="12"/>
      <c r="X114" s="121">
        <v>1</v>
      </c>
      <c r="Y114" s="111">
        <v>44182</v>
      </c>
      <c r="Z114" s="111">
        <v>44182</v>
      </c>
      <c r="AA114" s="111">
        <v>0</v>
      </c>
      <c r="AB114" s="111">
        <v>98182</v>
      </c>
      <c r="AC114" s="111">
        <v>0</v>
      </c>
      <c r="AD114" s="116">
        <v>1</v>
      </c>
      <c r="AE114" s="112">
        <v>932727</v>
      </c>
      <c r="AF114" s="108">
        <v>932727</v>
      </c>
      <c r="AG114" s="113"/>
      <c r="AH114" s="108"/>
      <c r="AI114" s="108"/>
      <c r="AJ114" s="113"/>
      <c r="AK114" s="113"/>
      <c r="AL114" s="109">
        <v>0</v>
      </c>
      <c r="AM114" s="128">
        <v>976909</v>
      </c>
      <c r="AN114" s="130"/>
      <c r="AO114" s="131">
        <v>0</v>
      </c>
      <c r="AP114" s="131">
        <v>0</v>
      </c>
      <c r="AQ114" s="131">
        <v>0</v>
      </c>
      <c r="AR114" s="138">
        <v>152.5</v>
      </c>
      <c r="AS114" s="131">
        <v>0</v>
      </c>
      <c r="AT114" s="131">
        <v>0</v>
      </c>
      <c r="AU114" s="131">
        <v>0</v>
      </c>
      <c r="AV114" s="131">
        <v>0</v>
      </c>
    </row>
    <row r="115" spans="1:49" x14ac:dyDescent="0.3">
      <c r="A115" s="11">
        <f t="shared" si="2"/>
        <v>109</v>
      </c>
      <c r="B115" s="22">
        <f t="shared" si="3"/>
        <v>109</v>
      </c>
      <c r="C115" s="12" t="s">
        <v>192</v>
      </c>
      <c r="D115" s="47"/>
      <c r="E115" s="11">
        <v>1506</v>
      </c>
      <c r="F115" s="79">
        <v>3</v>
      </c>
      <c r="G115" s="13">
        <v>1300000</v>
      </c>
      <c r="H115" s="13">
        <v>3900000</v>
      </c>
      <c r="I115" s="66">
        <v>7</v>
      </c>
      <c r="J115" s="66">
        <v>7</v>
      </c>
      <c r="K115" s="67">
        <v>0</v>
      </c>
      <c r="L115" s="67">
        <v>0</v>
      </c>
      <c r="M115" s="20">
        <v>0</v>
      </c>
      <c r="N115" s="67">
        <v>0</v>
      </c>
      <c r="O115" s="20">
        <v>0</v>
      </c>
      <c r="P115" s="67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12"/>
      <c r="X115" s="121">
        <v>0</v>
      </c>
      <c r="Y115" s="111">
        <v>44182</v>
      </c>
      <c r="Z115" s="111">
        <v>0</v>
      </c>
      <c r="AA115" s="111">
        <v>0</v>
      </c>
      <c r="AB115" s="111">
        <v>98182</v>
      </c>
      <c r="AC115" s="111">
        <v>0</v>
      </c>
      <c r="AD115" s="113"/>
      <c r="AE115" s="112">
        <v>932727</v>
      </c>
      <c r="AF115" s="108">
        <v>0</v>
      </c>
      <c r="AG115" s="113"/>
      <c r="AH115" s="108"/>
      <c r="AI115" s="108"/>
      <c r="AJ115" s="113"/>
      <c r="AK115" s="113"/>
      <c r="AL115" s="109">
        <v>0</v>
      </c>
      <c r="AM115" s="128">
        <v>0</v>
      </c>
      <c r="AN115" s="130"/>
      <c r="AO115" s="131">
        <v>3</v>
      </c>
      <c r="AP115" s="131">
        <v>130000</v>
      </c>
      <c r="AQ115" s="131">
        <v>390000</v>
      </c>
      <c r="AR115" s="131">
        <v>119</v>
      </c>
      <c r="AS115" s="131">
        <v>0</v>
      </c>
      <c r="AT115" s="131">
        <v>0</v>
      </c>
      <c r="AU115" s="131">
        <v>0</v>
      </c>
      <c r="AV115" s="131">
        <v>0</v>
      </c>
      <c r="AW115" s="1" t="s">
        <v>8</v>
      </c>
    </row>
    <row r="116" spans="1:49" x14ac:dyDescent="0.3">
      <c r="A116" s="11">
        <f t="shared" si="2"/>
        <v>110</v>
      </c>
      <c r="B116" s="22">
        <f t="shared" si="3"/>
        <v>110</v>
      </c>
      <c r="C116" s="12" t="s">
        <v>193</v>
      </c>
      <c r="D116" s="47"/>
      <c r="E116" s="11">
        <v>1507</v>
      </c>
      <c r="F116" s="79">
        <v>0</v>
      </c>
      <c r="G116" s="13">
        <v>0</v>
      </c>
      <c r="H116" s="13">
        <v>0</v>
      </c>
      <c r="I116" s="66">
        <v>3687</v>
      </c>
      <c r="J116" s="66">
        <v>3695</v>
      </c>
      <c r="K116" s="67">
        <v>8</v>
      </c>
      <c r="L116" s="67">
        <v>8</v>
      </c>
      <c r="M116" s="20">
        <v>69000</v>
      </c>
      <c r="N116" s="67">
        <v>0</v>
      </c>
      <c r="O116" s="20">
        <v>0</v>
      </c>
      <c r="P116" s="67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69000</v>
      </c>
      <c r="W116" s="12"/>
      <c r="X116" s="121">
        <v>1</v>
      </c>
      <c r="Y116" s="111">
        <v>44182</v>
      </c>
      <c r="Z116" s="111">
        <v>44182</v>
      </c>
      <c r="AA116" s="111">
        <v>0</v>
      </c>
      <c r="AB116" s="111">
        <v>98182</v>
      </c>
      <c r="AC116" s="111">
        <v>0</v>
      </c>
      <c r="AD116" s="113"/>
      <c r="AE116" s="112">
        <v>932727</v>
      </c>
      <c r="AF116" s="108">
        <v>0</v>
      </c>
      <c r="AG116" s="113"/>
      <c r="AH116" s="108"/>
      <c r="AI116" s="108"/>
      <c r="AJ116" s="113"/>
      <c r="AK116" s="113"/>
      <c r="AL116" s="109">
        <v>0</v>
      </c>
      <c r="AM116" s="128">
        <v>44182</v>
      </c>
      <c r="AN116" s="130"/>
      <c r="AO116" s="131">
        <v>0</v>
      </c>
      <c r="AP116" s="131">
        <v>0</v>
      </c>
      <c r="AQ116" s="131">
        <v>0</v>
      </c>
      <c r="AR116" s="131">
        <v>115</v>
      </c>
      <c r="AS116" s="131">
        <v>9</v>
      </c>
      <c r="AT116" s="131">
        <v>230000</v>
      </c>
      <c r="AU116" s="131">
        <v>2070000</v>
      </c>
      <c r="AV116" s="131">
        <v>0</v>
      </c>
    </row>
    <row r="117" spans="1:49" x14ac:dyDescent="0.3">
      <c r="A117" s="11">
        <f t="shared" si="2"/>
        <v>111</v>
      </c>
      <c r="B117" s="22">
        <f t="shared" si="3"/>
        <v>111</v>
      </c>
      <c r="C117" s="12" t="s">
        <v>78</v>
      </c>
      <c r="D117" s="47"/>
      <c r="E117" s="11">
        <v>1601</v>
      </c>
      <c r="F117" s="79">
        <v>6</v>
      </c>
      <c r="G117" s="13">
        <v>140000</v>
      </c>
      <c r="H117" s="13">
        <v>840000</v>
      </c>
      <c r="I117" s="66">
        <v>3890</v>
      </c>
      <c r="J117" s="66">
        <v>3938</v>
      </c>
      <c r="K117" s="67">
        <v>48</v>
      </c>
      <c r="L117" s="67">
        <v>10</v>
      </c>
      <c r="M117" s="20">
        <v>86250</v>
      </c>
      <c r="N117" s="67">
        <v>10</v>
      </c>
      <c r="O117" s="20">
        <v>101200</v>
      </c>
      <c r="P117" s="67">
        <v>10</v>
      </c>
      <c r="Q117" s="20">
        <v>138000</v>
      </c>
      <c r="R117" s="20">
        <v>18</v>
      </c>
      <c r="S117" s="20">
        <v>496800</v>
      </c>
      <c r="T117" s="20">
        <v>0</v>
      </c>
      <c r="U117" s="20">
        <v>0</v>
      </c>
      <c r="V117" s="20">
        <v>822250</v>
      </c>
      <c r="W117" s="12"/>
      <c r="X117" s="121">
        <v>0</v>
      </c>
      <c r="Y117" s="111">
        <v>44182</v>
      </c>
      <c r="Z117" s="111">
        <v>0</v>
      </c>
      <c r="AA117" s="112">
        <v>0</v>
      </c>
      <c r="AB117" s="111">
        <v>98182</v>
      </c>
      <c r="AC117" s="111">
        <v>0</v>
      </c>
      <c r="AD117" s="113"/>
      <c r="AE117" s="112">
        <v>932727</v>
      </c>
      <c r="AF117" s="108">
        <v>0</v>
      </c>
      <c r="AG117" s="113"/>
      <c r="AH117" s="108"/>
      <c r="AI117" s="108"/>
      <c r="AJ117" s="113"/>
      <c r="AK117" s="113"/>
      <c r="AL117" s="109">
        <v>0</v>
      </c>
      <c r="AM117" s="128">
        <v>0</v>
      </c>
      <c r="AN117" s="130"/>
      <c r="AO117" s="131">
        <v>6</v>
      </c>
      <c r="AP117" s="131">
        <v>36000</v>
      </c>
      <c r="AQ117" s="131">
        <v>216000</v>
      </c>
      <c r="AR117" s="138">
        <v>233.5</v>
      </c>
      <c r="AS117" s="131">
        <v>6</v>
      </c>
      <c r="AT117" s="131">
        <v>467000</v>
      </c>
      <c r="AU117" s="131">
        <v>2802000</v>
      </c>
      <c r="AV117" s="131">
        <v>0</v>
      </c>
    </row>
    <row r="118" spans="1:49" x14ac:dyDescent="0.3">
      <c r="A118" s="11">
        <f t="shared" si="2"/>
        <v>112</v>
      </c>
      <c r="B118" s="22">
        <f t="shared" si="3"/>
        <v>112</v>
      </c>
      <c r="C118" s="12" t="s">
        <v>194</v>
      </c>
      <c r="D118" s="47"/>
      <c r="E118" s="11">
        <v>1602</v>
      </c>
      <c r="F118" s="79">
        <v>0</v>
      </c>
      <c r="G118" s="13">
        <v>0</v>
      </c>
      <c r="H118" s="13">
        <v>0</v>
      </c>
      <c r="I118" s="66">
        <v>1933</v>
      </c>
      <c r="J118" s="66">
        <v>1962</v>
      </c>
      <c r="K118" s="67">
        <v>29</v>
      </c>
      <c r="L118" s="67">
        <v>10</v>
      </c>
      <c r="M118" s="20">
        <v>86250</v>
      </c>
      <c r="N118" s="67">
        <v>10</v>
      </c>
      <c r="O118" s="20">
        <v>101200</v>
      </c>
      <c r="P118" s="67">
        <v>9</v>
      </c>
      <c r="Q118" s="20">
        <v>124200</v>
      </c>
      <c r="R118" s="20">
        <v>0</v>
      </c>
      <c r="S118" s="20">
        <v>0</v>
      </c>
      <c r="T118" s="20">
        <v>0</v>
      </c>
      <c r="U118" s="20">
        <v>0</v>
      </c>
      <c r="V118" s="20">
        <v>311650</v>
      </c>
      <c r="W118" s="12"/>
      <c r="X118" s="121">
        <v>1</v>
      </c>
      <c r="Y118" s="111">
        <v>44182</v>
      </c>
      <c r="Z118" s="111">
        <v>44182</v>
      </c>
      <c r="AA118" s="111">
        <v>0</v>
      </c>
      <c r="AB118" s="111">
        <v>98182</v>
      </c>
      <c r="AC118" s="111">
        <v>0</v>
      </c>
      <c r="AD118" s="113"/>
      <c r="AE118" s="112">
        <v>932727</v>
      </c>
      <c r="AF118" s="108">
        <v>0</v>
      </c>
      <c r="AG118" s="113"/>
      <c r="AH118" s="108"/>
      <c r="AI118" s="108"/>
      <c r="AJ118" s="113"/>
      <c r="AK118" s="113"/>
      <c r="AL118" s="109">
        <v>0</v>
      </c>
      <c r="AM118" s="128">
        <v>44182</v>
      </c>
      <c r="AN118" s="130"/>
      <c r="AO118" s="131">
        <v>0</v>
      </c>
      <c r="AP118" s="131">
        <v>0</v>
      </c>
      <c r="AQ118" s="131">
        <v>0</v>
      </c>
      <c r="AR118" s="138">
        <v>152.5</v>
      </c>
      <c r="AS118" s="131">
        <v>0</v>
      </c>
      <c r="AT118" s="131">
        <v>0</v>
      </c>
      <c r="AU118" s="131">
        <v>0</v>
      </c>
      <c r="AV118" s="131">
        <v>0</v>
      </c>
    </row>
    <row r="119" spans="1:49" x14ac:dyDescent="0.3">
      <c r="A119" s="11">
        <f t="shared" si="2"/>
        <v>113</v>
      </c>
      <c r="B119" s="22">
        <f t="shared" si="3"/>
        <v>113</v>
      </c>
      <c r="C119" s="12" t="s">
        <v>195</v>
      </c>
      <c r="D119" s="47"/>
      <c r="E119" s="11">
        <v>1603</v>
      </c>
      <c r="F119" s="79">
        <v>0</v>
      </c>
      <c r="G119" s="13">
        <v>0</v>
      </c>
      <c r="H119" s="13">
        <v>0</v>
      </c>
      <c r="I119" s="66">
        <v>752</v>
      </c>
      <c r="J119" s="66">
        <v>764</v>
      </c>
      <c r="K119" s="67">
        <v>12</v>
      </c>
      <c r="L119" s="67">
        <v>10</v>
      </c>
      <c r="M119" s="20">
        <v>86250</v>
      </c>
      <c r="N119" s="67">
        <v>2</v>
      </c>
      <c r="O119" s="20">
        <v>20240</v>
      </c>
      <c r="P119" s="67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106490</v>
      </c>
      <c r="W119" s="12"/>
      <c r="X119" s="121">
        <v>3</v>
      </c>
      <c r="Y119" s="111">
        <v>44182</v>
      </c>
      <c r="Z119" s="111">
        <v>132546</v>
      </c>
      <c r="AA119" s="111">
        <v>0</v>
      </c>
      <c r="AB119" s="111">
        <v>98182</v>
      </c>
      <c r="AC119" s="111">
        <v>0</v>
      </c>
      <c r="AD119" s="113"/>
      <c r="AE119" s="112">
        <v>932727</v>
      </c>
      <c r="AF119" s="108">
        <v>0</v>
      </c>
      <c r="AG119" s="113"/>
      <c r="AH119" s="108"/>
      <c r="AI119" s="108"/>
      <c r="AJ119" s="113"/>
      <c r="AK119" s="113"/>
      <c r="AL119" s="109">
        <v>0</v>
      </c>
      <c r="AM119" s="128">
        <v>132546</v>
      </c>
      <c r="AN119" s="130"/>
      <c r="AO119" s="131">
        <v>0</v>
      </c>
      <c r="AP119" s="131">
        <v>0</v>
      </c>
      <c r="AQ119" s="131">
        <v>0</v>
      </c>
      <c r="AR119" s="131">
        <v>151</v>
      </c>
      <c r="AS119" s="131">
        <v>0</v>
      </c>
      <c r="AT119" s="131">
        <v>0</v>
      </c>
      <c r="AU119" s="131">
        <v>0</v>
      </c>
      <c r="AV119" s="131">
        <v>0</v>
      </c>
    </row>
    <row r="120" spans="1:49" x14ac:dyDescent="0.3">
      <c r="A120" s="11">
        <f t="shared" si="2"/>
        <v>114</v>
      </c>
      <c r="B120" s="22">
        <f t="shared" si="3"/>
        <v>114</v>
      </c>
      <c r="C120" s="12" t="s">
        <v>196</v>
      </c>
      <c r="D120" s="47"/>
      <c r="E120" s="11">
        <v>1604</v>
      </c>
      <c r="F120" s="79">
        <v>0</v>
      </c>
      <c r="G120" s="13">
        <v>0</v>
      </c>
      <c r="H120" s="13">
        <v>0</v>
      </c>
      <c r="I120" s="66">
        <v>0</v>
      </c>
      <c r="J120" s="66">
        <v>0</v>
      </c>
      <c r="K120" s="67">
        <v>0</v>
      </c>
      <c r="L120" s="67">
        <v>0</v>
      </c>
      <c r="M120" s="20">
        <v>0</v>
      </c>
      <c r="N120" s="67">
        <v>0</v>
      </c>
      <c r="O120" s="20">
        <v>0</v>
      </c>
      <c r="P120" s="67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12"/>
      <c r="X120" s="121">
        <v>0</v>
      </c>
      <c r="Y120" s="111">
        <v>44182</v>
      </c>
      <c r="Z120" s="111">
        <v>0</v>
      </c>
      <c r="AA120" s="111">
        <v>0</v>
      </c>
      <c r="AB120" s="111">
        <v>98182</v>
      </c>
      <c r="AC120" s="111">
        <v>0</v>
      </c>
      <c r="AD120" s="113"/>
      <c r="AE120" s="112">
        <v>932727</v>
      </c>
      <c r="AF120" s="108">
        <v>0</v>
      </c>
      <c r="AG120" s="113"/>
      <c r="AH120" s="108"/>
      <c r="AI120" s="108"/>
      <c r="AJ120" s="113"/>
      <c r="AK120" s="113"/>
      <c r="AL120" s="109">
        <v>0</v>
      </c>
      <c r="AM120" s="128">
        <v>0</v>
      </c>
      <c r="AN120" s="130"/>
      <c r="AO120" s="131">
        <v>0</v>
      </c>
      <c r="AP120" s="131">
        <v>0</v>
      </c>
      <c r="AQ120" s="131">
        <v>0</v>
      </c>
      <c r="AR120" s="131">
        <v>117</v>
      </c>
      <c r="AS120" s="131">
        <v>0</v>
      </c>
      <c r="AT120" s="131">
        <v>0</v>
      </c>
      <c r="AU120" s="131">
        <v>0</v>
      </c>
      <c r="AV120" s="131">
        <v>0</v>
      </c>
    </row>
    <row r="121" spans="1:49" x14ac:dyDescent="0.3">
      <c r="A121" s="11">
        <f t="shared" si="2"/>
        <v>115</v>
      </c>
      <c r="B121" s="22">
        <f t="shared" si="3"/>
        <v>115</v>
      </c>
      <c r="C121" s="12" t="s">
        <v>197</v>
      </c>
      <c r="D121" s="47"/>
      <c r="E121" s="11">
        <v>1605</v>
      </c>
      <c r="F121" s="79">
        <v>0</v>
      </c>
      <c r="G121" s="13">
        <v>0</v>
      </c>
      <c r="H121" s="13">
        <v>0</v>
      </c>
      <c r="I121" s="72">
        <v>6618</v>
      </c>
      <c r="J121" s="72">
        <v>6653</v>
      </c>
      <c r="K121" s="67">
        <v>35</v>
      </c>
      <c r="L121" s="67">
        <v>10</v>
      </c>
      <c r="M121" s="20">
        <v>86250</v>
      </c>
      <c r="N121" s="67">
        <v>10</v>
      </c>
      <c r="O121" s="20">
        <v>101200</v>
      </c>
      <c r="P121" s="67">
        <v>10</v>
      </c>
      <c r="Q121" s="20">
        <v>138000</v>
      </c>
      <c r="R121" s="20">
        <v>5</v>
      </c>
      <c r="S121" s="20">
        <v>138000</v>
      </c>
      <c r="T121" s="20">
        <v>0</v>
      </c>
      <c r="U121" s="20">
        <v>0</v>
      </c>
      <c r="V121" s="20">
        <v>463450</v>
      </c>
      <c r="W121" s="20"/>
      <c r="X121" s="121">
        <v>2</v>
      </c>
      <c r="Y121" s="111">
        <v>44182</v>
      </c>
      <c r="Z121" s="111">
        <v>88364</v>
      </c>
      <c r="AA121" s="111">
        <v>0</v>
      </c>
      <c r="AB121" s="111">
        <v>98182</v>
      </c>
      <c r="AC121" s="111">
        <v>0</v>
      </c>
      <c r="AD121" s="113">
        <v>1</v>
      </c>
      <c r="AE121" s="112">
        <v>932727</v>
      </c>
      <c r="AF121" s="108">
        <v>932727</v>
      </c>
      <c r="AG121" s="113"/>
      <c r="AH121" s="108"/>
      <c r="AI121" s="108"/>
      <c r="AJ121" s="113"/>
      <c r="AK121" s="113"/>
      <c r="AL121" s="109">
        <v>0</v>
      </c>
      <c r="AM121" s="128">
        <v>1021091</v>
      </c>
      <c r="AN121" s="130"/>
      <c r="AO121" s="131">
        <v>0</v>
      </c>
      <c r="AP121" s="131">
        <v>0</v>
      </c>
      <c r="AQ121" s="131">
        <v>0</v>
      </c>
      <c r="AR121" s="138">
        <v>152.5</v>
      </c>
      <c r="AS121" s="131">
        <v>3</v>
      </c>
      <c r="AT121" s="131">
        <v>305000</v>
      </c>
      <c r="AU121" s="131">
        <v>915000</v>
      </c>
      <c r="AV121" s="131">
        <v>0</v>
      </c>
    </row>
    <row r="122" spans="1:49" x14ac:dyDescent="0.3">
      <c r="A122" s="11">
        <f t="shared" si="2"/>
        <v>116</v>
      </c>
      <c r="B122" s="22">
        <f t="shared" si="3"/>
        <v>116</v>
      </c>
      <c r="C122" s="12" t="s">
        <v>220</v>
      </c>
      <c r="D122" s="47"/>
      <c r="E122" s="11">
        <v>1606</v>
      </c>
      <c r="F122" s="79">
        <v>3</v>
      </c>
      <c r="G122" s="13">
        <v>1300000</v>
      </c>
      <c r="H122" s="13">
        <v>3900000</v>
      </c>
      <c r="I122" s="66">
        <v>2453</v>
      </c>
      <c r="J122" s="66">
        <v>2460</v>
      </c>
      <c r="K122" s="67">
        <v>7</v>
      </c>
      <c r="L122" s="67">
        <v>0</v>
      </c>
      <c r="M122" s="20">
        <v>0</v>
      </c>
      <c r="N122" s="67">
        <v>0</v>
      </c>
      <c r="O122" s="20">
        <v>0</v>
      </c>
      <c r="P122" s="67">
        <v>0</v>
      </c>
      <c r="Q122" s="20">
        <v>0</v>
      </c>
      <c r="R122" s="20">
        <v>0</v>
      </c>
      <c r="S122" s="20">
        <v>0</v>
      </c>
      <c r="T122" s="20">
        <v>7</v>
      </c>
      <c r="U122" s="20">
        <v>217350</v>
      </c>
      <c r="V122" s="20">
        <v>217350</v>
      </c>
      <c r="W122" s="12"/>
      <c r="X122" s="121">
        <v>0</v>
      </c>
      <c r="Y122" s="111">
        <v>44182</v>
      </c>
      <c r="Z122" s="111">
        <v>0</v>
      </c>
      <c r="AA122" s="112">
        <v>0</v>
      </c>
      <c r="AB122" s="111">
        <v>98182</v>
      </c>
      <c r="AC122" s="111">
        <v>0</v>
      </c>
      <c r="AD122" s="113"/>
      <c r="AE122" s="112">
        <v>932727</v>
      </c>
      <c r="AF122" s="108">
        <v>0</v>
      </c>
      <c r="AG122" s="113"/>
      <c r="AH122" s="108"/>
      <c r="AI122" s="108"/>
      <c r="AJ122" s="113"/>
      <c r="AK122" s="113"/>
      <c r="AL122" s="109"/>
      <c r="AM122" s="128"/>
      <c r="AN122" s="130"/>
      <c r="AO122" s="131">
        <v>3</v>
      </c>
      <c r="AP122" s="131">
        <v>130000</v>
      </c>
      <c r="AQ122" s="131">
        <v>390000</v>
      </c>
      <c r="AR122" s="131">
        <v>119</v>
      </c>
      <c r="AS122" s="131">
        <v>9</v>
      </c>
      <c r="AT122" s="131">
        <v>238000</v>
      </c>
      <c r="AU122" s="131">
        <v>2142000</v>
      </c>
      <c r="AV122" s="131">
        <v>0</v>
      </c>
    </row>
    <row r="123" spans="1:49" x14ac:dyDescent="0.3">
      <c r="A123" s="11">
        <f t="shared" si="2"/>
        <v>117</v>
      </c>
      <c r="B123" s="22">
        <f t="shared" si="3"/>
        <v>117</v>
      </c>
      <c r="C123" s="12" t="s">
        <v>198</v>
      </c>
      <c r="D123" s="47"/>
      <c r="E123" s="11">
        <v>1607</v>
      </c>
      <c r="F123" s="79">
        <v>6</v>
      </c>
      <c r="G123" s="13">
        <v>140000</v>
      </c>
      <c r="H123" s="13">
        <v>840000</v>
      </c>
      <c r="I123" s="66">
        <v>1885</v>
      </c>
      <c r="J123" s="66">
        <v>1901</v>
      </c>
      <c r="K123" s="67">
        <v>16</v>
      </c>
      <c r="L123" s="67">
        <v>10</v>
      </c>
      <c r="M123" s="20">
        <v>86250</v>
      </c>
      <c r="N123" s="67">
        <v>6</v>
      </c>
      <c r="O123" s="20">
        <v>60720</v>
      </c>
      <c r="P123" s="67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146970</v>
      </c>
      <c r="W123" s="12"/>
      <c r="X123" s="121">
        <v>2</v>
      </c>
      <c r="Y123" s="111">
        <v>44182</v>
      </c>
      <c r="Z123" s="111">
        <v>88364</v>
      </c>
      <c r="AA123" s="111">
        <v>0</v>
      </c>
      <c r="AB123" s="111">
        <v>98182</v>
      </c>
      <c r="AC123" s="111">
        <v>0</v>
      </c>
      <c r="AD123" s="113"/>
      <c r="AE123" s="112">
        <v>932727</v>
      </c>
      <c r="AF123" s="108">
        <v>0</v>
      </c>
      <c r="AG123" s="113"/>
      <c r="AH123" s="108"/>
      <c r="AI123" s="108"/>
      <c r="AJ123" s="113"/>
      <c r="AK123" s="113"/>
      <c r="AL123" s="109">
        <v>0</v>
      </c>
      <c r="AM123" s="128">
        <v>88364</v>
      </c>
      <c r="AN123" s="130"/>
      <c r="AO123" s="131">
        <v>0</v>
      </c>
      <c r="AP123" s="131">
        <v>0</v>
      </c>
      <c r="AQ123" s="131">
        <v>0</v>
      </c>
      <c r="AR123" s="131">
        <v>115</v>
      </c>
      <c r="AS123" s="131">
        <v>6</v>
      </c>
      <c r="AT123" s="131">
        <v>230000</v>
      </c>
      <c r="AU123" s="131">
        <v>1380000</v>
      </c>
      <c r="AV123" s="131">
        <v>0</v>
      </c>
    </row>
    <row r="124" spans="1:49" x14ac:dyDescent="0.3">
      <c r="A124" s="11">
        <f t="shared" si="2"/>
        <v>118</v>
      </c>
      <c r="B124" s="22">
        <f t="shared" si="3"/>
        <v>118</v>
      </c>
      <c r="C124" s="12" t="s">
        <v>199</v>
      </c>
      <c r="D124" s="47"/>
      <c r="E124" s="11">
        <v>1701</v>
      </c>
      <c r="F124" s="79">
        <v>0</v>
      </c>
      <c r="G124" s="13">
        <v>0</v>
      </c>
      <c r="H124" s="13">
        <v>0</v>
      </c>
      <c r="I124" s="66">
        <v>344</v>
      </c>
      <c r="J124" s="66">
        <v>368</v>
      </c>
      <c r="K124" s="67">
        <v>24</v>
      </c>
      <c r="L124" s="67">
        <v>10</v>
      </c>
      <c r="M124" s="20">
        <v>86250</v>
      </c>
      <c r="N124" s="67">
        <v>10</v>
      </c>
      <c r="O124" s="20">
        <v>101200</v>
      </c>
      <c r="P124" s="67">
        <v>4</v>
      </c>
      <c r="Q124" s="20">
        <v>55200</v>
      </c>
      <c r="R124" s="20">
        <v>0</v>
      </c>
      <c r="S124" s="20">
        <v>0</v>
      </c>
      <c r="T124" s="20">
        <v>0</v>
      </c>
      <c r="U124" s="20">
        <v>0</v>
      </c>
      <c r="V124" s="20">
        <v>242650</v>
      </c>
      <c r="W124" s="20"/>
      <c r="X124" s="121">
        <v>2</v>
      </c>
      <c r="Y124" s="111">
        <v>44182</v>
      </c>
      <c r="Z124" s="111">
        <v>88364</v>
      </c>
      <c r="AA124" s="112">
        <v>0</v>
      </c>
      <c r="AB124" s="111">
        <v>98182</v>
      </c>
      <c r="AC124" s="111">
        <v>0</v>
      </c>
      <c r="AD124" s="113">
        <v>1</v>
      </c>
      <c r="AE124" s="112">
        <v>932727</v>
      </c>
      <c r="AF124" s="108">
        <v>932727</v>
      </c>
      <c r="AG124" s="113"/>
      <c r="AH124" s="108"/>
      <c r="AI124" s="108"/>
      <c r="AJ124" s="113"/>
      <c r="AK124" s="113"/>
      <c r="AL124" s="109">
        <v>0</v>
      </c>
      <c r="AM124" s="128">
        <v>1021091</v>
      </c>
      <c r="AN124" s="130"/>
      <c r="AO124" s="131">
        <v>0</v>
      </c>
      <c r="AP124" s="131">
        <v>0</v>
      </c>
      <c r="AQ124" s="131">
        <v>0</v>
      </c>
      <c r="AR124" s="131">
        <v>235</v>
      </c>
      <c r="AS124" s="131">
        <v>0</v>
      </c>
      <c r="AT124" s="131">
        <v>0</v>
      </c>
      <c r="AU124" s="131">
        <v>0</v>
      </c>
      <c r="AV124" s="131">
        <v>0</v>
      </c>
    </row>
    <row r="125" spans="1:49" x14ac:dyDescent="0.3">
      <c r="A125" s="11">
        <f t="shared" si="2"/>
        <v>119</v>
      </c>
      <c r="B125" s="22">
        <f t="shared" si="3"/>
        <v>119</v>
      </c>
      <c r="C125" s="12" t="s">
        <v>265</v>
      </c>
      <c r="D125" s="47"/>
      <c r="E125" s="11">
        <v>1702</v>
      </c>
      <c r="F125" s="79">
        <v>1</v>
      </c>
      <c r="G125" s="13">
        <v>1300000</v>
      </c>
      <c r="H125" s="13">
        <v>1300000</v>
      </c>
      <c r="I125" s="66">
        <v>2160</v>
      </c>
      <c r="J125" s="66">
        <v>2169</v>
      </c>
      <c r="K125" s="67">
        <v>9</v>
      </c>
      <c r="L125" s="67">
        <v>0</v>
      </c>
      <c r="M125" s="20">
        <v>0</v>
      </c>
      <c r="N125" s="67">
        <v>0</v>
      </c>
      <c r="O125" s="20">
        <v>0</v>
      </c>
      <c r="P125" s="67">
        <v>0</v>
      </c>
      <c r="Q125" s="20">
        <v>0</v>
      </c>
      <c r="R125" s="20">
        <v>0</v>
      </c>
      <c r="S125" s="20">
        <v>0</v>
      </c>
      <c r="T125" s="20">
        <v>9</v>
      </c>
      <c r="U125" s="20">
        <v>279450</v>
      </c>
      <c r="V125" s="20">
        <v>279450</v>
      </c>
      <c r="W125" s="12"/>
      <c r="X125" s="121">
        <v>2</v>
      </c>
      <c r="Y125" s="111">
        <v>98182</v>
      </c>
      <c r="Z125" s="111">
        <v>196364</v>
      </c>
      <c r="AA125" s="111">
        <v>6</v>
      </c>
      <c r="AB125" s="111">
        <v>98182</v>
      </c>
      <c r="AC125" s="111">
        <v>589092</v>
      </c>
      <c r="AD125" s="113"/>
      <c r="AE125" s="112">
        <v>932727</v>
      </c>
      <c r="AF125" s="108">
        <v>0</v>
      </c>
      <c r="AG125" s="113"/>
      <c r="AH125" s="108"/>
      <c r="AI125" s="108"/>
      <c r="AJ125" s="113"/>
      <c r="AK125" s="113"/>
      <c r="AL125" s="109"/>
      <c r="AM125" s="128">
        <v>785456</v>
      </c>
      <c r="AN125" s="130"/>
      <c r="AO125" s="131">
        <v>1</v>
      </c>
      <c r="AP125" s="131">
        <v>130000</v>
      </c>
      <c r="AQ125" s="131">
        <v>130000</v>
      </c>
      <c r="AR125" s="131">
        <v>153</v>
      </c>
      <c r="AS125" s="131">
        <v>0</v>
      </c>
      <c r="AT125" s="131">
        <v>0</v>
      </c>
      <c r="AU125" s="131">
        <v>0</v>
      </c>
      <c r="AV125" s="131">
        <v>0</v>
      </c>
      <c r="AW125" s="1" t="s">
        <v>8</v>
      </c>
    </row>
    <row r="126" spans="1:49" x14ac:dyDescent="0.3">
      <c r="A126" s="11">
        <f t="shared" si="2"/>
        <v>120</v>
      </c>
      <c r="B126" s="22">
        <f t="shared" si="3"/>
        <v>120</v>
      </c>
      <c r="C126" s="12" t="s">
        <v>201</v>
      </c>
      <c r="D126" s="47"/>
      <c r="E126" s="11">
        <v>1703</v>
      </c>
      <c r="F126" s="79">
        <v>0</v>
      </c>
      <c r="G126" s="13">
        <v>0</v>
      </c>
      <c r="H126" s="13">
        <v>0</v>
      </c>
      <c r="I126" s="66">
        <v>340</v>
      </c>
      <c r="J126" s="66">
        <v>350</v>
      </c>
      <c r="K126" s="67">
        <v>10</v>
      </c>
      <c r="L126" s="67">
        <v>10</v>
      </c>
      <c r="M126" s="20">
        <v>86250</v>
      </c>
      <c r="N126" s="67">
        <v>0</v>
      </c>
      <c r="O126" s="20">
        <v>0</v>
      </c>
      <c r="P126" s="67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86250</v>
      </c>
      <c r="W126" s="12"/>
      <c r="X126" s="121">
        <v>2</v>
      </c>
      <c r="Y126" s="111">
        <v>44182</v>
      </c>
      <c r="Z126" s="111">
        <v>88364</v>
      </c>
      <c r="AA126" s="111">
        <v>0</v>
      </c>
      <c r="AB126" s="111">
        <v>98182</v>
      </c>
      <c r="AC126" s="111">
        <v>0</v>
      </c>
      <c r="AD126" s="116"/>
      <c r="AE126" s="112">
        <v>932727</v>
      </c>
      <c r="AF126" s="108">
        <v>0</v>
      </c>
      <c r="AG126" s="113"/>
      <c r="AH126" s="108"/>
      <c r="AI126" s="108"/>
      <c r="AJ126" s="113">
        <v>1</v>
      </c>
      <c r="AK126" s="113">
        <v>9818</v>
      </c>
      <c r="AL126" s="109">
        <v>9818</v>
      </c>
      <c r="AM126" s="128">
        <v>98182</v>
      </c>
      <c r="AN126" s="130"/>
      <c r="AO126" s="131">
        <v>0</v>
      </c>
      <c r="AP126" s="131">
        <v>0</v>
      </c>
      <c r="AQ126" s="131">
        <v>0</v>
      </c>
      <c r="AR126" s="138">
        <v>270</v>
      </c>
      <c r="AS126" s="131">
        <v>0</v>
      </c>
      <c r="AT126" s="131">
        <v>0</v>
      </c>
      <c r="AU126" s="131">
        <v>0</v>
      </c>
      <c r="AV126" s="131">
        <v>0</v>
      </c>
    </row>
    <row r="127" spans="1:49" x14ac:dyDescent="0.3">
      <c r="A127" s="11">
        <f t="shared" si="2"/>
        <v>121</v>
      </c>
      <c r="B127" s="22">
        <f t="shared" si="3"/>
        <v>121</v>
      </c>
      <c r="C127" s="12" t="s">
        <v>266</v>
      </c>
      <c r="D127" s="47"/>
      <c r="E127" s="11">
        <v>1704</v>
      </c>
      <c r="F127" s="79">
        <v>3</v>
      </c>
      <c r="G127" s="13">
        <v>1300000</v>
      </c>
      <c r="H127" s="13">
        <v>3900000</v>
      </c>
      <c r="I127" s="66">
        <v>7466</v>
      </c>
      <c r="J127" s="66">
        <v>7471</v>
      </c>
      <c r="K127" s="67">
        <v>5</v>
      </c>
      <c r="L127" s="67">
        <v>0</v>
      </c>
      <c r="M127" s="20">
        <v>0</v>
      </c>
      <c r="N127" s="67">
        <v>0</v>
      </c>
      <c r="O127" s="20">
        <v>0</v>
      </c>
      <c r="P127" s="67">
        <v>0</v>
      </c>
      <c r="Q127" s="20">
        <v>0</v>
      </c>
      <c r="R127" s="20">
        <v>0</v>
      </c>
      <c r="S127" s="20">
        <v>0</v>
      </c>
      <c r="T127" s="20">
        <v>5</v>
      </c>
      <c r="U127" s="20">
        <v>155250</v>
      </c>
      <c r="V127" s="20">
        <v>155250</v>
      </c>
      <c r="W127" s="12"/>
      <c r="X127" s="121">
        <v>0</v>
      </c>
      <c r="Y127" s="111">
        <v>44182</v>
      </c>
      <c r="Z127" s="111">
        <v>0</v>
      </c>
      <c r="AA127" s="111">
        <v>1</v>
      </c>
      <c r="AB127" s="111">
        <v>98182</v>
      </c>
      <c r="AC127" s="111">
        <v>98182</v>
      </c>
      <c r="AD127" s="113"/>
      <c r="AE127" s="112">
        <v>932727</v>
      </c>
      <c r="AF127" s="108">
        <v>0</v>
      </c>
      <c r="AG127" s="113"/>
      <c r="AH127" s="108"/>
      <c r="AI127" s="108"/>
      <c r="AJ127" s="113"/>
      <c r="AK127" s="113"/>
      <c r="AL127" s="109">
        <v>0</v>
      </c>
      <c r="AM127" s="128">
        <v>98182</v>
      </c>
      <c r="AN127" s="130"/>
      <c r="AO127" s="131">
        <v>3</v>
      </c>
      <c r="AP127" s="131">
        <v>130000</v>
      </c>
      <c r="AQ127" s="131">
        <v>390000</v>
      </c>
      <c r="AR127" s="138">
        <v>153</v>
      </c>
      <c r="AS127" s="131">
        <v>0</v>
      </c>
      <c r="AT127" s="131">
        <v>0</v>
      </c>
      <c r="AU127" s="131">
        <v>0</v>
      </c>
      <c r="AV127" s="131">
        <v>0</v>
      </c>
      <c r="AW127" s="1" t="s">
        <v>8</v>
      </c>
    </row>
    <row r="128" spans="1:49" s="65" customFormat="1" x14ac:dyDescent="0.3">
      <c r="A128" s="11">
        <f t="shared" si="2"/>
        <v>122</v>
      </c>
      <c r="B128" s="22">
        <f t="shared" si="3"/>
        <v>122</v>
      </c>
      <c r="C128" s="18" t="s">
        <v>203</v>
      </c>
      <c r="D128" s="48"/>
      <c r="E128" s="63">
        <v>1705</v>
      </c>
      <c r="F128" s="80">
        <v>0</v>
      </c>
      <c r="G128" s="64">
        <v>0</v>
      </c>
      <c r="H128" s="13">
        <v>0</v>
      </c>
      <c r="I128" s="66">
        <v>3403</v>
      </c>
      <c r="J128" s="66">
        <v>3415</v>
      </c>
      <c r="K128" s="67">
        <v>12</v>
      </c>
      <c r="L128" s="67">
        <v>10</v>
      </c>
      <c r="M128" s="20">
        <v>86250</v>
      </c>
      <c r="N128" s="67">
        <v>2</v>
      </c>
      <c r="O128" s="20">
        <v>20240</v>
      </c>
      <c r="P128" s="67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106490</v>
      </c>
      <c r="W128" s="18"/>
      <c r="X128" s="121">
        <v>2</v>
      </c>
      <c r="Y128" s="111">
        <v>44182</v>
      </c>
      <c r="Z128" s="111">
        <v>88364</v>
      </c>
      <c r="AA128" s="111">
        <v>0</v>
      </c>
      <c r="AB128" s="111">
        <v>98182</v>
      </c>
      <c r="AC128" s="111">
        <v>0</v>
      </c>
      <c r="AD128" s="113"/>
      <c r="AE128" s="112">
        <v>932727</v>
      </c>
      <c r="AF128" s="108">
        <v>0</v>
      </c>
      <c r="AG128" s="113"/>
      <c r="AH128" s="108"/>
      <c r="AI128" s="108"/>
      <c r="AJ128" s="113"/>
      <c r="AK128" s="113"/>
      <c r="AL128" s="109">
        <v>0</v>
      </c>
      <c r="AM128" s="128">
        <v>88364</v>
      </c>
      <c r="AN128" s="132"/>
      <c r="AO128" s="133">
        <v>0</v>
      </c>
      <c r="AP128" s="133">
        <v>0</v>
      </c>
      <c r="AQ128" s="133">
        <v>0</v>
      </c>
      <c r="AR128" s="133">
        <v>119.5</v>
      </c>
      <c r="AS128" s="133">
        <v>0</v>
      </c>
      <c r="AT128" s="133">
        <v>0</v>
      </c>
      <c r="AU128" s="133">
        <v>0</v>
      </c>
      <c r="AV128" s="131">
        <v>0</v>
      </c>
      <c r="AW128" s="1"/>
    </row>
    <row r="129" spans="1:49" x14ac:dyDescent="0.3">
      <c r="A129" s="11">
        <f t="shared" si="2"/>
        <v>123</v>
      </c>
      <c r="B129" s="22">
        <f t="shared" si="3"/>
        <v>123</v>
      </c>
      <c r="C129" s="12" t="s">
        <v>204</v>
      </c>
      <c r="D129" s="47"/>
      <c r="E129" s="63">
        <v>1706</v>
      </c>
      <c r="F129" s="79">
        <v>1</v>
      </c>
      <c r="G129" s="13">
        <v>1300000</v>
      </c>
      <c r="H129" s="13">
        <v>1300000</v>
      </c>
      <c r="I129" s="66">
        <v>504</v>
      </c>
      <c r="J129" s="66">
        <v>506</v>
      </c>
      <c r="K129" s="67">
        <v>2</v>
      </c>
      <c r="L129" s="67">
        <v>0</v>
      </c>
      <c r="M129" s="20">
        <v>0</v>
      </c>
      <c r="N129" s="67">
        <v>0</v>
      </c>
      <c r="O129" s="20">
        <v>0</v>
      </c>
      <c r="P129" s="67">
        <v>0</v>
      </c>
      <c r="Q129" s="20">
        <v>0</v>
      </c>
      <c r="R129" s="20">
        <v>0</v>
      </c>
      <c r="S129" s="20">
        <v>0</v>
      </c>
      <c r="T129" s="20">
        <v>2</v>
      </c>
      <c r="U129" s="20">
        <v>62100</v>
      </c>
      <c r="V129" s="20">
        <v>62100</v>
      </c>
      <c r="W129" s="12"/>
      <c r="X129" s="121">
        <v>0</v>
      </c>
      <c r="Y129" s="111">
        <v>44182</v>
      </c>
      <c r="Z129" s="111">
        <v>0</v>
      </c>
      <c r="AA129" s="111">
        <v>0</v>
      </c>
      <c r="AB129" s="111">
        <v>98182</v>
      </c>
      <c r="AC129" s="111">
        <v>0</v>
      </c>
      <c r="AD129" s="113"/>
      <c r="AE129" s="112">
        <v>932727</v>
      </c>
      <c r="AF129" s="108">
        <v>0</v>
      </c>
      <c r="AG129" s="113"/>
      <c r="AH129" s="108"/>
      <c r="AI129" s="108"/>
      <c r="AJ129" s="113"/>
      <c r="AK129" s="113"/>
      <c r="AL129" s="109">
        <v>0</v>
      </c>
      <c r="AM129" s="128">
        <v>0</v>
      </c>
      <c r="AN129" s="130"/>
      <c r="AO129" s="131">
        <v>1</v>
      </c>
      <c r="AP129" s="131">
        <v>130000</v>
      </c>
      <c r="AQ129" s="131">
        <v>130000</v>
      </c>
      <c r="AR129" s="138">
        <v>115</v>
      </c>
      <c r="AS129" s="131">
        <v>0</v>
      </c>
      <c r="AT129" s="131">
        <v>0</v>
      </c>
      <c r="AU129" s="131">
        <v>0</v>
      </c>
      <c r="AV129" s="131">
        <v>0</v>
      </c>
      <c r="AW129" s="1" t="s">
        <v>8</v>
      </c>
    </row>
    <row r="130" spans="1:49" x14ac:dyDescent="0.3">
      <c r="A130" s="11">
        <f t="shared" si="2"/>
        <v>124</v>
      </c>
      <c r="B130" s="22">
        <f t="shared" si="3"/>
        <v>124</v>
      </c>
      <c r="C130" s="12" t="s">
        <v>208</v>
      </c>
      <c r="D130" s="47"/>
      <c r="E130" s="153" t="s">
        <v>237</v>
      </c>
      <c r="F130" s="81"/>
      <c r="G130" s="13"/>
      <c r="H130" s="13"/>
      <c r="I130" s="13"/>
      <c r="J130" s="66"/>
      <c r="K130" s="67"/>
      <c r="L130" s="67"/>
      <c r="M130" s="20"/>
      <c r="N130" s="67"/>
      <c r="O130" s="20"/>
      <c r="P130" s="67"/>
      <c r="Q130" s="20"/>
      <c r="R130" s="20"/>
      <c r="S130" s="20"/>
      <c r="T130" s="20"/>
      <c r="U130" s="20"/>
      <c r="V130" s="20"/>
      <c r="W130" s="20"/>
      <c r="X130" s="110">
        <v>0</v>
      </c>
      <c r="Y130" s="111">
        <v>44182</v>
      </c>
      <c r="Z130" s="111">
        <v>0</v>
      </c>
      <c r="AA130" s="111">
        <v>0</v>
      </c>
      <c r="AB130" s="111">
        <v>98182</v>
      </c>
      <c r="AC130" s="111">
        <v>0</v>
      </c>
      <c r="AD130" s="111">
        <v>1</v>
      </c>
      <c r="AE130" s="112">
        <v>932727</v>
      </c>
      <c r="AF130" s="108">
        <v>932727</v>
      </c>
      <c r="AG130" s="111"/>
      <c r="AH130" s="108"/>
      <c r="AI130" s="108"/>
      <c r="AJ130" s="113"/>
      <c r="AK130" s="113"/>
      <c r="AL130" s="109">
        <v>0</v>
      </c>
      <c r="AM130" s="128">
        <v>932727</v>
      </c>
      <c r="AN130" s="130"/>
      <c r="AO130" s="130"/>
      <c r="AP130" s="130"/>
      <c r="AQ130" s="143"/>
      <c r="AR130" s="130"/>
      <c r="AS130" s="130"/>
      <c r="AT130" s="130"/>
      <c r="AU130" s="130"/>
      <c r="AV130" s="131"/>
    </row>
    <row r="131" spans="1:49" x14ac:dyDescent="0.3">
      <c r="A131" s="11">
        <f t="shared" si="2"/>
        <v>125</v>
      </c>
      <c r="B131" s="22">
        <f t="shared" si="3"/>
        <v>125</v>
      </c>
      <c r="C131" s="12" t="s">
        <v>116</v>
      </c>
      <c r="D131" s="47"/>
      <c r="E131" s="153" t="s">
        <v>247</v>
      </c>
      <c r="F131" s="79">
        <v>0</v>
      </c>
      <c r="G131" s="13">
        <v>0</v>
      </c>
      <c r="H131" s="13">
        <v>0</v>
      </c>
      <c r="I131" s="66">
        <v>0</v>
      </c>
      <c r="J131" s="66">
        <v>0</v>
      </c>
      <c r="K131" s="67">
        <v>0</v>
      </c>
      <c r="L131" s="67">
        <v>0</v>
      </c>
      <c r="M131" s="20">
        <v>0</v>
      </c>
      <c r="N131" s="67">
        <v>0</v>
      </c>
      <c r="O131" s="20">
        <v>0</v>
      </c>
      <c r="P131" s="67">
        <v>0</v>
      </c>
      <c r="Q131" s="20">
        <v>0</v>
      </c>
      <c r="R131" s="20"/>
      <c r="S131" s="20"/>
      <c r="T131" s="20">
        <v>0</v>
      </c>
      <c r="U131" s="20">
        <v>0</v>
      </c>
      <c r="V131" s="20">
        <v>0</v>
      </c>
      <c r="W131" s="12"/>
      <c r="X131" s="114">
        <v>0</v>
      </c>
      <c r="Y131" s="111">
        <v>44182</v>
      </c>
      <c r="Z131" s="111">
        <v>0</v>
      </c>
      <c r="AA131" s="111">
        <v>0</v>
      </c>
      <c r="AB131" s="111">
        <v>98182</v>
      </c>
      <c r="AC131" s="111">
        <v>0</v>
      </c>
      <c r="AD131" s="115"/>
      <c r="AE131" s="112">
        <v>932727</v>
      </c>
      <c r="AF131" s="108">
        <v>0</v>
      </c>
      <c r="AG131" s="115"/>
      <c r="AH131" s="108"/>
      <c r="AI131" s="108"/>
      <c r="AJ131" s="113"/>
      <c r="AK131" s="113"/>
      <c r="AL131" s="109">
        <v>0</v>
      </c>
      <c r="AM131" s="128">
        <v>0</v>
      </c>
      <c r="AN131" s="130"/>
      <c r="AO131" s="131">
        <v>0</v>
      </c>
      <c r="AP131" s="131">
        <v>0</v>
      </c>
      <c r="AQ131" s="131">
        <v>0</v>
      </c>
      <c r="AR131" s="131">
        <v>115</v>
      </c>
      <c r="AS131" s="131">
        <v>12</v>
      </c>
      <c r="AT131" s="131">
        <v>230000</v>
      </c>
      <c r="AU131" s="131">
        <v>2760000</v>
      </c>
      <c r="AV131" s="131">
        <v>0</v>
      </c>
    </row>
    <row r="132" spans="1:49" x14ac:dyDescent="0.3">
      <c r="A132" s="11">
        <f t="shared" si="2"/>
        <v>126</v>
      </c>
      <c r="B132" s="22">
        <f t="shared" si="3"/>
        <v>126</v>
      </c>
      <c r="C132" s="12" t="s">
        <v>270</v>
      </c>
      <c r="D132" s="47"/>
      <c r="E132" s="153" t="s">
        <v>269</v>
      </c>
      <c r="F132" s="79"/>
      <c r="G132" s="13"/>
      <c r="H132" s="13"/>
      <c r="I132" s="66"/>
      <c r="J132" s="66"/>
      <c r="K132" s="67"/>
      <c r="L132" s="67"/>
      <c r="M132" s="20"/>
      <c r="N132" s="67"/>
      <c r="O132" s="20"/>
      <c r="P132" s="67"/>
      <c r="Q132" s="20"/>
      <c r="R132" s="20"/>
      <c r="S132" s="20"/>
      <c r="T132" s="20"/>
      <c r="U132" s="20"/>
      <c r="V132" s="20"/>
      <c r="W132" s="12"/>
      <c r="X132" s="114"/>
      <c r="Y132" s="111"/>
      <c r="Z132" s="111"/>
      <c r="AA132" s="111"/>
      <c r="AB132" s="111"/>
      <c r="AC132" s="111"/>
      <c r="AD132" s="115"/>
      <c r="AE132" s="112"/>
      <c r="AF132" s="108"/>
      <c r="AG132" s="115"/>
      <c r="AH132" s="108"/>
      <c r="AI132" s="108"/>
      <c r="AJ132" s="113"/>
      <c r="AK132" s="113"/>
      <c r="AL132" s="109"/>
      <c r="AM132" s="128"/>
      <c r="AN132" s="130"/>
      <c r="AO132" s="131"/>
      <c r="AP132" s="131"/>
      <c r="AQ132" s="131"/>
      <c r="AR132" s="138">
        <v>152.5</v>
      </c>
      <c r="AS132" s="131">
        <v>9</v>
      </c>
      <c r="AT132" s="131">
        <v>305000</v>
      </c>
      <c r="AU132" s="131">
        <v>2745000</v>
      </c>
      <c r="AV132" s="131"/>
    </row>
    <row r="133" spans="1:49" x14ac:dyDescent="0.3">
      <c r="A133" s="11">
        <f t="shared" si="2"/>
        <v>127</v>
      </c>
      <c r="B133" s="22">
        <f t="shared" si="3"/>
        <v>127</v>
      </c>
      <c r="C133" s="12" t="s">
        <v>124</v>
      </c>
      <c r="D133" s="47"/>
      <c r="E133" s="153" t="s">
        <v>246</v>
      </c>
      <c r="F133" s="79">
        <v>0</v>
      </c>
      <c r="G133" s="13">
        <v>0</v>
      </c>
      <c r="H133" s="13">
        <v>0</v>
      </c>
      <c r="I133" s="66">
        <v>0</v>
      </c>
      <c r="J133" s="66">
        <v>0</v>
      </c>
      <c r="K133" s="67">
        <v>0</v>
      </c>
      <c r="L133" s="67">
        <v>0</v>
      </c>
      <c r="M133" s="20">
        <v>0</v>
      </c>
      <c r="N133" s="67">
        <v>0</v>
      </c>
      <c r="O133" s="20">
        <v>0</v>
      </c>
      <c r="P133" s="67">
        <v>0</v>
      </c>
      <c r="Q133" s="20">
        <v>0</v>
      </c>
      <c r="R133" s="20"/>
      <c r="S133" s="20"/>
      <c r="T133" s="20">
        <v>0</v>
      </c>
      <c r="U133" s="20">
        <v>0</v>
      </c>
      <c r="V133" s="20">
        <v>0</v>
      </c>
      <c r="W133" s="12"/>
      <c r="X133" s="114">
        <v>0</v>
      </c>
      <c r="Y133" s="111">
        <v>44182</v>
      </c>
      <c r="Z133" s="111">
        <v>0</v>
      </c>
      <c r="AA133" s="111">
        <v>0</v>
      </c>
      <c r="AB133" s="111">
        <v>98182</v>
      </c>
      <c r="AC133" s="111">
        <v>0</v>
      </c>
      <c r="AD133" s="115"/>
      <c r="AE133" s="112">
        <v>932727</v>
      </c>
      <c r="AF133" s="108">
        <v>0</v>
      </c>
      <c r="AG133" s="115"/>
      <c r="AH133" s="108"/>
      <c r="AI133" s="108"/>
      <c r="AJ133" s="113"/>
      <c r="AK133" s="113"/>
      <c r="AL133" s="109">
        <v>0</v>
      </c>
      <c r="AM133" s="128">
        <v>0</v>
      </c>
      <c r="AN133" s="130"/>
      <c r="AO133" s="131">
        <v>0</v>
      </c>
      <c r="AP133" s="131">
        <v>0</v>
      </c>
      <c r="AQ133" s="131">
        <v>0</v>
      </c>
      <c r="AR133" s="131">
        <v>115</v>
      </c>
      <c r="AS133" s="131">
        <v>9</v>
      </c>
      <c r="AT133" s="131">
        <v>230000</v>
      </c>
      <c r="AU133" s="131">
        <v>2070000</v>
      </c>
      <c r="AV133" s="131">
        <v>0</v>
      </c>
    </row>
    <row r="134" spans="1:49" x14ac:dyDescent="0.3">
      <c r="A134" s="11">
        <f t="shared" si="2"/>
        <v>128</v>
      </c>
      <c r="B134" s="22">
        <f t="shared" si="3"/>
        <v>128</v>
      </c>
      <c r="C134" s="12" t="s">
        <v>128</v>
      </c>
      <c r="D134" s="47"/>
      <c r="E134" s="153" t="s">
        <v>245</v>
      </c>
      <c r="F134" s="79">
        <v>0</v>
      </c>
      <c r="G134" s="13">
        <v>0</v>
      </c>
      <c r="H134" s="13">
        <v>0</v>
      </c>
      <c r="I134" s="66">
        <v>0</v>
      </c>
      <c r="J134" s="66">
        <v>0</v>
      </c>
      <c r="K134" s="67">
        <v>0</v>
      </c>
      <c r="L134" s="67">
        <v>0</v>
      </c>
      <c r="M134" s="20">
        <v>0</v>
      </c>
      <c r="N134" s="67">
        <v>0</v>
      </c>
      <c r="O134" s="20">
        <v>0</v>
      </c>
      <c r="P134" s="67">
        <v>0</v>
      </c>
      <c r="Q134" s="20">
        <v>0</v>
      </c>
      <c r="R134" s="20"/>
      <c r="S134" s="20"/>
      <c r="T134" s="20">
        <v>0</v>
      </c>
      <c r="U134" s="20">
        <v>0</v>
      </c>
      <c r="V134" s="20">
        <v>0</v>
      </c>
      <c r="W134" s="12"/>
      <c r="X134" s="110">
        <v>0</v>
      </c>
      <c r="Y134" s="111">
        <v>44182</v>
      </c>
      <c r="Z134" s="111">
        <v>0</v>
      </c>
      <c r="AA134" s="111">
        <v>0</v>
      </c>
      <c r="AB134" s="111">
        <v>98182</v>
      </c>
      <c r="AC134" s="111">
        <v>0</v>
      </c>
      <c r="AD134" s="111"/>
      <c r="AE134" s="112">
        <v>932727</v>
      </c>
      <c r="AF134" s="108">
        <v>0</v>
      </c>
      <c r="AG134" s="111"/>
      <c r="AH134" s="108"/>
      <c r="AI134" s="108"/>
      <c r="AJ134" s="113"/>
      <c r="AK134" s="113"/>
      <c r="AL134" s="109">
        <v>0</v>
      </c>
      <c r="AM134" s="128">
        <v>0</v>
      </c>
      <c r="AN134" s="130"/>
      <c r="AO134" s="131">
        <v>0</v>
      </c>
      <c r="AP134" s="131">
        <v>0</v>
      </c>
      <c r="AQ134" s="131">
        <v>0</v>
      </c>
      <c r="AR134" s="131">
        <v>151</v>
      </c>
      <c r="AS134" s="131">
        <v>12</v>
      </c>
      <c r="AT134" s="131">
        <v>230000</v>
      </c>
      <c r="AU134" s="131">
        <v>2760000</v>
      </c>
      <c r="AV134" s="131">
        <v>0</v>
      </c>
    </row>
    <row r="135" spans="1:49" x14ac:dyDescent="0.3">
      <c r="A135" s="11">
        <f t="shared" si="2"/>
        <v>129</v>
      </c>
      <c r="B135" s="22">
        <f t="shared" si="3"/>
        <v>129</v>
      </c>
      <c r="C135" s="12" t="s">
        <v>217</v>
      </c>
      <c r="D135" s="47"/>
      <c r="E135" s="153" t="s">
        <v>244</v>
      </c>
      <c r="F135" s="79">
        <v>0</v>
      </c>
      <c r="G135" s="13">
        <v>0</v>
      </c>
      <c r="H135" s="13">
        <v>0</v>
      </c>
      <c r="I135" s="66">
        <v>0</v>
      </c>
      <c r="J135" s="66">
        <v>0</v>
      </c>
      <c r="K135" s="67">
        <v>0</v>
      </c>
      <c r="L135" s="67">
        <v>0</v>
      </c>
      <c r="M135" s="20">
        <v>0</v>
      </c>
      <c r="N135" s="67">
        <v>0</v>
      </c>
      <c r="O135" s="20">
        <v>0</v>
      </c>
      <c r="P135" s="67">
        <v>0</v>
      </c>
      <c r="Q135" s="20">
        <v>0</v>
      </c>
      <c r="R135" s="20"/>
      <c r="S135" s="20"/>
      <c r="T135" s="20">
        <v>0</v>
      </c>
      <c r="U135" s="20">
        <v>0</v>
      </c>
      <c r="V135" s="20">
        <v>0</v>
      </c>
      <c r="W135" s="12"/>
      <c r="X135" s="110">
        <v>0</v>
      </c>
      <c r="Y135" s="111">
        <v>98182</v>
      </c>
      <c r="Z135" s="111">
        <v>0</v>
      </c>
      <c r="AA135" s="111">
        <v>0</v>
      </c>
      <c r="AB135" s="111">
        <v>98182</v>
      </c>
      <c r="AC135" s="111">
        <v>0</v>
      </c>
      <c r="AD135" s="111"/>
      <c r="AE135" s="112">
        <v>932727</v>
      </c>
      <c r="AF135" s="108">
        <v>0</v>
      </c>
      <c r="AG135" s="111"/>
      <c r="AH135" s="108"/>
      <c r="AI135" s="108"/>
      <c r="AJ135" s="113"/>
      <c r="AK135" s="113"/>
      <c r="AL135" s="109">
        <v>0</v>
      </c>
      <c r="AM135" s="128">
        <v>0</v>
      </c>
      <c r="AN135" s="130"/>
      <c r="AO135" s="131">
        <v>0</v>
      </c>
      <c r="AP135" s="131">
        <v>0</v>
      </c>
      <c r="AQ135" s="131">
        <v>0</v>
      </c>
      <c r="AR135" s="131">
        <v>119</v>
      </c>
      <c r="AS135" s="131">
        <v>12</v>
      </c>
      <c r="AT135" s="131">
        <v>230000</v>
      </c>
      <c r="AU135" s="131">
        <v>2760000</v>
      </c>
      <c r="AV135" s="131">
        <v>0</v>
      </c>
    </row>
    <row r="136" spans="1:49" x14ac:dyDescent="0.3">
      <c r="A136" s="11">
        <f t="shared" si="2"/>
        <v>130</v>
      </c>
      <c r="B136" s="22">
        <f t="shared" si="3"/>
        <v>130</v>
      </c>
      <c r="C136" s="12" t="s">
        <v>218</v>
      </c>
      <c r="D136" s="47"/>
      <c r="E136" s="153" t="s">
        <v>243</v>
      </c>
      <c r="F136" s="79">
        <v>0</v>
      </c>
      <c r="G136" s="13">
        <v>0</v>
      </c>
      <c r="H136" s="13">
        <v>0</v>
      </c>
      <c r="I136" s="66">
        <v>0</v>
      </c>
      <c r="J136" s="66">
        <v>0</v>
      </c>
      <c r="K136" s="67">
        <v>0</v>
      </c>
      <c r="L136" s="67">
        <v>0</v>
      </c>
      <c r="M136" s="20">
        <v>0</v>
      </c>
      <c r="N136" s="67">
        <v>0</v>
      </c>
      <c r="O136" s="20">
        <v>0</v>
      </c>
      <c r="P136" s="67">
        <v>0</v>
      </c>
      <c r="Q136" s="20">
        <v>0</v>
      </c>
      <c r="R136" s="20"/>
      <c r="S136" s="20"/>
      <c r="T136" s="20">
        <v>0</v>
      </c>
      <c r="U136" s="20">
        <v>0</v>
      </c>
      <c r="V136" s="20">
        <v>0</v>
      </c>
      <c r="W136" s="12"/>
      <c r="X136" s="121">
        <v>0</v>
      </c>
      <c r="Y136" s="111">
        <v>44182</v>
      </c>
      <c r="Z136" s="111">
        <v>0</v>
      </c>
      <c r="AA136" s="111">
        <v>0</v>
      </c>
      <c r="AB136" s="111">
        <v>98182</v>
      </c>
      <c r="AC136" s="111">
        <v>0</v>
      </c>
      <c r="AD136" s="113"/>
      <c r="AE136" s="112">
        <v>932727</v>
      </c>
      <c r="AF136" s="108">
        <v>0</v>
      </c>
      <c r="AG136" s="113"/>
      <c r="AH136" s="108"/>
      <c r="AI136" s="108"/>
      <c r="AJ136" s="113"/>
      <c r="AK136" s="113"/>
      <c r="AL136" s="109">
        <v>0</v>
      </c>
      <c r="AM136" s="128">
        <v>0</v>
      </c>
      <c r="AN136" s="130"/>
      <c r="AO136" s="131">
        <v>0</v>
      </c>
      <c r="AP136" s="131">
        <v>0</v>
      </c>
      <c r="AQ136" s="131">
        <v>0</v>
      </c>
      <c r="AR136" s="138">
        <v>152.5</v>
      </c>
      <c r="AS136" s="131">
        <v>9</v>
      </c>
      <c r="AT136" s="131">
        <v>305000</v>
      </c>
      <c r="AU136" s="131">
        <v>2745000</v>
      </c>
      <c r="AV136" s="131">
        <v>0</v>
      </c>
    </row>
    <row r="137" spans="1:49" x14ac:dyDescent="0.3">
      <c r="A137" s="11">
        <f t="shared" si="2"/>
        <v>131</v>
      </c>
      <c r="B137" s="22">
        <f t="shared" si="3"/>
        <v>131</v>
      </c>
      <c r="C137" s="12" t="s">
        <v>270</v>
      </c>
      <c r="D137" s="47"/>
      <c r="E137" s="153" t="s">
        <v>271</v>
      </c>
      <c r="F137" s="79"/>
      <c r="G137" s="13"/>
      <c r="H137" s="13"/>
      <c r="I137" s="66"/>
      <c r="J137" s="66"/>
      <c r="K137" s="67"/>
      <c r="L137" s="67"/>
      <c r="M137" s="20"/>
      <c r="N137" s="67"/>
      <c r="O137" s="20"/>
      <c r="P137" s="67"/>
      <c r="Q137" s="20"/>
      <c r="R137" s="20"/>
      <c r="S137" s="20"/>
      <c r="T137" s="20"/>
      <c r="U137" s="20"/>
      <c r="V137" s="20"/>
      <c r="W137" s="12"/>
      <c r="X137" s="121">
        <v>0</v>
      </c>
      <c r="Y137" s="111">
        <v>44182</v>
      </c>
      <c r="Z137" s="111">
        <v>0</v>
      </c>
      <c r="AA137" s="111">
        <v>0</v>
      </c>
      <c r="AB137" s="111">
        <v>98182</v>
      </c>
      <c r="AC137" s="111">
        <v>0</v>
      </c>
      <c r="AD137" s="113"/>
      <c r="AE137" s="112">
        <v>932727</v>
      </c>
      <c r="AF137" s="108">
        <v>0</v>
      </c>
      <c r="AG137" s="113"/>
      <c r="AH137" s="108"/>
      <c r="AI137" s="108"/>
      <c r="AJ137" s="113"/>
      <c r="AK137" s="113"/>
      <c r="AL137" s="109"/>
      <c r="AM137" s="128"/>
      <c r="AN137" s="130"/>
      <c r="AO137" s="131"/>
      <c r="AP137" s="131"/>
      <c r="AQ137" s="131"/>
      <c r="AR137" s="138">
        <v>152.5</v>
      </c>
      <c r="AS137" s="131">
        <v>9</v>
      </c>
      <c r="AT137" s="131">
        <v>305000</v>
      </c>
      <c r="AU137" s="131">
        <v>2745000</v>
      </c>
      <c r="AV137" s="131"/>
    </row>
    <row r="138" spans="1:49" x14ac:dyDescent="0.3">
      <c r="A138" s="11">
        <f t="shared" ref="A138:B138" si="4">+A137+1</f>
        <v>132</v>
      </c>
      <c r="B138" s="22">
        <f t="shared" si="4"/>
        <v>132</v>
      </c>
      <c r="C138" s="12" t="s">
        <v>171</v>
      </c>
      <c r="D138" s="47"/>
      <c r="E138" s="153" t="s">
        <v>242</v>
      </c>
      <c r="F138" s="79">
        <v>0</v>
      </c>
      <c r="G138" s="13">
        <v>0</v>
      </c>
      <c r="H138" s="13">
        <v>0</v>
      </c>
      <c r="I138" s="66">
        <v>0</v>
      </c>
      <c r="J138" s="66">
        <v>0</v>
      </c>
      <c r="K138" s="67">
        <v>0</v>
      </c>
      <c r="L138" s="67">
        <v>0</v>
      </c>
      <c r="M138" s="20">
        <v>0</v>
      </c>
      <c r="N138" s="67">
        <v>0</v>
      </c>
      <c r="O138" s="20">
        <v>0</v>
      </c>
      <c r="P138" s="67">
        <v>0</v>
      </c>
      <c r="Q138" s="20">
        <v>0</v>
      </c>
      <c r="R138" s="20"/>
      <c r="S138" s="20"/>
      <c r="T138" s="20">
        <v>0</v>
      </c>
      <c r="U138" s="20">
        <v>0</v>
      </c>
      <c r="V138" s="20">
        <v>0</v>
      </c>
      <c r="W138" s="20"/>
      <c r="X138" s="121">
        <v>0</v>
      </c>
      <c r="Y138" s="111">
        <v>44182</v>
      </c>
      <c r="Z138" s="111">
        <v>0</v>
      </c>
      <c r="AA138" s="111">
        <v>0</v>
      </c>
      <c r="AB138" s="111">
        <v>98182</v>
      </c>
      <c r="AC138" s="111">
        <v>0</v>
      </c>
      <c r="AD138" s="113"/>
      <c r="AE138" s="112">
        <v>932727</v>
      </c>
      <c r="AF138" s="108">
        <v>0</v>
      </c>
      <c r="AG138" s="113"/>
      <c r="AH138" s="108"/>
      <c r="AI138" s="108"/>
      <c r="AJ138" s="113">
        <v>0</v>
      </c>
      <c r="AK138" s="113">
        <v>9818</v>
      </c>
      <c r="AL138" s="109">
        <v>0</v>
      </c>
      <c r="AM138" s="128">
        <v>0</v>
      </c>
      <c r="AN138" s="130"/>
      <c r="AO138" s="131">
        <v>0</v>
      </c>
      <c r="AP138" s="131">
        <v>0</v>
      </c>
      <c r="AQ138" s="131">
        <v>0</v>
      </c>
      <c r="AR138" s="131">
        <v>115</v>
      </c>
      <c r="AS138" s="131">
        <v>12</v>
      </c>
      <c r="AT138" s="131">
        <v>230000</v>
      </c>
      <c r="AU138" s="131">
        <v>2760000</v>
      </c>
      <c r="AV138" s="131">
        <v>0</v>
      </c>
    </row>
    <row r="139" spans="1:49" x14ac:dyDescent="0.3">
      <c r="A139" s="11">
        <f t="shared" ref="A139:A145" si="5">+A138+1</f>
        <v>133</v>
      </c>
      <c r="B139" s="22">
        <f t="shared" ref="B139:B145" si="6">+B138+1</f>
        <v>133</v>
      </c>
      <c r="C139" s="12" t="s">
        <v>193</v>
      </c>
      <c r="D139" s="47"/>
      <c r="E139" s="153" t="s">
        <v>241</v>
      </c>
      <c r="F139" s="79">
        <v>0</v>
      </c>
      <c r="G139" s="13">
        <v>0</v>
      </c>
      <c r="H139" s="13">
        <v>0</v>
      </c>
      <c r="I139" s="66">
        <v>0</v>
      </c>
      <c r="J139" s="66">
        <v>0</v>
      </c>
      <c r="K139" s="67">
        <v>0</v>
      </c>
      <c r="L139" s="67">
        <v>0</v>
      </c>
      <c r="M139" s="20">
        <v>0</v>
      </c>
      <c r="N139" s="67">
        <v>0</v>
      </c>
      <c r="O139" s="20">
        <v>0</v>
      </c>
      <c r="P139" s="67">
        <v>0</v>
      </c>
      <c r="Q139" s="20">
        <v>0</v>
      </c>
      <c r="R139" s="20"/>
      <c r="S139" s="20"/>
      <c r="T139" s="20">
        <v>0</v>
      </c>
      <c r="U139" s="20">
        <v>0</v>
      </c>
      <c r="V139" s="20">
        <v>0</v>
      </c>
      <c r="W139" s="12"/>
      <c r="X139" s="121">
        <v>0</v>
      </c>
      <c r="Y139" s="111">
        <v>44182</v>
      </c>
      <c r="Z139" s="111">
        <v>0</v>
      </c>
      <c r="AA139" s="111">
        <v>0</v>
      </c>
      <c r="AB139" s="111">
        <v>98182</v>
      </c>
      <c r="AC139" s="111">
        <v>0</v>
      </c>
      <c r="AD139" s="113"/>
      <c r="AE139" s="112">
        <v>932727</v>
      </c>
      <c r="AF139" s="108">
        <v>0</v>
      </c>
      <c r="AG139" s="113"/>
      <c r="AH139" s="108"/>
      <c r="AI139" s="108"/>
      <c r="AJ139" s="113"/>
      <c r="AK139" s="113"/>
      <c r="AL139" s="109">
        <v>0</v>
      </c>
      <c r="AM139" s="128">
        <v>0</v>
      </c>
      <c r="AN139" s="130"/>
      <c r="AO139" s="131">
        <v>0</v>
      </c>
      <c r="AP139" s="131">
        <v>0</v>
      </c>
      <c r="AQ139" s="131">
        <v>0</v>
      </c>
      <c r="AR139" s="131">
        <v>115</v>
      </c>
      <c r="AS139" s="131">
        <v>9</v>
      </c>
      <c r="AT139" s="131">
        <v>230000</v>
      </c>
      <c r="AU139" s="131">
        <v>2070000</v>
      </c>
      <c r="AV139" s="131">
        <v>0</v>
      </c>
    </row>
    <row r="140" spans="1:49" x14ac:dyDescent="0.3">
      <c r="A140" s="11">
        <f t="shared" si="5"/>
        <v>134</v>
      </c>
      <c r="B140" s="22">
        <f t="shared" si="6"/>
        <v>134</v>
      </c>
      <c r="C140" s="12" t="s">
        <v>219</v>
      </c>
      <c r="D140" s="47"/>
      <c r="E140" s="153" t="s">
        <v>240</v>
      </c>
      <c r="F140" s="79">
        <v>0</v>
      </c>
      <c r="G140" s="13">
        <v>0</v>
      </c>
      <c r="H140" s="13">
        <v>0</v>
      </c>
      <c r="I140" s="66">
        <v>0</v>
      </c>
      <c r="J140" s="66">
        <v>0</v>
      </c>
      <c r="K140" s="67">
        <v>0</v>
      </c>
      <c r="L140" s="67">
        <v>0</v>
      </c>
      <c r="M140" s="20">
        <v>0</v>
      </c>
      <c r="N140" s="67">
        <v>0</v>
      </c>
      <c r="O140" s="20">
        <v>0</v>
      </c>
      <c r="P140" s="67">
        <v>0</v>
      </c>
      <c r="Q140" s="20">
        <v>0</v>
      </c>
      <c r="R140" s="20"/>
      <c r="S140" s="20"/>
      <c r="T140" s="20">
        <v>0</v>
      </c>
      <c r="U140" s="20">
        <v>0</v>
      </c>
      <c r="V140" s="20">
        <v>0</v>
      </c>
      <c r="W140" s="12"/>
      <c r="X140" s="121">
        <v>0</v>
      </c>
      <c r="Y140" s="111">
        <v>44182</v>
      </c>
      <c r="Z140" s="111">
        <v>0</v>
      </c>
      <c r="AA140" s="112">
        <v>0</v>
      </c>
      <c r="AB140" s="111">
        <v>98182</v>
      </c>
      <c r="AC140" s="111">
        <v>0</v>
      </c>
      <c r="AD140" s="113">
        <v>0</v>
      </c>
      <c r="AE140" s="112">
        <v>932727</v>
      </c>
      <c r="AF140" s="108">
        <v>0</v>
      </c>
      <c r="AG140" s="113"/>
      <c r="AH140" s="108"/>
      <c r="AI140" s="108"/>
      <c r="AJ140" s="113"/>
      <c r="AK140" s="113"/>
      <c r="AL140" s="109">
        <v>0</v>
      </c>
      <c r="AM140" s="128">
        <v>0</v>
      </c>
      <c r="AN140" s="130"/>
      <c r="AO140" s="131">
        <v>0</v>
      </c>
      <c r="AP140" s="131">
        <v>0</v>
      </c>
      <c r="AQ140" s="131">
        <v>0</v>
      </c>
      <c r="AR140" s="131">
        <v>119</v>
      </c>
      <c r="AS140" s="131">
        <v>9</v>
      </c>
      <c r="AT140" s="131">
        <v>238000</v>
      </c>
      <c r="AU140" s="131">
        <v>2142000</v>
      </c>
      <c r="AV140" s="131">
        <v>0</v>
      </c>
    </row>
    <row r="141" spans="1:49" x14ac:dyDescent="0.3">
      <c r="A141" s="11">
        <f t="shared" si="5"/>
        <v>135</v>
      </c>
      <c r="B141" s="22">
        <f t="shared" si="6"/>
        <v>135</v>
      </c>
      <c r="C141" s="12" t="s">
        <v>219</v>
      </c>
      <c r="D141" s="47"/>
      <c r="E141" s="153" t="s">
        <v>268</v>
      </c>
      <c r="F141" s="79">
        <v>0</v>
      </c>
      <c r="G141" s="13">
        <v>0</v>
      </c>
      <c r="H141" s="13">
        <v>0</v>
      </c>
      <c r="I141" s="66">
        <v>0</v>
      </c>
      <c r="J141" s="66">
        <v>0</v>
      </c>
      <c r="K141" s="67">
        <v>0</v>
      </c>
      <c r="L141" s="67">
        <v>0</v>
      </c>
      <c r="M141" s="20">
        <v>0</v>
      </c>
      <c r="N141" s="67">
        <v>0</v>
      </c>
      <c r="O141" s="20">
        <v>0</v>
      </c>
      <c r="P141" s="67">
        <v>0</v>
      </c>
      <c r="Q141" s="20">
        <v>0</v>
      </c>
      <c r="R141" s="20"/>
      <c r="S141" s="20"/>
      <c r="T141" s="20">
        <v>0</v>
      </c>
      <c r="U141" s="20">
        <v>0</v>
      </c>
      <c r="V141" s="20">
        <v>0</v>
      </c>
      <c r="W141" s="12"/>
      <c r="X141" s="121">
        <v>0</v>
      </c>
      <c r="Y141" s="111">
        <v>44182</v>
      </c>
      <c r="Z141" s="111">
        <v>0</v>
      </c>
      <c r="AA141" s="112">
        <v>0</v>
      </c>
      <c r="AB141" s="111">
        <v>98182</v>
      </c>
      <c r="AC141" s="111">
        <v>0</v>
      </c>
      <c r="AD141" s="113">
        <v>1</v>
      </c>
      <c r="AE141" s="112">
        <v>932727</v>
      </c>
      <c r="AF141" s="108">
        <v>932727</v>
      </c>
      <c r="AG141" s="113"/>
      <c r="AH141" s="108"/>
      <c r="AI141" s="108"/>
      <c r="AJ141" s="113"/>
      <c r="AK141" s="113"/>
      <c r="AL141" s="109">
        <v>0</v>
      </c>
      <c r="AM141" s="128">
        <v>932727</v>
      </c>
      <c r="AN141" s="130"/>
      <c r="AO141" s="131">
        <v>0</v>
      </c>
      <c r="AP141" s="131">
        <v>0</v>
      </c>
      <c r="AQ141" s="131">
        <v>0</v>
      </c>
      <c r="AR141" s="131">
        <v>0</v>
      </c>
      <c r="AS141" s="131">
        <v>0</v>
      </c>
      <c r="AT141" s="131">
        <v>0</v>
      </c>
      <c r="AU141" s="131">
        <v>0</v>
      </c>
      <c r="AV141" s="131">
        <v>0</v>
      </c>
    </row>
    <row r="142" spans="1:49" x14ac:dyDescent="0.3">
      <c r="A142" s="11">
        <f t="shared" si="5"/>
        <v>136</v>
      </c>
      <c r="B142" s="22">
        <f t="shared" si="6"/>
        <v>136</v>
      </c>
      <c r="C142" s="12" t="s">
        <v>209</v>
      </c>
      <c r="D142" s="47"/>
      <c r="E142" s="153" t="s">
        <v>238</v>
      </c>
      <c r="F142" s="81"/>
      <c r="G142" s="13"/>
      <c r="H142" s="13"/>
      <c r="I142" s="66"/>
      <c r="J142" s="66"/>
      <c r="K142" s="67"/>
      <c r="L142" s="67"/>
      <c r="M142" s="20"/>
      <c r="N142" s="67"/>
      <c r="O142" s="20"/>
      <c r="P142" s="67"/>
      <c r="Q142" s="20"/>
      <c r="R142" s="20"/>
      <c r="S142" s="20"/>
      <c r="T142" s="20"/>
      <c r="U142" s="20"/>
      <c r="V142" s="20"/>
      <c r="W142" s="12"/>
      <c r="X142" s="123">
        <v>0</v>
      </c>
      <c r="Y142" s="111">
        <v>44182</v>
      </c>
      <c r="Z142" s="124">
        <v>0</v>
      </c>
      <c r="AA142" s="111">
        <v>0</v>
      </c>
      <c r="AB142" s="111">
        <v>98182</v>
      </c>
      <c r="AC142" s="111">
        <v>0</v>
      </c>
      <c r="AD142" s="125">
        <v>1</v>
      </c>
      <c r="AE142" s="112">
        <v>932727</v>
      </c>
      <c r="AF142" s="126">
        <v>932727</v>
      </c>
      <c r="AG142" s="125"/>
      <c r="AH142" s="108"/>
      <c r="AI142" s="126"/>
      <c r="AJ142" s="125"/>
      <c r="AK142" s="113"/>
      <c r="AL142" s="127">
        <v>0</v>
      </c>
      <c r="AM142" s="128">
        <v>932727</v>
      </c>
      <c r="AN142" s="130"/>
      <c r="AO142" s="131"/>
      <c r="AP142" s="131"/>
      <c r="AQ142" s="131"/>
      <c r="AR142" s="138"/>
      <c r="AS142" s="131"/>
      <c r="AT142" s="131"/>
      <c r="AU142" s="131"/>
      <c r="AV142" s="131"/>
    </row>
    <row r="143" spans="1:49" x14ac:dyDescent="0.3">
      <c r="A143" s="11">
        <f t="shared" si="5"/>
        <v>137</v>
      </c>
      <c r="B143" s="22">
        <f t="shared" si="6"/>
        <v>137</v>
      </c>
      <c r="C143" s="12" t="s">
        <v>206</v>
      </c>
      <c r="D143" s="47"/>
      <c r="E143" s="153" t="s">
        <v>239</v>
      </c>
      <c r="F143" s="81"/>
      <c r="G143" s="13"/>
      <c r="H143" s="13"/>
      <c r="I143" s="66"/>
      <c r="J143" s="66"/>
      <c r="K143" s="67"/>
      <c r="L143" s="67"/>
      <c r="M143" s="20"/>
      <c r="N143" s="67"/>
      <c r="O143" s="20"/>
      <c r="P143" s="67"/>
      <c r="Q143" s="20"/>
      <c r="R143" s="20"/>
      <c r="S143" s="20"/>
      <c r="T143" s="20"/>
      <c r="U143" s="20"/>
      <c r="V143" s="20"/>
      <c r="W143" s="12"/>
      <c r="X143" s="144">
        <v>0</v>
      </c>
      <c r="Y143" s="111">
        <v>44182</v>
      </c>
      <c r="Z143" s="145">
        <v>0</v>
      </c>
      <c r="AA143" s="111">
        <v>0</v>
      </c>
      <c r="AB143" s="111">
        <v>98182</v>
      </c>
      <c r="AC143" s="111">
        <v>0</v>
      </c>
      <c r="AD143" s="135">
        <v>1</v>
      </c>
      <c r="AE143" s="112">
        <v>932727</v>
      </c>
      <c r="AF143" s="146">
        <v>932727</v>
      </c>
      <c r="AG143" s="135"/>
      <c r="AH143" s="108"/>
      <c r="AI143" s="146"/>
      <c r="AJ143" s="135"/>
      <c r="AK143" s="113"/>
      <c r="AL143" s="136">
        <v>0</v>
      </c>
      <c r="AM143" s="137">
        <v>932727</v>
      </c>
      <c r="AN143" s="130"/>
      <c r="AO143" s="131"/>
      <c r="AP143" s="131"/>
      <c r="AQ143" s="131"/>
      <c r="AR143" s="138"/>
      <c r="AS143" s="131"/>
      <c r="AT143" s="131"/>
      <c r="AU143" s="131"/>
      <c r="AV143" s="131"/>
    </row>
    <row r="144" spans="1:49" x14ac:dyDescent="0.3">
      <c r="A144" s="11">
        <f t="shared" si="5"/>
        <v>138</v>
      </c>
      <c r="B144" s="22">
        <f t="shared" si="6"/>
        <v>138</v>
      </c>
      <c r="C144" s="12" t="s">
        <v>205</v>
      </c>
      <c r="D144" s="47"/>
      <c r="E144" s="153" t="s">
        <v>207</v>
      </c>
      <c r="F144" s="81"/>
      <c r="G144" s="13"/>
      <c r="H144" s="13"/>
      <c r="I144" s="66"/>
      <c r="J144" s="66"/>
      <c r="K144" s="67"/>
      <c r="L144" s="67"/>
      <c r="M144" s="20"/>
      <c r="N144" s="67"/>
      <c r="O144" s="20"/>
      <c r="P144" s="67"/>
      <c r="Q144" s="20"/>
      <c r="R144" s="20"/>
      <c r="S144" s="20"/>
      <c r="T144" s="20"/>
      <c r="U144" s="20"/>
      <c r="V144" s="20"/>
      <c r="W144" s="12"/>
      <c r="X144" s="144">
        <v>0</v>
      </c>
      <c r="Y144" s="111">
        <v>44182</v>
      </c>
      <c r="Z144" s="145">
        <v>0</v>
      </c>
      <c r="AA144" s="111">
        <v>1</v>
      </c>
      <c r="AB144" s="111">
        <v>98182</v>
      </c>
      <c r="AC144" s="111">
        <v>98182</v>
      </c>
      <c r="AD144" s="135"/>
      <c r="AE144" s="112"/>
      <c r="AF144" s="146">
        <v>0</v>
      </c>
      <c r="AG144" s="135"/>
      <c r="AH144" s="108"/>
      <c r="AI144" s="146"/>
      <c r="AJ144" s="135"/>
      <c r="AK144" s="113"/>
      <c r="AL144" s="136">
        <v>0</v>
      </c>
      <c r="AM144" s="137">
        <v>98182</v>
      </c>
      <c r="AN144" s="130"/>
      <c r="AO144" s="131"/>
      <c r="AP144" s="131"/>
      <c r="AQ144" s="131"/>
      <c r="AR144" s="138"/>
      <c r="AS144" s="131"/>
      <c r="AT144" s="131"/>
      <c r="AU144" s="131"/>
      <c r="AV144" s="131"/>
    </row>
    <row r="145" spans="1:48" x14ac:dyDescent="0.3">
      <c r="A145" s="11">
        <f t="shared" si="5"/>
        <v>139</v>
      </c>
      <c r="B145" s="22">
        <f t="shared" si="6"/>
        <v>139</v>
      </c>
      <c r="C145" s="12"/>
      <c r="D145" s="47"/>
      <c r="E145" s="11"/>
      <c r="F145" s="81"/>
      <c r="G145" s="13"/>
      <c r="H145" s="13"/>
      <c r="I145" s="66"/>
      <c r="J145" s="66"/>
      <c r="K145" s="67"/>
      <c r="L145" s="67"/>
      <c r="M145" s="20"/>
      <c r="N145" s="67"/>
      <c r="O145" s="20"/>
      <c r="P145" s="67"/>
      <c r="Q145" s="20"/>
      <c r="R145" s="20"/>
      <c r="S145" s="20"/>
      <c r="T145" s="20"/>
      <c r="U145" s="20"/>
      <c r="V145" s="20"/>
      <c r="W145" s="12"/>
      <c r="X145" s="121"/>
      <c r="Y145" s="111"/>
      <c r="Z145" s="111"/>
      <c r="AA145" s="111"/>
      <c r="AB145" s="111"/>
      <c r="AC145" s="111"/>
      <c r="AD145" s="113"/>
      <c r="AE145" s="112"/>
      <c r="AF145" s="108"/>
      <c r="AG145" s="113"/>
      <c r="AH145" s="108"/>
      <c r="AI145" s="108"/>
      <c r="AJ145" s="135"/>
      <c r="AK145" s="113"/>
      <c r="AL145" s="136"/>
      <c r="AM145" s="137"/>
      <c r="AN145" s="130"/>
      <c r="AO145" s="130"/>
      <c r="AP145" s="130"/>
      <c r="AQ145" s="130"/>
      <c r="AR145" s="130"/>
      <c r="AS145" s="130"/>
      <c r="AT145" s="130"/>
      <c r="AU145" s="130"/>
      <c r="AV145" s="131"/>
    </row>
    <row r="146" spans="1:48" s="41" customFormat="1" x14ac:dyDescent="0.3">
      <c r="A146" s="37"/>
      <c r="B146" s="37"/>
      <c r="C146" s="38" t="s">
        <v>4</v>
      </c>
      <c r="D146" s="49"/>
      <c r="E146" s="37"/>
      <c r="F146" s="38"/>
      <c r="G146" s="39"/>
      <c r="H146" s="39">
        <f>SUBTOTAL(9,H7:H145)</f>
        <v>55580000</v>
      </c>
      <c r="I146" s="40"/>
      <c r="J146" s="40"/>
      <c r="K146" s="37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9">
        <f>SUBTOTAL(9,V7:V145)</f>
        <v>17839295</v>
      </c>
      <c r="W146" s="39">
        <f>SUBTOTAL(9,W7:W145)</f>
        <v>0</v>
      </c>
      <c r="X146" s="57"/>
      <c r="Z146" s="57">
        <f>SUM(Z7:Z145)</f>
        <v>8694034</v>
      </c>
      <c r="AC146" s="57">
        <f>SUM(AC7:AC145)</f>
        <v>7265468</v>
      </c>
      <c r="AF146" s="57">
        <f>SUM(AF7:AF145)</f>
        <v>33578172</v>
      </c>
      <c r="AI146" s="57">
        <f>SUM(AI7:AI145)</f>
        <v>0</v>
      </c>
      <c r="AJ146" s="134"/>
      <c r="AK146" s="134"/>
      <c r="AL146" s="57">
        <f>SUM(AL7:AL145)</f>
        <v>98180</v>
      </c>
      <c r="AM146" s="57">
        <f>SUM(AM7:AM145)</f>
        <v>49635854</v>
      </c>
      <c r="AN146" s="134"/>
      <c r="AO146" s="134"/>
      <c r="AP146" s="134"/>
      <c r="AQ146" s="57">
        <f>SUM(AQ7:AQ145)</f>
        <v>4898000</v>
      </c>
      <c r="AR146" s="134"/>
      <c r="AS146" s="134"/>
      <c r="AT146" s="134"/>
      <c r="AU146" s="57">
        <f>SUM(AU7:AU145)</f>
        <v>62145000</v>
      </c>
      <c r="AV146" s="154">
        <f>SUM(AV7:AV145)</f>
        <v>1980000</v>
      </c>
    </row>
    <row r="147" spans="1:48" x14ac:dyDescent="0.3">
      <c r="H147" s="6">
        <f>+H146+V146+AM146+AQ146+AU146+AV146</f>
        <v>192078149</v>
      </c>
    </row>
  </sheetData>
  <autoFilter ref="E4:AW144" xr:uid="{00000000-0001-0000-0100-000000000000}">
    <filterColumn colId="4" showButton="0"/>
  </autoFilter>
  <mergeCells count="14">
    <mergeCell ref="AV5:AV6"/>
    <mergeCell ref="I4:J4"/>
    <mergeCell ref="A5:B5"/>
    <mergeCell ref="L5:M5"/>
    <mergeCell ref="N5:O5"/>
    <mergeCell ref="X5:Z5"/>
    <mergeCell ref="AN5:AN6"/>
    <mergeCell ref="AO5:AQ5"/>
    <mergeCell ref="AS5:AU5"/>
    <mergeCell ref="AA5:AC5"/>
    <mergeCell ref="AD5:AF5"/>
    <mergeCell ref="AG5:AI5"/>
    <mergeCell ref="AJ5:AL5"/>
    <mergeCell ref="AM5:AM6"/>
  </mergeCells>
  <pageMargins left="0.24" right="0.16" top="0.2" bottom="0.2" header="0.2" footer="0.2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C513-0285-450E-BBB5-0B215CBEB68B}">
  <sheetPr filterMode="1"/>
  <dimension ref="A1:V168"/>
  <sheetViews>
    <sheetView topLeftCell="A11" zoomScale="85" zoomScaleNormal="85" workbookViewId="0">
      <selection activeCell="U47" sqref="U47"/>
    </sheetView>
  </sheetViews>
  <sheetFormatPr defaultRowHeight="18.75" x14ac:dyDescent="0.25"/>
  <cols>
    <col min="1" max="1" width="4.5703125" style="155" customWidth="1"/>
    <col min="2" max="2" width="20.42578125" style="74" customWidth="1"/>
    <col min="3" max="3" width="7.28515625" style="155" customWidth="1"/>
    <col min="4" max="4" width="5.7109375" style="155" hidden="1" customWidth="1"/>
    <col min="5" max="5" width="12.42578125" style="74" hidden="1" customWidth="1"/>
    <col min="6" max="6" width="13" style="157" hidden="1" customWidth="1"/>
    <col min="7" max="7" width="12.42578125" style="74" hidden="1" customWidth="1"/>
    <col min="8" max="13" width="13" style="157" hidden="1" customWidth="1"/>
    <col min="14" max="15" width="12.42578125" style="74" hidden="1" customWidth="1"/>
    <col min="16" max="16" width="15.42578125" style="74" bestFit="1" customWidth="1"/>
    <col min="17" max="18" width="15.42578125" style="74" customWidth="1"/>
    <col min="19" max="19" width="8.42578125" style="74" customWidth="1"/>
    <col min="20" max="20" width="14.5703125" style="155" bestFit="1" customWidth="1"/>
    <col min="21" max="21" width="9.140625" style="193"/>
  </cols>
  <sheetData>
    <row r="1" spans="1:22" x14ac:dyDescent="0.25">
      <c r="A1" s="279" t="s">
        <v>0</v>
      </c>
      <c r="B1" s="279"/>
      <c r="C1" s="279"/>
      <c r="E1" s="179"/>
      <c r="F1" s="179"/>
      <c r="G1" s="179"/>
      <c r="H1" s="179" t="s">
        <v>221</v>
      </c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2" x14ac:dyDescent="0.25">
      <c r="A2" s="279" t="s">
        <v>222</v>
      </c>
      <c r="B2" s="279"/>
      <c r="C2" s="279"/>
      <c r="E2" s="180"/>
      <c r="F2" s="180"/>
      <c r="G2" s="180"/>
      <c r="H2" s="180" t="s">
        <v>223</v>
      </c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22" x14ac:dyDescent="0.25">
      <c r="A3" s="74"/>
      <c r="E3" s="159"/>
      <c r="F3" s="158"/>
      <c r="G3" s="159"/>
      <c r="I3" s="158"/>
      <c r="J3" s="158"/>
      <c r="K3" s="158"/>
      <c r="L3" s="158"/>
      <c r="M3" s="158"/>
      <c r="N3" s="157"/>
      <c r="O3" s="159"/>
      <c r="P3" s="159"/>
      <c r="Q3" s="159"/>
      <c r="R3" s="159"/>
      <c r="S3" s="159"/>
      <c r="T3" s="74"/>
    </row>
    <row r="4" spans="1:22" x14ac:dyDescent="0.25">
      <c r="A4" s="74"/>
    </row>
    <row r="5" spans="1:22" ht="19.5" x14ac:dyDescent="0.25">
      <c r="A5" s="181" t="s">
        <v>224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2" ht="16.5" x14ac:dyDescent="0.25">
      <c r="A6" s="182" t="s">
        <v>225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2" ht="31.5" x14ac:dyDescent="0.25">
      <c r="A7" s="61" t="s">
        <v>1</v>
      </c>
      <c r="B7" s="61" t="s">
        <v>2</v>
      </c>
      <c r="C7" s="160" t="s">
        <v>3</v>
      </c>
      <c r="D7" s="61" t="s">
        <v>226</v>
      </c>
      <c r="E7" s="161" t="s">
        <v>232</v>
      </c>
      <c r="F7" s="161" t="s">
        <v>228</v>
      </c>
      <c r="G7" s="161" t="s">
        <v>231</v>
      </c>
      <c r="H7" s="161" t="s">
        <v>227</v>
      </c>
      <c r="I7" s="185" t="s">
        <v>248</v>
      </c>
      <c r="J7" s="185" t="s">
        <v>249</v>
      </c>
      <c r="K7" s="185" t="s">
        <v>250</v>
      </c>
      <c r="L7" s="185" t="s">
        <v>251</v>
      </c>
      <c r="M7" s="185" t="s">
        <v>252</v>
      </c>
      <c r="N7" s="186" t="s">
        <v>229</v>
      </c>
      <c r="O7" s="161" t="s">
        <v>230</v>
      </c>
      <c r="P7" s="160" t="s">
        <v>45</v>
      </c>
      <c r="Q7" s="160" t="s">
        <v>253</v>
      </c>
      <c r="R7" s="160" t="s">
        <v>254</v>
      </c>
      <c r="S7" s="160" t="s">
        <v>34</v>
      </c>
      <c r="T7" s="160" t="s">
        <v>233</v>
      </c>
      <c r="U7" s="193" t="s">
        <v>34</v>
      </c>
    </row>
    <row r="8" spans="1:22" ht="15.75" x14ac:dyDescent="0.25">
      <c r="A8" s="162">
        <v>1</v>
      </c>
      <c r="B8" s="163" t="s">
        <v>85</v>
      </c>
      <c r="C8" s="164">
        <v>201</v>
      </c>
      <c r="D8" s="162" t="s">
        <v>234</v>
      </c>
      <c r="E8" s="113">
        <f>+VLOOKUP(C8,'TH-17T4'!$E$7:$AV$144,44,0)</f>
        <v>0</v>
      </c>
      <c r="F8" s="112">
        <f>+VLOOKUP(C8,'TH-17T4'!$E$7:$V$144,18,0)</f>
        <v>17250</v>
      </c>
      <c r="G8" s="113">
        <f>+VLOOKUP(C8,'TH-17T4'!$E$7:$AU$144,43,0)</f>
        <v>0</v>
      </c>
      <c r="H8" s="112">
        <f>+VLOOKUP(C8,'TH-17T4'!$E$7:$H$144,4,0)</f>
        <v>0</v>
      </c>
      <c r="I8" s="112">
        <f>+VLOOKUP(C8,'TH-17T4'!$E$7:$AF$144,28,0)</f>
        <v>0</v>
      </c>
      <c r="J8" s="112">
        <f>+VLOOKUP(C8,'TH-17T4'!$E$7:$AI$144,31,0)</f>
        <v>0</v>
      </c>
      <c r="K8" s="112">
        <f>+VLOOKUP(C8,'TH-17T4'!$E$7:$AL$144,34,0)</f>
        <v>0</v>
      </c>
      <c r="L8" s="112">
        <f>+VLOOKUP(C8,'TH-17T4'!$E$7:$Z$144,22,0)</f>
        <v>0</v>
      </c>
      <c r="M8" s="112">
        <f>+VLOOKUP(C8,'TH-17T4'!$E$7:$AC$144,25,0)</f>
        <v>196364</v>
      </c>
      <c r="N8" s="165">
        <f>+SUM(I8:M8)</f>
        <v>196364</v>
      </c>
      <c r="O8" s="113">
        <f>+VLOOKUP(C8,'TH-17T4'!$E$7:$AQ$144,39,0)</f>
        <v>60000</v>
      </c>
      <c r="P8" s="120">
        <f>+O8+N8+H8+G8+F8+E8</f>
        <v>273614</v>
      </c>
      <c r="Q8" s="120"/>
      <c r="R8" s="120"/>
      <c r="S8" s="113"/>
      <c r="T8" s="166" t="s">
        <v>257</v>
      </c>
    </row>
    <row r="9" spans="1:22" ht="15.75" x14ac:dyDescent="0.25">
      <c r="A9" s="166">
        <f>+A8+1</f>
        <v>2</v>
      </c>
      <c r="B9" s="73" t="s">
        <v>86</v>
      </c>
      <c r="C9" s="167">
        <v>202</v>
      </c>
      <c r="D9" s="162" t="s">
        <v>234</v>
      </c>
      <c r="E9" s="113">
        <f>+VLOOKUP(C9,'TH-17T4'!$E$7:$AV$144,44,0)</f>
        <v>0</v>
      </c>
      <c r="F9" s="112">
        <f>+VLOOKUP(C9,'TH-17T4'!$E$7:$V$144,18,0)</f>
        <v>17250</v>
      </c>
      <c r="G9" s="113">
        <f>+VLOOKUP(C9,'TH-17T4'!$E$7:$AU$144,43,0)</f>
        <v>714000</v>
      </c>
      <c r="H9" s="112">
        <f>+VLOOKUP(C9,'TH-17T4'!$E$7:$H$144,4,0)</f>
        <v>0</v>
      </c>
      <c r="I9" s="112">
        <f>+VLOOKUP(C9,'TH-17T4'!$E$7:$AF$144,28,0)</f>
        <v>0</v>
      </c>
      <c r="J9" s="112">
        <f>+VLOOKUP(C9,'TH-17T4'!$E$7:$AI$144,31,0)</f>
        <v>0</v>
      </c>
      <c r="K9" s="112">
        <f>+VLOOKUP(C9,'TH-17T4'!$E$7:$AL$144,34,0)</f>
        <v>0</v>
      </c>
      <c r="L9" s="112">
        <f>+VLOOKUP(C9,'TH-17T4'!$E$7:$Z$144,22,0)</f>
        <v>0</v>
      </c>
      <c r="M9" s="112">
        <f>+VLOOKUP(C9,'TH-17T4'!$E$7:$AC$144,25,0)</f>
        <v>196364</v>
      </c>
      <c r="N9" s="165">
        <f>+SUM(I9:M9)</f>
        <v>196364</v>
      </c>
      <c r="O9" s="113">
        <f>+VLOOKUP(C9,'TH-17T4'!$E$7:$AQ$144,39,0)</f>
        <v>0</v>
      </c>
      <c r="P9" s="120">
        <f>+O9+N9+H9+G9+F9+E9</f>
        <v>927614</v>
      </c>
      <c r="Q9" s="120"/>
      <c r="R9" s="120"/>
      <c r="S9" s="113"/>
      <c r="T9" s="166" t="s">
        <v>257</v>
      </c>
      <c r="U9" s="193">
        <v>16</v>
      </c>
    </row>
    <row r="10" spans="1:22" ht="15.75" hidden="1" x14ac:dyDescent="0.25">
      <c r="A10" s="166">
        <f t="shared" ref="A10:A73" si="0">+A9+1</f>
        <v>3</v>
      </c>
      <c r="B10" s="73" t="s">
        <v>87</v>
      </c>
      <c r="C10" s="168">
        <f>+C9+1</f>
        <v>203</v>
      </c>
      <c r="D10" s="162" t="s">
        <v>234</v>
      </c>
      <c r="E10" s="113">
        <f>+VLOOKUP(C10,'TH-17T4'!$E$7:$AV$144,44,0)</f>
        <v>0</v>
      </c>
      <c r="F10" s="112">
        <f>+VLOOKUP(C10,'TH-17T4'!$E$7:$V$144,18,0)</f>
        <v>256450</v>
      </c>
      <c r="G10" s="113">
        <f>+VLOOKUP(C10,'TH-17T4'!$E$7:$AU$144,43,0)</f>
        <v>0</v>
      </c>
      <c r="H10" s="112">
        <f>+VLOOKUP(C10,'TH-17T4'!$E$7:$H$144,4,0)</f>
        <v>0</v>
      </c>
      <c r="I10" s="112">
        <f>+VLOOKUP(C10,'TH-17T4'!$E$7:$AF$144,28,0)</f>
        <v>932727</v>
      </c>
      <c r="J10" s="112">
        <f>+VLOOKUP(C10,'TH-17T4'!$E$7:$AI$144,31,0)</f>
        <v>0</v>
      </c>
      <c r="K10" s="112">
        <f>+VLOOKUP(C10,'TH-17T4'!$E$7:$AL$144,34,0)</f>
        <v>0</v>
      </c>
      <c r="L10" s="112">
        <f>+VLOOKUP(C10,'TH-17T4'!$E$7:$Z$144,22,0)</f>
        <v>44182</v>
      </c>
      <c r="M10" s="112">
        <f>+VLOOKUP(C10,'TH-17T4'!$E$7:$AC$144,25,0)</f>
        <v>0</v>
      </c>
      <c r="N10" s="165">
        <f t="shared" ref="N10:N73" si="1">+SUM(I10:M10)</f>
        <v>976909</v>
      </c>
      <c r="O10" s="113">
        <f>+VLOOKUP(C10,'TH-17T4'!$E$7:$AQ$144,39,0)</f>
        <v>0</v>
      </c>
      <c r="P10" s="120">
        <f t="shared" ref="P10:P73" si="2">+O10+N10+H10+G10+F10+E10</f>
        <v>1233359</v>
      </c>
      <c r="Q10" s="120">
        <v>1233359</v>
      </c>
      <c r="R10" s="120"/>
      <c r="S10" s="113"/>
      <c r="T10" s="187" t="s">
        <v>257</v>
      </c>
      <c r="U10" s="193">
        <v>12</v>
      </c>
      <c r="V10" s="166" t="s">
        <v>255</v>
      </c>
    </row>
    <row r="11" spans="1:22" ht="15.75" x14ac:dyDescent="0.25">
      <c r="A11" s="166">
        <f t="shared" si="0"/>
        <v>4</v>
      </c>
      <c r="B11" s="73" t="s">
        <v>88</v>
      </c>
      <c r="C11" s="168">
        <f t="shared" ref="C11:C74" si="3">+C10+1</f>
        <v>204</v>
      </c>
      <c r="D11" s="162" t="s">
        <v>234</v>
      </c>
      <c r="E11" s="113">
        <f>+VLOOKUP(C11,'TH-17T4'!$E$7:$AV$144,44,0)</f>
        <v>0</v>
      </c>
      <c r="F11" s="112">
        <f>+VLOOKUP(C11,'TH-17T4'!$E$7:$V$144,18,0)</f>
        <v>0</v>
      </c>
      <c r="G11" s="113">
        <f>+VLOOKUP(C11,'TH-17T4'!$E$7:$AU$144,43,0)</f>
        <v>0</v>
      </c>
      <c r="H11" s="112">
        <f>+VLOOKUP(C11,'TH-17T4'!$E$7:$H$144,4,0)</f>
        <v>840000</v>
      </c>
      <c r="I11" s="112">
        <f>+VLOOKUP(C11,'TH-17T4'!$E$7:$AF$144,28,0)</f>
        <v>0</v>
      </c>
      <c r="J11" s="112">
        <f>+VLOOKUP(C11,'TH-17T4'!$E$7:$AI$144,31,0)</f>
        <v>0</v>
      </c>
      <c r="K11" s="112">
        <f>+VLOOKUP(C11,'TH-17T4'!$E$7:$AL$144,34,0)</f>
        <v>0</v>
      </c>
      <c r="L11" s="112">
        <f>+VLOOKUP(C11,'TH-17T4'!$E$7:$Z$144,22,0)</f>
        <v>88364</v>
      </c>
      <c r="M11" s="112">
        <f>+VLOOKUP(C11,'TH-17T4'!$E$7:$AC$144,25,0)</f>
        <v>0</v>
      </c>
      <c r="N11" s="165">
        <f t="shared" si="1"/>
        <v>88364</v>
      </c>
      <c r="O11" s="113">
        <f>+VLOOKUP(C11,'TH-17T4'!$E$7:$AQ$144,39,0)</f>
        <v>0</v>
      </c>
      <c r="P11" s="120">
        <f t="shared" si="2"/>
        <v>928364</v>
      </c>
      <c r="Q11" s="120"/>
      <c r="R11" s="120"/>
      <c r="S11" s="113"/>
      <c r="T11" s="166" t="s">
        <v>257</v>
      </c>
    </row>
    <row r="12" spans="1:22" ht="15.75" hidden="1" x14ac:dyDescent="0.25">
      <c r="A12" s="166">
        <f t="shared" si="0"/>
        <v>5</v>
      </c>
      <c r="B12" s="73" t="s">
        <v>89</v>
      </c>
      <c r="C12" s="168">
        <f t="shared" si="3"/>
        <v>205</v>
      </c>
      <c r="D12" s="162" t="s">
        <v>234</v>
      </c>
      <c r="E12" s="113">
        <f>+VLOOKUP(C12,'TH-17T4'!$E$7:$AV$144,44,0)</f>
        <v>0</v>
      </c>
      <c r="F12" s="112">
        <f>+VLOOKUP(C12,'TH-17T4'!$E$7:$V$144,18,0)</f>
        <v>51750</v>
      </c>
      <c r="G12" s="113">
        <f>+VLOOKUP(C12,'TH-17T4'!$E$7:$AU$144,43,0)</f>
        <v>1404000</v>
      </c>
      <c r="H12" s="112">
        <f>+VLOOKUP(C12,'TH-17T4'!$E$7:$H$144,4,0)</f>
        <v>840000</v>
      </c>
      <c r="I12" s="112">
        <f>+VLOOKUP(C12,'TH-17T4'!$E$7:$AF$144,28,0)</f>
        <v>0</v>
      </c>
      <c r="J12" s="112">
        <f>+VLOOKUP(C12,'TH-17T4'!$E$7:$AI$144,31,0)</f>
        <v>0</v>
      </c>
      <c r="K12" s="112">
        <f>+VLOOKUP(C12,'TH-17T4'!$E$7:$AL$144,34,0)</f>
        <v>0</v>
      </c>
      <c r="L12" s="112">
        <f>+VLOOKUP(C12,'TH-17T4'!$E$7:$Z$144,22,0)</f>
        <v>0</v>
      </c>
      <c r="M12" s="112">
        <f>+VLOOKUP(C12,'TH-17T4'!$E$7:$AC$144,25,0)</f>
        <v>0</v>
      </c>
      <c r="N12" s="165">
        <f t="shared" si="1"/>
        <v>0</v>
      </c>
      <c r="O12" s="113">
        <f>+VLOOKUP(C12,'TH-17T4'!$E$7:$AQ$144,39,0)</f>
        <v>0</v>
      </c>
      <c r="P12" s="120">
        <f t="shared" si="2"/>
        <v>2295750</v>
      </c>
      <c r="Q12" s="120">
        <v>2295750</v>
      </c>
      <c r="R12" s="120">
        <f>+Q12-P12</f>
        <v>0</v>
      </c>
      <c r="S12" s="113"/>
      <c r="T12" s="166" t="s">
        <v>257</v>
      </c>
      <c r="U12" s="193">
        <v>14</v>
      </c>
    </row>
    <row r="13" spans="1:22" ht="15.75" hidden="1" x14ac:dyDescent="0.25">
      <c r="A13" s="166">
        <f t="shared" si="0"/>
        <v>6</v>
      </c>
      <c r="B13" s="73" t="s">
        <v>90</v>
      </c>
      <c r="C13" s="168">
        <f t="shared" si="3"/>
        <v>206</v>
      </c>
      <c r="D13" s="162" t="s">
        <v>234</v>
      </c>
      <c r="E13" s="113">
        <f>+VLOOKUP(C13,'TH-17T4'!$E$7:$AV$144,44,0)</f>
        <v>0</v>
      </c>
      <c r="F13" s="112">
        <f>+VLOOKUP(C13,'TH-17T4'!$E$7:$V$144,18,0)</f>
        <v>106490</v>
      </c>
      <c r="G13" s="113">
        <f>+VLOOKUP(C13,'TH-17T4'!$E$7:$AU$144,43,0)</f>
        <v>0</v>
      </c>
      <c r="H13" s="112">
        <f>+VLOOKUP(C13,'TH-17T4'!$E$7:$H$144,4,0)</f>
        <v>0</v>
      </c>
      <c r="I13" s="112">
        <f>+VLOOKUP(C13,'TH-17T4'!$E$7:$AF$144,28,0)</f>
        <v>932727</v>
      </c>
      <c r="J13" s="112">
        <f>+VLOOKUP(C13,'TH-17T4'!$E$7:$AI$144,31,0)</f>
        <v>0</v>
      </c>
      <c r="K13" s="112">
        <f>+VLOOKUP(C13,'TH-17T4'!$E$7:$AL$144,34,0)</f>
        <v>0</v>
      </c>
      <c r="L13" s="112">
        <f>+VLOOKUP(C13,'TH-17T4'!$E$7:$Z$144,22,0)</f>
        <v>88364</v>
      </c>
      <c r="M13" s="112">
        <f>+VLOOKUP(C13,'TH-17T4'!$E$7:$AC$144,25,0)</f>
        <v>0</v>
      </c>
      <c r="N13" s="165">
        <f t="shared" si="1"/>
        <v>1021091</v>
      </c>
      <c r="O13" s="113">
        <f>+VLOOKUP(C13,'TH-17T4'!$E$7:$AQ$144,39,0)</f>
        <v>0</v>
      </c>
      <c r="P13" s="120">
        <f t="shared" si="2"/>
        <v>1127581</v>
      </c>
      <c r="Q13" s="120">
        <v>1127581</v>
      </c>
      <c r="R13" s="120">
        <f>+Q13-P13</f>
        <v>0</v>
      </c>
      <c r="S13" s="113"/>
      <c r="T13" s="166" t="s">
        <v>257</v>
      </c>
      <c r="U13" s="193">
        <v>14</v>
      </c>
    </row>
    <row r="14" spans="1:22" ht="15.75" x14ac:dyDescent="0.25">
      <c r="A14" s="166">
        <f t="shared" si="0"/>
        <v>7</v>
      </c>
      <c r="B14" s="73" t="s">
        <v>91</v>
      </c>
      <c r="C14" s="168">
        <f t="shared" si="3"/>
        <v>207</v>
      </c>
      <c r="D14" s="162" t="s">
        <v>234</v>
      </c>
      <c r="E14" s="113">
        <f>+VLOOKUP(C14,'TH-17T4'!$E$7:$AV$144,44,0)</f>
        <v>110000</v>
      </c>
      <c r="F14" s="112">
        <f>+VLOOKUP(C14,'TH-17T4'!$E$7:$V$144,18,0)</f>
        <v>0</v>
      </c>
      <c r="G14" s="113">
        <f>+VLOOKUP(C14,'TH-17T4'!$E$7:$AU$144,43,0)</f>
        <v>0</v>
      </c>
      <c r="H14" s="112">
        <f>+VLOOKUP(C14,'TH-17T4'!$E$7:$H$144,4,0)</f>
        <v>0</v>
      </c>
      <c r="I14" s="112">
        <f>+VLOOKUP(C14,'TH-17T4'!$E$7:$AF$144,28,0)</f>
        <v>932727</v>
      </c>
      <c r="J14" s="112">
        <f>+VLOOKUP(C14,'TH-17T4'!$E$7:$AI$144,31,0)</f>
        <v>0</v>
      </c>
      <c r="K14" s="112">
        <f>+VLOOKUP(C14,'TH-17T4'!$E$7:$AL$144,34,0)</f>
        <v>0</v>
      </c>
      <c r="L14" s="112">
        <f>+VLOOKUP(C14,'TH-17T4'!$E$7:$Z$144,22,0)</f>
        <v>0</v>
      </c>
      <c r="M14" s="112">
        <f>+VLOOKUP(C14,'TH-17T4'!$E$7:$AC$144,25,0)</f>
        <v>0</v>
      </c>
      <c r="N14" s="165">
        <f t="shared" si="1"/>
        <v>932727</v>
      </c>
      <c r="O14" s="113">
        <f>+VLOOKUP(C14,'TH-17T4'!$E$7:$AQ$144,39,0)</f>
        <v>0</v>
      </c>
      <c r="P14" s="120">
        <f t="shared" si="2"/>
        <v>1042727</v>
      </c>
      <c r="Q14" s="120"/>
      <c r="R14" s="120"/>
      <c r="S14" s="113"/>
      <c r="T14" s="166" t="s">
        <v>257</v>
      </c>
    </row>
    <row r="15" spans="1:22" ht="15.75" hidden="1" x14ac:dyDescent="0.25">
      <c r="A15" s="166">
        <f t="shared" si="0"/>
        <v>8</v>
      </c>
      <c r="B15" s="73" t="s">
        <v>92</v>
      </c>
      <c r="C15" s="168">
        <f t="shared" si="3"/>
        <v>208</v>
      </c>
      <c r="D15" s="162" t="s">
        <v>234</v>
      </c>
      <c r="E15" s="113">
        <f>+VLOOKUP(C15,'TH-17T4'!$E$7:$AV$144,44,0)</f>
        <v>0</v>
      </c>
      <c r="F15" s="112">
        <f>+VLOOKUP(C15,'TH-17T4'!$E$7:$V$144,18,0)</f>
        <v>106490</v>
      </c>
      <c r="G15" s="113">
        <f>+VLOOKUP(C15,'TH-17T4'!$E$7:$AU$144,43,0)</f>
        <v>1380000</v>
      </c>
      <c r="H15" s="112">
        <f>+VLOOKUP(C15,'TH-17T4'!$E$7:$H$144,4,0)</f>
        <v>0</v>
      </c>
      <c r="I15" s="112">
        <f>+VLOOKUP(C15,'TH-17T4'!$E$7:$AF$144,28,0)</f>
        <v>0</v>
      </c>
      <c r="J15" s="112">
        <f>+VLOOKUP(C15,'TH-17T4'!$E$7:$AI$144,31,0)</f>
        <v>0</v>
      </c>
      <c r="K15" s="112">
        <f>+VLOOKUP(C15,'TH-17T4'!$E$7:$AL$144,34,0)</f>
        <v>0</v>
      </c>
      <c r="L15" s="112">
        <f>+VLOOKUP(C15,'TH-17T4'!$E$7:$Z$144,22,0)</f>
        <v>132546</v>
      </c>
      <c r="M15" s="112">
        <f>+VLOOKUP(C15,'TH-17T4'!$E$7:$AC$144,25,0)</f>
        <v>0</v>
      </c>
      <c r="N15" s="165">
        <f t="shared" si="1"/>
        <v>132546</v>
      </c>
      <c r="O15" s="113">
        <f>+VLOOKUP(C15,'TH-17T4'!$E$7:$AQ$144,39,0)</f>
        <v>0</v>
      </c>
      <c r="P15" s="120">
        <f t="shared" si="2"/>
        <v>1619036</v>
      </c>
      <c r="Q15" s="120">
        <v>1619036</v>
      </c>
      <c r="R15" s="120">
        <f>+Q15-P15</f>
        <v>0</v>
      </c>
      <c r="S15" s="113"/>
      <c r="T15" s="166" t="s">
        <v>257</v>
      </c>
      <c r="U15" s="193">
        <v>14</v>
      </c>
    </row>
    <row r="16" spans="1:22" ht="15.75" x14ac:dyDescent="0.25">
      <c r="A16" s="166">
        <f t="shared" si="0"/>
        <v>9</v>
      </c>
      <c r="B16" s="73" t="s">
        <v>93</v>
      </c>
      <c r="C16" s="168">
        <v>301</v>
      </c>
      <c r="D16" s="162" t="s">
        <v>234</v>
      </c>
      <c r="E16" s="113">
        <f>+VLOOKUP(C16,'TH-17T4'!$E$7:$AV$144,44,0)</f>
        <v>0</v>
      </c>
      <c r="F16" s="112">
        <f>+VLOOKUP(C16,'TH-17T4'!$E$7:$V$144,18,0)</f>
        <v>0</v>
      </c>
      <c r="G16" s="113">
        <f>+VLOOKUP(C16,'TH-17T4'!$E$7:$AU$144,43,0)</f>
        <v>0</v>
      </c>
      <c r="H16" s="112">
        <f>+VLOOKUP(C16,'TH-17T4'!$E$7:$H$144,4,0)</f>
        <v>0</v>
      </c>
      <c r="I16" s="112">
        <f>+VLOOKUP(C16,'TH-17T4'!$E$7:$AF$144,28,0)</f>
        <v>0</v>
      </c>
      <c r="J16" s="112">
        <f>+VLOOKUP(C16,'TH-17T4'!$E$7:$AI$144,31,0)</f>
        <v>0</v>
      </c>
      <c r="K16" s="112">
        <f>+VLOOKUP(C16,'TH-17T4'!$E$7:$AL$144,34,0)</f>
        <v>0</v>
      </c>
      <c r="L16" s="112">
        <f>+VLOOKUP(C16,'TH-17T4'!$E$7:$Z$144,22,0)</f>
        <v>0</v>
      </c>
      <c r="M16" s="112">
        <f>+VLOOKUP(C16,'TH-17T4'!$E$7:$AC$144,25,0)</f>
        <v>0</v>
      </c>
      <c r="N16" s="165">
        <f t="shared" si="1"/>
        <v>0</v>
      </c>
      <c r="O16" s="113">
        <f>+VLOOKUP(C16,'TH-17T4'!$E$7:$AQ$144,39,0)</f>
        <v>0</v>
      </c>
      <c r="P16" s="120">
        <f t="shared" si="2"/>
        <v>0</v>
      </c>
      <c r="Q16" s="120"/>
      <c r="R16" s="120"/>
      <c r="S16" s="113"/>
      <c r="T16" s="166" t="s">
        <v>257</v>
      </c>
    </row>
    <row r="17" spans="1:21" ht="15.75" hidden="1" x14ac:dyDescent="0.25">
      <c r="A17" s="166">
        <f t="shared" si="0"/>
        <v>10</v>
      </c>
      <c r="B17" s="73" t="s">
        <v>94</v>
      </c>
      <c r="C17" s="168">
        <f t="shared" si="3"/>
        <v>302</v>
      </c>
      <c r="D17" s="162" t="s">
        <v>234</v>
      </c>
      <c r="E17" s="113">
        <f>+VLOOKUP(C17,'TH-17T4'!$E$7:$AV$144,44,0)</f>
        <v>0</v>
      </c>
      <c r="F17" s="112">
        <f>+VLOOKUP(C17,'TH-17T4'!$E$7:$V$144,18,0)</f>
        <v>86250</v>
      </c>
      <c r="G17" s="113">
        <f>+VLOOKUP(C17,'TH-17T4'!$E$7:$AU$144,43,0)</f>
        <v>0</v>
      </c>
      <c r="H17" s="112">
        <f>+VLOOKUP(C17,'TH-17T4'!$E$7:$H$144,4,0)</f>
        <v>0</v>
      </c>
      <c r="I17" s="112">
        <f>+VLOOKUP(C17,'TH-17T4'!$E$7:$AF$144,28,0)</f>
        <v>0</v>
      </c>
      <c r="J17" s="112">
        <f>+VLOOKUP(C17,'TH-17T4'!$E$7:$AI$144,31,0)</f>
        <v>0</v>
      </c>
      <c r="K17" s="112">
        <f>+VLOOKUP(C17,'TH-17T4'!$E$7:$AL$144,34,0)</f>
        <v>0</v>
      </c>
      <c r="L17" s="112">
        <f>+VLOOKUP(C17,'TH-17T4'!$E$7:$Z$144,22,0)</f>
        <v>44182</v>
      </c>
      <c r="M17" s="112">
        <f>+VLOOKUP(C17,'TH-17T4'!$E$7:$AC$144,25,0)</f>
        <v>0</v>
      </c>
      <c r="N17" s="165">
        <f t="shared" si="1"/>
        <v>44182</v>
      </c>
      <c r="O17" s="113">
        <f>+VLOOKUP(C17,'TH-17T4'!$E$7:$AQ$144,39,0)</f>
        <v>0</v>
      </c>
      <c r="P17" s="120">
        <f t="shared" si="2"/>
        <v>130432</v>
      </c>
      <c r="Q17" s="120">
        <v>86250</v>
      </c>
      <c r="R17" s="120">
        <f>+Q17-P17</f>
        <v>-44182</v>
      </c>
      <c r="S17" s="113"/>
      <c r="T17" s="166" t="s">
        <v>257</v>
      </c>
      <c r="U17" s="193" t="s">
        <v>274</v>
      </c>
    </row>
    <row r="18" spans="1:21" ht="15.75" x14ac:dyDescent="0.25">
      <c r="A18" s="166">
        <f t="shared" si="0"/>
        <v>11</v>
      </c>
      <c r="B18" s="73" t="s">
        <v>95</v>
      </c>
      <c r="C18" s="168">
        <f t="shared" si="3"/>
        <v>303</v>
      </c>
      <c r="D18" s="162" t="s">
        <v>234</v>
      </c>
      <c r="E18" s="113">
        <f>+VLOOKUP(C18,'TH-17T4'!$E$7:$AV$144,44,0)</f>
        <v>0</v>
      </c>
      <c r="F18" s="112">
        <f>+VLOOKUP(C18,'TH-17T4'!$E$7:$V$144,18,0)</f>
        <v>106490</v>
      </c>
      <c r="G18" s="113">
        <f>+VLOOKUP(C18,'TH-17T4'!$E$7:$AU$144,43,0)</f>
        <v>0</v>
      </c>
      <c r="H18" s="112">
        <f>+VLOOKUP(C18,'TH-17T4'!$E$7:$H$144,4,0)</f>
        <v>0</v>
      </c>
      <c r="I18" s="112">
        <f>+VLOOKUP(C18,'TH-17T4'!$E$7:$AF$144,28,0)</f>
        <v>932727</v>
      </c>
      <c r="J18" s="112">
        <f>+VLOOKUP(C18,'TH-17T4'!$E$7:$AI$144,31,0)</f>
        <v>0</v>
      </c>
      <c r="K18" s="112">
        <f>+VLOOKUP(C18,'TH-17T4'!$E$7:$AL$144,34,0)</f>
        <v>0</v>
      </c>
      <c r="L18" s="112">
        <f>+VLOOKUP(C18,'TH-17T4'!$E$7:$Z$144,22,0)</f>
        <v>88364</v>
      </c>
      <c r="M18" s="112">
        <f>+VLOOKUP(C18,'TH-17T4'!$E$7:$AC$144,25,0)</f>
        <v>0</v>
      </c>
      <c r="N18" s="165">
        <f t="shared" si="1"/>
        <v>1021091</v>
      </c>
      <c r="O18" s="113">
        <f>+VLOOKUP(C18,'TH-17T4'!$E$7:$AQ$144,39,0)</f>
        <v>0</v>
      </c>
      <c r="P18" s="120">
        <f t="shared" si="2"/>
        <v>1127581</v>
      </c>
      <c r="Q18" s="120"/>
      <c r="R18" s="120"/>
      <c r="S18" s="113"/>
      <c r="T18" s="166" t="s">
        <v>257</v>
      </c>
    </row>
    <row r="19" spans="1:21" ht="15.75" hidden="1" x14ac:dyDescent="0.25">
      <c r="A19" s="166">
        <f t="shared" si="0"/>
        <v>12</v>
      </c>
      <c r="B19" s="73" t="s">
        <v>96</v>
      </c>
      <c r="C19" s="168">
        <f t="shared" si="3"/>
        <v>304</v>
      </c>
      <c r="D19" s="162" t="s">
        <v>234</v>
      </c>
      <c r="E19" s="113">
        <f>+VLOOKUP(C19,'TH-17T4'!$E$7:$AV$144,44,0)</f>
        <v>0</v>
      </c>
      <c r="F19" s="112">
        <f>+VLOOKUP(C19,'TH-17T4'!$E$7:$V$144,18,0)</f>
        <v>146970</v>
      </c>
      <c r="G19" s="113">
        <f>+VLOOKUP(C19,'TH-17T4'!$E$7:$AU$144,43,0)</f>
        <v>0</v>
      </c>
      <c r="H19" s="112">
        <f>+VLOOKUP(C19,'TH-17T4'!$E$7:$H$144,4,0)</f>
        <v>0</v>
      </c>
      <c r="I19" s="112">
        <f>+VLOOKUP(C19,'TH-17T4'!$E$7:$AF$144,28,0)</f>
        <v>0</v>
      </c>
      <c r="J19" s="112">
        <f>+VLOOKUP(C19,'TH-17T4'!$E$7:$AI$144,31,0)</f>
        <v>0</v>
      </c>
      <c r="K19" s="112">
        <f>+VLOOKUP(C19,'TH-17T4'!$E$7:$AL$144,34,0)</f>
        <v>0</v>
      </c>
      <c r="L19" s="112">
        <f>+VLOOKUP(C19,'TH-17T4'!$E$7:$Z$144,22,0)</f>
        <v>132546</v>
      </c>
      <c r="M19" s="112">
        <f>+VLOOKUP(C19,'TH-17T4'!$E$7:$AC$144,25,0)</f>
        <v>0</v>
      </c>
      <c r="N19" s="165">
        <f t="shared" si="1"/>
        <v>132546</v>
      </c>
      <c r="O19" s="113">
        <f>+VLOOKUP(C19,'TH-17T4'!$E$7:$AQ$144,39,0)</f>
        <v>0</v>
      </c>
      <c r="P19" s="120">
        <f t="shared" si="2"/>
        <v>279516</v>
      </c>
      <c r="Q19" s="120">
        <v>279516</v>
      </c>
      <c r="R19" s="120">
        <f t="shared" ref="R19:R20" si="4">+Q19-P19</f>
        <v>0</v>
      </c>
      <c r="S19" s="113"/>
      <c r="T19" s="166" t="s">
        <v>257</v>
      </c>
      <c r="U19" s="193">
        <v>14</v>
      </c>
    </row>
    <row r="20" spans="1:21" ht="15.75" hidden="1" x14ac:dyDescent="0.25">
      <c r="A20" s="166">
        <f t="shared" si="0"/>
        <v>13</v>
      </c>
      <c r="B20" s="73" t="s">
        <v>97</v>
      </c>
      <c r="C20" s="168">
        <f t="shared" si="3"/>
        <v>305</v>
      </c>
      <c r="D20" s="162" t="s">
        <v>234</v>
      </c>
      <c r="E20" s="113">
        <f>+VLOOKUP(C20,'TH-17T4'!$E$7:$AV$144,44,0)</f>
        <v>110000</v>
      </c>
      <c r="F20" s="112">
        <f>+VLOOKUP(C20,'TH-17T4'!$E$7:$V$144,18,0)</f>
        <v>126730</v>
      </c>
      <c r="G20" s="113">
        <f>+VLOOKUP(C20,'TH-17T4'!$E$7:$AU$144,43,0)</f>
        <v>0</v>
      </c>
      <c r="H20" s="112">
        <f>+VLOOKUP(C20,'TH-17T4'!$E$7:$H$144,4,0)</f>
        <v>0</v>
      </c>
      <c r="I20" s="112">
        <f>+VLOOKUP(C20,'TH-17T4'!$E$7:$AF$144,28,0)</f>
        <v>0</v>
      </c>
      <c r="J20" s="112">
        <f>+VLOOKUP(C20,'TH-17T4'!$E$7:$AI$144,31,0)</f>
        <v>0</v>
      </c>
      <c r="K20" s="112">
        <f>+VLOOKUP(C20,'TH-17T4'!$E$7:$AL$144,34,0)</f>
        <v>0</v>
      </c>
      <c r="L20" s="112">
        <f>+VLOOKUP(C20,'TH-17T4'!$E$7:$Z$144,22,0)</f>
        <v>132546</v>
      </c>
      <c r="M20" s="112">
        <f>+VLOOKUP(C20,'TH-17T4'!$E$7:$AC$144,25,0)</f>
        <v>0</v>
      </c>
      <c r="N20" s="165">
        <f t="shared" si="1"/>
        <v>132546</v>
      </c>
      <c r="O20" s="113">
        <f>+VLOOKUP(C20,'TH-17T4'!$E$7:$AQ$144,39,0)</f>
        <v>0</v>
      </c>
      <c r="P20" s="120">
        <f t="shared" si="2"/>
        <v>369276</v>
      </c>
      <c r="Q20" s="120">
        <v>369276</v>
      </c>
      <c r="R20" s="120">
        <f t="shared" si="4"/>
        <v>0</v>
      </c>
      <c r="S20" s="113"/>
      <c r="T20" s="166" t="s">
        <v>257</v>
      </c>
      <c r="U20" s="193">
        <v>14</v>
      </c>
    </row>
    <row r="21" spans="1:21" ht="15.75" x14ac:dyDescent="0.25">
      <c r="A21" s="166">
        <f t="shared" si="0"/>
        <v>14</v>
      </c>
      <c r="B21" s="73" t="s">
        <v>98</v>
      </c>
      <c r="C21" s="168">
        <f t="shared" si="3"/>
        <v>306</v>
      </c>
      <c r="D21" s="162" t="s">
        <v>234</v>
      </c>
      <c r="E21" s="113">
        <f>+VLOOKUP(C21,'TH-17T4'!$E$7:$AV$144,44,0)</f>
        <v>0</v>
      </c>
      <c r="F21" s="112">
        <f>+VLOOKUP(C21,'TH-17T4'!$E$7:$V$144,18,0)</f>
        <v>228850</v>
      </c>
      <c r="G21" s="113">
        <f>+VLOOKUP(C21,'TH-17T4'!$E$7:$AU$144,43,0)</f>
        <v>0</v>
      </c>
      <c r="H21" s="112">
        <f>+VLOOKUP(C21,'TH-17T4'!$E$7:$H$144,4,0)</f>
        <v>0</v>
      </c>
      <c r="I21" s="112">
        <f>+VLOOKUP(C21,'TH-17T4'!$E$7:$AF$144,28,0)</f>
        <v>0</v>
      </c>
      <c r="J21" s="112">
        <f>+VLOOKUP(C21,'TH-17T4'!$E$7:$AI$144,31,0)</f>
        <v>0</v>
      </c>
      <c r="K21" s="112">
        <f>+VLOOKUP(C21,'TH-17T4'!$E$7:$AL$144,34,0)</f>
        <v>0</v>
      </c>
      <c r="L21" s="112">
        <f>+VLOOKUP(C21,'TH-17T4'!$E$7:$Z$144,22,0)</f>
        <v>88364</v>
      </c>
      <c r="M21" s="112">
        <f>+VLOOKUP(C21,'TH-17T4'!$E$7:$AC$144,25,0)</f>
        <v>0</v>
      </c>
      <c r="N21" s="165">
        <f t="shared" si="1"/>
        <v>88364</v>
      </c>
      <c r="O21" s="113">
        <f>+VLOOKUP(C21,'TH-17T4'!$E$7:$AQ$144,39,0)</f>
        <v>0</v>
      </c>
      <c r="P21" s="120">
        <f t="shared" si="2"/>
        <v>317214</v>
      </c>
      <c r="Q21" s="120"/>
      <c r="R21" s="120"/>
      <c r="S21" s="113"/>
      <c r="T21" s="166" t="s">
        <v>257</v>
      </c>
    </row>
    <row r="22" spans="1:21" ht="15.75" hidden="1" x14ac:dyDescent="0.25">
      <c r="A22" s="166">
        <f t="shared" si="0"/>
        <v>15</v>
      </c>
      <c r="B22" s="73" t="s">
        <v>99</v>
      </c>
      <c r="C22" s="168">
        <f t="shared" si="3"/>
        <v>307</v>
      </c>
      <c r="D22" s="162" t="s">
        <v>234</v>
      </c>
      <c r="E22" s="113">
        <f>+VLOOKUP(C22,'TH-17T4'!$E$7:$AV$144,44,0)</f>
        <v>0</v>
      </c>
      <c r="F22" s="112">
        <f>+VLOOKUP(C22,'TH-17T4'!$E$7:$V$144,18,0)</f>
        <v>136850</v>
      </c>
      <c r="G22" s="113">
        <f>+VLOOKUP(C22,'TH-17T4'!$E$7:$AU$144,43,0)</f>
        <v>0</v>
      </c>
      <c r="H22" s="112">
        <f>+VLOOKUP(C22,'TH-17T4'!$E$7:$H$144,4,0)</f>
        <v>0</v>
      </c>
      <c r="I22" s="112">
        <f>+VLOOKUP(C22,'TH-17T4'!$E$7:$AF$144,28,0)</f>
        <v>0</v>
      </c>
      <c r="J22" s="112">
        <f>+VLOOKUP(C22,'TH-17T4'!$E$7:$AI$144,31,0)</f>
        <v>0</v>
      </c>
      <c r="K22" s="112">
        <f>+VLOOKUP(C22,'TH-17T4'!$E$7:$AL$144,34,0)</f>
        <v>0</v>
      </c>
      <c r="L22" s="112">
        <f>+VLOOKUP(C22,'TH-17T4'!$E$7:$Z$144,22,0)</f>
        <v>132546</v>
      </c>
      <c r="M22" s="112">
        <f>+VLOOKUP(C22,'TH-17T4'!$E$7:$AC$144,25,0)</f>
        <v>0</v>
      </c>
      <c r="N22" s="165">
        <f t="shared" si="1"/>
        <v>132546</v>
      </c>
      <c r="O22" s="113">
        <f>+VLOOKUP(C22,'TH-17T4'!$E$7:$AQ$144,39,0)</f>
        <v>0</v>
      </c>
      <c r="P22" s="120">
        <f t="shared" si="2"/>
        <v>269396</v>
      </c>
      <c r="Q22" s="120">
        <v>269396</v>
      </c>
      <c r="R22" s="120">
        <f>+Q22-P22</f>
        <v>0</v>
      </c>
      <c r="S22" s="113"/>
      <c r="T22" s="166" t="s">
        <v>257</v>
      </c>
      <c r="U22" s="193">
        <v>13</v>
      </c>
    </row>
    <row r="23" spans="1:21" ht="15.75" x14ac:dyDescent="0.25">
      <c r="A23" s="166">
        <f t="shared" si="0"/>
        <v>16</v>
      </c>
      <c r="B23" s="73" t="s">
        <v>100</v>
      </c>
      <c r="C23" s="168">
        <f t="shared" si="3"/>
        <v>308</v>
      </c>
      <c r="D23" s="162" t="s">
        <v>234</v>
      </c>
      <c r="E23" s="113">
        <f>+VLOOKUP(C23,'TH-17T4'!$E$7:$AV$144,44,0)</f>
        <v>0</v>
      </c>
      <c r="F23" s="112">
        <f>+VLOOKUP(C23,'TH-17T4'!$E$7:$V$144,18,0)</f>
        <v>167210</v>
      </c>
      <c r="G23" s="113">
        <f>+VLOOKUP(C23,'TH-17T4'!$E$7:$AU$144,43,0)</f>
        <v>0</v>
      </c>
      <c r="H23" s="112">
        <f>+VLOOKUP(C23,'TH-17T4'!$E$7:$H$144,4,0)</f>
        <v>0</v>
      </c>
      <c r="I23" s="112">
        <f>+VLOOKUP(C23,'TH-17T4'!$E$7:$AF$144,28,0)</f>
        <v>0</v>
      </c>
      <c r="J23" s="112">
        <f>+VLOOKUP(C23,'TH-17T4'!$E$7:$AI$144,31,0)</f>
        <v>0</v>
      </c>
      <c r="K23" s="112">
        <f>+VLOOKUP(C23,'TH-17T4'!$E$7:$AL$144,34,0)</f>
        <v>0</v>
      </c>
      <c r="L23" s="112">
        <f>+VLOOKUP(C23,'TH-17T4'!$E$7:$Z$144,22,0)</f>
        <v>0</v>
      </c>
      <c r="M23" s="112">
        <f>+VLOOKUP(C23,'TH-17T4'!$E$7:$AC$144,25,0)</f>
        <v>0</v>
      </c>
      <c r="N23" s="165">
        <f t="shared" si="1"/>
        <v>0</v>
      </c>
      <c r="O23" s="113">
        <f>+VLOOKUP(C23,'TH-17T4'!$E$7:$AQ$144,39,0)</f>
        <v>0</v>
      </c>
      <c r="P23" s="120">
        <f t="shared" si="2"/>
        <v>167210</v>
      </c>
      <c r="Q23" s="120"/>
      <c r="R23" s="120"/>
      <c r="S23" s="113"/>
      <c r="T23" s="166" t="s">
        <v>257</v>
      </c>
      <c r="U23" s="193">
        <v>16</v>
      </c>
    </row>
    <row r="24" spans="1:21" ht="15.75" x14ac:dyDescent="0.25">
      <c r="A24" s="166">
        <f t="shared" si="0"/>
        <v>17</v>
      </c>
      <c r="B24" s="73" t="s">
        <v>101</v>
      </c>
      <c r="C24" s="168">
        <v>401</v>
      </c>
      <c r="D24" s="162" t="s">
        <v>234</v>
      </c>
      <c r="E24" s="113">
        <f>+VLOOKUP(C24,'TH-17T4'!$E$7:$AV$144,44,0)</f>
        <v>0</v>
      </c>
      <c r="F24" s="112">
        <f>+VLOOKUP(C24,'TH-17T4'!$E$7:$V$144,18,0)</f>
        <v>0</v>
      </c>
      <c r="G24" s="113">
        <f>+VLOOKUP(C24,'TH-17T4'!$E$7:$AU$144,43,0)</f>
        <v>1380000</v>
      </c>
      <c r="H24" s="112">
        <f>+VLOOKUP(C24,'TH-17T4'!$E$7:$H$144,4,0)</f>
        <v>840000</v>
      </c>
      <c r="I24" s="112">
        <f>+VLOOKUP(C24,'TH-17T4'!$E$7:$AF$144,28,0)</f>
        <v>0</v>
      </c>
      <c r="J24" s="112">
        <f>+VLOOKUP(C24,'TH-17T4'!$E$7:$AI$144,31,0)</f>
        <v>0</v>
      </c>
      <c r="K24" s="112">
        <f>+VLOOKUP(C24,'TH-17T4'!$E$7:$AL$144,34,0)</f>
        <v>0</v>
      </c>
      <c r="L24" s="112">
        <f>+VLOOKUP(C24,'TH-17T4'!$E$7:$Z$144,22,0)</f>
        <v>0</v>
      </c>
      <c r="M24" s="112">
        <f>+VLOOKUP(C24,'TH-17T4'!$E$7:$AC$144,25,0)</f>
        <v>0</v>
      </c>
      <c r="N24" s="165">
        <f t="shared" si="1"/>
        <v>0</v>
      </c>
      <c r="O24" s="113">
        <f>+VLOOKUP(C24,'TH-17T4'!$E$7:$AQ$144,39,0)</f>
        <v>0</v>
      </c>
      <c r="P24" s="120">
        <f t="shared" si="2"/>
        <v>2220000</v>
      </c>
      <c r="Q24" s="120"/>
      <c r="R24" s="120"/>
      <c r="S24" s="113"/>
      <c r="T24" s="166" t="s">
        <v>257</v>
      </c>
      <c r="U24" s="193">
        <v>16</v>
      </c>
    </row>
    <row r="25" spans="1:21" ht="15.75" hidden="1" x14ac:dyDescent="0.25">
      <c r="A25" s="166">
        <f t="shared" si="0"/>
        <v>18</v>
      </c>
      <c r="B25" s="73" t="s">
        <v>102</v>
      </c>
      <c r="C25" s="168">
        <f t="shared" si="3"/>
        <v>402</v>
      </c>
      <c r="D25" s="162" t="s">
        <v>234</v>
      </c>
      <c r="E25" s="113">
        <f>+VLOOKUP(C25,'TH-17T4'!$E$7:$AV$144,44,0)</f>
        <v>110000</v>
      </c>
      <c r="F25" s="112">
        <f>+VLOOKUP(C25,'TH-17T4'!$E$7:$V$144,18,0)</f>
        <v>256450</v>
      </c>
      <c r="G25" s="113">
        <f>+VLOOKUP(C25,'TH-17T4'!$E$7:$AU$144,43,0)</f>
        <v>0</v>
      </c>
      <c r="H25" s="112">
        <f>+VLOOKUP(C25,'TH-17T4'!$E$7:$H$144,4,0)</f>
        <v>0</v>
      </c>
      <c r="I25" s="112">
        <f>+VLOOKUP(C25,'TH-17T4'!$E$7:$AF$144,28,0)</f>
        <v>0</v>
      </c>
      <c r="J25" s="112">
        <f>+VLOOKUP(C25,'TH-17T4'!$E$7:$AI$144,31,0)</f>
        <v>0</v>
      </c>
      <c r="K25" s="112">
        <f>+VLOOKUP(C25,'TH-17T4'!$E$7:$AL$144,34,0)</f>
        <v>0</v>
      </c>
      <c r="L25" s="112">
        <f>+VLOOKUP(C25,'TH-17T4'!$E$7:$Z$144,22,0)</f>
        <v>44182</v>
      </c>
      <c r="M25" s="112">
        <f>+VLOOKUP(C25,'TH-17T4'!$E$7:$AC$144,25,0)</f>
        <v>0</v>
      </c>
      <c r="N25" s="165">
        <f t="shared" si="1"/>
        <v>44182</v>
      </c>
      <c r="O25" s="113">
        <f>+VLOOKUP(C25,'TH-17T4'!$E$7:$AQ$144,39,0)</f>
        <v>0</v>
      </c>
      <c r="P25" s="120">
        <f t="shared" si="2"/>
        <v>410632</v>
      </c>
      <c r="Q25" s="120">
        <v>410632</v>
      </c>
      <c r="R25" s="120">
        <f t="shared" ref="R25:R26" si="5">+Q25-P25</f>
        <v>0</v>
      </c>
      <c r="S25" s="113"/>
      <c r="T25" s="166" t="s">
        <v>257</v>
      </c>
      <c r="U25" s="193">
        <v>14</v>
      </c>
    </row>
    <row r="26" spans="1:21" ht="15.75" hidden="1" x14ac:dyDescent="0.25">
      <c r="A26" s="166">
        <f t="shared" si="0"/>
        <v>19</v>
      </c>
      <c r="B26" s="73" t="s">
        <v>103</v>
      </c>
      <c r="C26" s="168">
        <f t="shared" si="3"/>
        <v>403</v>
      </c>
      <c r="D26" s="162" t="s">
        <v>234</v>
      </c>
      <c r="E26" s="113">
        <f>+VLOOKUP(C26,'TH-17T4'!$E$7:$AV$144,44,0)</f>
        <v>0</v>
      </c>
      <c r="F26" s="112">
        <f>+VLOOKUP(C26,'TH-17T4'!$E$7:$V$144,18,0)</f>
        <v>60375</v>
      </c>
      <c r="G26" s="113">
        <f>+VLOOKUP(C26,'TH-17T4'!$E$7:$AU$144,43,0)</f>
        <v>0</v>
      </c>
      <c r="H26" s="112">
        <f>+VLOOKUP(C26,'TH-17T4'!$E$7:$H$144,4,0)</f>
        <v>0</v>
      </c>
      <c r="I26" s="112">
        <f>+VLOOKUP(C26,'TH-17T4'!$E$7:$AF$144,28,0)</f>
        <v>0</v>
      </c>
      <c r="J26" s="112">
        <f>+VLOOKUP(C26,'TH-17T4'!$E$7:$AI$144,31,0)</f>
        <v>0</v>
      </c>
      <c r="K26" s="112">
        <f>+VLOOKUP(C26,'TH-17T4'!$E$7:$AL$144,34,0)</f>
        <v>0</v>
      </c>
      <c r="L26" s="112">
        <f>+VLOOKUP(C26,'TH-17T4'!$E$7:$Z$144,22,0)</f>
        <v>0</v>
      </c>
      <c r="M26" s="112">
        <f>+VLOOKUP(C26,'TH-17T4'!$E$7:$AC$144,25,0)</f>
        <v>0</v>
      </c>
      <c r="N26" s="165">
        <f t="shared" si="1"/>
        <v>0</v>
      </c>
      <c r="O26" s="113">
        <f>+VLOOKUP(C26,'TH-17T4'!$E$7:$AQ$144,39,0)</f>
        <v>0</v>
      </c>
      <c r="P26" s="120">
        <f t="shared" si="2"/>
        <v>60375</v>
      </c>
      <c r="Q26" s="120">
        <v>60375</v>
      </c>
      <c r="R26" s="120">
        <f t="shared" si="5"/>
        <v>0</v>
      </c>
      <c r="S26" s="113"/>
      <c r="T26" s="166" t="s">
        <v>257</v>
      </c>
      <c r="U26" s="193">
        <v>14</v>
      </c>
    </row>
    <row r="27" spans="1:21" ht="15.75" x14ac:dyDescent="0.25">
      <c r="A27" s="166">
        <f t="shared" si="0"/>
        <v>20</v>
      </c>
      <c r="B27" s="73" t="s">
        <v>104</v>
      </c>
      <c r="C27" s="168">
        <f t="shared" si="3"/>
        <v>404</v>
      </c>
      <c r="D27" s="162" t="s">
        <v>234</v>
      </c>
      <c r="E27" s="113">
        <f>+VLOOKUP(C27,'TH-17T4'!$E$7:$AV$144,44,0)</f>
        <v>0</v>
      </c>
      <c r="F27" s="112">
        <f>+VLOOKUP(C27,'TH-17T4'!$E$7:$V$144,18,0)</f>
        <v>17250</v>
      </c>
      <c r="G27" s="113">
        <f>+VLOOKUP(C27,'TH-17T4'!$E$7:$AU$144,43,0)</f>
        <v>0</v>
      </c>
      <c r="H27" s="112">
        <f>+VLOOKUP(C27,'TH-17T4'!$E$7:$H$144,4,0)</f>
        <v>0</v>
      </c>
      <c r="I27" s="112">
        <f>+VLOOKUP(C27,'TH-17T4'!$E$7:$AF$144,28,0)</f>
        <v>0</v>
      </c>
      <c r="J27" s="112">
        <f>+VLOOKUP(C27,'TH-17T4'!$E$7:$AI$144,31,0)</f>
        <v>0</v>
      </c>
      <c r="K27" s="112">
        <f>+VLOOKUP(C27,'TH-17T4'!$E$7:$AL$144,34,0)</f>
        <v>0</v>
      </c>
      <c r="L27" s="112">
        <f>+VLOOKUP(C27,'TH-17T4'!$E$7:$Z$144,22,0)</f>
        <v>132546</v>
      </c>
      <c r="M27" s="112">
        <f>+VLOOKUP(C27,'TH-17T4'!$E$7:$AC$144,25,0)</f>
        <v>0</v>
      </c>
      <c r="N27" s="165">
        <f t="shared" si="1"/>
        <v>132546</v>
      </c>
      <c r="O27" s="113">
        <f>+VLOOKUP(C27,'TH-17T4'!$E$7:$AQ$144,39,0)</f>
        <v>0</v>
      </c>
      <c r="P27" s="120">
        <f t="shared" si="2"/>
        <v>149796</v>
      </c>
      <c r="Q27" s="120"/>
      <c r="R27" s="120"/>
      <c r="S27" s="113"/>
      <c r="T27" s="166" t="s">
        <v>257</v>
      </c>
      <c r="U27" s="193">
        <v>16</v>
      </c>
    </row>
    <row r="28" spans="1:21" ht="15.75" hidden="1" x14ac:dyDescent="0.25">
      <c r="A28" s="166">
        <f t="shared" si="0"/>
        <v>21</v>
      </c>
      <c r="B28" s="73" t="s">
        <v>105</v>
      </c>
      <c r="C28" s="168">
        <f t="shared" si="3"/>
        <v>405</v>
      </c>
      <c r="D28" s="162" t="s">
        <v>234</v>
      </c>
      <c r="E28" s="113">
        <f>+VLOOKUP(C28,'TH-17T4'!$E$7:$AV$144,44,0)</f>
        <v>0</v>
      </c>
      <c r="F28" s="112">
        <f>+VLOOKUP(C28,'TH-17T4'!$E$7:$V$144,18,0)</f>
        <v>60375</v>
      </c>
      <c r="G28" s="113">
        <f>+VLOOKUP(C28,'TH-17T4'!$E$7:$AU$144,43,0)</f>
        <v>0</v>
      </c>
      <c r="H28" s="112">
        <f>+VLOOKUP(C28,'TH-17T4'!$E$7:$H$144,4,0)</f>
        <v>0</v>
      </c>
      <c r="I28" s="112">
        <f>+VLOOKUP(C28,'TH-17T4'!$E$7:$AF$144,28,0)</f>
        <v>0</v>
      </c>
      <c r="J28" s="112">
        <f>+VLOOKUP(C28,'TH-17T4'!$E$7:$AI$144,31,0)</f>
        <v>0</v>
      </c>
      <c r="K28" s="112">
        <f>+VLOOKUP(C28,'TH-17T4'!$E$7:$AL$144,34,0)</f>
        <v>0</v>
      </c>
      <c r="L28" s="112">
        <f>+VLOOKUP(C28,'TH-17T4'!$E$7:$Z$144,22,0)</f>
        <v>88364</v>
      </c>
      <c r="M28" s="112">
        <f>+VLOOKUP(C28,'TH-17T4'!$E$7:$AC$144,25,0)</f>
        <v>0</v>
      </c>
      <c r="N28" s="165">
        <f t="shared" si="1"/>
        <v>88364</v>
      </c>
      <c r="O28" s="113">
        <f>+VLOOKUP(C28,'TH-17T4'!$E$7:$AQ$144,39,0)</f>
        <v>0</v>
      </c>
      <c r="P28" s="120">
        <f t="shared" si="2"/>
        <v>148739</v>
      </c>
      <c r="Q28" s="120">
        <v>148739</v>
      </c>
      <c r="R28" s="120">
        <f>+Q28-P28</f>
        <v>0</v>
      </c>
      <c r="S28" s="113"/>
      <c r="T28" s="187" t="s">
        <v>257</v>
      </c>
      <c r="U28" s="193">
        <v>12</v>
      </c>
    </row>
    <row r="29" spans="1:21" ht="15.75" hidden="1" x14ac:dyDescent="0.25">
      <c r="A29" s="166">
        <f t="shared" si="0"/>
        <v>22</v>
      </c>
      <c r="B29" s="73" t="s">
        <v>106</v>
      </c>
      <c r="C29" s="168">
        <f t="shared" si="3"/>
        <v>406</v>
      </c>
      <c r="D29" s="162" t="s">
        <v>234</v>
      </c>
      <c r="E29" s="113">
        <f>+VLOOKUP(C29,'TH-17T4'!$E$7:$AV$144,44,0)</f>
        <v>0</v>
      </c>
      <c r="F29" s="112">
        <f>+VLOOKUP(C29,'TH-17T4'!$E$7:$V$144,18,0)</f>
        <v>51750</v>
      </c>
      <c r="G29" s="113">
        <f>+VLOOKUP(C29,'TH-17T4'!$E$7:$AU$144,43,0)</f>
        <v>0</v>
      </c>
      <c r="H29" s="112">
        <f>+VLOOKUP(C29,'TH-17T4'!$E$7:$H$144,4,0)</f>
        <v>0</v>
      </c>
      <c r="I29" s="112">
        <f>+VLOOKUP(C29,'TH-17T4'!$E$7:$AF$144,28,0)</f>
        <v>0</v>
      </c>
      <c r="J29" s="112">
        <f>+VLOOKUP(C29,'TH-17T4'!$E$7:$AI$144,31,0)</f>
        <v>0</v>
      </c>
      <c r="K29" s="112">
        <f>+VLOOKUP(C29,'TH-17T4'!$E$7:$AL$144,34,0)</f>
        <v>0</v>
      </c>
      <c r="L29" s="112">
        <f>+VLOOKUP(C29,'TH-17T4'!$E$7:$Z$144,22,0)</f>
        <v>0</v>
      </c>
      <c r="M29" s="112">
        <f>+VLOOKUP(C29,'TH-17T4'!$E$7:$AC$144,25,0)</f>
        <v>0</v>
      </c>
      <c r="N29" s="165">
        <f t="shared" si="1"/>
        <v>0</v>
      </c>
      <c r="O29" s="113">
        <f>+VLOOKUP(C29,'TH-17T4'!$E$7:$AQ$144,39,0)</f>
        <v>0</v>
      </c>
      <c r="P29" s="120">
        <f t="shared" si="2"/>
        <v>51750</v>
      </c>
      <c r="Q29" s="120">
        <v>51750</v>
      </c>
      <c r="R29" s="120">
        <f>+Q29-P29</f>
        <v>0</v>
      </c>
      <c r="S29" s="113"/>
      <c r="T29" s="166" t="s">
        <v>257</v>
      </c>
      <c r="U29" s="193">
        <v>14</v>
      </c>
    </row>
    <row r="30" spans="1:21" ht="15.75" x14ac:dyDescent="0.25">
      <c r="A30" s="166">
        <f t="shared" si="0"/>
        <v>23</v>
      </c>
      <c r="B30" s="73" t="s">
        <v>107</v>
      </c>
      <c r="C30" s="168">
        <f t="shared" si="3"/>
        <v>407</v>
      </c>
      <c r="D30" s="162" t="s">
        <v>234</v>
      </c>
      <c r="E30" s="113">
        <f>+VLOOKUP(C30,'TH-17T4'!$E$7:$AV$144,44,0)</f>
        <v>0</v>
      </c>
      <c r="F30" s="112">
        <f>+VLOOKUP(C30,'TH-17T4'!$E$7:$V$144,18,0)</f>
        <v>116610</v>
      </c>
      <c r="G30" s="113">
        <f>+VLOOKUP(C30,'TH-17T4'!$E$7:$AU$144,43,0)</f>
        <v>0</v>
      </c>
      <c r="H30" s="112">
        <f>+VLOOKUP(C30,'TH-17T4'!$E$7:$H$144,4,0)</f>
        <v>420000</v>
      </c>
      <c r="I30" s="112">
        <f>+VLOOKUP(C30,'TH-17T4'!$E$7:$AF$144,28,0)</f>
        <v>0</v>
      </c>
      <c r="J30" s="112">
        <f>+VLOOKUP(C30,'TH-17T4'!$E$7:$AI$144,31,0)</f>
        <v>0</v>
      </c>
      <c r="K30" s="112">
        <f>+VLOOKUP(C30,'TH-17T4'!$E$7:$AL$144,34,0)</f>
        <v>0</v>
      </c>
      <c r="L30" s="112">
        <f>+VLOOKUP(C30,'TH-17T4'!$E$7:$Z$144,22,0)</f>
        <v>88364</v>
      </c>
      <c r="M30" s="112">
        <f>+VLOOKUP(C30,'TH-17T4'!$E$7:$AC$144,25,0)</f>
        <v>0</v>
      </c>
      <c r="N30" s="165">
        <f t="shared" si="1"/>
        <v>88364</v>
      </c>
      <c r="O30" s="113">
        <f>+VLOOKUP(C30,'TH-17T4'!$E$7:$AQ$144,39,0)</f>
        <v>0</v>
      </c>
      <c r="P30" s="120">
        <f t="shared" si="2"/>
        <v>624974</v>
      </c>
      <c r="Q30" s="120"/>
      <c r="R30" s="120"/>
      <c r="S30" s="113"/>
      <c r="T30" s="166" t="s">
        <v>257</v>
      </c>
      <c r="U30" s="193" t="s">
        <v>276</v>
      </c>
    </row>
    <row r="31" spans="1:21" ht="15.75" x14ac:dyDescent="0.25">
      <c r="A31" s="166">
        <f t="shared" si="0"/>
        <v>24</v>
      </c>
      <c r="B31" s="73" t="s">
        <v>108</v>
      </c>
      <c r="C31" s="168">
        <f t="shared" si="3"/>
        <v>408</v>
      </c>
      <c r="D31" s="162" t="s">
        <v>234</v>
      </c>
      <c r="E31" s="113">
        <f>+VLOOKUP(C31,'TH-17T4'!$E$7:$AV$144,44,0)</f>
        <v>0</v>
      </c>
      <c r="F31" s="112">
        <f>+VLOOKUP(C31,'TH-17T4'!$E$7:$V$144,18,0)</f>
        <v>186300</v>
      </c>
      <c r="G31" s="113">
        <f>+VLOOKUP(C31,'TH-17T4'!$E$7:$AU$144,43,0)</f>
        <v>0</v>
      </c>
      <c r="H31" s="112">
        <f>+VLOOKUP(C31,'TH-17T4'!$E$7:$H$144,4,0)</f>
        <v>3900000</v>
      </c>
      <c r="I31" s="112">
        <f>+VLOOKUP(C31,'TH-17T4'!$E$7:$AF$144,28,0)</f>
        <v>0</v>
      </c>
      <c r="J31" s="112">
        <f>+VLOOKUP(C31,'TH-17T4'!$E$7:$AI$144,31,0)</f>
        <v>0</v>
      </c>
      <c r="K31" s="112">
        <f>+VLOOKUP(C31,'TH-17T4'!$E$7:$AL$144,34,0)</f>
        <v>0</v>
      </c>
      <c r="L31" s="112">
        <f>+VLOOKUP(C31,'TH-17T4'!$E$7:$Z$144,22,0)</f>
        <v>0</v>
      </c>
      <c r="M31" s="112">
        <f>+VLOOKUP(C31,'TH-17T4'!$E$7:$AC$144,25,0)</f>
        <v>196364</v>
      </c>
      <c r="N31" s="165">
        <f t="shared" si="1"/>
        <v>196364</v>
      </c>
      <c r="O31" s="113">
        <f>+VLOOKUP(C31,'TH-17T4'!$E$7:$AQ$144,39,0)</f>
        <v>390000</v>
      </c>
      <c r="P31" s="120">
        <f t="shared" si="2"/>
        <v>4672664</v>
      </c>
      <c r="Q31" s="120"/>
      <c r="R31" s="120"/>
      <c r="S31" s="113" t="s">
        <v>272</v>
      </c>
      <c r="T31" s="166" t="s">
        <v>256</v>
      </c>
      <c r="U31" s="193">
        <v>16</v>
      </c>
    </row>
    <row r="32" spans="1:21" ht="15.75" x14ac:dyDescent="0.25">
      <c r="A32" s="166">
        <f t="shared" si="0"/>
        <v>25</v>
      </c>
      <c r="B32" s="73" t="s">
        <v>109</v>
      </c>
      <c r="C32" s="168">
        <v>501</v>
      </c>
      <c r="D32" s="162" t="s">
        <v>234</v>
      </c>
      <c r="E32" s="113">
        <f>+VLOOKUP(C32,'TH-17T4'!$E$7:$AV$144,44,0)</f>
        <v>0</v>
      </c>
      <c r="F32" s="112">
        <f>+VLOOKUP(C32,'TH-17T4'!$E$7:$V$144,18,0)</f>
        <v>136850</v>
      </c>
      <c r="G32" s="113">
        <f>+VLOOKUP(C32,'TH-17T4'!$E$7:$AU$144,43,0)</f>
        <v>0</v>
      </c>
      <c r="H32" s="112">
        <f>+VLOOKUP(C32,'TH-17T4'!$E$7:$H$144,4,0)</f>
        <v>0</v>
      </c>
      <c r="I32" s="112">
        <f>+VLOOKUP(C32,'TH-17T4'!$E$7:$AF$144,28,0)</f>
        <v>0</v>
      </c>
      <c r="J32" s="112">
        <f>+VLOOKUP(C32,'TH-17T4'!$E$7:$AI$144,31,0)</f>
        <v>0</v>
      </c>
      <c r="K32" s="112">
        <f>+VLOOKUP(C32,'TH-17T4'!$E$7:$AL$144,34,0)</f>
        <v>0</v>
      </c>
      <c r="L32" s="112">
        <f>+VLOOKUP(C32,'TH-17T4'!$E$7:$Z$144,22,0)</f>
        <v>0</v>
      </c>
      <c r="M32" s="112">
        <f>+VLOOKUP(C32,'TH-17T4'!$E$7:$AC$144,25,0)</f>
        <v>0</v>
      </c>
      <c r="N32" s="165">
        <f t="shared" si="1"/>
        <v>0</v>
      </c>
      <c r="O32" s="113">
        <f>+VLOOKUP(C32,'TH-17T4'!$E$7:$AQ$144,39,0)</f>
        <v>0</v>
      </c>
      <c r="P32" s="120">
        <f t="shared" si="2"/>
        <v>136850</v>
      </c>
      <c r="Q32" s="120"/>
      <c r="R32" s="120"/>
      <c r="S32" s="113">
        <v>0</v>
      </c>
      <c r="T32" s="166" t="s">
        <v>257</v>
      </c>
      <c r="U32" s="193">
        <v>16</v>
      </c>
    </row>
    <row r="33" spans="1:21" ht="15.75" x14ac:dyDescent="0.25">
      <c r="A33" s="166">
        <f t="shared" si="0"/>
        <v>26</v>
      </c>
      <c r="B33" s="73" t="s">
        <v>110</v>
      </c>
      <c r="C33" s="168">
        <f t="shared" si="3"/>
        <v>502</v>
      </c>
      <c r="D33" s="162" t="s">
        <v>234</v>
      </c>
      <c r="E33" s="113">
        <f>+VLOOKUP(C33,'TH-17T4'!$E$7:$AV$144,44,0)</f>
        <v>0</v>
      </c>
      <c r="F33" s="112">
        <f>+VLOOKUP(C33,'TH-17T4'!$E$7:$V$144,18,0)</f>
        <v>0</v>
      </c>
      <c r="G33" s="113">
        <f>+VLOOKUP(C33,'TH-17T4'!$E$7:$AU$144,43,0)</f>
        <v>0</v>
      </c>
      <c r="H33" s="112">
        <f>+VLOOKUP(C33,'TH-17T4'!$E$7:$H$144,4,0)</f>
        <v>0</v>
      </c>
      <c r="I33" s="112">
        <f>+VLOOKUP(C33,'TH-17T4'!$E$7:$AF$144,28,0)</f>
        <v>0</v>
      </c>
      <c r="J33" s="112">
        <f>+VLOOKUP(C33,'TH-17T4'!$E$7:$AI$144,31,0)</f>
        <v>0</v>
      </c>
      <c r="K33" s="112">
        <f>+VLOOKUP(C33,'TH-17T4'!$E$7:$AL$144,34,0)</f>
        <v>0</v>
      </c>
      <c r="L33" s="112">
        <f>+VLOOKUP(C33,'TH-17T4'!$E$7:$Z$144,22,0)</f>
        <v>0</v>
      </c>
      <c r="M33" s="112">
        <f>+VLOOKUP(C33,'TH-17T4'!$E$7:$AC$144,25,0)</f>
        <v>0</v>
      </c>
      <c r="N33" s="165">
        <f t="shared" si="1"/>
        <v>0</v>
      </c>
      <c r="O33" s="113">
        <f>+VLOOKUP(C33,'TH-17T4'!$E$7:$AQ$144,39,0)</f>
        <v>0</v>
      </c>
      <c r="P33" s="120">
        <f t="shared" si="2"/>
        <v>0</v>
      </c>
      <c r="Q33" s="120"/>
      <c r="R33" s="120"/>
      <c r="S33" s="113">
        <v>0</v>
      </c>
      <c r="T33" s="166" t="s">
        <v>257</v>
      </c>
    </row>
    <row r="34" spans="1:21" ht="15.75" hidden="1" x14ac:dyDescent="0.25">
      <c r="A34" s="166">
        <f t="shared" si="0"/>
        <v>27</v>
      </c>
      <c r="B34" s="73" t="s">
        <v>111</v>
      </c>
      <c r="C34" s="168">
        <f t="shared" si="3"/>
        <v>503</v>
      </c>
      <c r="D34" s="162" t="s">
        <v>234</v>
      </c>
      <c r="E34" s="113">
        <f>+VLOOKUP(C34,'TH-17T4'!$E$7:$AV$144,44,0)</f>
        <v>110000</v>
      </c>
      <c r="F34" s="112">
        <f>+VLOOKUP(C34,'TH-17T4'!$E$7:$V$144,18,0)</f>
        <v>106490</v>
      </c>
      <c r="G34" s="113">
        <f>+VLOOKUP(C34,'TH-17T4'!$E$7:$AU$144,43,0)</f>
        <v>0</v>
      </c>
      <c r="H34" s="112">
        <f>+VLOOKUP(C34,'TH-17T4'!$E$7:$H$144,4,0)</f>
        <v>0</v>
      </c>
      <c r="I34" s="112">
        <f>+VLOOKUP(C34,'TH-17T4'!$E$7:$AF$144,28,0)</f>
        <v>0</v>
      </c>
      <c r="J34" s="112">
        <f>+VLOOKUP(C34,'TH-17T4'!$E$7:$AI$144,31,0)</f>
        <v>0</v>
      </c>
      <c r="K34" s="112">
        <f>+VLOOKUP(C34,'TH-17T4'!$E$7:$AL$144,34,0)</f>
        <v>0</v>
      </c>
      <c r="L34" s="112">
        <f>+VLOOKUP(C34,'TH-17T4'!$E$7:$Z$144,22,0)</f>
        <v>44182</v>
      </c>
      <c r="M34" s="112">
        <f>+VLOOKUP(C34,'TH-17T4'!$E$7:$AC$144,25,0)</f>
        <v>0</v>
      </c>
      <c r="N34" s="165">
        <f t="shared" si="1"/>
        <v>44182</v>
      </c>
      <c r="O34" s="113">
        <f>+VLOOKUP(C34,'TH-17T4'!$E$7:$AQ$144,39,0)</f>
        <v>0</v>
      </c>
      <c r="P34" s="120">
        <f t="shared" si="2"/>
        <v>260672</v>
      </c>
      <c r="Q34" s="120">
        <v>260672</v>
      </c>
      <c r="R34" s="120">
        <f>+Q34-P34</f>
        <v>0</v>
      </c>
      <c r="S34" s="113">
        <v>0</v>
      </c>
      <c r="T34" s="166" t="s">
        <v>257</v>
      </c>
      <c r="U34" s="193">
        <v>14</v>
      </c>
    </row>
    <row r="35" spans="1:21" ht="15.75" x14ac:dyDescent="0.25">
      <c r="A35" s="166">
        <f t="shared" si="0"/>
        <v>28</v>
      </c>
      <c r="B35" s="73" t="s">
        <v>112</v>
      </c>
      <c r="C35" s="168">
        <f t="shared" si="3"/>
        <v>504</v>
      </c>
      <c r="D35" s="162" t="s">
        <v>234</v>
      </c>
      <c r="E35" s="113">
        <f>+VLOOKUP(C35,'TH-17T4'!$E$7:$AV$144,44,0)</f>
        <v>0</v>
      </c>
      <c r="F35" s="112">
        <f>+VLOOKUP(C35,'TH-17T4'!$E$7:$V$144,18,0)</f>
        <v>167210</v>
      </c>
      <c r="G35" s="113">
        <f>+VLOOKUP(C35,'TH-17T4'!$E$7:$AU$144,43,0)</f>
        <v>0</v>
      </c>
      <c r="H35" s="112">
        <f>+VLOOKUP(C35,'TH-17T4'!$E$7:$H$144,4,0)</f>
        <v>0</v>
      </c>
      <c r="I35" s="112">
        <f>+VLOOKUP(C35,'TH-17T4'!$E$7:$AF$144,28,0)</f>
        <v>0</v>
      </c>
      <c r="J35" s="112">
        <f>+VLOOKUP(C35,'TH-17T4'!$E$7:$AI$144,31,0)</f>
        <v>0</v>
      </c>
      <c r="K35" s="112">
        <f>+VLOOKUP(C35,'TH-17T4'!$E$7:$AL$144,34,0)</f>
        <v>0</v>
      </c>
      <c r="L35" s="112">
        <f>+VLOOKUP(C35,'TH-17T4'!$E$7:$Z$144,22,0)</f>
        <v>88364</v>
      </c>
      <c r="M35" s="112">
        <f>+VLOOKUP(C35,'TH-17T4'!$E$7:$AC$144,25,0)</f>
        <v>0</v>
      </c>
      <c r="N35" s="165">
        <f t="shared" si="1"/>
        <v>88364</v>
      </c>
      <c r="O35" s="113">
        <f>+VLOOKUP(C35,'TH-17T4'!$E$7:$AQ$144,39,0)</f>
        <v>0</v>
      </c>
      <c r="P35" s="120">
        <f t="shared" si="2"/>
        <v>255574</v>
      </c>
      <c r="Q35" s="120"/>
      <c r="R35" s="120"/>
      <c r="S35" s="113">
        <v>0</v>
      </c>
      <c r="T35" s="166" t="s">
        <v>257</v>
      </c>
    </row>
    <row r="36" spans="1:21" ht="15.75" x14ac:dyDescent="0.25">
      <c r="A36" s="166">
        <f t="shared" si="0"/>
        <v>29</v>
      </c>
      <c r="B36" s="73" t="s">
        <v>113</v>
      </c>
      <c r="C36" s="168">
        <f t="shared" si="3"/>
        <v>505</v>
      </c>
      <c r="D36" s="162" t="s">
        <v>234</v>
      </c>
      <c r="E36" s="113">
        <f>+VLOOKUP(C36,'TH-17T4'!$E$7:$AV$144,44,0)</f>
        <v>0</v>
      </c>
      <c r="F36" s="112">
        <f>+VLOOKUP(C36,'TH-17T4'!$E$7:$V$144,18,0)</f>
        <v>96370</v>
      </c>
      <c r="G36" s="113">
        <f>+VLOOKUP(C36,'TH-17T4'!$E$7:$AU$144,43,0)</f>
        <v>0</v>
      </c>
      <c r="H36" s="112">
        <f>+VLOOKUP(C36,'TH-17T4'!$E$7:$H$144,4,0)</f>
        <v>0</v>
      </c>
      <c r="I36" s="112">
        <f>+VLOOKUP(C36,'TH-17T4'!$E$7:$AF$144,28,0)</f>
        <v>0</v>
      </c>
      <c r="J36" s="112">
        <f>+VLOOKUP(C36,'TH-17T4'!$E$7:$AI$144,31,0)</f>
        <v>0</v>
      </c>
      <c r="K36" s="112">
        <f>+VLOOKUP(C36,'TH-17T4'!$E$7:$AL$144,34,0)</f>
        <v>0</v>
      </c>
      <c r="L36" s="112">
        <f>+VLOOKUP(C36,'TH-17T4'!$E$7:$Z$144,22,0)</f>
        <v>132546</v>
      </c>
      <c r="M36" s="112">
        <f>+VLOOKUP(C36,'TH-17T4'!$E$7:$AC$144,25,0)</f>
        <v>0</v>
      </c>
      <c r="N36" s="165">
        <f t="shared" si="1"/>
        <v>132546</v>
      </c>
      <c r="O36" s="113">
        <f>+VLOOKUP(C36,'TH-17T4'!$E$7:$AQ$144,39,0)</f>
        <v>0</v>
      </c>
      <c r="P36" s="120">
        <f t="shared" si="2"/>
        <v>228916</v>
      </c>
      <c r="Q36" s="120"/>
      <c r="R36" s="120"/>
      <c r="S36" s="113">
        <v>0</v>
      </c>
      <c r="T36" s="166" t="s">
        <v>257</v>
      </c>
      <c r="U36" s="193">
        <v>16</v>
      </c>
    </row>
    <row r="37" spans="1:21" ht="15.75" hidden="1" x14ac:dyDescent="0.25">
      <c r="A37" s="166">
        <f t="shared" si="0"/>
        <v>30</v>
      </c>
      <c r="B37" s="73" t="s">
        <v>114</v>
      </c>
      <c r="C37" s="168">
        <f t="shared" si="3"/>
        <v>506</v>
      </c>
      <c r="D37" s="162" t="s">
        <v>234</v>
      </c>
      <c r="E37" s="113">
        <f>+VLOOKUP(C37,'TH-17T4'!$E$7:$AV$144,44,0)</f>
        <v>110000</v>
      </c>
      <c r="F37" s="112">
        <f>+VLOOKUP(C37,'TH-17T4'!$E$7:$V$144,18,0)</f>
        <v>0</v>
      </c>
      <c r="G37" s="113">
        <f>+VLOOKUP(C37,'TH-17T4'!$E$7:$AU$144,43,0)</f>
        <v>0</v>
      </c>
      <c r="H37" s="112">
        <f>+VLOOKUP(C37,'TH-17T4'!$E$7:$H$144,4,0)</f>
        <v>0</v>
      </c>
      <c r="I37" s="112">
        <f>+VLOOKUP(C37,'TH-17T4'!$E$7:$AF$144,28,0)</f>
        <v>0</v>
      </c>
      <c r="J37" s="112">
        <f>+VLOOKUP(C37,'TH-17T4'!$E$7:$AI$144,31,0)</f>
        <v>0</v>
      </c>
      <c r="K37" s="112">
        <f>+VLOOKUP(C37,'TH-17T4'!$E$7:$AL$144,34,0)</f>
        <v>0</v>
      </c>
      <c r="L37" s="112">
        <f>+VLOOKUP(C37,'TH-17T4'!$E$7:$Z$144,22,0)</f>
        <v>88364</v>
      </c>
      <c r="M37" s="112">
        <f>+VLOOKUP(C37,'TH-17T4'!$E$7:$AC$144,25,0)</f>
        <v>0</v>
      </c>
      <c r="N37" s="165">
        <f t="shared" si="1"/>
        <v>88364</v>
      </c>
      <c r="O37" s="113">
        <f>+VLOOKUP(C37,'TH-17T4'!$E$7:$AQ$144,39,0)</f>
        <v>0</v>
      </c>
      <c r="P37" s="120">
        <f t="shared" si="2"/>
        <v>198364</v>
      </c>
      <c r="Q37" s="120">
        <v>198364</v>
      </c>
      <c r="R37" s="120">
        <f>+Q37-P37</f>
        <v>0</v>
      </c>
      <c r="S37" s="113">
        <v>0</v>
      </c>
      <c r="T37" s="166" t="s">
        <v>257</v>
      </c>
      <c r="U37" s="193">
        <v>14</v>
      </c>
    </row>
    <row r="38" spans="1:21" ht="15.75" x14ac:dyDescent="0.25">
      <c r="A38" s="166">
        <f t="shared" si="0"/>
        <v>31</v>
      </c>
      <c r="B38" s="73" t="s">
        <v>115</v>
      </c>
      <c r="C38" s="168">
        <f t="shared" si="3"/>
        <v>507</v>
      </c>
      <c r="D38" s="162" t="s">
        <v>234</v>
      </c>
      <c r="E38" s="113">
        <f>+VLOOKUP(C38,'TH-17T4'!$E$7:$AV$144,44,0)</f>
        <v>0</v>
      </c>
      <c r="F38" s="112">
        <f>+VLOOKUP(C38,'TH-17T4'!$E$7:$V$144,18,0)</f>
        <v>354660</v>
      </c>
      <c r="G38" s="113">
        <f>+VLOOKUP(C38,'TH-17T4'!$E$7:$AU$144,43,0)</f>
        <v>0</v>
      </c>
      <c r="H38" s="112">
        <f>+VLOOKUP(C38,'TH-17T4'!$E$7:$H$144,4,0)</f>
        <v>0</v>
      </c>
      <c r="I38" s="112">
        <f>+VLOOKUP(C38,'TH-17T4'!$E$7:$AF$144,28,0)</f>
        <v>0</v>
      </c>
      <c r="J38" s="112">
        <f>+VLOOKUP(C38,'TH-17T4'!$E$7:$AI$144,31,0)</f>
        <v>0</v>
      </c>
      <c r="K38" s="112">
        <f>+VLOOKUP(C38,'TH-17T4'!$E$7:$AL$144,34,0)</f>
        <v>0</v>
      </c>
      <c r="L38" s="112">
        <f>+VLOOKUP(C38,'TH-17T4'!$E$7:$Z$144,22,0)</f>
        <v>44182</v>
      </c>
      <c r="M38" s="112">
        <f>+VLOOKUP(C38,'TH-17T4'!$E$7:$AC$144,25,0)</f>
        <v>0</v>
      </c>
      <c r="N38" s="165">
        <f t="shared" si="1"/>
        <v>44182</v>
      </c>
      <c r="O38" s="113">
        <f>+VLOOKUP(C38,'TH-17T4'!$E$7:$AQ$144,39,0)</f>
        <v>0</v>
      </c>
      <c r="P38" s="120">
        <f t="shared" si="2"/>
        <v>398842</v>
      </c>
      <c r="Q38" s="120"/>
      <c r="R38" s="120"/>
      <c r="S38" s="113">
        <v>0</v>
      </c>
      <c r="T38" s="166" t="s">
        <v>257</v>
      </c>
      <c r="U38" s="193">
        <v>16</v>
      </c>
    </row>
    <row r="39" spans="1:21" ht="15.75" x14ac:dyDescent="0.25">
      <c r="A39" s="166">
        <f t="shared" si="0"/>
        <v>32</v>
      </c>
      <c r="B39" s="73" t="s">
        <v>116</v>
      </c>
      <c r="C39" s="168">
        <f t="shared" si="3"/>
        <v>508</v>
      </c>
      <c r="D39" s="162" t="s">
        <v>234</v>
      </c>
      <c r="E39" s="113">
        <f>+VLOOKUP(C39,'TH-17T4'!$E$7:$AV$144,44,0)</f>
        <v>0</v>
      </c>
      <c r="F39" s="112">
        <f>+VLOOKUP(C39,'TH-17T4'!$E$7:$V$144,18,0)</f>
        <v>126730</v>
      </c>
      <c r="G39" s="113">
        <f>+VLOOKUP(C39,'TH-17T4'!$E$7:$AU$144,43,0)</f>
        <v>2760000</v>
      </c>
      <c r="H39" s="112">
        <f>+VLOOKUP(C39,'TH-17T4'!$E$7:$H$144,4,0)</f>
        <v>0</v>
      </c>
      <c r="I39" s="112">
        <f>+VLOOKUP(C39,'TH-17T4'!$E$7:$AF$144,28,0)</f>
        <v>0</v>
      </c>
      <c r="J39" s="112">
        <f>+VLOOKUP(C39,'TH-17T4'!$E$7:$AI$144,31,0)</f>
        <v>0</v>
      </c>
      <c r="K39" s="112">
        <f>+VLOOKUP(C39,'TH-17T4'!$E$7:$AL$144,34,0)</f>
        <v>0</v>
      </c>
      <c r="L39" s="112">
        <f>+VLOOKUP(C39,'TH-17T4'!$E$7:$Z$144,22,0)</f>
        <v>132546</v>
      </c>
      <c r="M39" s="112">
        <f>+VLOOKUP(C39,'TH-17T4'!$E$7:$AC$144,25,0)</f>
        <v>0</v>
      </c>
      <c r="N39" s="165">
        <f t="shared" si="1"/>
        <v>132546</v>
      </c>
      <c r="O39" s="113">
        <f>+VLOOKUP(C39,'TH-17T4'!$E$7:$AQ$144,39,0)</f>
        <v>0</v>
      </c>
      <c r="P39" s="120">
        <f t="shared" si="2"/>
        <v>3019276</v>
      </c>
      <c r="Q39" s="120"/>
      <c r="R39" s="120"/>
      <c r="S39" s="113">
        <v>0</v>
      </c>
      <c r="T39" s="166" t="s">
        <v>257</v>
      </c>
      <c r="U39" s="193">
        <v>16</v>
      </c>
    </row>
    <row r="40" spans="1:21" ht="15.75" hidden="1" x14ac:dyDescent="0.25">
      <c r="A40" s="166">
        <f t="shared" si="0"/>
        <v>33</v>
      </c>
      <c r="B40" s="73" t="s">
        <v>117</v>
      </c>
      <c r="C40" s="168">
        <v>601</v>
      </c>
      <c r="D40" s="162" t="s">
        <v>234</v>
      </c>
      <c r="E40" s="113">
        <f>+VLOOKUP(C40,'TH-17T4'!$E$7:$AV$144,44,0)</f>
        <v>0</v>
      </c>
      <c r="F40" s="112">
        <f>+VLOOKUP(C40,'TH-17T4'!$E$7:$V$144,18,0)</f>
        <v>106490</v>
      </c>
      <c r="G40" s="113">
        <f>+VLOOKUP(C40,'TH-17T4'!$E$7:$AU$144,43,0)</f>
        <v>1380000</v>
      </c>
      <c r="H40" s="112">
        <f>+VLOOKUP(C40,'TH-17T4'!$E$7:$H$144,4,0)</f>
        <v>840000</v>
      </c>
      <c r="I40" s="112">
        <f>+VLOOKUP(C40,'TH-17T4'!$E$7:$AF$144,28,0)</f>
        <v>0</v>
      </c>
      <c r="J40" s="112">
        <f>+VLOOKUP(C40,'TH-17T4'!$E$7:$AI$144,31,0)</f>
        <v>0</v>
      </c>
      <c r="K40" s="112">
        <f>+VLOOKUP(C40,'TH-17T4'!$E$7:$AL$144,34,0)</f>
        <v>0</v>
      </c>
      <c r="L40" s="112">
        <f>+VLOOKUP(C40,'TH-17T4'!$E$7:$Z$144,22,0)</f>
        <v>0</v>
      </c>
      <c r="M40" s="112">
        <f>+VLOOKUP(C40,'TH-17T4'!$E$7:$AC$144,25,0)</f>
        <v>0</v>
      </c>
      <c r="N40" s="165">
        <f t="shared" si="1"/>
        <v>0</v>
      </c>
      <c r="O40" s="113">
        <f>+VLOOKUP(C40,'TH-17T4'!$E$7:$AQ$144,39,0)</f>
        <v>72000</v>
      </c>
      <c r="P40" s="120">
        <f t="shared" si="2"/>
        <v>2398490</v>
      </c>
      <c r="Q40" s="120">
        <v>2398490</v>
      </c>
      <c r="R40" s="120">
        <f>+Q40-P40</f>
        <v>0</v>
      </c>
      <c r="S40" s="113">
        <v>0</v>
      </c>
      <c r="T40" s="166" t="s">
        <v>257</v>
      </c>
      <c r="U40" s="193">
        <v>14</v>
      </c>
    </row>
    <row r="41" spans="1:21" ht="15.75" x14ac:dyDescent="0.25">
      <c r="A41" s="166">
        <f t="shared" si="0"/>
        <v>34</v>
      </c>
      <c r="B41" s="73" t="s">
        <v>118</v>
      </c>
      <c r="C41" s="168">
        <f t="shared" si="3"/>
        <v>602</v>
      </c>
      <c r="D41" s="162" t="s">
        <v>234</v>
      </c>
      <c r="E41" s="113">
        <f>+VLOOKUP(C41,'TH-17T4'!$E$7:$AV$144,44,0)</f>
        <v>0</v>
      </c>
      <c r="F41" s="112">
        <f>+VLOOKUP(C41,'TH-17T4'!$E$7:$V$144,18,0)</f>
        <v>34500</v>
      </c>
      <c r="G41" s="113">
        <f>+VLOOKUP(C41,'TH-17T4'!$E$7:$AU$144,43,0)</f>
        <v>0</v>
      </c>
      <c r="H41" s="112">
        <f>+VLOOKUP(C41,'TH-17T4'!$E$7:$H$144,4,0)</f>
        <v>0</v>
      </c>
      <c r="I41" s="112">
        <f>+VLOOKUP(C41,'TH-17T4'!$E$7:$AF$144,28,0)</f>
        <v>0</v>
      </c>
      <c r="J41" s="112">
        <f>+VLOOKUP(C41,'TH-17T4'!$E$7:$AI$144,31,0)</f>
        <v>0</v>
      </c>
      <c r="K41" s="112">
        <f>+VLOOKUP(C41,'TH-17T4'!$E$7:$AL$144,34,0)</f>
        <v>0</v>
      </c>
      <c r="L41" s="112">
        <f>+VLOOKUP(C41,'TH-17T4'!$E$7:$Z$144,22,0)</f>
        <v>176728</v>
      </c>
      <c r="M41" s="112">
        <f>+VLOOKUP(C41,'TH-17T4'!$E$7:$AC$144,25,0)</f>
        <v>0</v>
      </c>
      <c r="N41" s="165">
        <f t="shared" si="1"/>
        <v>176728</v>
      </c>
      <c r="O41" s="113">
        <f>+VLOOKUP(C41,'TH-17T4'!$E$7:$AQ$144,39,0)</f>
        <v>0</v>
      </c>
      <c r="P41" s="120">
        <f t="shared" si="2"/>
        <v>211228</v>
      </c>
      <c r="Q41" s="120"/>
      <c r="R41" s="120"/>
      <c r="S41" s="113">
        <v>0</v>
      </c>
      <c r="T41" s="166" t="s">
        <v>257</v>
      </c>
    </row>
    <row r="42" spans="1:21" ht="15.75" x14ac:dyDescent="0.25">
      <c r="A42" s="166">
        <f t="shared" si="0"/>
        <v>35</v>
      </c>
      <c r="B42" s="73" t="s">
        <v>119</v>
      </c>
      <c r="C42" s="168">
        <f t="shared" si="3"/>
        <v>603</v>
      </c>
      <c r="D42" s="162" t="s">
        <v>234</v>
      </c>
      <c r="E42" s="113">
        <f>+VLOOKUP(C42,'TH-17T4'!$E$7:$AV$144,44,0)</f>
        <v>0</v>
      </c>
      <c r="F42" s="112">
        <f>+VLOOKUP(C42,'TH-17T4'!$E$7:$V$144,18,0)</f>
        <v>51750</v>
      </c>
      <c r="G42" s="113">
        <f>+VLOOKUP(C42,'TH-17T4'!$E$7:$AU$144,43,0)</f>
        <v>0</v>
      </c>
      <c r="H42" s="112">
        <f>+VLOOKUP(C42,'TH-17T4'!$E$7:$H$144,4,0)</f>
        <v>0</v>
      </c>
      <c r="I42" s="112">
        <f>+VLOOKUP(C42,'TH-17T4'!$E$7:$AF$144,28,0)</f>
        <v>932727</v>
      </c>
      <c r="J42" s="112">
        <f>+VLOOKUP(C42,'TH-17T4'!$E$7:$AI$144,31,0)</f>
        <v>0</v>
      </c>
      <c r="K42" s="112">
        <f>+VLOOKUP(C42,'TH-17T4'!$E$7:$AL$144,34,0)</f>
        <v>0</v>
      </c>
      <c r="L42" s="112">
        <f>+VLOOKUP(C42,'TH-17T4'!$E$7:$Z$144,22,0)</f>
        <v>0</v>
      </c>
      <c r="M42" s="112">
        <f>+VLOOKUP(C42,'TH-17T4'!$E$7:$AC$144,25,0)</f>
        <v>0</v>
      </c>
      <c r="N42" s="165">
        <f t="shared" si="1"/>
        <v>932727</v>
      </c>
      <c r="O42" s="113">
        <f>+VLOOKUP(C42,'TH-17T4'!$E$7:$AQ$144,39,0)</f>
        <v>0</v>
      </c>
      <c r="P42" s="120">
        <f t="shared" si="2"/>
        <v>984477</v>
      </c>
      <c r="Q42" s="120"/>
      <c r="R42" s="120"/>
      <c r="S42" s="113">
        <v>0</v>
      </c>
      <c r="T42" s="166" t="s">
        <v>257</v>
      </c>
      <c r="U42" s="193">
        <v>16</v>
      </c>
    </row>
    <row r="43" spans="1:21" ht="15.75" x14ac:dyDescent="0.25">
      <c r="A43" s="166">
        <f t="shared" si="0"/>
        <v>36</v>
      </c>
      <c r="B43" s="73" t="s">
        <v>120</v>
      </c>
      <c r="C43" s="168">
        <f t="shared" si="3"/>
        <v>604</v>
      </c>
      <c r="D43" s="162" t="s">
        <v>234</v>
      </c>
      <c r="E43" s="113">
        <f>+VLOOKUP(C43,'TH-17T4'!$E$7:$AV$144,44,0)</f>
        <v>110000</v>
      </c>
      <c r="F43" s="112">
        <f>+VLOOKUP(C43,'TH-17T4'!$E$7:$V$144,18,0)</f>
        <v>146970</v>
      </c>
      <c r="G43" s="113">
        <f>+VLOOKUP(C43,'TH-17T4'!$E$7:$AU$144,43,0)</f>
        <v>0</v>
      </c>
      <c r="H43" s="112">
        <f>+VLOOKUP(C43,'TH-17T4'!$E$7:$H$144,4,0)</f>
        <v>0</v>
      </c>
      <c r="I43" s="112">
        <f>+VLOOKUP(C43,'TH-17T4'!$E$7:$AF$144,28,0)</f>
        <v>932727</v>
      </c>
      <c r="J43" s="112">
        <f>+VLOOKUP(C43,'TH-17T4'!$E$7:$AI$144,31,0)</f>
        <v>0</v>
      </c>
      <c r="K43" s="112">
        <f>+VLOOKUP(C43,'TH-17T4'!$E$7:$AL$144,34,0)</f>
        <v>0</v>
      </c>
      <c r="L43" s="112">
        <f>+VLOOKUP(C43,'TH-17T4'!$E$7:$Z$144,22,0)</f>
        <v>88364</v>
      </c>
      <c r="M43" s="112">
        <f>+VLOOKUP(C43,'TH-17T4'!$E$7:$AC$144,25,0)</f>
        <v>0</v>
      </c>
      <c r="N43" s="165">
        <f t="shared" si="1"/>
        <v>1021091</v>
      </c>
      <c r="O43" s="113">
        <f>+VLOOKUP(C43,'TH-17T4'!$E$7:$AQ$144,39,0)</f>
        <v>0</v>
      </c>
      <c r="P43" s="120">
        <f t="shared" si="2"/>
        <v>1278061</v>
      </c>
      <c r="Q43" s="120"/>
      <c r="R43" s="120"/>
      <c r="S43" s="113">
        <v>0</v>
      </c>
      <c r="T43" s="166" t="s">
        <v>257</v>
      </c>
    </row>
    <row r="44" spans="1:21" ht="15.75" x14ac:dyDescent="0.25">
      <c r="A44" s="166">
        <f t="shared" si="0"/>
        <v>37</v>
      </c>
      <c r="B44" s="73" t="s">
        <v>121</v>
      </c>
      <c r="C44" s="168">
        <f t="shared" si="3"/>
        <v>605</v>
      </c>
      <c r="D44" s="162" t="s">
        <v>234</v>
      </c>
      <c r="E44" s="113">
        <f>+VLOOKUP(C44,'TH-17T4'!$E$7:$AV$144,44,0)</f>
        <v>0</v>
      </c>
      <c r="F44" s="112">
        <f>+VLOOKUP(C44,'TH-17T4'!$E$7:$V$144,18,0)</f>
        <v>43125</v>
      </c>
      <c r="G44" s="113">
        <f>+VLOOKUP(C44,'TH-17T4'!$E$7:$AU$144,43,0)</f>
        <v>0</v>
      </c>
      <c r="H44" s="112">
        <f>+VLOOKUP(C44,'TH-17T4'!$E$7:$H$144,4,0)</f>
        <v>0</v>
      </c>
      <c r="I44" s="112">
        <f>+VLOOKUP(C44,'TH-17T4'!$E$7:$AF$144,28,0)</f>
        <v>0</v>
      </c>
      <c r="J44" s="112">
        <f>+VLOOKUP(C44,'TH-17T4'!$E$7:$AI$144,31,0)</f>
        <v>0</v>
      </c>
      <c r="K44" s="112">
        <f>+VLOOKUP(C44,'TH-17T4'!$E$7:$AL$144,34,0)</f>
        <v>0</v>
      </c>
      <c r="L44" s="112">
        <f>+VLOOKUP(C44,'TH-17T4'!$E$7:$Z$144,22,0)</f>
        <v>0</v>
      </c>
      <c r="M44" s="112">
        <f>+VLOOKUP(C44,'TH-17T4'!$E$7:$AC$144,25,0)</f>
        <v>0</v>
      </c>
      <c r="N44" s="165">
        <f t="shared" si="1"/>
        <v>0</v>
      </c>
      <c r="O44" s="113">
        <f>+VLOOKUP(C44,'TH-17T4'!$E$7:$AQ$144,39,0)</f>
        <v>0</v>
      </c>
      <c r="P44" s="120">
        <f t="shared" si="2"/>
        <v>43125</v>
      </c>
      <c r="Q44" s="120"/>
      <c r="R44" s="120"/>
      <c r="S44" s="113">
        <v>0</v>
      </c>
      <c r="T44" s="166" t="s">
        <v>257</v>
      </c>
    </row>
    <row r="45" spans="1:21" ht="15.75" x14ac:dyDescent="0.25">
      <c r="A45" s="166">
        <f t="shared" si="0"/>
        <v>38</v>
      </c>
      <c r="B45" s="73" t="s">
        <v>122</v>
      </c>
      <c r="C45" s="168">
        <f t="shared" si="3"/>
        <v>606</v>
      </c>
      <c r="D45" s="162" t="s">
        <v>234</v>
      </c>
      <c r="E45" s="113">
        <f>+VLOOKUP(C45,'TH-17T4'!$E$7:$AV$144,44,0)</f>
        <v>0</v>
      </c>
      <c r="F45" s="112">
        <f>+VLOOKUP(C45,'TH-17T4'!$E$7:$V$144,18,0)</f>
        <v>248400</v>
      </c>
      <c r="G45" s="113">
        <f>+VLOOKUP(C45,'TH-17T4'!$E$7:$AU$144,43,0)</f>
        <v>0</v>
      </c>
      <c r="H45" s="112">
        <f>+VLOOKUP(C45,'TH-17T4'!$E$7:$H$144,4,0)</f>
        <v>3900000</v>
      </c>
      <c r="I45" s="112">
        <f>+VLOOKUP(C45,'TH-17T4'!$E$7:$AF$144,28,0)</f>
        <v>0</v>
      </c>
      <c r="J45" s="112">
        <f>+VLOOKUP(C45,'TH-17T4'!$E$7:$AI$144,31,0)</f>
        <v>0</v>
      </c>
      <c r="K45" s="112">
        <f>+VLOOKUP(C45,'TH-17T4'!$E$7:$AL$144,34,0)</f>
        <v>0</v>
      </c>
      <c r="L45" s="112">
        <f>+VLOOKUP(C45,'TH-17T4'!$E$7:$Z$144,22,0)</f>
        <v>196364</v>
      </c>
      <c r="M45" s="112">
        <f>+VLOOKUP(C45,'TH-17T4'!$E$7:$AC$144,25,0)</f>
        <v>294546</v>
      </c>
      <c r="N45" s="165">
        <f t="shared" si="1"/>
        <v>490910</v>
      </c>
      <c r="O45" s="113">
        <f>+VLOOKUP(C45,'TH-17T4'!$E$7:$AQ$144,39,0)</f>
        <v>390000</v>
      </c>
      <c r="P45" s="120">
        <f t="shared" si="2"/>
        <v>5029310</v>
      </c>
      <c r="Q45" s="120"/>
      <c r="R45" s="120">
        <f t="shared" ref="R45:R46" si="6">+Q45-P45</f>
        <v>-5029310</v>
      </c>
      <c r="S45" s="113" t="s">
        <v>272</v>
      </c>
      <c r="T45" s="166" t="s">
        <v>256</v>
      </c>
    </row>
    <row r="46" spans="1:21" ht="15.75" hidden="1" x14ac:dyDescent="0.25">
      <c r="A46" s="166">
        <f t="shared" si="0"/>
        <v>39</v>
      </c>
      <c r="B46" s="73" t="s">
        <v>123</v>
      </c>
      <c r="C46" s="168">
        <f t="shared" si="3"/>
        <v>607</v>
      </c>
      <c r="D46" s="162" t="s">
        <v>234</v>
      </c>
      <c r="E46" s="113">
        <f>+VLOOKUP(C46,'TH-17T4'!$E$7:$AV$144,44,0)</f>
        <v>110000</v>
      </c>
      <c r="F46" s="112">
        <f>+VLOOKUP(C46,'TH-17T4'!$E$7:$V$144,18,0)</f>
        <v>126730</v>
      </c>
      <c r="G46" s="113">
        <f>+VLOOKUP(C46,'TH-17T4'!$E$7:$AU$144,43,0)</f>
        <v>1428000</v>
      </c>
      <c r="H46" s="112">
        <f>+VLOOKUP(C46,'TH-17T4'!$E$7:$H$144,4,0)</f>
        <v>0</v>
      </c>
      <c r="I46" s="112">
        <f>+VLOOKUP(C46,'TH-17T4'!$E$7:$AF$144,28,0)</f>
        <v>932727</v>
      </c>
      <c r="J46" s="112">
        <f>+VLOOKUP(C46,'TH-17T4'!$E$7:$AI$144,31,0)</f>
        <v>0</v>
      </c>
      <c r="K46" s="112">
        <f>+VLOOKUP(C46,'TH-17T4'!$E$7:$AL$144,34,0)</f>
        <v>0</v>
      </c>
      <c r="L46" s="112">
        <f>+VLOOKUP(C46,'TH-17T4'!$E$7:$Z$144,22,0)</f>
        <v>44182</v>
      </c>
      <c r="M46" s="112">
        <f>+VLOOKUP(C46,'TH-17T4'!$E$7:$AC$144,25,0)</f>
        <v>0</v>
      </c>
      <c r="N46" s="165">
        <f t="shared" si="1"/>
        <v>976909</v>
      </c>
      <c r="O46" s="113">
        <f>+VLOOKUP(C46,'TH-17T4'!$E$7:$AQ$144,39,0)</f>
        <v>0</v>
      </c>
      <c r="P46" s="120">
        <f t="shared" si="2"/>
        <v>2641639</v>
      </c>
      <c r="Q46" s="120">
        <v>2641639</v>
      </c>
      <c r="R46" s="120">
        <f t="shared" si="6"/>
        <v>0</v>
      </c>
      <c r="S46" s="113">
        <v>0</v>
      </c>
      <c r="T46" s="166" t="s">
        <v>257</v>
      </c>
      <c r="U46" s="193">
        <v>14</v>
      </c>
    </row>
    <row r="47" spans="1:21" ht="15.75" x14ac:dyDescent="0.25">
      <c r="A47" s="166">
        <f t="shared" si="0"/>
        <v>40</v>
      </c>
      <c r="B47" s="73" t="s">
        <v>124</v>
      </c>
      <c r="C47" s="168">
        <f t="shared" si="3"/>
        <v>608</v>
      </c>
      <c r="D47" s="162" t="s">
        <v>234</v>
      </c>
      <c r="E47" s="113">
        <f>+VLOOKUP(C47,'TH-17T4'!$E$7:$AV$144,44,0)</f>
        <v>0</v>
      </c>
      <c r="F47" s="112">
        <f>+VLOOKUP(C47,'TH-17T4'!$E$7:$V$144,18,0)</f>
        <v>589950</v>
      </c>
      <c r="G47" s="113">
        <f>+VLOOKUP(C47,'TH-17T4'!$E$7:$AU$144,43,0)</f>
        <v>0</v>
      </c>
      <c r="H47" s="112">
        <f>+VLOOKUP(C47,'TH-17T4'!$E$7:$H$144,4,0)</f>
        <v>1300000</v>
      </c>
      <c r="I47" s="112">
        <f>+VLOOKUP(C47,'TH-17T4'!$E$7:$AF$144,28,0)</f>
        <v>0</v>
      </c>
      <c r="J47" s="112">
        <f>+VLOOKUP(C47,'TH-17T4'!$E$7:$AI$144,31,0)</f>
        <v>0</v>
      </c>
      <c r="K47" s="112">
        <f>+VLOOKUP(C47,'TH-17T4'!$E$7:$AL$144,34,0)</f>
        <v>0</v>
      </c>
      <c r="L47" s="112">
        <f>+VLOOKUP(C47,'TH-17T4'!$E$7:$Z$144,22,0)</f>
        <v>0</v>
      </c>
      <c r="M47" s="112">
        <f>+VLOOKUP(C47,'TH-17T4'!$E$7:$AC$144,25,0)</f>
        <v>294546</v>
      </c>
      <c r="N47" s="165">
        <f t="shared" si="1"/>
        <v>294546</v>
      </c>
      <c r="O47" s="113">
        <f>+VLOOKUP(C47,'TH-17T4'!$E$7:$AQ$144,39,0)</f>
        <v>130000</v>
      </c>
      <c r="P47" s="120">
        <f t="shared" si="2"/>
        <v>2314496</v>
      </c>
      <c r="Q47" s="120"/>
      <c r="R47" s="120"/>
      <c r="S47" s="113"/>
      <c r="T47" s="166" t="s">
        <v>256</v>
      </c>
    </row>
    <row r="48" spans="1:21" ht="15.75" x14ac:dyDescent="0.25">
      <c r="A48" s="166">
        <f t="shared" si="0"/>
        <v>41</v>
      </c>
      <c r="B48" s="73" t="s">
        <v>125</v>
      </c>
      <c r="C48" s="168">
        <v>701</v>
      </c>
      <c r="D48" s="162" t="s">
        <v>234</v>
      </c>
      <c r="E48" s="113">
        <f>+VLOOKUP(C48,'TH-17T4'!$E$7:$AV$144,44,0)</f>
        <v>0</v>
      </c>
      <c r="F48" s="112">
        <f>+VLOOKUP(C48,'TH-17T4'!$E$7:$V$144,18,0)</f>
        <v>116610</v>
      </c>
      <c r="G48" s="113">
        <f>+VLOOKUP(C48,'TH-17T4'!$E$7:$AU$144,43,0)</f>
        <v>0</v>
      </c>
      <c r="H48" s="112">
        <f>+VLOOKUP(C48,'TH-17T4'!$E$7:$H$144,4,0)</f>
        <v>0</v>
      </c>
      <c r="I48" s="112">
        <f>+VLOOKUP(C48,'TH-17T4'!$E$7:$AF$144,28,0)</f>
        <v>0</v>
      </c>
      <c r="J48" s="112">
        <f>+VLOOKUP(C48,'TH-17T4'!$E$7:$AI$144,31,0)</f>
        <v>0</v>
      </c>
      <c r="K48" s="112">
        <f>+VLOOKUP(C48,'TH-17T4'!$E$7:$AL$144,34,0)</f>
        <v>0</v>
      </c>
      <c r="L48" s="112">
        <f>+VLOOKUP(C48,'TH-17T4'!$E$7:$Z$144,22,0)</f>
        <v>44182</v>
      </c>
      <c r="M48" s="112">
        <f>+VLOOKUP(C48,'TH-17T4'!$E$7:$AC$144,25,0)</f>
        <v>0</v>
      </c>
      <c r="N48" s="165">
        <f t="shared" si="1"/>
        <v>44182</v>
      </c>
      <c r="O48" s="113">
        <f>+VLOOKUP(C48,'TH-17T4'!$E$7:$AQ$144,39,0)</f>
        <v>0</v>
      </c>
      <c r="P48" s="120">
        <f t="shared" si="2"/>
        <v>160792</v>
      </c>
      <c r="Q48" s="120"/>
      <c r="R48" s="120"/>
      <c r="S48" s="113">
        <v>0</v>
      </c>
      <c r="T48" s="166" t="s">
        <v>257</v>
      </c>
    </row>
    <row r="49" spans="1:21" ht="15.75" x14ac:dyDescent="0.25">
      <c r="A49" s="166">
        <f t="shared" si="0"/>
        <v>42</v>
      </c>
      <c r="B49" s="73" t="s">
        <v>126</v>
      </c>
      <c r="C49" s="168">
        <f t="shared" si="3"/>
        <v>702</v>
      </c>
      <c r="D49" s="162" t="s">
        <v>234</v>
      </c>
      <c r="E49" s="113">
        <f>+VLOOKUP(C49,'TH-17T4'!$E$7:$AV$144,44,0)</f>
        <v>110000</v>
      </c>
      <c r="F49" s="112">
        <f>+VLOOKUP(C49,'TH-17T4'!$E$7:$V$144,18,0)</f>
        <v>106490</v>
      </c>
      <c r="G49" s="113">
        <f>+VLOOKUP(C49,'TH-17T4'!$E$7:$AU$144,43,0)</f>
        <v>0</v>
      </c>
      <c r="H49" s="112">
        <f>+VLOOKUP(C49,'TH-17T4'!$E$7:$H$144,4,0)</f>
        <v>0</v>
      </c>
      <c r="I49" s="112">
        <f>+VLOOKUP(C49,'TH-17T4'!$E$7:$AF$144,28,0)</f>
        <v>0</v>
      </c>
      <c r="J49" s="112">
        <f>+VLOOKUP(C49,'TH-17T4'!$E$7:$AI$144,31,0)</f>
        <v>0</v>
      </c>
      <c r="K49" s="112">
        <f>+VLOOKUP(C49,'TH-17T4'!$E$7:$AL$144,34,0)</f>
        <v>0</v>
      </c>
      <c r="L49" s="112">
        <f>+VLOOKUP(C49,'TH-17T4'!$E$7:$Z$144,22,0)</f>
        <v>176728</v>
      </c>
      <c r="M49" s="112">
        <f>+VLOOKUP(C49,'TH-17T4'!$E$7:$AC$144,25,0)</f>
        <v>0</v>
      </c>
      <c r="N49" s="165">
        <f t="shared" si="1"/>
        <v>176728</v>
      </c>
      <c r="O49" s="113">
        <f>+VLOOKUP(C49,'TH-17T4'!$E$7:$AQ$144,39,0)</f>
        <v>0</v>
      </c>
      <c r="P49" s="120">
        <f t="shared" si="2"/>
        <v>393218</v>
      </c>
      <c r="Q49" s="120"/>
      <c r="R49" s="120"/>
      <c r="S49" s="113">
        <v>0</v>
      </c>
      <c r="T49" s="166" t="s">
        <v>257</v>
      </c>
    </row>
    <row r="50" spans="1:21" ht="15.75" x14ac:dyDescent="0.25">
      <c r="A50" s="166">
        <f t="shared" si="0"/>
        <v>43</v>
      </c>
      <c r="B50" s="73" t="s">
        <v>127</v>
      </c>
      <c r="C50" s="168">
        <f t="shared" si="3"/>
        <v>703</v>
      </c>
      <c r="D50" s="162" t="s">
        <v>234</v>
      </c>
      <c r="E50" s="113">
        <f>+VLOOKUP(C50,'TH-17T4'!$E$7:$AV$144,44,0)</f>
        <v>0</v>
      </c>
      <c r="F50" s="112">
        <f>+VLOOKUP(C50,'TH-17T4'!$E$7:$V$144,18,0)</f>
        <v>116610</v>
      </c>
      <c r="G50" s="113">
        <f>+VLOOKUP(C50,'TH-17T4'!$E$7:$AU$144,43,0)</f>
        <v>0</v>
      </c>
      <c r="H50" s="112">
        <f>+VLOOKUP(C50,'TH-17T4'!$E$7:$H$144,4,0)</f>
        <v>0</v>
      </c>
      <c r="I50" s="112">
        <f>+VLOOKUP(C50,'TH-17T4'!$E$7:$AF$144,28,0)</f>
        <v>932727</v>
      </c>
      <c r="J50" s="112">
        <f>+VLOOKUP(C50,'TH-17T4'!$E$7:$AI$144,31,0)</f>
        <v>0</v>
      </c>
      <c r="K50" s="112">
        <f>+VLOOKUP(C50,'TH-17T4'!$E$7:$AL$144,34,0)</f>
        <v>9818</v>
      </c>
      <c r="L50" s="112">
        <f>+VLOOKUP(C50,'TH-17T4'!$E$7:$Z$144,22,0)</f>
        <v>88364</v>
      </c>
      <c r="M50" s="112">
        <f>+VLOOKUP(C50,'TH-17T4'!$E$7:$AC$144,25,0)</f>
        <v>0</v>
      </c>
      <c r="N50" s="165">
        <f t="shared" si="1"/>
        <v>1030909</v>
      </c>
      <c r="O50" s="113">
        <f>+VLOOKUP(C50,'TH-17T4'!$E$7:$AQ$144,39,0)</f>
        <v>0</v>
      </c>
      <c r="P50" s="120">
        <f t="shared" si="2"/>
        <v>1147519</v>
      </c>
      <c r="Q50" s="120"/>
      <c r="R50" s="120"/>
      <c r="S50" s="113">
        <v>0</v>
      </c>
      <c r="T50" s="166" t="s">
        <v>257</v>
      </c>
    </row>
    <row r="51" spans="1:21" hidden="1" x14ac:dyDescent="0.3">
      <c r="A51" s="166">
        <f t="shared" si="0"/>
        <v>44</v>
      </c>
      <c r="B51" s="12" t="s">
        <v>128</v>
      </c>
      <c r="C51" s="168">
        <f t="shared" si="3"/>
        <v>704</v>
      </c>
      <c r="D51" s="162" t="s">
        <v>234</v>
      </c>
      <c r="E51" s="113">
        <f>+VLOOKUP(C51,'TH-17T4'!$E$7:$AV$144,44,0)</f>
        <v>0</v>
      </c>
      <c r="F51" s="112">
        <f>+VLOOKUP(C51,'TH-17T4'!$E$7:$V$144,18,0)</f>
        <v>136850</v>
      </c>
      <c r="G51" s="113">
        <f>+VLOOKUP(C51,'TH-17T4'!$E$7:$AU$144,43,0)</f>
        <v>2760000</v>
      </c>
      <c r="H51" s="112">
        <f>+VLOOKUP(C51,'TH-17T4'!$E$7:$H$144,4,0)</f>
        <v>0</v>
      </c>
      <c r="I51" s="112">
        <f>+VLOOKUP(C51,'TH-17T4'!$E$7:$AF$144,28,0)</f>
        <v>0</v>
      </c>
      <c r="J51" s="112">
        <f>+VLOOKUP(C51,'TH-17T4'!$E$7:$AI$144,31,0)</f>
        <v>0</v>
      </c>
      <c r="K51" s="112">
        <f>+VLOOKUP(C51,'TH-17T4'!$E$7:$AL$144,34,0)</f>
        <v>0</v>
      </c>
      <c r="L51" s="112">
        <f>+VLOOKUP(C51,'TH-17T4'!$E$7:$Z$144,22,0)</f>
        <v>88364</v>
      </c>
      <c r="M51" s="112">
        <f>+VLOOKUP(C51,'TH-17T4'!$E$7:$AC$144,25,0)</f>
        <v>0</v>
      </c>
      <c r="N51" s="165">
        <f t="shared" si="1"/>
        <v>88364</v>
      </c>
      <c r="O51" s="113">
        <f>+VLOOKUP(C51,'TH-17T4'!$E$7:$AQ$144,39,0)</f>
        <v>0</v>
      </c>
      <c r="P51" s="120">
        <f t="shared" si="2"/>
        <v>2985214</v>
      </c>
      <c r="Q51" s="120">
        <v>225214</v>
      </c>
      <c r="R51" s="120">
        <f>+Q51-P51</f>
        <v>-2760000</v>
      </c>
      <c r="S51" s="113">
        <v>0</v>
      </c>
      <c r="T51" s="187" t="s">
        <v>257</v>
      </c>
      <c r="U51" s="193">
        <v>12</v>
      </c>
    </row>
    <row r="52" spans="1:21" ht="15.75" x14ac:dyDescent="0.25">
      <c r="A52" s="166">
        <f t="shared" si="0"/>
        <v>45</v>
      </c>
      <c r="B52" s="73" t="s">
        <v>129</v>
      </c>
      <c r="C52" s="168">
        <f t="shared" si="3"/>
        <v>705</v>
      </c>
      <c r="D52" s="162" t="s">
        <v>234</v>
      </c>
      <c r="E52" s="113">
        <f>+VLOOKUP(C52,'TH-17T4'!$E$7:$AV$144,44,0)</f>
        <v>0</v>
      </c>
      <c r="F52" s="112">
        <f>+VLOOKUP(C52,'TH-17T4'!$E$7:$V$144,18,0)</f>
        <v>86250</v>
      </c>
      <c r="G52" s="113">
        <f>+VLOOKUP(C52,'TH-17T4'!$E$7:$AU$144,43,0)</f>
        <v>0</v>
      </c>
      <c r="H52" s="112">
        <f>+VLOOKUP(C52,'TH-17T4'!$E$7:$H$144,4,0)</f>
        <v>0</v>
      </c>
      <c r="I52" s="112">
        <f>+VLOOKUP(C52,'TH-17T4'!$E$7:$AF$144,28,0)</f>
        <v>0</v>
      </c>
      <c r="J52" s="112">
        <f>+VLOOKUP(C52,'TH-17T4'!$E$7:$AI$144,31,0)</f>
        <v>0</v>
      </c>
      <c r="K52" s="112">
        <f>+VLOOKUP(C52,'TH-17T4'!$E$7:$AL$144,34,0)</f>
        <v>0</v>
      </c>
      <c r="L52" s="112">
        <f>+VLOOKUP(C52,'TH-17T4'!$E$7:$Z$144,22,0)</f>
        <v>132546</v>
      </c>
      <c r="M52" s="112">
        <f>+VLOOKUP(C52,'TH-17T4'!$E$7:$AC$144,25,0)</f>
        <v>0</v>
      </c>
      <c r="N52" s="165">
        <f t="shared" si="1"/>
        <v>132546</v>
      </c>
      <c r="O52" s="113">
        <f>+VLOOKUP(C52,'TH-17T4'!$E$7:$AQ$144,39,0)</f>
        <v>0</v>
      </c>
      <c r="P52" s="120">
        <f t="shared" si="2"/>
        <v>218796</v>
      </c>
      <c r="Q52" s="120"/>
      <c r="R52" s="120"/>
      <c r="S52" s="113">
        <v>0</v>
      </c>
      <c r="T52" s="166" t="s">
        <v>257</v>
      </c>
    </row>
    <row r="53" spans="1:21" ht="15.75" x14ac:dyDescent="0.25">
      <c r="A53" s="166">
        <f t="shared" si="0"/>
        <v>46</v>
      </c>
      <c r="B53" s="73" t="s">
        <v>130</v>
      </c>
      <c r="C53" s="168">
        <f t="shared" si="3"/>
        <v>706</v>
      </c>
      <c r="D53" s="162" t="s">
        <v>234</v>
      </c>
      <c r="E53" s="113">
        <f>+VLOOKUP(C53,'TH-17T4'!$E$7:$AV$144,44,0)</f>
        <v>0</v>
      </c>
      <c r="F53" s="112">
        <f>+VLOOKUP(C53,'TH-17T4'!$E$7:$V$144,18,0)</f>
        <v>34500</v>
      </c>
      <c r="G53" s="113">
        <f>+VLOOKUP(C53,'TH-17T4'!$E$7:$AU$144,43,0)</f>
        <v>0</v>
      </c>
      <c r="H53" s="112">
        <f>+VLOOKUP(C53,'TH-17T4'!$E$7:$H$144,4,0)</f>
        <v>420000</v>
      </c>
      <c r="I53" s="112">
        <f>+VLOOKUP(C53,'TH-17T4'!$E$7:$AF$144,28,0)</f>
        <v>0</v>
      </c>
      <c r="J53" s="112">
        <f>+VLOOKUP(C53,'TH-17T4'!$E$7:$AI$144,31,0)</f>
        <v>0</v>
      </c>
      <c r="K53" s="112">
        <f>+VLOOKUP(C53,'TH-17T4'!$E$7:$AL$144,34,0)</f>
        <v>0</v>
      </c>
      <c r="L53" s="112">
        <f>+VLOOKUP(C53,'TH-17T4'!$E$7:$Z$144,22,0)</f>
        <v>88364</v>
      </c>
      <c r="M53" s="112">
        <f>+VLOOKUP(C53,'TH-17T4'!$E$7:$AC$144,25,0)</f>
        <v>0</v>
      </c>
      <c r="N53" s="165">
        <f t="shared" si="1"/>
        <v>88364</v>
      </c>
      <c r="O53" s="113">
        <f>+VLOOKUP(C53,'TH-17T4'!$E$7:$AQ$144,39,0)</f>
        <v>0</v>
      </c>
      <c r="P53" s="120">
        <f t="shared" si="2"/>
        <v>542864</v>
      </c>
      <c r="Q53" s="120"/>
      <c r="R53" s="120"/>
      <c r="S53" s="113">
        <v>0</v>
      </c>
      <c r="T53" s="166" t="s">
        <v>257</v>
      </c>
    </row>
    <row r="54" spans="1:21" ht="15.75" x14ac:dyDescent="0.25">
      <c r="A54" s="166">
        <f t="shared" si="0"/>
        <v>47</v>
      </c>
      <c r="B54" s="73" t="s">
        <v>131</v>
      </c>
      <c r="C54" s="168">
        <f t="shared" si="3"/>
        <v>707</v>
      </c>
      <c r="D54" s="162" t="s">
        <v>234</v>
      </c>
      <c r="E54" s="113">
        <f>+VLOOKUP(C54,'TH-17T4'!$E$7:$AV$144,44,0)</f>
        <v>0</v>
      </c>
      <c r="F54" s="112">
        <f>+VLOOKUP(C54,'TH-17T4'!$E$7:$V$144,18,0)</f>
        <v>187450</v>
      </c>
      <c r="G54" s="113">
        <f>+VLOOKUP(C54,'TH-17T4'!$E$7:$AU$144,43,0)</f>
        <v>0</v>
      </c>
      <c r="H54" s="112">
        <f>+VLOOKUP(C54,'TH-17T4'!$E$7:$H$144,4,0)</f>
        <v>0</v>
      </c>
      <c r="I54" s="112">
        <f>+VLOOKUP(C54,'TH-17T4'!$E$7:$AF$144,28,0)</f>
        <v>0</v>
      </c>
      <c r="J54" s="112">
        <f>+VLOOKUP(C54,'TH-17T4'!$E$7:$AI$144,31,0)</f>
        <v>0</v>
      </c>
      <c r="K54" s="112">
        <f>+VLOOKUP(C54,'TH-17T4'!$E$7:$AL$144,34,0)</f>
        <v>0</v>
      </c>
      <c r="L54" s="112">
        <f>+VLOOKUP(C54,'TH-17T4'!$E$7:$Z$144,22,0)</f>
        <v>88364</v>
      </c>
      <c r="M54" s="112">
        <f>+VLOOKUP(C54,'TH-17T4'!$E$7:$AC$144,25,0)</f>
        <v>0</v>
      </c>
      <c r="N54" s="165">
        <f t="shared" si="1"/>
        <v>88364</v>
      </c>
      <c r="O54" s="113">
        <f>+VLOOKUP(C54,'TH-17T4'!$E$7:$AQ$144,39,0)</f>
        <v>0</v>
      </c>
      <c r="P54" s="120">
        <f t="shared" si="2"/>
        <v>275814</v>
      </c>
      <c r="Q54" s="120"/>
      <c r="R54" s="120"/>
      <c r="S54" s="113">
        <v>0</v>
      </c>
      <c r="T54" s="166" t="s">
        <v>257</v>
      </c>
    </row>
    <row r="55" spans="1:21" ht="15.75" x14ac:dyDescent="0.25">
      <c r="A55" s="166">
        <f t="shared" si="0"/>
        <v>48</v>
      </c>
      <c r="B55" s="73" t="s">
        <v>132</v>
      </c>
      <c r="C55" s="168">
        <f t="shared" si="3"/>
        <v>708</v>
      </c>
      <c r="D55" s="162" t="s">
        <v>234</v>
      </c>
      <c r="E55" s="113">
        <f>+VLOOKUP(C55,'TH-17T4'!$E$7:$AV$144,44,0)</f>
        <v>0</v>
      </c>
      <c r="F55" s="112">
        <f>+VLOOKUP(C55,'TH-17T4'!$E$7:$V$144,18,0)</f>
        <v>242650</v>
      </c>
      <c r="G55" s="113">
        <f>+VLOOKUP(C55,'TH-17T4'!$E$7:$AU$144,43,0)</f>
        <v>0</v>
      </c>
      <c r="H55" s="112">
        <f>+VLOOKUP(C55,'TH-17T4'!$E$7:$H$144,4,0)</f>
        <v>0</v>
      </c>
      <c r="I55" s="112">
        <f>+VLOOKUP(C55,'TH-17T4'!$E$7:$AF$144,28,0)</f>
        <v>0</v>
      </c>
      <c r="J55" s="112">
        <f>+VLOOKUP(C55,'TH-17T4'!$E$7:$AI$144,31,0)</f>
        <v>0</v>
      </c>
      <c r="K55" s="112">
        <f>+VLOOKUP(C55,'TH-17T4'!$E$7:$AL$144,34,0)</f>
        <v>0</v>
      </c>
      <c r="L55" s="112">
        <f>+VLOOKUP(C55,'TH-17T4'!$E$7:$Z$144,22,0)</f>
        <v>88364</v>
      </c>
      <c r="M55" s="112">
        <f>+VLOOKUP(C55,'TH-17T4'!$E$7:$AC$144,25,0)</f>
        <v>0</v>
      </c>
      <c r="N55" s="165">
        <f t="shared" si="1"/>
        <v>88364</v>
      </c>
      <c r="O55" s="113">
        <f>+VLOOKUP(C55,'TH-17T4'!$E$7:$AQ$144,39,0)</f>
        <v>0</v>
      </c>
      <c r="P55" s="120">
        <f t="shared" si="2"/>
        <v>331014</v>
      </c>
      <c r="Q55" s="120"/>
      <c r="R55" s="120"/>
      <c r="S55" s="113">
        <v>0</v>
      </c>
      <c r="T55" s="166" t="s">
        <v>257</v>
      </c>
    </row>
    <row r="56" spans="1:21" ht="15.75" x14ac:dyDescent="0.25">
      <c r="A56" s="166">
        <f t="shared" si="0"/>
        <v>49</v>
      </c>
      <c r="B56" s="73" t="s">
        <v>133</v>
      </c>
      <c r="C56" s="168">
        <v>801</v>
      </c>
      <c r="D56" s="162" t="s">
        <v>234</v>
      </c>
      <c r="E56" s="113">
        <f>+VLOOKUP(C56,'TH-17T4'!$E$7:$AV$144,44,0)</f>
        <v>0</v>
      </c>
      <c r="F56" s="112">
        <f>+VLOOKUP(C56,'TH-17T4'!$E$7:$V$144,18,0)</f>
        <v>157090</v>
      </c>
      <c r="G56" s="113">
        <f>+VLOOKUP(C56,'TH-17T4'!$E$7:$AU$144,43,0)</f>
        <v>0</v>
      </c>
      <c r="H56" s="112">
        <f>+VLOOKUP(C56,'TH-17T4'!$E$7:$H$144,4,0)</f>
        <v>0</v>
      </c>
      <c r="I56" s="112">
        <f>+VLOOKUP(C56,'TH-17T4'!$E$7:$AF$144,28,0)</f>
        <v>0</v>
      </c>
      <c r="J56" s="112">
        <f>+VLOOKUP(C56,'TH-17T4'!$E$7:$AI$144,31,0)</f>
        <v>0</v>
      </c>
      <c r="K56" s="112">
        <f>+VLOOKUP(C56,'TH-17T4'!$E$7:$AL$144,34,0)</f>
        <v>0</v>
      </c>
      <c r="L56" s="112">
        <f>+VLOOKUP(C56,'TH-17T4'!$E$7:$Z$144,22,0)</f>
        <v>132546</v>
      </c>
      <c r="M56" s="112">
        <f>+VLOOKUP(C56,'TH-17T4'!$E$7:$AC$144,25,0)</f>
        <v>0</v>
      </c>
      <c r="N56" s="165">
        <f t="shared" si="1"/>
        <v>132546</v>
      </c>
      <c r="O56" s="113">
        <f>+VLOOKUP(C56,'TH-17T4'!$E$7:$AQ$144,39,0)</f>
        <v>0</v>
      </c>
      <c r="P56" s="120">
        <f t="shared" si="2"/>
        <v>289636</v>
      </c>
      <c r="Q56" s="120"/>
      <c r="R56" s="120"/>
      <c r="S56" s="113">
        <v>0</v>
      </c>
      <c r="T56" s="166" t="s">
        <v>257</v>
      </c>
    </row>
    <row r="57" spans="1:21" ht="15.75" hidden="1" x14ac:dyDescent="0.25">
      <c r="A57" s="166">
        <f t="shared" si="0"/>
        <v>50</v>
      </c>
      <c r="B57" s="73" t="s">
        <v>96</v>
      </c>
      <c r="C57" s="168">
        <f t="shared" si="3"/>
        <v>802</v>
      </c>
      <c r="D57" s="162" t="s">
        <v>234</v>
      </c>
      <c r="E57" s="113">
        <f>+VLOOKUP(C57,'TH-17T4'!$E$7:$AV$144,44,0)</f>
        <v>0</v>
      </c>
      <c r="F57" s="112">
        <f>+VLOOKUP(C57,'TH-17T4'!$E$7:$V$144,18,0)</f>
        <v>353050</v>
      </c>
      <c r="G57" s="113">
        <f>+VLOOKUP(C57,'TH-17T4'!$E$7:$AU$144,43,0)</f>
        <v>1428000</v>
      </c>
      <c r="H57" s="112">
        <f>+VLOOKUP(C57,'TH-17T4'!$E$7:$H$144,4,0)</f>
        <v>0</v>
      </c>
      <c r="I57" s="112">
        <f>+VLOOKUP(C57,'TH-17T4'!$E$7:$AF$144,28,0)</f>
        <v>0</v>
      </c>
      <c r="J57" s="112">
        <f>+VLOOKUP(C57,'TH-17T4'!$E$7:$AI$144,31,0)</f>
        <v>0</v>
      </c>
      <c r="K57" s="112">
        <f>+VLOOKUP(C57,'TH-17T4'!$E$7:$AL$144,34,0)</f>
        <v>0</v>
      </c>
      <c r="L57" s="112">
        <f>+VLOOKUP(C57,'TH-17T4'!$E$7:$Z$144,22,0)</f>
        <v>132546</v>
      </c>
      <c r="M57" s="112">
        <f>+VLOOKUP(C57,'TH-17T4'!$E$7:$AC$144,25,0)</f>
        <v>0</v>
      </c>
      <c r="N57" s="165">
        <f t="shared" si="1"/>
        <v>132546</v>
      </c>
      <c r="O57" s="113">
        <f>+VLOOKUP(C57,'TH-17T4'!$E$7:$AQ$144,39,0)</f>
        <v>0</v>
      </c>
      <c r="P57" s="120">
        <f t="shared" si="2"/>
        <v>1913596</v>
      </c>
      <c r="Q57" s="120">
        <v>1913596</v>
      </c>
      <c r="R57" s="120">
        <f>+Q57-P57</f>
        <v>0</v>
      </c>
      <c r="S57" s="113">
        <v>0</v>
      </c>
      <c r="T57" s="166" t="s">
        <v>257</v>
      </c>
      <c r="U57" s="193">
        <v>14</v>
      </c>
    </row>
    <row r="58" spans="1:21" ht="15.75" x14ac:dyDescent="0.25">
      <c r="A58" s="166">
        <f t="shared" si="0"/>
        <v>51</v>
      </c>
      <c r="B58" s="73" t="s">
        <v>134</v>
      </c>
      <c r="C58" s="168">
        <f t="shared" si="3"/>
        <v>803</v>
      </c>
      <c r="D58" s="162" t="s">
        <v>234</v>
      </c>
      <c r="E58" s="113">
        <f>+VLOOKUP(C58,'TH-17T4'!$E$7:$AV$144,44,0)</f>
        <v>0</v>
      </c>
      <c r="F58" s="112">
        <f>+VLOOKUP(C58,'TH-17T4'!$E$7:$V$144,18,0)</f>
        <v>157090</v>
      </c>
      <c r="G58" s="113">
        <f>+VLOOKUP(C58,'TH-17T4'!$E$7:$AU$144,43,0)</f>
        <v>1830000</v>
      </c>
      <c r="H58" s="112">
        <f>+VLOOKUP(C58,'TH-17T4'!$E$7:$H$144,4,0)</f>
        <v>840000</v>
      </c>
      <c r="I58" s="112">
        <f>+VLOOKUP(C58,'TH-17T4'!$E$7:$AF$144,28,0)</f>
        <v>932727</v>
      </c>
      <c r="J58" s="112">
        <f>+VLOOKUP(C58,'TH-17T4'!$E$7:$AI$144,31,0)</f>
        <v>0</v>
      </c>
      <c r="K58" s="112">
        <f>+VLOOKUP(C58,'TH-17T4'!$E$7:$AL$144,34,0)</f>
        <v>0</v>
      </c>
      <c r="L58" s="112">
        <f>+VLOOKUP(C58,'TH-17T4'!$E$7:$Z$144,22,0)</f>
        <v>88364</v>
      </c>
      <c r="M58" s="112">
        <f>+VLOOKUP(C58,'TH-17T4'!$E$7:$AC$144,25,0)</f>
        <v>0</v>
      </c>
      <c r="N58" s="165">
        <f t="shared" si="1"/>
        <v>1021091</v>
      </c>
      <c r="O58" s="113">
        <f>+VLOOKUP(C58,'TH-17T4'!$E$7:$AQ$144,39,0)</f>
        <v>0</v>
      </c>
      <c r="P58" s="120">
        <f t="shared" si="2"/>
        <v>3848181</v>
      </c>
      <c r="Q58" s="120"/>
      <c r="R58" s="120"/>
      <c r="S58" s="113">
        <v>0</v>
      </c>
      <c r="T58" s="166" t="s">
        <v>257</v>
      </c>
    </row>
    <row r="59" spans="1:21" ht="15.75" hidden="1" x14ac:dyDescent="0.25">
      <c r="A59" s="166">
        <f t="shared" si="0"/>
        <v>52</v>
      </c>
      <c r="B59" s="73" t="s">
        <v>135</v>
      </c>
      <c r="C59" s="168">
        <f t="shared" si="3"/>
        <v>804</v>
      </c>
      <c r="D59" s="162" t="s">
        <v>234</v>
      </c>
      <c r="E59" s="113">
        <f>+VLOOKUP(C59,'TH-17T4'!$E$7:$AV$144,44,0)</f>
        <v>0</v>
      </c>
      <c r="F59" s="112">
        <f>+VLOOKUP(C59,'TH-17T4'!$E$7:$V$144,18,0)</f>
        <v>270250</v>
      </c>
      <c r="G59" s="113">
        <f>+VLOOKUP(C59,'TH-17T4'!$E$7:$AU$144,43,0)</f>
        <v>1812000</v>
      </c>
      <c r="H59" s="112">
        <f>+VLOOKUP(C59,'TH-17T4'!$E$7:$H$144,4,0)</f>
        <v>840000</v>
      </c>
      <c r="I59" s="112">
        <f>+VLOOKUP(C59,'TH-17T4'!$E$7:$AF$144,28,0)</f>
        <v>0</v>
      </c>
      <c r="J59" s="112">
        <f>+VLOOKUP(C59,'TH-17T4'!$E$7:$AI$144,31,0)</f>
        <v>0</v>
      </c>
      <c r="K59" s="112">
        <f>+VLOOKUP(C59,'TH-17T4'!$E$7:$AL$144,34,0)</f>
        <v>0</v>
      </c>
      <c r="L59" s="112">
        <f>+VLOOKUP(C59,'TH-17T4'!$E$7:$Z$144,22,0)</f>
        <v>176728</v>
      </c>
      <c r="M59" s="112">
        <f>+VLOOKUP(C59,'TH-17T4'!$E$7:$AC$144,25,0)</f>
        <v>0</v>
      </c>
      <c r="N59" s="165">
        <f t="shared" si="1"/>
        <v>176728</v>
      </c>
      <c r="O59" s="113">
        <f>+VLOOKUP(C59,'TH-17T4'!$E$7:$AQ$144,39,0)</f>
        <v>0</v>
      </c>
      <c r="P59" s="120">
        <f t="shared" si="2"/>
        <v>3098978</v>
      </c>
      <c r="Q59" s="120">
        <v>3098978</v>
      </c>
      <c r="R59" s="120">
        <f>+Q59-P59</f>
        <v>0</v>
      </c>
      <c r="S59" s="113">
        <v>0</v>
      </c>
      <c r="T59" s="166" t="s">
        <v>257</v>
      </c>
      <c r="U59" s="193">
        <v>14</v>
      </c>
    </row>
    <row r="60" spans="1:21" ht="15.75" x14ac:dyDescent="0.25">
      <c r="A60" s="166">
        <f t="shared" si="0"/>
        <v>53</v>
      </c>
      <c r="B60" s="73" t="s">
        <v>136</v>
      </c>
      <c r="C60" s="168">
        <f t="shared" si="3"/>
        <v>805</v>
      </c>
      <c r="D60" s="162" t="s">
        <v>234</v>
      </c>
      <c r="E60" s="113">
        <f>+VLOOKUP(C60,'TH-17T4'!$E$7:$AV$144,44,0)</f>
        <v>0</v>
      </c>
      <c r="F60" s="112">
        <f>+VLOOKUP(C60,'TH-17T4'!$E$7:$V$144,18,0)</f>
        <v>248400</v>
      </c>
      <c r="G60" s="113">
        <f>+VLOOKUP(C60,'TH-17T4'!$E$7:$AU$144,43,0)</f>
        <v>0</v>
      </c>
      <c r="H60" s="112">
        <f>+VLOOKUP(C60,'TH-17T4'!$E$7:$H$144,4,0)</f>
        <v>3900000</v>
      </c>
      <c r="I60" s="112">
        <f>+VLOOKUP(C60,'TH-17T4'!$E$7:$AF$144,28,0)</f>
        <v>0</v>
      </c>
      <c r="J60" s="112">
        <f>+VLOOKUP(C60,'TH-17T4'!$E$7:$AI$144,31,0)</f>
        <v>0</v>
      </c>
      <c r="K60" s="112">
        <f>+VLOOKUP(C60,'TH-17T4'!$E$7:$AL$144,34,0)</f>
        <v>0</v>
      </c>
      <c r="L60" s="112">
        <f>+VLOOKUP(C60,'TH-17T4'!$E$7:$Z$144,22,0)</f>
        <v>0</v>
      </c>
      <c r="M60" s="112">
        <f>+VLOOKUP(C60,'TH-17T4'!$E$7:$AC$144,25,0)</f>
        <v>0</v>
      </c>
      <c r="N60" s="165">
        <f t="shared" si="1"/>
        <v>0</v>
      </c>
      <c r="O60" s="113">
        <f>+VLOOKUP(C60,'TH-17T4'!$E$7:$AQ$144,39,0)</f>
        <v>390000</v>
      </c>
      <c r="P60" s="120">
        <f t="shared" si="2"/>
        <v>4538400</v>
      </c>
      <c r="Q60" s="120"/>
      <c r="R60" s="120"/>
      <c r="S60" s="113" t="s">
        <v>272</v>
      </c>
      <c r="T60" s="166" t="s">
        <v>256</v>
      </c>
    </row>
    <row r="61" spans="1:21" ht="15.75" x14ac:dyDescent="0.25">
      <c r="A61" s="166">
        <f t="shared" si="0"/>
        <v>54</v>
      </c>
      <c r="B61" s="73" t="s">
        <v>137</v>
      </c>
      <c r="C61" s="168">
        <f t="shared" si="3"/>
        <v>806</v>
      </c>
      <c r="D61" s="162" t="s">
        <v>234</v>
      </c>
      <c r="E61" s="113">
        <f>+VLOOKUP(C61,'TH-17T4'!$E$7:$AV$144,44,0)</f>
        <v>0</v>
      </c>
      <c r="F61" s="112">
        <f>+VLOOKUP(C61,'TH-17T4'!$E$7:$V$144,18,0)</f>
        <v>126730</v>
      </c>
      <c r="G61" s="113">
        <f>+VLOOKUP(C61,'TH-17T4'!$E$7:$AU$144,43,0)</f>
        <v>915000</v>
      </c>
      <c r="H61" s="112">
        <f>+VLOOKUP(C61,'TH-17T4'!$E$7:$H$144,4,0)</f>
        <v>420000</v>
      </c>
      <c r="I61" s="112">
        <f>+VLOOKUP(C61,'TH-17T4'!$E$7:$AF$144,28,0)</f>
        <v>932727</v>
      </c>
      <c r="J61" s="112">
        <f>+VLOOKUP(C61,'TH-17T4'!$E$7:$AI$144,31,0)</f>
        <v>0</v>
      </c>
      <c r="K61" s="112">
        <f>+VLOOKUP(C61,'TH-17T4'!$E$7:$AL$144,34,0)</f>
        <v>0</v>
      </c>
      <c r="L61" s="112">
        <f>+VLOOKUP(C61,'TH-17T4'!$E$7:$Z$144,22,0)</f>
        <v>132546</v>
      </c>
      <c r="M61" s="112">
        <f>+VLOOKUP(C61,'TH-17T4'!$E$7:$AC$144,25,0)</f>
        <v>0</v>
      </c>
      <c r="N61" s="165">
        <f t="shared" si="1"/>
        <v>1065273</v>
      </c>
      <c r="O61" s="113">
        <f>+VLOOKUP(C61,'TH-17T4'!$E$7:$AQ$144,39,0)</f>
        <v>0</v>
      </c>
      <c r="P61" s="120">
        <f t="shared" si="2"/>
        <v>2527003</v>
      </c>
      <c r="Q61" s="120"/>
      <c r="R61" s="120"/>
      <c r="S61" s="113">
        <v>0</v>
      </c>
      <c r="T61" s="166" t="s">
        <v>257</v>
      </c>
    </row>
    <row r="62" spans="1:21" ht="15.75" x14ac:dyDescent="0.25">
      <c r="A62" s="166">
        <f t="shared" si="0"/>
        <v>55</v>
      </c>
      <c r="B62" s="169" t="s">
        <v>138</v>
      </c>
      <c r="C62" s="168">
        <f t="shared" si="3"/>
        <v>807</v>
      </c>
      <c r="D62" s="162" t="s">
        <v>234</v>
      </c>
      <c r="E62" s="113">
        <f>+VLOOKUP(C62,'TH-17T4'!$E$7:$AV$144,44,0)</f>
        <v>110000</v>
      </c>
      <c r="F62" s="112">
        <f>+VLOOKUP(C62,'TH-17T4'!$E$7:$V$144,18,0)</f>
        <v>106490</v>
      </c>
      <c r="G62" s="113">
        <f>+VLOOKUP(C62,'TH-17T4'!$E$7:$AU$144,43,0)</f>
        <v>0</v>
      </c>
      <c r="H62" s="112">
        <f>+VLOOKUP(C62,'TH-17T4'!$E$7:$H$144,4,0)</f>
        <v>0</v>
      </c>
      <c r="I62" s="112">
        <f>+VLOOKUP(C62,'TH-17T4'!$E$7:$AF$144,28,0)</f>
        <v>0</v>
      </c>
      <c r="J62" s="112">
        <f>+VLOOKUP(C62,'TH-17T4'!$E$7:$AI$144,31,0)</f>
        <v>0</v>
      </c>
      <c r="K62" s="112">
        <f>+VLOOKUP(C62,'TH-17T4'!$E$7:$AL$144,34,0)</f>
        <v>0</v>
      </c>
      <c r="L62" s="112">
        <f>+VLOOKUP(C62,'TH-17T4'!$E$7:$Z$144,22,0)</f>
        <v>88364</v>
      </c>
      <c r="M62" s="112">
        <f>+VLOOKUP(C62,'TH-17T4'!$E$7:$AC$144,25,0)</f>
        <v>0</v>
      </c>
      <c r="N62" s="165">
        <f t="shared" si="1"/>
        <v>88364</v>
      </c>
      <c r="O62" s="113">
        <f>+VLOOKUP(C62,'TH-17T4'!$E$7:$AQ$144,39,0)</f>
        <v>0</v>
      </c>
      <c r="P62" s="120">
        <f t="shared" si="2"/>
        <v>304854</v>
      </c>
      <c r="Q62" s="120"/>
      <c r="R62" s="120"/>
      <c r="S62" s="113">
        <v>0</v>
      </c>
      <c r="T62" s="166" t="s">
        <v>257</v>
      </c>
    </row>
    <row r="63" spans="1:21" ht="15.75" hidden="1" x14ac:dyDescent="0.25">
      <c r="A63" s="166">
        <f t="shared" si="0"/>
        <v>56</v>
      </c>
      <c r="B63" s="169" t="s">
        <v>139</v>
      </c>
      <c r="C63" s="168">
        <f t="shared" si="3"/>
        <v>808</v>
      </c>
      <c r="D63" s="162" t="s">
        <v>234</v>
      </c>
      <c r="E63" s="113">
        <f>+VLOOKUP(C63,'TH-17T4'!$E$7:$AV$144,44,0)</f>
        <v>0</v>
      </c>
      <c r="F63" s="112">
        <f>+VLOOKUP(C63,'TH-17T4'!$E$7:$V$144,18,0)</f>
        <v>228850</v>
      </c>
      <c r="G63" s="113">
        <f>+VLOOKUP(C63,'TH-17T4'!$E$7:$AU$144,43,0)</f>
        <v>0</v>
      </c>
      <c r="H63" s="112">
        <f>+VLOOKUP(C63,'TH-17T4'!$E$7:$H$144,4,0)</f>
        <v>0</v>
      </c>
      <c r="I63" s="112">
        <f>+VLOOKUP(C63,'TH-17T4'!$E$7:$AF$144,28,0)</f>
        <v>932727</v>
      </c>
      <c r="J63" s="112">
        <f>+VLOOKUP(C63,'TH-17T4'!$E$7:$AI$144,31,0)</f>
        <v>0</v>
      </c>
      <c r="K63" s="112">
        <f>+VLOOKUP(C63,'TH-17T4'!$E$7:$AL$144,34,0)</f>
        <v>0</v>
      </c>
      <c r="L63" s="112">
        <f>+VLOOKUP(C63,'TH-17T4'!$E$7:$Z$144,22,0)</f>
        <v>0</v>
      </c>
      <c r="M63" s="112">
        <f>+VLOOKUP(C63,'TH-17T4'!$E$7:$AC$144,25,0)</f>
        <v>0</v>
      </c>
      <c r="N63" s="165">
        <f t="shared" si="1"/>
        <v>932727</v>
      </c>
      <c r="O63" s="113">
        <f>+VLOOKUP(C63,'TH-17T4'!$E$7:$AQ$144,39,0)</f>
        <v>0</v>
      </c>
      <c r="P63" s="120">
        <f t="shared" si="2"/>
        <v>1161577</v>
      </c>
      <c r="Q63" s="120">
        <v>1161577</v>
      </c>
      <c r="R63" s="120">
        <f t="shared" ref="R63:R64" si="7">+Q63-P63</f>
        <v>0</v>
      </c>
      <c r="S63" s="113">
        <v>0</v>
      </c>
      <c r="T63" s="166" t="s">
        <v>257</v>
      </c>
      <c r="U63" s="193">
        <v>14</v>
      </c>
    </row>
    <row r="64" spans="1:21" ht="15.75" hidden="1" x14ac:dyDescent="0.25">
      <c r="A64" s="166">
        <f t="shared" si="0"/>
        <v>57</v>
      </c>
      <c r="B64" s="73" t="s">
        <v>140</v>
      </c>
      <c r="C64" s="168">
        <v>901</v>
      </c>
      <c r="D64" s="162" t="s">
        <v>234</v>
      </c>
      <c r="E64" s="113">
        <f>+VLOOKUP(C64,'TH-17T4'!$E$7:$AV$144,44,0)</f>
        <v>0</v>
      </c>
      <c r="F64" s="112">
        <f>+VLOOKUP(C64,'TH-17T4'!$E$7:$V$144,18,0)</f>
        <v>96370</v>
      </c>
      <c r="G64" s="113">
        <f>+VLOOKUP(C64,'TH-17T4'!$E$7:$AU$144,43,0)</f>
        <v>1380000</v>
      </c>
      <c r="H64" s="112">
        <f>+VLOOKUP(C64,'TH-17T4'!$E$7:$H$144,4,0)</f>
        <v>840000</v>
      </c>
      <c r="I64" s="112">
        <f>+VLOOKUP(C64,'TH-17T4'!$E$7:$AF$144,28,0)</f>
        <v>0</v>
      </c>
      <c r="J64" s="112">
        <f>+VLOOKUP(C64,'TH-17T4'!$E$7:$AI$144,31,0)</f>
        <v>0</v>
      </c>
      <c r="K64" s="112">
        <f>+VLOOKUP(C64,'TH-17T4'!$E$7:$AL$144,34,0)</f>
        <v>0</v>
      </c>
      <c r="L64" s="112">
        <f>+VLOOKUP(C64,'TH-17T4'!$E$7:$Z$144,22,0)</f>
        <v>132546</v>
      </c>
      <c r="M64" s="112">
        <f>+VLOOKUP(C64,'TH-17T4'!$E$7:$AC$144,25,0)</f>
        <v>0</v>
      </c>
      <c r="N64" s="165">
        <f t="shared" si="1"/>
        <v>132546</v>
      </c>
      <c r="O64" s="113">
        <f>+VLOOKUP(C64,'TH-17T4'!$E$7:$AQ$144,39,0)</f>
        <v>0</v>
      </c>
      <c r="P64" s="120">
        <f t="shared" si="2"/>
        <v>2448916</v>
      </c>
      <c r="Q64" s="120">
        <v>2448916</v>
      </c>
      <c r="R64" s="120">
        <f t="shared" si="7"/>
        <v>0</v>
      </c>
      <c r="S64" s="113">
        <v>0</v>
      </c>
      <c r="T64" s="166" t="s">
        <v>257</v>
      </c>
      <c r="U64" s="193">
        <v>14</v>
      </c>
    </row>
    <row r="65" spans="1:21" ht="15.75" x14ac:dyDescent="0.25">
      <c r="A65" s="166">
        <f t="shared" si="0"/>
        <v>58</v>
      </c>
      <c r="B65" s="73" t="s">
        <v>141</v>
      </c>
      <c r="C65" s="168">
        <f t="shared" si="3"/>
        <v>902</v>
      </c>
      <c r="D65" s="162" t="s">
        <v>234</v>
      </c>
      <c r="E65" s="113">
        <f>+VLOOKUP(C65,'TH-17T4'!$E$7:$AV$144,44,0)</f>
        <v>0</v>
      </c>
      <c r="F65" s="112">
        <f>+VLOOKUP(C65,'TH-17T4'!$E$7:$V$144,18,0)</f>
        <v>62100</v>
      </c>
      <c r="G65" s="113">
        <f>+VLOOKUP(C65,'TH-17T4'!$E$7:$AU$144,43,0)</f>
        <v>0</v>
      </c>
      <c r="H65" s="112">
        <f>+VLOOKUP(C65,'TH-17T4'!$E$7:$H$144,4,0)</f>
        <v>3900000</v>
      </c>
      <c r="I65" s="112">
        <f>+VLOOKUP(C65,'TH-17T4'!$E$7:$AF$144,28,0)</f>
        <v>0</v>
      </c>
      <c r="J65" s="112">
        <f>+VLOOKUP(C65,'TH-17T4'!$E$7:$AI$144,31,0)</f>
        <v>0</v>
      </c>
      <c r="K65" s="112">
        <f>+VLOOKUP(C65,'TH-17T4'!$E$7:$AL$144,34,0)</f>
        <v>0</v>
      </c>
      <c r="L65" s="112">
        <f>+VLOOKUP(C65,'TH-17T4'!$E$7:$Z$144,22,0)</f>
        <v>98182</v>
      </c>
      <c r="M65" s="112">
        <f>+VLOOKUP(C65,'TH-17T4'!$E$7:$AC$144,25,0)</f>
        <v>490910</v>
      </c>
      <c r="N65" s="165">
        <f t="shared" si="1"/>
        <v>589092</v>
      </c>
      <c r="O65" s="113">
        <f>+VLOOKUP(C65,'TH-17T4'!$E$7:$AQ$144,39,0)</f>
        <v>390000</v>
      </c>
      <c r="P65" s="120">
        <f t="shared" si="2"/>
        <v>4941192</v>
      </c>
      <c r="Q65" s="120"/>
      <c r="R65" s="120"/>
      <c r="S65" s="113" t="s">
        <v>272</v>
      </c>
      <c r="T65" s="166" t="s">
        <v>256</v>
      </c>
    </row>
    <row r="66" spans="1:21" ht="15.75" x14ac:dyDescent="0.25">
      <c r="A66" s="166">
        <f t="shared" si="0"/>
        <v>59</v>
      </c>
      <c r="B66" s="73" t="s">
        <v>142</v>
      </c>
      <c r="C66" s="168">
        <f t="shared" si="3"/>
        <v>903</v>
      </c>
      <c r="D66" s="162" t="s">
        <v>234</v>
      </c>
      <c r="E66" s="113">
        <f>+VLOOKUP(C66,'TH-17T4'!$E$7:$AV$144,44,0)</f>
        <v>0</v>
      </c>
      <c r="F66" s="112">
        <f>+VLOOKUP(C66,'TH-17T4'!$E$7:$V$144,18,0)</f>
        <v>242650</v>
      </c>
      <c r="G66" s="113">
        <f>+VLOOKUP(C66,'TH-17T4'!$E$7:$AU$144,43,0)</f>
        <v>0</v>
      </c>
      <c r="H66" s="112">
        <f>+VLOOKUP(C66,'TH-17T4'!$E$7:$H$144,4,0)</f>
        <v>0</v>
      </c>
      <c r="I66" s="112">
        <f>+VLOOKUP(C66,'TH-17T4'!$E$7:$AF$144,28,0)</f>
        <v>0</v>
      </c>
      <c r="J66" s="112">
        <f>+VLOOKUP(C66,'TH-17T4'!$E$7:$AI$144,31,0)</f>
        <v>0</v>
      </c>
      <c r="K66" s="112">
        <f>+VLOOKUP(C66,'TH-17T4'!$E$7:$AL$144,34,0)</f>
        <v>0</v>
      </c>
      <c r="L66" s="112">
        <f>+VLOOKUP(C66,'TH-17T4'!$E$7:$Z$144,22,0)</f>
        <v>88364</v>
      </c>
      <c r="M66" s="112">
        <f>+VLOOKUP(C66,'TH-17T4'!$E$7:$AC$144,25,0)</f>
        <v>0</v>
      </c>
      <c r="N66" s="165">
        <f t="shared" si="1"/>
        <v>88364</v>
      </c>
      <c r="O66" s="113">
        <f>+VLOOKUP(C66,'TH-17T4'!$E$7:$AQ$144,39,0)</f>
        <v>0</v>
      </c>
      <c r="P66" s="120">
        <f t="shared" si="2"/>
        <v>331014</v>
      </c>
      <c r="Q66" s="120"/>
      <c r="R66" s="120"/>
      <c r="S66" s="113">
        <v>0</v>
      </c>
      <c r="T66" s="166" t="s">
        <v>257</v>
      </c>
    </row>
    <row r="67" spans="1:21" ht="15.75" x14ac:dyDescent="0.25">
      <c r="A67" s="166">
        <f t="shared" si="0"/>
        <v>60</v>
      </c>
      <c r="B67" s="73" t="s">
        <v>143</v>
      </c>
      <c r="C67" s="168">
        <f t="shared" si="3"/>
        <v>904</v>
      </c>
      <c r="D67" s="162" t="s">
        <v>234</v>
      </c>
      <c r="E67" s="113">
        <f>+VLOOKUP(C67,'TH-17T4'!$E$7:$AV$144,44,0)</f>
        <v>0</v>
      </c>
      <c r="F67" s="112">
        <f>+VLOOKUP(C67,'TH-17T4'!$E$7:$V$144,18,0)</f>
        <v>25875</v>
      </c>
      <c r="G67" s="113">
        <f>+VLOOKUP(C67,'TH-17T4'!$E$7:$AU$144,43,0)</f>
        <v>0</v>
      </c>
      <c r="H67" s="112">
        <f>+VLOOKUP(C67,'TH-17T4'!$E$7:$H$144,4,0)</f>
        <v>0</v>
      </c>
      <c r="I67" s="112">
        <f>+VLOOKUP(C67,'TH-17T4'!$E$7:$AF$144,28,0)</f>
        <v>932727</v>
      </c>
      <c r="J67" s="112">
        <f>+VLOOKUP(C67,'TH-17T4'!$E$7:$AI$144,31,0)</f>
        <v>0</v>
      </c>
      <c r="K67" s="112">
        <f>+VLOOKUP(C67,'TH-17T4'!$E$7:$AL$144,34,0)</f>
        <v>0</v>
      </c>
      <c r="L67" s="112">
        <f>+VLOOKUP(C67,'TH-17T4'!$E$7:$Z$144,22,0)</f>
        <v>88364</v>
      </c>
      <c r="M67" s="112">
        <f>+VLOOKUP(C67,'TH-17T4'!$E$7:$AC$144,25,0)</f>
        <v>0</v>
      </c>
      <c r="N67" s="165">
        <f t="shared" si="1"/>
        <v>1021091</v>
      </c>
      <c r="O67" s="113">
        <f>+VLOOKUP(C67,'TH-17T4'!$E$7:$AQ$144,39,0)</f>
        <v>0</v>
      </c>
      <c r="P67" s="120">
        <f t="shared" si="2"/>
        <v>1046966</v>
      </c>
      <c r="Q67" s="120"/>
      <c r="R67" s="120"/>
      <c r="S67" s="113">
        <v>0</v>
      </c>
      <c r="T67" s="166" t="s">
        <v>257</v>
      </c>
    </row>
    <row r="68" spans="1:21" ht="15.75" x14ac:dyDescent="0.25">
      <c r="A68" s="166">
        <f t="shared" si="0"/>
        <v>61</v>
      </c>
      <c r="B68" s="73" t="s">
        <v>144</v>
      </c>
      <c r="C68" s="168">
        <f t="shared" si="3"/>
        <v>905</v>
      </c>
      <c r="D68" s="162" t="s">
        <v>234</v>
      </c>
      <c r="E68" s="113">
        <f>+VLOOKUP(C68,'TH-17T4'!$E$7:$AV$144,44,0)</f>
        <v>0</v>
      </c>
      <c r="F68" s="112">
        <f>+VLOOKUP(C68,'TH-17T4'!$E$7:$V$144,18,0)</f>
        <v>256450</v>
      </c>
      <c r="G68" s="113">
        <f>+VLOOKUP(C68,'TH-17T4'!$E$7:$AU$144,43,0)</f>
        <v>0</v>
      </c>
      <c r="H68" s="112">
        <f>+VLOOKUP(C68,'TH-17T4'!$E$7:$H$144,4,0)</f>
        <v>0</v>
      </c>
      <c r="I68" s="112">
        <f>+VLOOKUP(C68,'TH-17T4'!$E$7:$AF$144,28,0)</f>
        <v>0</v>
      </c>
      <c r="J68" s="112">
        <f>+VLOOKUP(C68,'TH-17T4'!$E$7:$AI$144,31,0)</f>
        <v>0</v>
      </c>
      <c r="K68" s="112">
        <f>+VLOOKUP(C68,'TH-17T4'!$E$7:$AL$144,34,0)</f>
        <v>0</v>
      </c>
      <c r="L68" s="112">
        <f>+VLOOKUP(C68,'TH-17T4'!$E$7:$Z$144,22,0)</f>
        <v>88364</v>
      </c>
      <c r="M68" s="112">
        <f>+VLOOKUP(C68,'TH-17T4'!$E$7:$AC$144,25,0)</f>
        <v>0</v>
      </c>
      <c r="N68" s="165">
        <f t="shared" si="1"/>
        <v>88364</v>
      </c>
      <c r="O68" s="113">
        <f>+VLOOKUP(C68,'TH-17T4'!$E$7:$AQ$144,39,0)</f>
        <v>0</v>
      </c>
      <c r="P68" s="120">
        <f t="shared" si="2"/>
        <v>344814</v>
      </c>
      <c r="Q68" s="120"/>
      <c r="R68" s="120"/>
      <c r="S68" s="113">
        <v>0</v>
      </c>
      <c r="T68" s="166" t="s">
        <v>257</v>
      </c>
    </row>
    <row r="69" spans="1:21" ht="15.75" x14ac:dyDescent="0.25">
      <c r="A69" s="166">
        <f t="shared" si="0"/>
        <v>62</v>
      </c>
      <c r="B69" s="73" t="s">
        <v>145</v>
      </c>
      <c r="C69" s="168">
        <f t="shared" si="3"/>
        <v>906</v>
      </c>
      <c r="D69" s="162" t="s">
        <v>234</v>
      </c>
      <c r="E69" s="113">
        <f>+VLOOKUP(C69,'TH-17T4'!$E$7:$AV$144,44,0)</f>
        <v>0</v>
      </c>
      <c r="F69" s="112">
        <f>+VLOOKUP(C69,'TH-17T4'!$E$7:$V$144,18,0)</f>
        <v>311650</v>
      </c>
      <c r="G69" s="113">
        <f>+VLOOKUP(C69,'TH-17T4'!$E$7:$AU$144,43,0)</f>
        <v>0</v>
      </c>
      <c r="H69" s="112">
        <f>+VLOOKUP(C69,'TH-17T4'!$E$7:$H$144,4,0)</f>
        <v>0</v>
      </c>
      <c r="I69" s="112">
        <f>+VLOOKUP(C69,'TH-17T4'!$E$7:$AF$144,28,0)</f>
        <v>932727</v>
      </c>
      <c r="J69" s="112">
        <f>+VLOOKUP(C69,'TH-17T4'!$E$7:$AI$144,31,0)</f>
        <v>0</v>
      </c>
      <c r="K69" s="112">
        <f>+VLOOKUP(C69,'TH-17T4'!$E$7:$AL$144,34,0)</f>
        <v>0</v>
      </c>
      <c r="L69" s="112">
        <f>+VLOOKUP(C69,'TH-17T4'!$E$7:$Z$144,22,0)</f>
        <v>44182</v>
      </c>
      <c r="M69" s="112">
        <f>+VLOOKUP(C69,'TH-17T4'!$E$7:$AC$144,25,0)</f>
        <v>0</v>
      </c>
      <c r="N69" s="165">
        <f t="shared" si="1"/>
        <v>976909</v>
      </c>
      <c r="O69" s="113">
        <f>+VLOOKUP(C69,'TH-17T4'!$E$7:$AQ$144,39,0)</f>
        <v>0</v>
      </c>
      <c r="P69" s="120">
        <f t="shared" si="2"/>
        <v>1288559</v>
      </c>
      <c r="Q69" s="120"/>
      <c r="R69" s="120"/>
      <c r="S69" s="113">
        <v>0</v>
      </c>
      <c r="T69" s="166" t="s">
        <v>257</v>
      </c>
    </row>
    <row r="70" spans="1:21" ht="15.75" x14ac:dyDescent="0.25">
      <c r="A70" s="166">
        <f t="shared" si="0"/>
        <v>63</v>
      </c>
      <c r="B70" s="73" t="s">
        <v>146</v>
      </c>
      <c r="C70" s="168">
        <f t="shared" si="3"/>
        <v>907</v>
      </c>
      <c r="D70" s="162" t="s">
        <v>234</v>
      </c>
      <c r="E70" s="113">
        <f>+VLOOKUP(C70,'TH-17T4'!$E$7:$AV$144,44,0)</f>
        <v>110000</v>
      </c>
      <c r="F70" s="112">
        <f>+VLOOKUP(C70,'TH-17T4'!$E$7:$V$144,18,0)</f>
        <v>126730</v>
      </c>
      <c r="G70" s="113">
        <f>+VLOOKUP(C70,'TH-17T4'!$E$7:$AU$144,43,0)</f>
        <v>0</v>
      </c>
      <c r="H70" s="112">
        <f>+VLOOKUP(C70,'TH-17T4'!$E$7:$H$144,4,0)</f>
        <v>0</v>
      </c>
      <c r="I70" s="112">
        <f>+VLOOKUP(C70,'TH-17T4'!$E$7:$AF$144,28,0)</f>
        <v>0</v>
      </c>
      <c r="J70" s="112">
        <f>+VLOOKUP(C70,'TH-17T4'!$E$7:$AI$144,31,0)</f>
        <v>0</v>
      </c>
      <c r="K70" s="112">
        <f>+VLOOKUP(C70,'TH-17T4'!$E$7:$AL$144,34,0)</f>
        <v>9818</v>
      </c>
      <c r="L70" s="112">
        <f>+VLOOKUP(C70,'TH-17T4'!$E$7:$Z$144,22,0)</f>
        <v>88364</v>
      </c>
      <c r="M70" s="112">
        <f>+VLOOKUP(C70,'TH-17T4'!$E$7:$AC$144,25,0)</f>
        <v>0</v>
      </c>
      <c r="N70" s="165">
        <f t="shared" si="1"/>
        <v>98182</v>
      </c>
      <c r="O70" s="113">
        <f>+VLOOKUP(C70,'TH-17T4'!$E$7:$AQ$144,39,0)</f>
        <v>0</v>
      </c>
      <c r="P70" s="120">
        <f t="shared" si="2"/>
        <v>334912</v>
      </c>
      <c r="Q70" s="120"/>
      <c r="R70" s="120"/>
      <c r="S70" s="113">
        <v>0</v>
      </c>
      <c r="T70" s="166" t="s">
        <v>257</v>
      </c>
    </row>
    <row r="71" spans="1:21" ht="15.75" x14ac:dyDescent="0.25">
      <c r="A71" s="166">
        <f t="shared" si="0"/>
        <v>64</v>
      </c>
      <c r="B71" s="73" t="s">
        <v>147</v>
      </c>
      <c r="C71" s="168">
        <f t="shared" si="3"/>
        <v>908</v>
      </c>
      <c r="D71" s="162" t="s">
        <v>234</v>
      </c>
      <c r="E71" s="113">
        <f>+VLOOKUP(C71,'TH-17T4'!$E$7:$AV$144,44,0)</f>
        <v>0</v>
      </c>
      <c r="F71" s="112">
        <f>+VLOOKUP(C71,'TH-17T4'!$E$7:$V$144,18,0)</f>
        <v>177330</v>
      </c>
      <c r="G71" s="113">
        <f>+VLOOKUP(C71,'TH-17T4'!$E$7:$AU$144,43,0)</f>
        <v>0</v>
      </c>
      <c r="H71" s="112">
        <f>+VLOOKUP(C71,'TH-17T4'!$E$7:$H$144,4,0)</f>
        <v>0</v>
      </c>
      <c r="I71" s="112">
        <f>+VLOOKUP(C71,'TH-17T4'!$E$7:$AF$144,28,0)</f>
        <v>932727</v>
      </c>
      <c r="J71" s="112">
        <f>+VLOOKUP(C71,'TH-17T4'!$E$7:$AI$144,31,0)</f>
        <v>0</v>
      </c>
      <c r="K71" s="112">
        <f>+VLOOKUP(C71,'TH-17T4'!$E$7:$AL$144,34,0)</f>
        <v>0</v>
      </c>
      <c r="L71" s="112">
        <f>+VLOOKUP(C71,'TH-17T4'!$E$7:$Z$144,22,0)</f>
        <v>44182</v>
      </c>
      <c r="M71" s="112">
        <f>+VLOOKUP(C71,'TH-17T4'!$E$7:$AC$144,25,0)</f>
        <v>0</v>
      </c>
      <c r="N71" s="165">
        <f t="shared" si="1"/>
        <v>976909</v>
      </c>
      <c r="O71" s="113">
        <f>+VLOOKUP(C71,'TH-17T4'!$E$7:$AQ$144,39,0)</f>
        <v>0</v>
      </c>
      <c r="P71" s="120">
        <f t="shared" si="2"/>
        <v>1154239</v>
      </c>
      <c r="Q71" s="120"/>
      <c r="R71" s="120"/>
      <c r="S71" s="113">
        <v>0</v>
      </c>
      <c r="T71" s="166" t="s">
        <v>257</v>
      </c>
    </row>
    <row r="72" spans="1:21" ht="15.75" x14ac:dyDescent="0.25">
      <c r="A72" s="166">
        <f t="shared" si="0"/>
        <v>65</v>
      </c>
      <c r="B72" s="73" t="s">
        <v>148</v>
      </c>
      <c r="C72" s="168">
        <v>1001</v>
      </c>
      <c r="D72" s="162" t="s">
        <v>234</v>
      </c>
      <c r="E72" s="113">
        <f>+VLOOKUP(C72,'TH-17T4'!$E$7:$AV$144,44,0)</f>
        <v>0</v>
      </c>
      <c r="F72" s="112">
        <f>+VLOOKUP(C72,'TH-17T4'!$E$7:$V$144,18,0)</f>
        <v>270250</v>
      </c>
      <c r="G72" s="113">
        <f>+VLOOKUP(C72,'TH-17T4'!$E$7:$AU$144,43,0)</f>
        <v>0</v>
      </c>
      <c r="H72" s="112">
        <f>+VLOOKUP(C72,'TH-17T4'!$E$7:$H$144,4,0)</f>
        <v>0</v>
      </c>
      <c r="I72" s="112">
        <f>+VLOOKUP(C72,'TH-17T4'!$E$7:$AF$144,28,0)</f>
        <v>0</v>
      </c>
      <c r="J72" s="112">
        <f>+VLOOKUP(C72,'TH-17T4'!$E$7:$AI$144,31,0)</f>
        <v>0</v>
      </c>
      <c r="K72" s="112">
        <f>+VLOOKUP(C72,'TH-17T4'!$E$7:$AL$144,34,0)</f>
        <v>0</v>
      </c>
      <c r="L72" s="112">
        <f>+VLOOKUP(C72,'TH-17T4'!$E$7:$Z$144,22,0)</f>
        <v>88364</v>
      </c>
      <c r="M72" s="112">
        <f>+VLOOKUP(C72,'TH-17T4'!$E$7:$AC$144,25,0)</f>
        <v>0</v>
      </c>
      <c r="N72" s="165">
        <f t="shared" si="1"/>
        <v>88364</v>
      </c>
      <c r="O72" s="113">
        <f>+VLOOKUP(C72,'TH-17T4'!$E$7:$AQ$144,39,0)</f>
        <v>0</v>
      </c>
      <c r="P72" s="120">
        <f t="shared" si="2"/>
        <v>358614</v>
      </c>
      <c r="Q72" s="120"/>
      <c r="R72" s="120"/>
      <c r="S72" s="113">
        <v>0</v>
      </c>
      <c r="T72" s="166" t="s">
        <v>257</v>
      </c>
    </row>
    <row r="73" spans="1:21" ht="15.75" x14ac:dyDescent="0.25">
      <c r="A73" s="166">
        <f t="shared" si="0"/>
        <v>66</v>
      </c>
      <c r="B73" s="73" t="s">
        <v>149</v>
      </c>
      <c r="C73" s="168">
        <f t="shared" si="3"/>
        <v>1002</v>
      </c>
      <c r="D73" s="162" t="s">
        <v>234</v>
      </c>
      <c r="E73" s="113">
        <f>+VLOOKUP(C73,'TH-17T4'!$E$7:$AV$144,44,0)</f>
        <v>0</v>
      </c>
      <c r="F73" s="112">
        <f>+VLOOKUP(C73,'TH-17T4'!$E$7:$V$144,18,0)</f>
        <v>51750</v>
      </c>
      <c r="G73" s="113">
        <f>+VLOOKUP(C73,'TH-17T4'!$E$7:$AU$144,43,0)</f>
        <v>0</v>
      </c>
      <c r="H73" s="112">
        <f>+VLOOKUP(C73,'TH-17T4'!$E$7:$H$144,4,0)</f>
        <v>0</v>
      </c>
      <c r="I73" s="112">
        <f>+VLOOKUP(C73,'TH-17T4'!$E$7:$AF$144,28,0)</f>
        <v>932727</v>
      </c>
      <c r="J73" s="112">
        <f>+VLOOKUP(C73,'TH-17T4'!$E$7:$AI$144,31,0)</f>
        <v>0</v>
      </c>
      <c r="K73" s="112">
        <f>+VLOOKUP(C73,'TH-17T4'!$E$7:$AL$144,34,0)</f>
        <v>0</v>
      </c>
      <c r="L73" s="112">
        <f>+VLOOKUP(C73,'TH-17T4'!$E$7:$Z$144,22,0)</f>
        <v>44182</v>
      </c>
      <c r="M73" s="112">
        <f>+VLOOKUP(C73,'TH-17T4'!$E$7:$AC$144,25,0)</f>
        <v>0</v>
      </c>
      <c r="N73" s="165">
        <f t="shared" si="1"/>
        <v>976909</v>
      </c>
      <c r="O73" s="113">
        <f>+VLOOKUP(C73,'TH-17T4'!$E$7:$AQ$144,39,0)</f>
        <v>0</v>
      </c>
      <c r="P73" s="120">
        <f t="shared" si="2"/>
        <v>1028659</v>
      </c>
      <c r="Q73" s="120"/>
      <c r="R73" s="120"/>
      <c r="S73" s="113">
        <v>0</v>
      </c>
      <c r="T73" s="166" t="s">
        <v>257</v>
      </c>
    </row>
    <row r="74" spans="1:21" ht="15.75" x14ac:dyDescent="0.25">
      <c r="A74" s="166">
        <f t="shared" ref="A74:A138" si="8">+A73+1</f>
        <v>67</v>
      </c>
      <c r="B74" s="73" t="s">
        <v>150</v>
      </c>
      <c r="C74" s="168">
        <f t="shared" si="3"/>
        <v>1003</v>
      </c>
      <c r="D74" s="162" t="s">
        <v>234</v>
      </c>
      <c r="E74" s="113">
        <f>+VLOOKUP(C74,'TH-17T4'!$E$7:$AV$144,44,0)</f>
        <v>0</v>
      </c>
      <c r="F74" s="112">
        <f>+VLOOKUP(C74,'TH-17T4'!$E$7:$V$144,18,0)</f>
        <v>242650</v>
      </c>
      <c r="G74" s="113">
        <f>+VLOOKUP(C74,'TH-17T4'!$E$7:$AU$144,43,0)</f>
        <v>0</v>
      </c>
      <c r="H74" s="112">
        <f>+VLOOKUP(C74,'TH-17T4'!$E$7:$H$144,4,0)</f>
        <v>0</v>
      </c>
      <c r="I74" s="112">
        <f>+VLOOKUP(C74,'TH-17T4'!$E$7:$AF$144,28,0)</f>
        <v>932727</v>
      </c>
      <c r="J74" s="112">
        <f>+VLOOKUP(C74,'TH-17T4'!$E$7:$AI$144,31,0)</f>
        <v>0</v>
      </c>
      <c r="K74" s="112">
        <f>+VLOOKUP(C74,'TH-17T4'!$E$7:$AL$144,34,0)</f>
        <v>0</v>
      </c>
      <c r="L74" s="112">
        <f>+VLOOKUP(C74,'TH-17T4'!$E$7:$Z$144,22,0)</f>
        <v>44182</v>
      </c>
      <c r="M74" s="112">
        <f>+VLOOKUP(C74,'TH-17T4'!$E$7:$AC$144,25,0)</f>
        <v>0</v>
      </c>
      <c r="N74" s="165">
        <f t="shared" ref="N74:N139" si="9">+SUM(I74:M74)</f>
        <v>976909</v>
      </c>
      <c r="O74" s="113">
        <f>+VLOOKUP(C74,'TH-17T4'!$E$7:$AQ$144,39,0)</f>
        <v>0</v>
      </c>
      <c r="P74" s="120">
        <f t="shared" ref="P74:P139" si="10">+O74+N74+H74+G74+F74+E74</f>
        <v>1219559</v>
      </c>
      <c r="Q74" s="120"/>
      <c r="R74" s="120"/>
      <c r="S74" s="113">
        <v>0</v>
      </c>
      <c r="T74" s="166" t="s">
        <v>257</v>
      </c>
    </row>
    <row r="75" spans="1:21" ht="15.75" x14ac:dyDescent="0.25">
      <c r="A75" s="166">
        <f t="shared" si="8"/>
        <v>68</v>
      </c>
      <c r="B75" s="169" t="s">
        <v>151</v>
      </c>
      <c r="C75" s="168">
        <f t="shared" ref="C75:C130" si="11">+C74+1</f>
        <v>1004</v>
      </c>
      <c r="D75" s="162" t="s">
        <v>234</v>
      </c>
      <c r="E75" s="113">
        <f>+VLOOKUP(C75,'TH-17T4'!$E$7:$AV$144,44,0)</f>
        <v>0</v>
      </c>
      <c r="F75" s="112">
        <f>+VLOOKUP(C75,'TH-17T4'!$E$7:$V$144,18,0)</f>
        <v>136850</v>
      </c>
      <c r="G75" s="113">
        <f>+VLOOKUP(C75,'TH-17T4'!$E$7:$AU$144,43,0)</f>
        <v>0</v>
      </c>
      <c r="H75" s="112">
        <f>+VLOOKUP(C75,'TH-17T4'!$E$7:$H$144,4,0)</f>
        <v>0</v>
      </c>
      <c r="I75" s="112">
        <f>+VLOOKUP(C75,'TH-17T4'!$E$7:$AF$144,28,0)</f>
        <v>0</v>
      </c>
      <c r="J75" s="112">
        <f>+VLOOKUP(C75,'TH-17T4'!$E$7:$AI$144,31,0)</f>
        <v>0</v>
      </c>
      <c r="K75" s="112">
        <f>+VLOOKUP(C75,'TH-17T4'!$E$7:$AL$144,34,0)</f>
        <v>0</v>
      </c>
      <c r="L75" s="112">
        <f>+VLOOKUP(C75,'TH-17T4'!$E$7:$Z$144,22,0)</f>
        <v>44182</v>
      </c>
      <c r="M75" s="112">
        <f>+VLOOKUP(C75,'TH-17T4'!$E$7:$AC$144,25,0)</f>
        <v>0</v>
      </c>
      <c r="N75" s="165">
        <f t="shared" si="9"/>
        <v>44182</v>
      </c>
      <c r="O75" s="113">
        <f>+VLOOKUP(C75,'TH-17T4'!$E$7:$AQ$144,39,0)</f>
        <v>0</v>
      </c>
      <c r="P75" s="120">
        <f t="shared" si="10"/>
        <v>181032</v>
      </c>
      <c r="Q75" s="120"/>
      <c r="R75" s="120"/>
      <c r="S75" s="113">
        <v>0</v>
      </c>
      <c r="T75" s="166" t="s">
        <v>257</v>
      </c>
    </row>
    <row r="76" spans="1:21" ht="15.75" x14ac:dyDescent="0.25">
      <c r="A76" s="166">
        <f t="shared" si="8"/>
        <v>69</v>
      </c>
      <c r="B76" s="73" t="s">
        <v>152</v>
      </c>
      <c r="C76" s="168">
        <f t="shared" si="11"/>
        <v>1005</v>
      </c>
      <c r="D76" s="162" t="s">
        <v>234</v>
      </c>
      <c r="E76" s="113">
        <f>+VLOOKUP(C76,'TH-17T4'!$E$7:$AV$144,44,0)</f>
        <v>0</v>
      </c>
      <c r="F76" s="112">
        <f>+VLOOKUP(C76,'TH-17T4'!$E$7:$V$144,18,0)</f>
        <v>157090</v>
      </c>
      <c r="G76" s="113">
        <f>+VLOOKUP(C76,'TH-17T4'!$E$7:$AU$144,43,0)</f>
        <v>0</v>
      </c>
      <c r="H76" s="112">
        <f>+VLOOKUP(C76,'TH-17T4'!$E$7:$H$144,4,0)</f>
        <v>0</v>
      </c>
      <c r="I76" s="112">
        <f>+VLOOKUP(C76,'TH-17T4'!$E$7:$AF$144,28,0)</f>
        <v>0</v>
      </c>
      <c r="J76" s="112">
        <f>+VLOOKUP(C76,'TH-17T4'!$E$7:$AI$144,31,0)</f>
        <v>0</v>
      </c>
      <c r="K76" s="112">
        <f>+VLOOKUP(C76,'TH-17T4'!$E$7:$AL$144,34,0)</f>
        <v>9818</v>
      </c>
      <c r="L76" s="112">
        <f>+VLOOKUP(C76,'TH-17T4'!$E$7:$Z$144,22,0)</f>
        <v>44182</v>
      </c>
      <c r="M76" s="112">
        <f>+VLOOKUP(C76,'TH-17T4'!$E$7:$AC$144,25,0)</f>
        <v>0</v>
      </c>
      <c r="N76" s="165">
        <f t="shared" si="9"/>
        <v>54000</v>
      </c>
      <c r="O76" s="113">
        <f>+VLOOKUP(C76,'TH-17T4'!$E$7:$AQ$144,39,0)</f>
        <v>0</v>
      </c>
      <c r="P76" s="120">
        <f t="shared" si="10"/>
        <v>211090</v>
      </c>
      <c r="Q76" s="120"/>
      <c r="R76" s="120"/>
      <c r="S76" s="113">
        <v>0</v>
      </c>
      <c r="T76" s="166" t="s">
        <v>257</v>
      </c>
    </row>
    <row r="77" spans="1:21" ht="15.75" x14ac:dyDescent="0.25">
      <c r="A77" s="166">
        <f t="shared" si="8"/>
        <v>70</v>
      </c>
      <c r="B77" s="73" t="s">
        <v>153</v>
      </c>
      <c r="C77" s="168">
        <f t="shared" si="11"/>
        <v>1006</v>
      </c>
      <c r="D77" s="162" t="s">
        <v>234</v>
      </c>
      <c r="E77" s="113">
        <f>+VLOOKUP(C77,'TH-17T4'!$E$7:$AV$144,44,0)</f>
        <v>0</v>
      </c>
      <c r="F77" s="112">
        <f>+VLOOKUP(C77,'TH-17T4'!$E$7:$V$144,18,0)</f>
        <v>311650</v>
      </c>
      <c r="G77" s="113">
        <f>+VLOOKUP(C77,'TH-17T4'!$E$7:$AU$144,43,0)</f>
        <v>0</v>
      </c>
      <c r="H77" s="112">
        <f>+VLOOKUP(C77,'TH-17T4'!$E$7:$H$144,4,0)</f>
        <v>0</v>
      </c>
      <c r="I77" s="112">
        <f>+VLOOKUP(C77,'TH-17T4'!$E$7:$AF$144,28,0)</f>
        <v>0</v>
      </c>
      <c r="J77" s="112">
        <f>+VLOOKUP(C77,'TH-17T4'!$E$7:$AI$144,31,0)</f>
        <v>0</v>
      </c>
      <c r="K77" s="112">
        <f>+VLOOKUP(C77,'TH-17T4'!$E$7:$AL$144,34,0)</f>
        <v>9818</v>
      </c>
      <c r="L77" s="112">
        <f>+VLOOKUP(C77,'TH-17T4'!$E$7:$Z$144,22,0)</f>
        <v>176728</v>
      </c>
      <c r="M77" s="112">
        <f>+VLOOKUP(C77,'TH-17T4'!$E$7:$AC$144,25,0)</f>
        <v>0</v>
      </c>
      <c r="N77" s="165">
        <f t="shared" si="9"/>
        <v>186546</v>
      </c>
      <c r="O77" s="113">
        <f>+VLOOKUP(C77,'TH-17T4'!$E$7:$AQ$144,39,0)</f>
        <v>0</v>
      </c>
      <c r="P77" s="120">
        <f t="shared" si="10"/>
        <v>498196</v>
      </c>
      <c r="Q77" s="120"/>
      <c r="R77" s="120"/>
      <c r="S77" s="113">
        <v>0</v>
      </c>
      <c r="T77" s="166" t="s">
        <v>257</v>
      </c>
    </row>
    <row r="78" spans="1:21" ht="15.75" hidden="1" x14ac:dyDescent="0.25">
      <c r="A78" s="166">
        <f t="shared" si="8"/>
        <v>71</v>
      </c>
      <c r="B78" s="73" t="s">
        <v>154</v>
      </c>
      <c r="C78" s="168">
        <f t="shared" si="11"/>
        <v>1007</v>
      </c>
      <c r="D78" s="162" t="s">
        <v>234</v>
      </c>
      <c r="E78" s="113">
        <f>+VLOOKUP(C78,'TH-17T4'!$E$7:$AV$144,44,0)</f>
        <v>0</v>
      </c>
      <c r="F78" s="112">
        <f>+VLOOKUP(C78,'TH-17T4'!$E$7:$V$144,18,0)</f>
        <v>146970</v>
      </c>
      <c r="G78" s="113">
        <f>+VLOOKUP(C78,'TH-17T4'!$E$7:$AU$144,43,0)</f>
        <v>0</v>
      </c>
      <c r="H78" s="112">
        <f>+VLOOKUP(C78,'TH-17T4'!$E$7:$H$144,4,0)</f>
        <v>0</v>
      </c>
      <c r="I78" s="112">
        <f>+VLOOKUP(C78,'TH-17T4'!$E$7:$AF$144,28,0)</f>
        <v>0</v>
      </c>
      <c r="J78" s="112">
        <f>+VLOOKUP(C78,'TH-17T4'!$E$7:$AI$144,31,0)</f>
        <v>0</v>
      </c>
      <c r="K78" s="112">
        <f>+VLOOKUP(C78,'TH-17T4'!$E$7:$AL$144,34,0)</f>
        <v>0</v>
      </c>
      <c r="L78" s="112">
        <f>+VLOOKUP(C78,'TH-17T4'!$E$7:$Z$144,22,0)</f>
        <v>220910</v>
      </c>
      <c r="M78" s="112">
        <f>+VLOOKUP(C78,'TH-17T4'!$E$7:$AC$144,25,0)</f>
        <v>0</v>
      </c>
      <c r="N78" s="165">
        <f t="shared" si="9"/>
        <v>220910</v>
      </c>
      <c r="O78" s="113">
        <f>+VLOOKUP(C78,'TH-17T4'!$E$7:$AQ$144,39,0)</f>
        <v>0</v>
      </c>
      <c r="P78" s="120">
        <f t="shared" si="10"/>
        <v>367880</v>
      </c>
      <c r="Q78" s="120">
        <v>367880</v>
      </c>
      <c r="R78" s="120">
        <f>+Q78-P78</f>
        <v>0</v>
      </c>
      <c r="S78" s="113">
        <v>0</v>
      </c>
      <c r="T78" s="166" t="s">
        <v>257</v>
      </c>
      <c r="U78" s="193">
        <v>14</v>
      </c>
    </row>
    <row r="79" spans="1:21" ht="15.75" x14ac:dyDescent="0.25">
      <c r="A79" s="166">
        <f t="shared" si="8"/>
        <v>72</v>
      </c>
      <c r="B79" s="170" t="s">
        <v>155</v>
      </c>
      <c r="C79" s="168">
        <f t="shared" si="11"/>
        <v>1008</v>
      </c>
      <c r="D79" s="162" t="s">
        <v>234</v>
      </c>
      <c r="E79" s="113">
        <f>+VLOOKUP(C79,'TH-17T4'!$E$7:$AV$144,44,0)</f>
        <v>0</v>
      </c>
      <c r="F79" s="112">
        <f>+VLOOKUP(C79,'TH-17T4'!$E$7:$V$144,18,0)</f>
        <v>86250</v>
      </c>
      <c r="G79" s="113">
        <f>+VLOOKUP(C79,'TH-17T4'!$E$7:$AU$144,43,0)</f>
        <v>0</v>
      </c>
      <c r="H79" s="112">
        <f>+VLOOKUP(C79,'TH-17T4'!$E$7:$H$144,4,0)</f>
        <v>0</v>
      </c>
      <c r="I79" s="112">
        <f>+VLOOKUP(C79,'TH-17T4'!$E$7:$AF$144,28,0)</f>
        <v>0</v>
      </c>
      <c r="J79" s="112">
        <f>+VLOOKUP(C79,'TH-17T4'!$E$7:$AI$144,31,0)</f>
        <v>0</v>
      </c>
      <c r="K79" s="112">
        <f>+VLOOKUP(C79,'TH-17T4'!$E$7:$AL$144,34,0)</f>
        <v>0</v>
      </c>
      <c r="L79" s="112">
        <f>+VLOOKUP(C79,'TH-17T4'!$E$7:$Z$144,22,0)</f>
        <v>44182</v>
      </c>
      <c r="M79" s="112">
        <f>+VLOOKUP(C79,'TH-17T4'!$E$7:$AC$144,25,0)</f>
        <v>0</v>
      </c>
      <c r="N79" s="165">
        <f t="shared" si="9"/>
        <v>44182</v>
      </c>
      <c r="O79" s="113">
        <f>+VLOOKUP(C79,'TH-17T4'!$E$7:$AQ$144,39,0)</f>
        <v>0</v>
      </c>
      <c r="P79" s="120">
        <f t="shared" si="10"/>
        <v>130432</v>
      </c>
      <c r="Q79" s="192"/>
      <c r="R79" s="192"/>
      <c r="S79" s="113">
        <v>0</v>
      </c>
      <c r="T79" s="166" t="s">
        <v>257</v>
      </c>
    </row>
    <row r="80" spans="1:21" ht="15.75" x14ac:dyDescent="0.25">
      <c r="A80" s="166">
        <f t="shared" si="8"/>
        <v>73</v>
      </c>
      <c r="B80" s="170" t="s">
        <v>156</v>
      </c>
      <c r="C80" s="168">
        <v>1101</v>
      </c>
      <c r="D80" s="162" t="s">
        <v>234</v>
      </c>
      <c r="E80" s="113">
        <f>+VLOOKUP(C80,'TH-17T4'!$E$7:$AV$144,44,0)</f>
        <v>0</v>
      </c>
      <c r="F80" s="112">
        <f>+VLOOKUP(C80,'TH-17T4'!$E$7:$V$144,18,0)</f>
        <v>157090</v>
      </c>
      <c r="G80" s="113">
        <f>+VLOOKUP(C80,'TH-17T4'!$E$7:$AU$144,43,0)</f>
        <v>0</v>
      </c>
      <c r="H80" s="112">
        <f>+VLOOKUP(C80,'TH-17T4'!$E$7:$H$144,4,0)</f>
        <v>0</v>
      </c>
      <c r="I80" s="112">
        <f>+VLOOKUP(C80,'TH-17T4'!$E$7:$AF$144,28,0)</f>
        <v>0</v>
      </c>
      <c r="J80" s="112">
        <f>+VLOOKUP(C80,'TH-17T4'!$E$7:$AI$144,31,0)</f>
        <v>0</v>
      </c>
      <c r="K80" s="112">
        <f>+VLOOKUP(C80,'TH-17T4'!$E$7:$AL$144,34,0)</f>
        <v>0</v>
      </c>
      <c r="L80" s="112">
        <f>+VLOOKUP(C80,'TH-17T4'!$E$7:$Z$144,22,0)</f>
        <v>0</v>
      </c>
      <c r="M80" s="112">
        <f>+VLOOKUP(C80,'TH-17T4'!$E$7:$AC$144,25,0)</f>
        <v>0</v>
      </c>
      <c r="N80" s="165">
        <f t="shared" si="9"/>
        <v>0</v>
      </c>
      <c r="O80" s="113">
        <f>+VLOOKUP(C80,'TH-17T4'!$E$7:$AQ$144,39,0)</f>
        <v>0</v>
      </c>
      <c r="P80" s="120">
        <f t="shared" si="10"/>
        <v>157090</v>
      </c>
      <c r="Q80" s="192"/>
      <c r="R80" s="192"/>
      <c r="S80" s="113">
        <v>0</v>
      </c>
      <c r="T80" s="166" t="s">
        <v>257</v>
      </c>
    </row>
    <row r="81" spans="1:21" ht="15.75" hidden="1" x14ac:dyDescent="0.25">
      <c r="A81" s="166">
        <f t="shared" si="8"/>
        <v>74</v>
      </c>
      <c r="B81" s="170" t="s">
        <v>157</v>
      </c>
      <c r="C81" s="168">
        <f t="shared" si="11"/>
        <v>1102</v>
      </c>
      <c r="D81" s="162" t="s">
        <v>234</v>
      </c>
      <c r="E81" s="113">
        <f>+VLOOKUP(C81,'TH-17T4'!$E$7:$AV$144,44,0)</f>
        <v>110000</v>
      </c>
      <c r="F81" s="112">
        <f>+VLOOKUP(C81,'TH-17T4'!$E$7:$V$144,18,0)</f>
        <v>60375</v>
      </c>
      <c r="G81" s="113">
        <f>+VLOOKUP(C81,'TH-17T4'!$E$7:$AU$144,43,0)</f>
        <v>0</v>
      </c>
      <c r="H81" s="112">
        <f>+VLOOKUP(C81,'TH-17T4'!$E$7:$H$144,4,0)</f>
        <v>0</v>
      </c>
      <c r="I81" s="112">
        <f>+VLOOKUP(C81,'TH-17T4'!$E$7:$AF$144,28,0)</f>
        <v>932727</v>
      </c>
      <c r="J81" s="112">
        <f>+VLOOKUP(C81,'TH-17T4'!$E$7:$AI$144,31,0)</f>
        <v>0</v>
      </c>
      <c r="K81" s="112">
        <f>+VLOOKUP(C81,'TH-17T4'!$E$7:$AL$144,34,0)</f>
        <v>0</v>
      </c>
      <c r="L81" s="112">
        <f>+VLOOKUP(C81,'TH-17T4'!$E$7:$Z$144,22,0)</f>
        <v>0</v>
      </c>
      <c r="M81" s="112">
        <f>+VLOOKUP(C81,'TH-17T4'!$E$7:$AC$144,25,0)</f>
        <v>0</v>
      </c>
      <c r="N81" s="165">
        <f t="shared" si="9"/>
        <v>932727</v>
      </c>
      <c r="O81" s="113">
        <f>+VLOOKUP(C81,'TH-17T4'!$E$7:$AQ$144,39,0)</f>
        <v>0</v>
      </c>
      <c r="P81" s="120">
        <f t="shared" si="10"/>
        <v>1103102</v>
      </c>
      <c r="Q81" s="120">
        <v>1103102</v>
      </c>
      <c r="R81" s="120">
        <f t="shared" ref="R81:R82" si="12">+Q81-P81</f>
        <v>0</v>
      </c>
      <c r="S81" s="113">
        <v>0</v>
      </c>
      <c r="T81" s="166" t="s">
        <v>257</v>
      </c>
      <c r="U81" s="193">
        <v>14</v>
      </c>
    </row>
    <row r="82" spans="1:21" ht="15.75" hidden="1" x14ac:dyDescent="0.25">
      <c r="A82" s="166">
        <f t="shared" si="8"/>
        <v>75</v>
      </c>
      <c r="B82" s="170" t="s">
        <v>158</v>
      </c>
      <c r="C82" s="168">
        <f t="shared" si="11"/>
        <v>1103</v>
      </c>
      <c r="D82" s="162" t="s">
        <v>234</v>
      </c>
      <c r="E82" s="113">
        <f>+VLOOKUP(C82,'TH-17T4'!$E$7:$AV$144,44,0)</f>
        <v>110000</v>
      </c>
      <c r="F82" s="112">
        <f>+VLOOKUP(C82,'TH-17T4'!$E$7:$V$144,18,0)</f>
        <v>126730</v>
      </c>
      <c r="G82" s="113">
        <f>+VLOOKUP(C82,'TH-17T4'!$E$7:$AU$144,43,0)</f>
        <v>1830000</v>
      </c>
      <c r="H82" s="112">
        <f>+VLOOKUP(C82,'TH-17T4'!$E$7:$H$144,4,0)</f>
        <v>840000</v>
      </c>
      <c r="I82" s="112">
        <f>+VLOOKUP(C82,'TH-17T4'!$E$7:$AF$144,28,0)</f>
        <v>0</v>
      </c>
      <c r="J82" s="112">
        <f>+VLOOKUP(C82,'TH-17T4'!$E$7:$AI$144,31,0)</f>
        <v>0</v>
      </c>
      <c r="K82" s="112">
        <f>+VLOOKUP(C82,'TH-17T4'!$E$7:$AL$144,34,0)</f>
        <v>0</v>
      </c>
      <c r="L82" s="112">
        <f>+VLOOKUP(C82,'TH-17T4'!$E$7:$Z$144,22,0)</f>
        <v>88364</v>
      </c>
      <c r="M82" s="112">
        <f>+VLOOKUP(C82,'TH-17T4'!$E$7:$AC$144,25,0)</f>
        <v>0</v>
      </c>
      <c r="N82" s="165">
        <f t="shared" si="9"/>
        <v>88364</v>
      </c>
      <c r="O82" s="113">
        <f>+VLOOKUP(C82,'TH-17T4'!$E$7:$AQ$144,39,0)</f>
        <v>0</v>
      </c>
      <c r="P82" s="120">
        <f t="shared" si="10"/>
        <v>2995094</v>
      </c>
      <c r="Q82" s="120">
        <v>2995094</v>
      </c>
      <c r="R82" s="120">
        <f t="shared" si="12"/>
        <v>0</v>
      </c>
      <c r="S82" s="113">
        <v>0</v>
      </c>
      <c r="T82" s="166" t="s">
        <v>257</v>
      </c>
      <c r="U82" s="193">
        <v>14</v>
      </c>
    </row>
    <row r="83" spans="1:21" ht="15.75" hidden="1" x14ac:dyDescent="0.25">
      <c r="A83" s="166">
        <f t="shared" si="8"/>
        <v>76</v>
      </c>
      <c r="B83" s="170" t="s">
        <v>159</v>
      </c>
      <c r="C83" s="168">
        <f t="shared" si="11"/>
        <v>1104</v>
      </c>
      <c r="D83" s="162" t="s">
        <v>234</v>
      </c>
      <c r="E83" s="113">
        <f>+VLOOKUP(C83,'TH-17T4'!$E$7:$AV$144,44,0)</f>
        <v>0</v>
      </c>
      <c r="F83" s="112">
        <f>+VLOOKUP(C83,'TH-17T4'!$E$7:$V$144,18,0)</f>
        <v>86250</v>
      </c>
      <c r="G83" s="113">
        <f>+VLOOKUP(C83,'TH-17T4'!$E$7:$AU$144,43,0)</f>
        <v>0</v>
      </c>
      <c r="H83" s="112">
        <f>+VLOOKUP(C83,'TH-17T4'!$E$7:$H$144,4,0)</f>
        <v>0</v>
      </c>
      <c r="I83" s="112">
        <f>+VLOOKUP(C83,'TH-17T4'!$E$7:$AF$144,28,0)</f>
        <v>932727</v>
      </c>
      <c r="J83" s="112">
        <f>+VLOOKUP(C83,'TH-17T4'!$E$7:$AI$144,31,0)</f>
        <v>0</v>
      </c>
      <c r="K83" s="112">
        <f>+VLOOKUP(C83,'TH-17T4'!$E$7:$AL$144,34,0)</f>
        <v>0</v>
      </c>
      <c r="L83" s="112">
        <f>+VLOOKUP(C83,'TH-17T4'!$E$7:$Z$144,22,0)</f>
        <v>132546</v>
      </c>
      <c r="M83" s="112">
        <f>+VLOOKUP(C83,'TH-17T4'!$E$7:$AC$144,25,0)</f>
        <v>0</v>
      </c>
      <c r="N83" s="165">
        <f t="shared" si="9"/>
        <v>1065273</v>
      </c>
      <c r="O83" s="113">
        <f>+VLOOKUP(C83,'TH-17T4'!$E$7:$AQ$144,39,0)</f>
        <v>0</v>
      </c>
      <c r="P83" s="120">
        <f t="shared" si="10"/>
        <v>1151523</v>
      </c>
      <c r="Q83" s="192">
        <v>1151523</v>
      </c>
      <c r="R83" s="120">
        <f>+Q83-P83</f>
        <v>0</v>
      </c>
      <c r="S83" s="113">
        <v>0</v>
      </c>
      <c r="T83" s="187" t="s">
        <v>257</v>
      </c>
      <c r="U83" s="193">
        <v>12</v>
      </c>
    </row>
    <row r="84" spans="1:21" ht="15.75" hidden="1" x14ac:dyDescent="0.25">
      <c r="A84" s="166">
        <f t="shared" si="8"/>
        <v>77</v>
      </c>
      <c r="B84" s="170" t="s">
        <v>160</v>
      </c>
      <c r="C84" s="168">
        <f t="shared" si="11"/>
        <v>1105</v>
      </c>
      <c r="D84" s="162" t="s">
        <v>234</v>
      </c>
      <c r="E84" s="113">
        <f>+VLOOKUP(C84,'TH-17T4'!$E$7:$AV$144,44,0)</f>
        <v>0</v>
      </c>
      <c r="F84" s="112">
        <f>+VLOOKUP(C84,'TH-17T4'!$E$7:$V$144,18,0)</f>
        <v>0</v>
      </c>
      <c r="G84" s="113">
        <f>+VLOOKUP(C84,'TH-17T4'!$E$7:$AU$144,43,0)</f>
        <v>0</v>
      </c>
      <c r="H84" s="112">
        <f>+VLOOKUP(C84,'TH-17T4'!$E$7:$H$144,4,0)</f>
        <v>0</v>
      </c>
      <c r="I84" s="112">
        <f>+VLOOKUP(C84,'TH-17T4'!$E$7:$AF$144,28,0)</f>
        <v>0</v>
      </c>
      <c r="J84" s="112">
        <f>+VLOOKUP(C84,'TH-17T4'!$E$7:$AI$144,31,0)</f>
        <v>0</v>
      </c>
      <c r="K84" s="112">
        <f>+VLOOKUP(C84,'TH-17T4'!$E$7:$AL$144,34,0)</f>
        <v>9818</v>
      </c>
      <c r="L84" s="112">
        <f>+VLOOKUP(C84,'TH-17T4'!$E$7:$Z$144,22,0)</f>
        <v>132546</v>
      </c>
      <c r="M84" s="112">
        <f>+VLOOKUP(C84,'TH-17T4'!$E$7:$AC$144,25,0)</f>
        <v>0</v>
      </c>
      <c r="N84" s="165">
        <f t="shared" si="9"/>
        <v>142364</v>
      </c>
      <c r="O84" s="113">
        <f>+VLOOKUP(C84,'TH-17T4'!$E$7:$AQ$144,39,0)</f>
        <v>0</v>
      </c>
      <c r="P84" s="120">
        <f t="shared" si="10"/>
        <v>142364</v>
      </c>
      <c r="Q84" s="120">
        <v>142364</v>
      </c>
      <c r="R84" s="120">
        <f t="shared" ref="R84:R86" si="13">+Q84-P84</f>
        <v>0</v>
      </c>
      <c r="S84" s="113">
        <v>0</v>
      </c>
      <c r="T84" s="166" t="s">
        <v>257</v>
      </c>
      <c r="U84" s="193">
        <v>14</v>
      </c>
    </row>
    <row r="85" spans="1:21" ht="15.75" hidden="1" x14ac:dyDescent="0.25">
      <c r="A85" s="166">
        <f t="shared" si="8"/>
        <v>78</v>
      </c>
      <c r="B85" s="170" t="s">
        <v>161</v>
      </c>
      <c r="C85" s="168">
        <f t="shared" si="11"/>
        <v>1106</v>
      </c>
      <c r="D85" s="162" t="s">
        <v>234</v>
      </c>
      <c r="E85" s="113">
        <f>+VLOOKUP(C85,'TH-17T4'!$E$7:$AV$144,44,0)</f>
        <v>0</v>
      </c>
      <c r="F85" s="112">
        <f>+VLOOKUP(C85,'TH-17T4'!$E$7:$V$144,18,0)</f>
        <v>124200</v>
      </c>
      <c r="G85" s="113">
        <f>+VLOOKUP(C85,'TH-17T4'!$E$7:$AU$144,43,0)</f>
        <v>0</v>
      </c>
      <c r="H85" s="112">
        <f>+VLOOKUP(C85,'TH-17T4'!$E$7:$H$144,4,0)</f>
        <v>3900000</v>
      </c>
      <c r="I85" s="112">
        <f>+VLOOKUP(C85,'TH-17T4'!$E$7:$AF$144,28,0)</f>
        <v>0</v>
      </c>
      <c r="J85" s="112">
        <f>+VLOOKUP(C85,'TH-17T4'!$E$7:$AI$144,31,0)</f>
        <v>0</v>
      </c>
      <c r="K85" s="112">
        <f>+VLOOKUP(C85,'TH-17T4'!$E$7:$AL$144,34,0)</f>
        <v>0</v>
      </c>
      <c r="L85" s="112">
        <f>+VLOOKUP(C85,'TH-17T4'!$E$7:$Z$144,22,0)</f>
        <v>0</v>
      </c>
      <c r="M85" s="112">
        <f>+VLOOKUP(C85,'TH-17T4'!$E$7:$AC$144,25,0)</f>
        <v>0</v>
      </c>
      <c r="N85" s="165">
        <f t="shared" si="9"/>
        <v>0</v>
      </c>
      <c r="O85" s="113">
        <f>+VLOOKUP(C85,'TH-17T4'!$E$7:$AQ$144,39,0)</f>
        <v>390000</v>
      </c>
      <c r="P85" s="120">
        <f t="shared" si="10"/>
        <v>4414200</v>
      </c>
      <c r="Q85" s="120">
        <v>4290000</v>
      </c>
      <c r="R85" s="120">
        <f t="shared" si="13"/>
        <v>-124200</v>
      </c>
      <c r="S85" s="113" t="s">
        <v>272</v>
      </c>
      <c r="T85" s="166" t="s">
        <v>256</v>
      </c>
      <c r="U85" s="193" t="s">
        <v>275</v>
      </c>
    </row>
    <row r="86" spans="1:21" ht="15.75" hidden="1" x14ac:dyDescent="0.25">
      <c r="A86" s="166">
        <f t="shared" si="8"/>
        <v>79</v>
      </c>
      <c r="B86" s="170" t="s">
        <v>162</v>
      </c>
      <c r="C86" s="168">
        <f t="shared" si="11"/>
        <v>1107</v>
      </c>
      <c r="D86" s="162" t="s">
        <v>234</v>
      </c>
      <c r="E86" s="113">
        <f>+VLOOKUP(C86,'TH-17T4'!$E$7:$AV$144,44,0)</f>
        <v>0</v>
      </c>
      <c r="F86" s="112">
        <f>+VLOOKUP(C86,'TH-17T4'!$E$7:$V$144,18,0)</f>
        <v>126730</v>
      </c>
      <c r="G86" s="113">
        <f>+VLOOKUP(C86,'TH-17T4'!$E$7:$AU$144,43,0)</f>
        <v>0</v>
      </c>
      <c r="H86" s="112">
        <f>+VLOOKUP(C86,'TH-17T4'!$E$7:$H$144,4,0)</f>
        <v>0</v>
      </c>
      <c r="I86" s="112">
        <f>+VLOOKUP(C86,'TH-17T4'!$E$7:$AF$144,28,0)</f>
        <v>932727</v>
      </c>
      <c r="J86" s="112">
        <f>+VLOOKUP(C86,'TH-17T4'!$E$7:$AI$144,31,0)</f>
        <v>0</v>
      </c>
      <c r="K86" s="112">
        <f>+VLOOKUP(C86,'TH-17T4'!$E$7:$AL$144,34,0)</f>
        <v>0</v>
      </c>
      <c r="L86" s="112">
        <f>+VLOOKUP(C86,'TH-17T4'!$E$7:$Z$144,22,0)</f>
        <v>132546</v>
      </c>
      <c r="M86" s="112">
        <f>+VLOOKUP(C86,'TH-17T4'!$E$7:$AC$144,25,0)</f>
        <v>0</v>
      </c>
      <c r="N86" s="165">
        <f t="shared" si="9"/>
        <v>1065273</v>
      </c>
      <c r="O86" s="113">
        <f>+VLOOKUP(C86,'TH-17T4'!$E$7:$AQ$144,39,0)</f>
        <v>0</v>
      </c>
      <c r="P86" s="120">
        <f t="shared" si="10"/>
        <v>1192003</v>
      </c>
      <c r="Q86" s="120">
        <v>1192003</v>
      </c>
      <c r="R86" s="120">
        <f t="shared" si="13"/>
        <v>0</v>
      </c>
      <c r="S86" s="113">
        <v>0</v>
      </c>
      <c r="T86" s="166" t="s">
        <v>257</v>
      </c>
      <c r="U86" s="193">
        <v>14</v>
      </c>
    </row>
    <row r="87" spans="1:21" ht="15.75" hidden="1" x14ac:dyDescent="0.25">
      <c r="A87" s="166">
        <f t="shared" si="8"/>
        <v>80</v>
      </c>
      <c r="B87" s="170" t="s">
        <v>163</v>
      </c>
      <c r="C87" s="168">
        <f t="shared" si="11"/>
        <v>1108</v>
      </c>
      <c r="D87" s="162" t="s">
        <v>234</v>
      </c>
      <c r="E87" s="113">
        <f>+VLOOKUP(C87,'TH-17T4'!$E$7:$AV$144,44,0)</f>
        <v>0</v>
      </c>
      <c r="F87" s="112">
        <f>+VLOOKUP(C87,'TH-17T4'!$E$7:$V$144,18,0)</f>
        <v>60375</v>
      </c>
      <c r="G87" s="113">
        <f>+VLOOKUP(C87,'TH-17T4'!$E$7:$AU$144,43,0)</f>
        <v>690000</v>
      </c>
      <c r="H87" s="112">
        <f>+VLOOKUP(C87,'TH-17T4'!$E$7:$H$144,4,0)</f>
        <v>420000</v>
      </c>
      <c r="I87" s="112">
        <f>+VLOOKUP(C87,'TH-17T4'!$E$7:$AF$144,28,0)</f>
        <v>0</v>
      </c>
      <c r="J87" s="112">
        <f>+VLOOKUP(C87,'TH-17T4'!$E$7:$AI$144,31,0)</f>
        <v>0</v>
      </c>
      <c r="K87" s="112">
        <f>+VLOOKUP(C87,'TH-17T4'!$E$7:$AL$144,34,0)</f>
        <v>0</v>
      </c>
      <c r="L87" s="112">
        <f>+VLOOKUP(C87,'TH-17T4'!$E$7:$Z$144,22,0)</f>
        <v>44182</v>
      </c>
      <c r="M87" s="112">
        <f>+VLOOKUP(C87,'TH-17T4'!$E$7:$AC$144,25,0)</f>
        <v>0</v>
      </c>
      <c r="N87" s="165">
        <f t="shared" si="9"/>
        <v>44182</v>
      </c>
      <c r="O87" s="113">
        <f>+VLOOKUP(C87,'TH-17T4'!$E$7:$AQ$144,39,0)</f>
        <v>0</v>
      </c>
      <c r="P87" s="120">
        <f t="shared" si="10"/>
        <v>1214557</v>
      </c>
      <c r="Q87" s="192">
        <v>1214557</v>
      </c>
      <c r="R87" s="192">
        <f>+Q87-P87</f>
        <v>0</v>
      </c>
      <c r="S87" s="113">
        <v>0</v>
      </c>
      <c r="T87" s="166" t="s">
        <v>257</v>
      </c>
      <c r="U87" s="193">
        <v>13</v>
      </c>
    </row>
    <row r="88" spans="1:21" ht="15.75" x14ac:dyDescent="0.25">
      <c r="A88" s="166">
        <f t="shared" si="8"/>
        <v>81</v>
      </c>
      <c r="B88" s="170" t="s">
        <v>164</v>
      </c>
      <c r="C88" s="168">
        <v>1201</v>
      </c>
      <c r="D88" s="162" t="s">
        <v>234</v>
      </c>
      <c r="E88" s="113">
        <f>+VLOOKUP(C88,'TH-17T4'!$E$7:$AV$144,44,0)</f>
        <v>0</v>
      </c>
      <c r="F88" s="112">
        <f>+VLOOKUP(C88,'TH-17T4'!$E$7:$V$144,18,0)</f>
        <v>69000</v>
      </c>
      <c r="G88" s="113">
        <f>+VLOOKUP(C88,'TH-17T4'!$E$7:$AU$144,43,0)</f>
        <v>0</v>
      </c>
      <c r="H88" s="112">
        <f>+VLOOKUP(C88,'TH-17T4'!$E$7:$H$144,4,0)</f>
        <v>0</v>
      </c>
      <c r="I88" s="112">
        <f>+VLOOKUP(C88,'TH-17T4'!$E$7:$AF$144,28,0)</f>
        <v>932727</v>
      </c>
      <c r="J88" s="112">
        <f>+VLOOKUP(C88,'TH-17T4'!$E$7:$AI$144,31,0)</f>
        <v>0</v>
      </c>
      <c r="K88" s="112">
        <f>+VLOOKUP(C88,'TH-17T4'!$E$7:$AL$144,34,0)</f>
        <v>0</v>
      </c>
      <c r="L88" s="112">
        <f>+VLOOKUP(C88,'TH-17T4'!$E$7:$Z$144,22,0)</f>
        <v>44182</v>
      </c>
      <c r="M88" s="112">
        <f>+VLOOKUP(C88,'TH-17T4'!$E$7:$AC$144,25,0)</f>
        <v>0</v>
      </c>
      <c r="N88" s="165">
        <f t="shared" si="9"/>
        <v>976909</v>
      </c>
      <c r="O88" s="113">
        <f>+VLOOKUP(C88,'TH-17T4'!$E$7:$AQ$144,39,0)</f>
        <v>0</v>
      </c>
      <c r="P88" s="120">
        <f t="shared" si="10"/>
        <v>1045909</v>
      </c>
      <c r="Q88" s="192"/>
      <c r="R88" s="192"/>
      <c r="S88" s="113">
        <v>0</v>
      </c>
      <c r="T88" s="166" t="s">
        <v>257</v>
      </c>
    </row>
    <row r="89" spans="1:21" ht="15.75" x14ac:dyDescent="0.25">
      <c r="A89" s="166">
        <f t="shared" si="8"/>
        <v>82</v>
      </c>
      <c r="B89" s="170" t="s">
        <v>165</v>
      </c>
      <c r="C89" s="168">
        <f t="shared" si="11"/>
        <v>1202</v>
      </c>
      <c r="D89" s="162" t="s">
        <v>234</v>
      </c>
      <c r="E89" s="113">
        <f>+VLOOKUP(C89,'TH-17T4'!$E$7:$AV$144,44,0)</f>
        <v>0</v>
      </c>
      <c r="F89" s="112">
        <f>+VLOOKUP(C89,'TH-17T4'!$E$7:$V$144,18,0)</f>
        <v>69000</v>
      </c>
      <c r="G89" s="113">
        <f>+VLOOKUP(C89,'TH-17T4'!$E$7:$AU$144,43,0)</f>
        <v>1428000</v>
      </c>
      <c r="H89" s="112">
        <f>+VLOOKUP(C89,'TH-17T4'!$E$7:$H$144,4,0)</f>
        <v>0</v>
      </c>
      <c r="I89" s="112">
        <f>+VLOOKUP(C89,'TH-17T4'!$E$7:$AF$144,28,0)</f>
        <v>0</v>
      </c>
      <c r="J89" s="112">
        <f>+VLOOKUP(C89,'TH-17T4'!$E$7:$AI$144,31,0)</f>
        <v>0</v>
      </c>
      <c r="K89" s="112">
        <f>+VLOOKUP(C89,'TH-17T4'!$E$7:$AL$144,34,0)</f>
        <v>0</v>
      </c>
      <c r="L89" s="112">
        <f>+VLOOKUP(C89,'TH-17T4'!$E$7:$Z$144,22,0)</f>
        <v>88364</v>
      </c>
      <c r="M89" s="112">
        <f>+VLOOKUP(C89,'TH-17T4'!$E$7:$AC$144,25,0)</f>
        <v>0</v>
      </c>
      <c r="N89" s="165">
        <f t="shared" si="9"/>
        <v>88364</v>
      </c>
      <c r="O89" s="113">
        <f>+VLOOKUP(C89,'TH-17T4'!$E$7:$AQ$144,39,0)</f>
        <v>0</v>
      </c>
      <c r="P89" s="120">
        <f t="shared" si="10"/>
        <v>1585364</v>
      </c>
      <c r="Q89" s="192"/>
      <c r="R89" s="192"/>
      <c r="S89" s="113">
        <v>0</v>
      </c>
      <c r="T89" s="166" t="s">
        <v>257</v>
      </c>
    </row>
    <row r="90" spans="1:21" ht="15.75" x14ac:dyDescent="0.25">
      <c r="A90" s="166">
        <f t="shared" si="8"/>
        <v>83</v>
      </c>
      <c r="B90" s="170" t="s">
        <v>166</v>
      </c>
      <c r="C90" s="168">
        <f t="shared" si="11"/>
        <v>1203</v>
      </c>
      <c r="D90" s="162" t="s">
        <v>234</v>
      </c>
      <c r="E90" s="113">
        <f>+VLOOKUP(C90,'TH-17T4'!$E$7:$AV$144,44,0)</f>
        <v>0</v>
      </c>
      <c r="F90" s="112">
        <f>+VLOOKUP(C90,'TH-17T4'!$E$7:$V$144,18,0)</f>
        <v>248400</v>
      </c>
      <c r="G90" s="113">
        <f>+VLOOKUP(C90,'TH-17T4'!$E$7:$AU$144,43,0)</f>
        <v>0</v>
      </c>
      <c r="H90" s="112">
        <f>+VLOOKUP(C90,'TH-17T4'!$E$7:$H$144,4,0)</f>
        <v>3900000</v>
      </c>
      <c r="I90" s="112">
        <f>+VLOOKUP(C90,'TH-17T4'!$E$7:$AF$144,28,0)</f>
        <v>0</v>
      </c>
      <c r="J90" s="112">
        <f>+VLOOKUP(C90,'TH-17T4'!$E$7:$AI$144,31,0)</f>
        <v>0</v>
      </c>
      <c r="K90" s="112">
        <f>+VLOOKUP(C90,'TH-17T4'!$E$7:$AL$144,34,0)</f>
        <v>0</v>
      </c>
      <c r="L90" s="112">
        <f>+VLOOKUP(C90,'TH-17T4'!$E$7:$Z$144,22,0)</f>
        <v>0</v>
      </c>
      <c r="M90" s="112">
        <f>+VLOOKUP(C90,'TH-17T4'!$E$7:$AC$144,25,0)</f>
        <v>1178184</v>
      </c>
      <c r="N90" s="165">
        <f t="shared" si="9"/>
        <v>1178184</v>
      </c>
      <c r="O90" s="113">
        <f>+VLOOKUP(C90,'TH-17T4'!$E$7:$AQ$144,39,0)</f>
        <v>390000</v>
      </c>
      <c r="P90" s="120">
        <f t="shared" si="10"/>
        <v>5716584</v>
      </c>
      <c r="Q90" s="192"/>
      <c r="R90" s="192"/>
      <c r="S90" s="113" t="s">
        <v>272</v>
      </c>
      <c r="T90" s="166" t="s">
        <v>256</v>
      </c>
    </row>
    <row r="91" spans="1:21" ht="15.75" x14ac:dyDescent="0.25">
      <c r="A91" s="166">
        <f t="shared" si="8"/>
        <v>84</v>
      </c>
      <c r="B91" s="170" t="s">
        <v>167</v>
      </c>
      <c r="C91" s="168">
        <f t="shared" si="11"/>
        <v>1204</v>
      </c>
      <c r="D91" s="162" t="s">
        <v>234</v>
      </c>
      <c r="E91" s="113">
        <f>+VLOOKUP(C91,'TH-17T4'!$E$7:$AV$144,44,0)</f>
        <v>0</v>
      </c>
      <c r="F91" s="112">
        <f>+VLOOKUP(C91,'TH-17T4'!$E$7:$V$144,18,0)</f>
        <v>93150</v>
      </c>
      <c r="G91" s="113">
        <f>+VLOOKUP(C91,'TH-17T4'!$E$7:$AU$144,43,0)</f>
        <v>0</v>
      </c>
      <c r="H91" s="112">
        <f>+VLOOKUP(C91,'TH-17T4'!$E$7:$H$144,4,0)</f>
        <v>1300000</v>
      </c>
      <c r="I91" s="112">
        <f>+VLOOKUP(C91,'TH-17T4'!$E$7:$AF$144,28,0)</f>
        <v>0</v>
      </c>
      <c r="J91" s="112">
        <f>+VLOOKUP(C91,'TH-17T4'!$E$7:$AI$144,31,0)</f>
        <v>0</v>
      </c>
      <c r="K91" s="112">
        <f>+VLOOKUP(C91,'TH-17T4'!$E$7:$AL$144,34,0)</f>
        <v>0</v>
      </c>
      <c r="L91" s="112">
        <f>+VLOOKUP(C91,'TH-17T4'!$E$7:$Z$144,22,0)</f>
        <v>0</v>
      </c>
      <c r="M91" s="112">
        <f>+VLOOKUP(C91,'TH-17T4'!$E$7:$AC$144,25,0)</f>
        <v>392728</v>
      </c>
      <c r="N91" s="165">
        <f t="shared" si="9"/>
        <v>392728</v>
      </c>
      <c r="O91" s="113">
        <f>+VLOOKUP(C91,'TH-17T4'!$E$7:$AQ$144,39,0)</f>
        <v>130000</v>
      </c>
      <c r="P91" s="120">
        <f t="shared" si="10"/>
        <v>1915878</v>
      </c>
      <c r="Q91" s="192"/>
      <c r="R91" s="192"/>
      <c r="S91" s="113" t="s">
        <v>272</v>
      </c>
      <c r="T91" s="166" t="s">
        <v>256</v>
      </c>
    </row>
    <row r="92" spans="1:21" ht="15.75" hidden="1" x14ac:dyDescent="0.25">
      <c r="A92" s="166">
        <f t="shared" si="8"/>
        <v>85</v>
      </c>
      <c r="B92" s="170" t="s">
        <v>168</v>
      </c>
      <c r="C92" s="168">
        <f t="shared" si="11"/>
        <v>1205</v>
      </c>
      <c r="D92" s="162" t="s">
        <v>234</v>
      </c>
      <c r="E92" s="113">
        <f>+VLOOKUP(C92,'TH-17T4'!$E$7:$AV$144,44,0)</f>
        <v>0</v>
      </c>
      <c r="F92" s="112">
        <f>+VLOOKUP(C92,'TH-17T4'!$E$7:$V$144,18,0)</f>
        <v>297850</v>
      </c>
      <c r="G92" s="113">
        <f>+VLOOKUP(C92,'TH-17T4'!$E$7:$AU$144,43,0)</f>
        <v>0</v>
      </c>
      <c r="H92" s="112">
        <f>+VLOOKUP(C92,'TH-17T4'!$E$7:$H$144,4,0)</f>
        <v>0</v>
      </c>
      <c r="I92" s="112">
        <f>+VLOOKUP(C92,'TH-17T4'!$E$7:$AF$144,28,0)</f>
        <v>932727</v>
      </c>
      <c r="J92" s="112">
        <f>+VLOOKUP(C92,'TH-17T4'!$E$7:$AI$144,31,0)</f>
        <v>0</v>
      </c>
      <c r="K92" s="112">
        <f>+VLOOKUP(C92,'TH-17T4'!$E$7:$AL$144,34,0)</f>
        <v>0</v>
      </c>
      <c r="L92" s="112">
        <f>+VLOOKUP(C92,'TH-17T4'!$E$7:$Z$144,22,0)</f>
        <v>132546</v>
      </c>
      <c r="M92" s="112">
        <f>+VLOOKUP(C92,'TH-17T4'!$E$7:$AC$144,25,0)</f>
        <v>0</v>
      </c>
      <c r="N92" s="165">
        <f t="shared" si="9"/>
        <v>1065273</v>
      </c>
      <c r="O92" s="113">
        <f>+VLOOKUP(C92,'TH-17T4'!$E$7:$AQ$144,39,0)</f>
        <v>0</v>
      </c>
      <c r="P92" s="120">
        <f t="shared" si="10"/>
        <v>1363123</v>
      </c>
      <c r="Q92" s="120">
        <v>1363123</v>
      </c>
      <c r="R92" s="120">
        <f t="shared" ref="R92:R93" si="14">+Q92-P92</f>
        <v>0</v>
      </c>
      <c r="S92" s="113">
        <v>0</v>
      </c>
      <c r="T92" s="166" t="s">
        <v>257</v>
      </c>
      <c r="U92" s="193">
        <v>14</v>
      </c>
    </row>
    <row r="93" spans="1:21" ht="15.75" x14ac:dyDescent="0.25">
      <c r="A93" s="166">
        <f t="shared" si="8"/>
        <v>86</v>
      </c>
      <c r="B93" s="170" t="s">
        <v>169</v>
      </c>
      <c r="C93" s="168">
        <f t="shared" si="11"/>
        <v>1206</v>
      </c>
      <c r="D93" s="162" t="s">
        <v>234</v>
      </c>
      <c r="E93" s="113">
        <f>+VLOOKUP(C93,'TH-17T4'!$E$7:$AV$144,44,0)</f>
        <v>0</v>
      </c>
      <c r="F93" s="112">
        <f>+VLOOKUP(C93,'TH-17T4'!$E$7:$V$144,18,0)</f>
        <v>62100</v>
      </c>
      <c r="G93" s="113">
        <f>+VLOOKUP(C93,'TH-17T4'!$E$7:$AU$144,43,0)</f>
        <v>0</v>
      </c>
      <c r="H93" s="112">
        <f>+VLOOKUP(C93,'TH-17T4'!$E$7:$H$144,4,0)</f>
        <v>1300000</v>
      </c>
      <c r="I93" s="112">
        <f>+VLOOKUP(C93,'TH-17T4'!$E$7:$AF$144,28,0)</f>
        <v>0</v>
      </c>
      <c r="J93" s="112">
        <f>+VLOOKUP(C93,'TH-17T4'!$E$7:$AI$144,31,0)</f>
        <v>0</v>
      </c>
      <c r="K93" s="112">
        <f>+VLOOKUP(C93,'TH-17T4'!$E$7:$AL$144,34,0)</f>
        <v>0</v>
      </c>
      <c r="L93" s="112">
        <f>+VLOOKUP(C93,'TH-17T4'!$E$7:$Z$144,22,0)</f>
        <v>0</v>
      </c>
      <c r="M93" s="112">
        <f>+VLOOKUP(C93,'TH-17T4'!$E$7:$AC$144,25,0)</f>
        <v>0</v>
      </c>
      <c r="N93" s="165">
        <f t="shared" si="9"/>
        <v>0</v>
      </c>
      <c r="O93" s="113">
        <f>+VLOOKUP(C93,'TH-17T4'!$E$7:$AQ$144,39,0)</f>
        <v>130000</v>
      </c>
      <c r="P93" s="120">
        <f t="shared" si="10"/>
        <v>1492100</v>
      </c>
      <c r="Q93" s="120">
        <v>0</v>
      </c>
      <c r="R93" s="120">
        <f t="shared" si="14"/>
        <v>-1492100</v>
      </c>
      <c r="S93" s="113" t="s">
        <v>272</v>
      </c>
      <c r="T93" s="166" t="s">
        <v>256</v>
      </c>
    </row>
    <row r="94" spans="1:21" ht="15.75" x14ac:dyDescent="0.25">
      <c r="A94" s="166">
        <f t="shared" si="8"/>
        <v>87</v>
      </c>
      <c r="B94" s="170" t="s">
        <v>170</v>
      </c>
      <c r="C94" s="168">
        <f t="shared" si="11"/>
        <v>1207</v>
      </c>
      <c r="D94" s="162" t="s">
        <v>234</v>
      </c>
      <c r="E94" s="113">
        <f>+VLOOKUP(C94,'TH-17T4'!$E$7:$AV$144,44,0)</f>
        <v>0</v>
      </c>
      <c r="F94" s="112">
        <f>+VLOOKUP(C94,'TH-17T4'!$E$7:$V$144,18,0)</f>
        <v>146970</v>
      </c>
      <c r="G94" s="113">
        <f>+VLOOKUP(C94,'TH-17T4'!$E$7:$AU$144,43,0)</f>
        <v>0</v>
      </c>
      <c r="H94" s="112">
        <f>+VLOOKUP(C94,'TH-17T4'!$E$7:$H$144,4,0)</f>
        <v>0</v>
      </c>
      <c r="I94" s="112">
        <f>+VLOOKUP(C94,'TH-17T4'!$E$7:$AF$144,28,0)</f>
        <v>932727</v>
      </c>
      <c r="J94" s="112">
        <f>+VLOOKUP(C94,'TH-17T4'!$E$7:$AI$144,31,0)</f>
        <v>0</v>
      </c>
      <c r="K94" s="112">
        <f>+VLOOKUP(C94,'TH-17T4'!$E$7:$AL$144,34,0)</f>
        <v>0</v>
      </c>
      <c r="L94" s="112">
        <f>+VLOOKUP(C94,'TH-17T4'!$E$7:$Z$144,22,0)</f>
        <v>88364</v>
      </c>
      <c r="M94" s="112">
        <f>+VLOOKUP(C94,'TH-17T4'!$E$7:$AC$144,25,0)</f>
        <v>0</v>
      </c>
      <c r="N94" s="165">
        <f t="shared" si="9"/>
        <v>1021091</v>
      </c>
      <c r="O94" s="113">
        <f>+VLOOKUP(C94,'TH-17T4'!$E$7:$AQ$144,39,0)</f>
        <v>0</v>
      </c>
      <c r="P94" s="120">
        <f t="shared" si="10"/>
        <v>1168061</v>
      </c>
      <c r="Q94" s="192"/>
      <c r="R94" s="192"/>
      <c r="S94" s="113">
        <v>0</v>
      </c>
      <c r="T94" s="166" t="s">
        <v>257</v>
      </c>
    </row>
    <row r="95" spans="1:21" ht="15.75" x14ac:dyDescent="0.25">
      <c r="A95" s="166">
        <f t="shared" si="8"/>
        <v>88</v>
      </c>
      <c r="B95" s="170" t="s">
        <v>171</v>
      </c>
      <c r="C95" s="168">
        <f t="shared" si="11"/>
        <v>1208</v>
      </c>
      <c r="D95" s="162" t="s">
        <v>234</v>
      </c>
      <c r="E95" s="113">
        <f>+VLOOKUP(C95,'TH-17T4'!$E$7:$AV$144,44,0)</f>
        <v>0</v>
      </c>
      <c r="F95" s="112">
        <f>+VLOOKUP(C95,'TH-17T4'!$E$7:$V$144,18,0)</f>
        <v>136850</v>
      </c>
      <c r="G95" s="113">
        <f>+VLOOKUP(C95,'TH-17T4'!$E$7:$AU$144,43,0)</f>
        <v>2760000</v>
      </c>
      <c r="H95" s="112">
        <f>+VLOOKUP(C95,'TH-17T4'!$E$7:$H$144,4,0)</f>
        <v>0</v>
      </c>
      <c r="I95" s="112">
        <f>+VLOOKUP(C95,'TH-17T4'!$E$7:$AF$144,28,0)</f>
        <v>0</v>
      </c>
      <c r="J95" s="112">
        <f>+VLOOKUP(C95,'TH-17T4'!$E$7:$AI$144,31,0)</f>
        <v>0</v>
      </c>
      <c r="K95" s="112">
        <f>+VLOOKUP(C95,'TH-17T4'!$E$7:$AL$144,34,0)</f>
        <v>9818</v>
      </c>
      <c r="L95" s="112">
        <f>+VLOOKUP(C95,'TH-17T4'!$E$7:$Z$144,22,0)</f>
        <v>44182</v>
      </c>
      <c r="M95" s="112">
        <f>+VLOOKUP(C95,'TH-17T4'!$E$7:$AC$144,25,0)</f>
        <v>0</v>
      </c>
      <c r="N95" s="165">
        <f t="shared" si="9"/>
        <v>54000</v>
      </c>
      <c r="O95" s="113">
        <f>+VLOOKUP(C95,'TH-17T4'!$E$7:$AQ$144,39,0)</f>
        <v>0</v>
      </c>
      <c r="P95" s="120">
        <f t="shared" si="10"/>
        <v>2950850</v>
      </c>
      <c r="Q95" s="192"/>
      <c r="R95" s="192"/>
      <c r="S95" s="113">
        <v>0</v>
      </c>
      <c r="T95" s="166" t="s">
        <v>257</v>
      </c>
    </row>
    <row r="96" spans="1:21" ht="15.75" x14ac:dyDescent="0.25">
      <c r="A96" s="166">
        <f t="shared" si="8"/>
        <v>89</v>
      </c>
      <c r="B96" s="170" t="s">
        <v>172</v>
      </c>
      <c r="C96" s="168">
        <v>1301</v>
      </c>
      <c r="D96" s="162" t="s">
        <v>234</v>
      </c>
      <c r="E96" s="113">
        <f>+VLOOKUP(C96,'TH-17T4'!$E$7:$AV$144,44,0)</f>
        <v>0</v>
      </c>
      <c r="F96" s="112">
        <f>+VLOOKUP(C96,'TH-17T4'!$E$7:$V$144,18,0)</f>
        <v>51750</v>
      </c>
      <c r="G96" s="113">
        <f>+VLOOKUP(C96,'TH-17T4'!$E$7:$AU$144,43,0)</f>
        <v>0</v>
      </c>
      <c r="H96" s="112">
        <f>+VLOOKUP(C96,'TH-17T4'!$E$7:$H$144,4,0)</f>
        <v>0</v>
      </c>
      <c r="I96" s="112">
        <f>+VLOOKUP(C96,'TH-17T4'!$E$7:$AF$144,28,0)</f>
        <v>932727</v>
      </c>
      <c r="J96" s="112">
        <f>+VLOOKUP(C96,'TH-17T4'!$E$7:$AI$144,31,0)</f>
        <v>0</v>
      </c>
      <c r="K96" s="112">
        <f>+VLOOKUP(C96,'TH-17T4'!$E$7:$AL$144,34,0)</f>
        <v>0</v>
      </c>
      <c r="L96" s="112">
        <f>+VLOOKUP(C96,'TH-17T4'!$E$7:$Z$144,22,0)</f>
        <v>88364</v>
      </c>
      <c r="M96" s="112">
        <f>+VLOOKUP(C96,'TH-17T4'!$E$7:$AC$144,25,0)</f>
        <v>0</v>
      </c>
      <c r="N96" s="165">
        <f t="shared" si="9"/>
        <v>1021091</v>
      </c>
      <c r="O96" s="113">
        <f>+VLOOKUP(C96,'TH-17T4'!$E$7:$AQ$144,39,0)</f>
        <v>0</v>
      </c>
      <c r="P96" s="120">
        <f t="shared" si="10"/>
        <v>1072841</v>
      </c>
      <c r="Q96" s="192"/>
      <c r="R96" s="192"/>
      <c r="S96" s="113">
        <v>0</v>
      </c>
      <c r="T96" s="166" t="s">
        <v>257</v>
      </c>
    </row>
    <row r="97" spans="1:21" ht="15.75" x14ac:dyDescent="0.25">
      <c r="A97" s="166">
        <f t="shared" si="8"/>
        <v>90</v>
      </c>
      <c r="B97" s="170" t="s">
        <v>173</v>
      </c>
      <c r="C97" s="168">
        <f t="shared" si="11"/>
        <v>1302</v>
      </c>
      <c r="D97" s="162" t="s">
        <v>234</v>
      </c>
      <c r="E97" s="113">
        <f>+VLOOKUP(C97,'TH-17T4'!$E$7:$AV$144,44,0)</f>
        <v>110000</v>
      </c>
      <c r="F97" s="112">
        <f>+VLOOKUP(C97,'TH-17T4'!$E$7:$V$144,18,0)</f>
        <v>270250</v>
      </c>
      <c r="G97" s="113">
        <f>+VLOOKUP(C97,'TH-17T4'!$E$7:$AU$144,43,0)</f>
        <v>0</v>
      </c>
      <c r="H97" s="112">
        <f>+VLOOKUP(C97,'TH-17T4'!$E$7:$H$144,4,0)</f>
        <v>0</v>
      </c>
      <c r="I97" s="112">
        <f>+VLOOKUP(C97,'TH-17T4'!$E$7:$AF$144,28,0)</f>
        <v>932727</v>
      </c>
      <c r="J97" s="112">
        <f>+VLOOKUP(C97,'TH-17T4'!$E$7:$AI$144,31,0)</f>
        <v>0</v>
      </c>
      <c r="K97" s="112">
        <f>+VLOOKUP(C97,'TH-17T4'!$E$7:$AL$144,34,0)</f>
        <v>9818</v>
      </c>
      <c r="L97" s="112">
        <f>+VLOOKUP(C97,'TH-17T4'!$E$7:$Z$144,22,0)</f>
        <v>88364</v>
      </c>
      <c r="M97" s="112">
        <f>+VLOOKUP(C97,'TH-17T4'!$E$7:$AC$144,25,0)</f>
        <v>0</v>
      </c>
      <c r="N97" s="165">
        <f t="shared" si="9"/>
        <v>1030909</v>
      </c>
      <c r="O97" s="113">
        <f>+VLOOKUP(C97,'TH-17T4'!$E$7:$AQ$144,39,0)</f>
        <v>0</v>
      </c>
      <c r="P97" s="120">
        <f t="shared" si="10"/>
        <v>1411159</v>
      </c>
      <c r="Q97" s="192"/>
      <c r="R97" s="192"/>
      <c r="S97" s="113">
        <v>0</v>
      </c>
      <c r="T97" s="166" t="s">
        <v>257</v>
      </c>
    </row>
    <row r="98" spans="1:21" ht="15.75" hidden="1" x14ac:dyDescent="0.25">
      <c r="A98" s="166">
        <f t="shared" si="8"/>
        <v>91</v>
      </c>
      <c r="B98" s="170" t="s">
        <v>174</v>
      </c>
      <c r="C98" s="168">
        <f t="shared" si="11"/>
        <v>1303</v>
      </c>
      <c r="D98" s="162" t="s">
        <v>234</v>
      </c>
      <c r="E98" s="113">
        <f>+VLOOKUP(C98,'TH-17T4'!$E$7:$AV$144,44,0)</f>
        <v>0</v>
      </c>
      <c r="F98" s="112">
        <f>+VLOOKUP(C98,'TH-17T4'!$E$7:$V$144,18,0)</f>
        <v>270250</v>
      </c>
      <c r="G98" s="113">
        <f>+VLOOKUP(C98,'TH-17T4'!$E$7:$AU$144,43,0)</f>
        <v>0</v>
      </c>
      <c r="H98" s="112">
        <f>+VLOOKUP(C98,'TH-17T4'!$E$7:$H$144,4,0)</f>
        <v>0</v>
      </c>
      <c r="I98" s="112">
        <f>+VLOOKUP(C98,'TH-17T4'!$E$7:$AF$144,28,0)</f>
        <v>932727</v>
      </c>
      <c r="J98" s="112">
        <f>+VLOOKUP(C98,'TH-17T4'!$E$7:$AI$144,31,0)</f>
        <v>0</v>
      </c>
      <c r="K98" s="112">
        <f>+VLOOKUP(C98,'TH-17T4'!$E$7:$AL$144,34,0)</f>
        <v>0</v>
      </c>
      <c r="L98" s="112">
        <f>+VLOOKUP(C98,'TH-17T4'!$E$7:$Z$144,22,0)</f>
        <v>0</v>
      </c>
      <c r="M98" s="112">
        <f>+VLOOKUP(C98,'TH-17T4'!$E$7:$AC$144,25,0)</f>
        <v>0</v>
      </c>
      <c r="N98" s="165">
        <f t="shared" si="9"/>
        <v>932727</v>
      </c>
      <c r="O98" s="113">
        <f>+VLOOKUP(C98,'TH-17T4'!$E$7:$AQ$144,39,0)</f>
        <v>0</v>
      </c>
      <c r="P98" s="120">
        <f t="shared" si="10"/>
        <v>1202977</v>
      </c>
      <c r="Q98" s="192">
        <v>1202977</v>
      </c>
      <c r="R98" s="120">
        <f>+Q98-P98</f>
        <v>0</v>
      </c>
      <c r="S98" s="113">
        <v>0</v>
      </c>
      <c r="T98" s="187" t="s">
        <v>257</v>
      </c>
      <c r="U98" s="193">
        <v>12</v>
      </c>
    </row>
    <row r="99" spans="1:21" ht="15.75" hidden="1" x14ac:dyDescent="0.25">
      <c r="A99" s="166">
        <f t="shared" si="8"/>
        <v>92</v>
      </c>
      <c r="B99" s="170" t="s">
        <v>175</v>
      </c>
      <c r="C99" s="168">
        <f t="shared" si="11"/>
        <v>1304</v>
      </c>
      <c r="D99" s="162" t="s">
        <v>234</v>
      </c>
      <c r="E99" s="113">
        <f>+VLOOKUP(C99,'TH-17T4'!$E$7:$AV$144,44,0)</f>
        <v>110000</v>
      </c>
      <c r="F99" s="112">
        <f>+VLOOKUP(C99,'TH-17T4'!$E$7:$V$144,18,0)</f>
        <v>126730</v>
      </c>
      <c r="G99" s="113">
        <f>+VLOOKUP(C99,'TH-17T4'!$E$7:$AU$144,43,0)</f>
        <v>0</v>
      </c>
      <c r="H99" s="112">
        <f>+VLOOKUP(C99,'TH-17T4'!$E$7:$H$144,4,0)</f>
        <v>0</v>
      </c>
      <c r="I99" s="112">
        <f>+VLOOKUP(C99,'TH-17T4'!$E$7:$AF$144,28,0)</f>
        <v>932727</v>
      </c>
      <c r="J99" s="112">
        <f>+VLOOKUP(C99,'TH-17T4'!$E$7:$AI$144,31,0)</f>
        <v>0</v>
      </c>
      <c r="K99" s="112">
        <f>+VLOOKUP(C99,'TH-17T4'!$E$7:$AL$144,34,0)</f>
        <v>9818</v>
      </c>
      <c r="L99" s="112">
        <f>+VLOOKUP(C99,'TH-17T4'!$E$7:$Z$144,22,0)</f>
        <v>309274</v>
      </c>
      <c r="M99" s="112">
        <f>+VLOOKUP(C99,'TH-17T4'!$E$7:$AC$144,25,0)</f>
        <v>0</v>
      </c>
      <c r="N99" s="165">
        <f t="shared" si="9"/>
        <v>1251819</v>
      </c>
      <c r="O99" s="113">
        <f>+VLOOKUP(C99,'TH-17T4'!$E$7:$AQ$144,39,0)</f>
        <v>0</v>
      </c>
      <c r="P99" s="120">
        <f t="shared" si="10"/>
        <v>1488549</v>
      </c>
      <c r="Q99" s="192">
        <v>1488549</v>
      </c>
      <c r="R99" s="192">
        <f>+Q99-P99</f>
        <v>0</v>
      </c>
      <c r="S99" s="113">
        <v>0</v>
      </c>
      <c r="T99" s="166" t="s">
        <v>257</v>
      </c>
      <c r="U99" s="193">
        <v>13</v>
      </c>
    </row>
    <row r="100" spans="1:21" ht="15.75" x14ac:dyDescent="0.25">
      <c r="A100" s="166">
        <f t="shared" si="8"/>
        <v>93</v>
      </c>
      <c r="B100" s="170" t="s">
        <v>176</v>
      </c>
      <c r="C100" s="168">
        <f t="shared" si="11"/>
        <v>1305</v>
      </c>
      <c r="D100" s="162" t="s">
        <v>234</v>
      </c>
      <c r="E100" s="113">
        <f>+VLOOKUP(C100,'TH-17T4'!$E$7:$AV$144,44,0)</f>
        <v>0</v>
      </c>
      <c r="F100" s="112">
        <f>+VLOOKUP(C100,'TH-17T4'!$E$7:$V$144,18,0)</f>
        <v>60375</v>
      </c>
      <c r="G100" s="113">
        <f>+VLOOKUP(C100,'TH-17T4'!$E$7:$AU$144,43,0)</f>
        <v>0</v>
      </c>
      <c r="H100" s="112">
        <f>+VLOOKUP(C100,'TH-17T4'!$E$7:$H$144,4,0)</f>
        <v>0</v>
      </c>
      <c r="I100" s="112">
        <f>+VLOOKUP(C100,'TH-17T4'!$E$7:$AF$144,28,0)</f>
        <v>0</v>
      </c>
      <c r="J100" s="112">
        <f>+VLOOKUP(C100,'TH-17T4'!$E$7:$AI$144,31,0)</f>
        <v>0</v>
      </c>
      <c r="K100" s="112">
        <f>+VLOOKUP(C100,'TH-17T4'!$E$7:$AL$144,34,0)</f>
        <v>0</v>
      </c>
      <c r="L100" s="112">
        <f>+VLOOKUP(C100,'TH-17T4'!$E$7:$Z$144,22,0)</f>
        <v>44182</v>
      </c>
      <c r="M100" s="112">
        <f>+VLOOKUP(C100,'TH-17T4'!$E$7:$AC$144,25,0)</f>
        <v>0</v>
      </c>
      <c r="N100" s="165">
        <f t="shared" si="9"/>
        <v>44182</v>
      </c>
      <c r="O100" s="113">
        <f>+VLOOKUP(C100,'TH-17T4'!$E$7:$AQ$144,39,0)</f>
        <v>0</v>
      </c>
      <c r="P100" s="120">
        <f t="shared" si="10"/>
        <v>104557</v>
      </c>
      <c r="Q100" s="192"/>
      <c r="R100" s="192"/>
      <c r="S100" s="113">
        <v>0</v>
      </c>
      <c r="T100" s="166" t="s">
        <v>257</v>
      </c>
    </row>
    <row r="101" spans="1:21" ht="15.75" hidden="1" x14ac:dyDescent="0.25">
      <c r="A101" s="166">
        <f t="shared" si="8"/>
        <v>94</v>
      </c>
      <c r="B101" s="170" t="s">
        <v>177</v>
      </c>
      <c r="C101" s="168">
        <f t="shared" si="11"/>
        <v>1306</v>
      </c>
      <c r="D101" s="162" t="s">
        <v>234</v>
      </c>
      <c r="E101" s="113">
        <f>+VLOOKUP(C101,'TH-17T4'!$E$7:$AV$144,44,0)</f>
        <v>110000</v>
      </c>
      <c r="F101" s="112">
        <f>+VLOOKUP(C101,'TH-17T4'!$E$7:$V$144,18,0)</f>
        <v>116610</v>
      </c>
      <c r="G101" s="113">
        <f>+VLOOKUP(C101,'TH-17T4'!$E$7:$AU$144,43,0)</f>
        <v>0</v>
      </c>
      <c r="H101" s="112">
        <f>+VLOOKUP(C101,'TH-17T4'!$E$7:$H$144,4,0)</f>
        <v>0</v>
      </c>
      <c r="I101" s="112">
        <f>+VLOOKUP(C101,'TH-17T4'!$E$7:$AF$144,28,0)</f>
        <v>932727</v>
      </c>
      <c r="J101" s="112">
        <f>+VLOOKUP(C101,'TH-17T4'!$E$7:$AI$144,31,0)</f>
        <v>0</v>
      </c>
      <c r="K101" s="112">
        <f>+VLOOKUP(C101,'TH-17T4'!$E$7:$AL$144,34,0)</f>
        <v>0</v>
      </c>
      <c r="L101" s="112">
        <f>+VLOOKUP(C101,'TH-17T4'!$E$7:$Z$144,22,0)</f>
        <v>176728</v>
      </c>
      <c r="M101" s="112">
        <f>+VLOOKUP(C101,'TH-17T4'!$E$7:$AC$144,25,0)</f>
        <v>0</v>
      </c>
      <c r="N101" s="165">
        <f t="shared" si="9"/>
        <v>1109455</v>
      </c>
      <c r="O101" s="113">
        <f>+VLOOKUP(C101,'TH-17T4'!$E$7:$AQ$144,39,0)</f>
        <v>0</v>
      </c>
      <c r="P101" s="120">
        <f t="shared" si="10"/>
        <v>1336065</v>
      </c>
      <c r="Q101" s="192">
        <v>1336065</v>
      </c>
      <c r="R101" s="120">
        <f>+Q101-P101</f>
        <v>0</v>
      </c>
      <c r="S101" s="113">
        <v>0</v>
      </c>
      <c r="T101" s="187" t="s">
        <v>257</v>
      </c>
      <c r="U101" s="193">
        <v>12</v>
      </c>
    </row>
    <row r="102" spans="1:21" ht="15.75" x14ac:dyDescent="0.25">
      <c r="A102" s="166">
        <f t="shared" si="8"/>
        <v>95</v>
      </c>
      <c r="B102" s="170" t="s">
        <v>178</v>
      </c>
      <c r="C102" s="168">
        <f t="shared" si="11"/>
        <v>1307</v>
      </c>
      <c r="D102" s="162" t="s">
        <v>234</v>
      </c>
      <c r="E102" s="113">
        <f>+VLOOKUP(C102,'TH-17T4'!$E$7:$AV$144,44,0)</f>
        <v>0</v>
      </c>
      <c r="F102" s="112">
        <f>+VLOOKUP(C102,'TH-17T4'!$E$7:$V$144,18,0)</f>
        <v>187450</v>
      </c>
      <c r="G102" s="113">
        <f>+VLOOKUP(C102,'TH-17T4'!$E$7:$AU$144,43,0)</f>
        <v>0</v>
      </c>
      <c r="H102" s="112">
        <f>+VLOOKUP(C102,'TH-17T4'!$E$7:$H$144,4,0)</f>
        <v>0</v>
      </c>
      <c r="I102" s="112">
        <f>+VLOOKUP(C102,'TH-17T4'!$E$7:$AF$144,28,0)</f>
        <v>0</v>
      </c>
      <c r="J102" s="112">
        <f>+VLOOKUP(C102,'TH-17T4'!$E$7:$AI$144,31,0)</f>
        <v>0</v>
      </c>
      <c r="K102" s="112">
        <f>+VLOOKUP(C102,'TH-17T4'!$E$7:$AL$144,34,0)</f>
        <v>0</v>
      </c>
      <c r="L102" s="112">
        <f>+VLOOKUP(C102,'TH-17T4'!$E$7:$Z$144,22,0)</f>
        <v>132546</v>
      </c>
      <c r="M102" s="112">
        <f>+VLOOKUP(C102,'TH-17T4'!$E$7:$AC$144,25,0)</f>
        <v>0</v>
      </c>
      <c r="N102" s="165">
        <f t="shared" si="9"/>
        <v>132546</v>
      </c>
      <c r="O102" s="113">
        <f>+VLOOKUP(C102,'TH-17T4'!$E$7:$AQ$144,39,0)</f>
        <v>0</v>
      </c>
      <c r="P102" s="120">
        <f t="shared" si="10"/>
        <v>319996</v>
      </c>
      <c r="Q102" s="192"/>
      <c r="R102" s="192"/>
      <c r="S102" s="113">
        <v>0</v>
      </c>
      <c r="T102" s="166" t="s">
        <v>257</v>
      </c>
    </row>
    <row r="103" spans="1:21" ht="15.75" hidden="1" x14ac:dyDescent="0.25">
      <c r="A103" s="166">
        <f t="shared" si="8"/>
        <v>96</v>
      </c>
      <c r="B103" s="170" t="s">
        <v>179</v>
      </c>
      <c r="C103" s="168">
        <f t="shared" si="11"/>
        <v>1308</v>
      </c>
      <c r="D103" s="162" t="s">
        <v>234</v>
      </c>
      <c r="E103" s="113">
        <f>+VLOOKUP(C103,'TH-17T4'!$E$7:$AV$144,44,0)</f>
        <v>110000</v>
      </c>
      <c r="F103" s="112">
        <f>+VLOOKUP(C103,'TH-17T4'!$E$7:$V$144,18,0)</f>
        <v>77625</v>
      </c>
      <c r="G103" s="113">
        <f>+VLOOKUP(C103,'TH-17T4'!$E$7:$AU$144,43,0)</f>
        <v>0</v>
      </c>
      <c r="H103" s="112">
        <f>+VLOOKUP(C103,'TH-17T4'!$E$7:$H$144,4,0)</f>
        <v>0</v>
      </c>
      <c r="I103" s="112">
        <f>+VLOOKUP(C103,'TH-17T4'!$E$7:$AF$144,28,0)</f>
        <v>0</v>
      </c>
      <c r="J103" s="112">
        <f>+VLOOKUP(C103,'TH-17T4'!$E$7:$AI$144,31,0)</f>
        <v>0</v>
      </c>
      <c r="K103" s="112">
        <f>+VLOOKUP(C103,'TH-17T4'!$E$7:$AL$144,34,0)</f>
        <v>0</v>
      </c>
      <c r="L103" s="112">
        <f>+VLOOKUP(C103,'TH-17T4'!$E$7:$Z$144,22,0)</f>
        <v>44182</v>
      </c>
      <c r="M103" s="112">
        <f>+VLOOKUP(C103,'TH-17T4'!$E$7:$AC$144,25,0)</f>
        <v>0</v>
      </c>
      <c r="N103" s="165">
        <f t="shared" si="9"/>
        <v>44182</v>
      </c>
      <c r="O103" s="113">
        <f>+VLOOKUP(C103,'TH-17T4'!$E$7:$AQ$144,39,0)</f>
        <v>0</v>
      </c>
      <c r="P103" s="120">
        <f t="shared" si="10"/>
        <v>231807</v>
      </c>
      <c r="Q103" s="192">
        <v>231807</v>
      </c>
      <c r="R103" s="192">
        <f>+Q103-P103</f>
        <v>0</v>
      </c>
      <c r="S103" s="113">
        <v>0</v>
      </c>
      <c r="T103" s="166" t="s">
        <v>257</v>
      </c>
      <c r="U103" s="193">
        <v>13</v>
      </c>
    </row>
    <row r="104" spans="1:21" ht="15.75" hidden="1" x14ac:dyDescent="0.25">
      <c r="A104" s="166">
        <f t="shared" si="8"/>
        <v>97</v>
      </c>
      <c r="B104" s="170" t="s">
        <v>180</v>
      </c>
      <c r="C104" s="168">
        <v>1401</v>
      </c>
      <c r="D104" s="162" t="s">
        <v>234</v>
      </c>
      <c r="E104" s="113">
        <f>+VLOOKUP(C104,'TH-17T4'!$E$7:$AV$144,44,0)</f>
        <v>0</v>
      </c>
      <c r="F104" s="112">
        <f>+VLOOKUP(C104,'TH-17T4'!$E$7:$V$144,18,0)</f>
        <v>217350</v>
      </c>
      <c r="G104" s="113">
        <f>+VLOOKUP(C104,'TH-17T4'!$E$7:$AU$144,43,0)</f>
        <v>0</v>
      </c>
      <c r="H104" s="112">
        <f>+VLOOKUP(C104,'TH-17T4'!$E$7:$H$144,4,0)</f>
        <v>0</v>
      </c>
      <c r="I104" s="112">
        <f>+VLOOKUP(C104,'TH-17T4'!$E$7:$AF$144,28,0)</f>
        <v>0</v>
      </c>
      <c r="J104" s="112">
        <f>+VLOOKUP(C104,'TH-17T4'!$E$7:$AI$144,31,0)</f>
        <v>0</v>
      </c>
      <c r="K104" s="112">
        <f>+VLOOKUP(C104,'TH-17T4'!$E$7:$AL$144,34,0)</f>
        <v>0</v>
      </c>
      <c r="L104" s="112">
        <f>+VLOOKUP(C104,'TH-17T4'!$E$7:$Z$144,22,0)</f>
        <v>98182</v>
      </c>
      <c r="M104" s="112">
        <f>+VLOOKUP(C104,'TH-17T4'!$E$7:$AC$144,25,0)</f>
        <v>2650914</v>
      </c>
      <c r="N104" s="165">
        <f t="shared" si="9"/>
        <v>2749096</v>
      </c>
      <c r="O104" s="113">
        <f>+VLOOKUP(C104,'TH-17T4'!$E$7:$AQ$144,39,0)</f>
        <v>0</v>
      </c>
      <c r="P104" s="120">
        <f t="shared" si="10"/>
        <v>2966446</v>
      </c>
      <c r="Q104" s="120">
        <v>2966446</v>
      </c>
      <c r="R104" s="120">
        <f>+Q104-P104</f>
        <v>0</v>
      </c>
      <c r="S104" s="113"/>
      <c r="T104" s="166" t="s">
        <v>256</v>
      </c>
      <c r="U104" s="193">
        <v>14</v>
      </c>
    </row>
    <row r="105" spans="1:21" ht="15.75" x14ac:dyDescent="0.25">
      <c r="A105" s="166">
        <f t="shared" si="8"/>
        <v>98</v>
      </c>
      <c r="B105" s="170" t="s">
        <v>181</v>
      </c>
      <c r="C105" s="168">
        <f t="shared" si="11"/>
        <v>1402</v>
      </c>
      <c r="D105" s="162" t="s">
        <v>234</v>
      </c>
      <c r="E105" s="113">
        <f>+VLOOKUP(C105,'TH-17T4'!$E$7:$AV$144,44,0)</f>
        <v>0</v>
      </c>
      <c r="F105" s="112">
        <f>+VLOOKUP(C105,'TH-17T4'!$E$7:$V$144,18,0)</f>
        <v>146970</v>
      </c>
      <c r="G105" s="113">
        <f>+VLOOKUP(C105,'TH-17T4'!$E$7:$AU$144,43,0)</f>
        <v>0</v>
      </c>
      <c r="H105" s="112">
        <f>+VLOOKUP(C105,'TH-17T4'!$E$7:$H$144,4,0)</f>
        <v>0</v>
      </c>
      <c r="I105" s="112">
        <f>+VLOOKUP(C105,'TH-17T4'!$E$7:$AF$144,28,0)</f>
        <v>0</v>
      </c>
      <c r="J105" s="112">
        <f>+VLOOKUP(C105,'TH-17T4'!$E$7:$AI$144,31,0)</f>
        <v>0</v>
      </c>
      <c r="K105" s="112">
        <f>+VLOOKUP(C105,'TH-17T4'!$E$7:$AL$144,34,0)</f>
        <v>0</v>
      </c>
      <c r="L105" s="112">
        <f>+VLOOKUP(C105,'TH-17T4'!$E$7:$Z$144,22,0)</f>
        <v>0</v>
      </c>
      <c r="M105" s="112">
        <f>+VLOOKUP(C105,'TH-17T4'!$E$7:$AC$144,25,0)</f>
        <v>0</v>
      </c>
      <c r="N105" s="165">
        <f t="shared" si="9"/>
        <v>0</v>
      </c>
      <c r="O105" s="113">
        <f>+VLOOKUP(C105,'TH-17T4'!$E$7:$AQ$144,39,0)</f>
        <v>0</v>
      </c>
      <c r="P105" s="120">
        <f t="shared" si="10"/>
        <v>146970</v>
      </c>
      <c r="Q105" s="192"/>
      <c r="R105" s="192"/>
      <c r="S105" s="113">
        <v>0</v>
      </c>
      <c r="T105" s="166" t="s">
        <v>257</v>
      </c>
    </row>
    <row r="106" spans="1:21" ht="15.75" hidden="1" x14ac:dyDescent="0.25">
      <c r="A106" s="166">
        <f t="shared" si="8"/>
        <v>99</v>
      </c>
      <c r="B106" s="170" t="s">
        <v>182</v>
      </c>
      <c r="C106" s="168">
        <f t="shared" si="11"/>
        <v>1403</v>
      </c>
      <c r="D106" s="162" t="s">
        <v>234</v>
      </c>
      <c r="E106" s="113">
        <f>+VLOOKUP(C106,'TH-17T4'!$E$7:$AV$144,44,0)</f>
        <v>0</v>
      </c>
      <c r="F106" s="112">
        <f>+VLOOKUP(C106,'TH-17T4'!$E$7:$V$144,18,0)</f>
        <v>0</v>
      </c>
      <c r="G106" s="113">
        <f>+VLOOKUP(C106,'TH-17T4'!$E$7:$AU$144,43,0)</f>
        <v>0</v>
      </c>
      <c r="H106" s="112">
        <f>+VLOOKUP(C106,'TH-17T4'!$E$7:$H$144,4,0)</f>
        <v>0</v>
      </c>
      <c r="I106" s="112">
        <f>+VLOOKUP(C106,'TH-17T4'!$E$7:$AF$144,28,0)</f>
        <v>932727</v>
      </c>
      <c r="J106" s="112">
        <f>+VLOOKUP(C106,'TH-17T4'!$E$7:$AI$144,31,0)</f>
        <v>0</v>
      </c>
      <c r="K106" s="112">
        <f>+VLOOKUP(C106,'TH-17T4'!$E$7:$AL$144,34,0)</f>
        <v>0</v>
      </c>
      <c r="L106" s="112">
        <f>+VLOOKUP(C106,'TH-17T4'!$E$7:$Z$144,22,0)</f>
        <v>44182</v>
      </c>
      <c r="M106" s="112">
        <f>+VLOOKUP(C106,'TH-17T4'!$E$7:$AC$144,25,0)</f>
        <v>0</v>
      </c>
      <c r="N106" s="165">
        <f t="shared" si="9"/>
        <v>976909</v>
      </c>
      <c r="O106" s="113">
        <f>+VLOOKUP(C106,'TH-17T4'!$E$7:$AQ$144,39,0)</f>
        <v>0</v>
      </c>
      <c r="P106" s="120">
        <f t="shared" si="10"/>
        <v>976909</v>
      </c>
      <c r="Q106" s="192">
        <v>976909</v>
      </c>
      <c r="R106" s="192">
        <f>+Q106-P106</f>
        <v>0</v>
      </c>
      <c r="S106" s="113">
        <v>0</v>
      </c>
      <c r="T106" s="166" t="s">
        <v>257</v>
      </c>
      <c r="U106" s="193">
        <v>13</v>
      </c>
    </row>
    <row r="107" spans="1:21" ht="15.75" x14ac:dyDescent="0.25">
      <c r="A107" s="166">
        <f t="shared" si="8"/>
        <v>100</v>
      </c>
      <c r="B107" s="170" t="s">
        <v>183</v>
      </c>
      <c r="C107" s="168">
        <f t="shared" si="11"/>
        <v>1404</v>
      </c>
      <c r="D107" s="162" t="s">
        <v>234</v>
      </c>
      <c r="E107" s="113">
        <f>+VLOOKUP(C107,'TH-17T4'!$E$7:$AV$144,44,0)</f>
        <v>110000</v>
      </c>
      <c r="F107" s="112">
        <f>+VLOOKUP(C107,'TH-17T4'!$E$7:$V$144,18,0)</f>
        <v>86250</v>
      </c>
      <c r="G107" s="113">
        <f>+VLOOKUP(C107,'TH-17T4'!$E$7:$AU$144,43,0)</f>
        <v>0</v>
      </c>
      <c r="H107" s="112">
        <f>+VLOOKUP(C107,'TH-17T4'!$E$7:$H$144,4,0)</f>
        <v>0</v>
      </c>
      <c r="I107" s="112">
        <f>+VLOOKUP(C107,'TH-17T4'!$E$7:$AF$144,28,0)</f>
        <v>0</v>
      </c>
      <c r="J107" s="112">
        <f>+VLOOKUP(C107,'TH-17T4'!$E$7:$AI$144,31,0)</f>
        <v>0</v>
      </c>
      <c r="K107" s="112">
        <f>+VLOOKUP(C107,'TH-17T4'!$E$7:$AL$144,34,0)</f>
        <v>0</v>
      </c>
      <c r="L107" s="112">
        <f>+VLOOKUP(C107,'TH-17T4'!$E$7:$Z$144,22,0)</f>
        <v>44182</v>
      </c>
      <c r="M107" s="112">
        <f>+VLOOKUP(C107,'TH-17T4'!$E$7:$AC$144,25,0)</f>
        <v>0</v>
      </c>
      <c r="N107" s="165">
        <f t="shared" si="9"/>
        <v>44182</v>
      </c>
      <c r="O107" s="113">
        <f>+VLOOKUP(C107,'TH-17T4'!$E$7:$AQ$144,39,0)</f>
        <v>0</v>
      </c>
      <c r="P107" s="120">
        <f t="shared" si="10"/>
        <v>240432</v>
      </c>
      <c r="Q107" s="192"/>
      <c r="R107" s="192"/>
      <c r="S107" s="113">
        <v>0</v>
      </c>
      <c r="T107" s="166" t="s">
        <v>257</v>
      </c>
    </row>
    <row r="108" spans="1:21" ht="15.75" hidden="1" x14ac:dyDescent="0.25">
      <c r="A108" s="166">
        <f t="shared" si="8"/>
        <v>101</v>
      </c>
      <c r="B108" s="170" t="s">
        <v>184</v>
      </c>
      <c r="C108" s="168">
        <f t="shared" si="11"/>
        <v>1405</v>
      </c>
      <c r="D108" s="162" t="s">
        <v>234</v>
      </c>
      <c r="E108" s="113">
        <f>+VLOOKUP(C108,'TH-17T4'!$E$7:$AV$144,44,0)</f>
        <v>0</v>
      </c>
      <c r="F108" s="112">
        <f>+VLOOKUP(C108,'TH-17T4'!$E$7:$V$144,18,0)</f>
        <v>167210</v>
      </c>
      <c r="G108" s="113">
        <f>+VLOOKUP(C108,'TH-17T4'!$E$7:$AU$144,43,0)</f>
        <v>0</v>
      </c>
      <c r="H108" s="112">
        <f>+VLOOKUP(C108,'TH-17T4'!$E$7:$H$144,4,0)</f>
        <v>0</v>
      </c>
      <c r="I108" s="112">
        <f>+VLOOKUP(C108,'TH-17T4'!$E$7:$AF$144,28,0)</f>
        <v>0</v>
      </c>
      <c r="J108" s="112">
        <f>+VLOOKUP(C108,'TH-17T4'!$E$7:$AI$144,31,0)</f>
        <v>0</v>
      </c>
      <c r="K108" s="112">
        <f>+VLOOKUP(C108,'TH-17T4'!$E$7:$AL$144,34,0)</f>
        <v>0</v>
      </c>
      <c r="L108" s="112">
        <f>+VLOOKUP(C108,'TH-17T4'!$E$7:$Z$144,22,0)</f>
        <v>44182</v>
      </c>
      <c r="M108" s="112">
        <f>+VLOOKUP(C108,'TH-17T4'!$E$7:$AC$144,25,0)</f>
        <v>0</v>
      </c>
      <c r="N108" s="165">
        <f t="shared" si="9"/>
        <v>44182</v>
      </c>
      <c r="O108" s="113">
        <f>+VLOOKUP(C108,'TH-17T4'!$E$7:$AQ$144,39,0)</f>
        <v>0</v>
      </c>
      <c r="P108" s="120">
        <f t="shared" si="10"/>
        <v>211392</v>
      </c>
      <c r="Q108" s="120">
        <v>211392</v>
      </c>
      <c r="R108" s="120">
        <f>+Q108-P108</f>
        <v>0</v>
      </c>
      <c r="S108" s="113">
        <v>0</v>
      </c>
      <c r="T108" s="166" t="s">
        <v>257</v>
      </c>
      <c r="U108" s="193">
        <v>14</v>
      </c>
    </row>
    <row r="109" spans="1:21" ht="15.75" x14ac:dyDescent="0.25">
      <c r="A109" s="166">
        <f t="shared" si="8"/>
        <v>102</v>
      </c>
      <c r="B109" s="170" t="s">
        <v>185</v>
      </c>
      <c r="C109" s="168">
        <f t="shared" si="11"/>
        <v>1406</v>
      </c>
      <c r="D109" s="162" t="s">
        <v>234</v>
      </c>
      <c r="E109" s="113">
        <f>+VLOOKUP(C109,'TH-17T4'!$E$7:$AV$144,44,0)</f>
        <v>0</v>
      </c>
      <c r="F109" s="112">
        <f>+VLOOKUP(C109,'TH-17T4'!$E$7:$V$144,18,0)</f>
        <v>270250</v>
      </c>
      <c r="G109" s="113">
        <f>+VLOOKUP(C109,'TH-17T4'!$E$7:$AU$144,43,0)</f>
        <v>0</v>
      </c>
      <c r="H109" s="112">
        <f>+VLOOKUP(C109,'TH-17T4'!$E$7:$H$144,4,0)</f>
        <v>0</v>
      </c>
      <c r="I109" s="112">
        <f>+VLOOKUP(C109,'TH-17T4'!$E$7:$AF$144,28,0)</f>
        <v>0</v>
      </c>
      <c r="J109" s="112">
        <f>+VLOOKUP(C109,'TH-17T4'!$E$7:$AI$144,31,0)</f>
        <v>0</v>
      </c>
      <c r="K109" s="112">
        <f>+VLOOKUP(C109,'TH-17T4'!$E$7:$AL$144,34,0)</f>
        <v>9818</v>
      </c>
      <c r="L109" s="112">
        <f>+VLOOKUP(C109,'TH-17T4'!$E$7:$Z$144,22,0)</f>
        <v>88364</v>
      </c>
      <c r="M109" s="112">
        <f>+VLOOKUP(C109,'TH-17T4'!$E$7:$AC$144,25,0)</f>
        <v>0</v>
      </c>
      <c r="N109" s="165">
        <f t="shared" si="9"/>
        <v>98182</v>
      </c>
      <c r="O109" s="113">
        <f>+VLOOKUP(C109,'TH-17T4'!$E$7:$AQ$144,39,0)</f>
        <v>0</v>
      </c>
      <c r="P109" s="120">
        <f t="shared" si="10"/>
        <v>368432</v>
      </c>
      <c r="Q109" s="192"/>
      <c r="R109" s="192"/>
      <c r="S109" s="113">
        <v>0</v>
      </c>
      <c r="T109" s="166" t="s">
        <v>257</v>
      </c>
    </row>
    <row r="110" spans="1:21" ht="15.75" hidden="1" x14ac:dyDescent="0.25">
      <c r="A110" s="166">
        <f t="shared" si="8"/>
        <v>103</v>
      </c>
      <c r="B110" s="170" t="s">
        <v>186</v>
      </c>
      <c r="C110" s="168">
        <f t="shared" si="11"/>
        <v>1407</v>
      </c>
      <c r="D110" s="162" t="s">
        <v>234</v>
      </c>
      <c r="E110" s="113">
        <f>+VLOOKUP(C110,'TH-17T4'!$E$7:$AV$144,44,0)</f>
        <v>0</v>
      </c>
      <c r="F110" s="112">
        <f>+VLOOKUP(C110,'TH-17T4'!$E$7:$V$144,18,0)</f>
        <v>17250</v>
      </c>
      <c r="G110" s="113">
        <f>+VLOOKUP(C110,'TH-17T4'!$E$7:$AU$144,43,0)</f>
        <v>0</v>
      </c>
      <c r="H110" s="112">
        <f>+VLOOKUP(C110,'TH-17T4'!$E$7:$H$144,4,0)</f>
        <v>0</v>
      </c>
      <c r="I110" s="112">
        <f>+VLOOKUP(C110,'TH-17T4'!$E$7:$AF$144,28,0)</f>
        <v>0</v>
      </c>
      <c r="J110" s="112">
        <f>+VLOOKUP(C110,'TH-17T4'!$E$7:$AI$144,31,0)</f>
        <v>0</v>
      </c>
      <c r="K110" s="112">
        <f>+VLOOKUP(C110,'TH-17T4'!$E$7:$AL$144,34,0)</f>
        <v>0</v>
      </c>
      <c r="L110" s="112">
        <f>+VLOOKUP(C110,'TH-17T4'!$E$7:$Z$144,22,0)</f>
        <v>44182</v>
      </c>
      <c r="M110" s="112">
        <f>+VLOOKUP(C110,'TH-17T4'!$E$7:$AC$144,25,0)</f>
        <v>0</v>
      </c>
      <c r="N110" s="165">
        <f t="shared" si="9"/>
        <v>44182</v>
      </c>
      <c r="O110" s="113">
        <f>+VLOOKUP(C110,'TH-17T4'!$E$7:$AQ$144,39,0)</f>
        <v>0</v>
      </c>
      <c r="P110" s="120">
        <f t="shared" si="10"/>
        <v>61432</v>
      </c>
      <c r="Q110" s="192">
        <v>61432</v>
      </c>
      <c r="R110" s="192">
        <f>+Q110-P110</f>
        <v>0</v>
      </c>
      <c r="S110" s="113">
        <v>0</v>
      </c>
      <c r="T110" s="166" t="s">
        <v>257</v>
      </c>
      <c r="U110" s="193">
        <v>13</v>
      </c>
    </row>
    <row r="111" spans="1:21" ht="15.75" x14ac:dyDescent="0.25">
      <c r="A111" s="166">
        <f t="shared" si="8"/>
        <v>104</v>
      </c>
      <c r="B111" s="170" t="s">
        <v>187</v>
      </c>
      <c r="C111" s="168">
        <v>1501</v>
      </c>
      <c r="D111" s="162" t="s">
        <v>234</v>
      </c>
      <c r="E111" s="113">
        <f>+VLOOKUP(C111,'TH-17T4'!$E$7:$AV$144,44,0)</f>
        <v>0</v>
      </c>
      <c r="F111" s="112">
        <f>+VLOOKUP(C111,'TH-17T4'!$E$7:$V$144,18,0)</f>
        <v>341550</v>
      </c>
      <c r="G111" s="113">
        <f>+VLOOKUP(C111,'TH-17T4'!$E$7:$AU$144,43,0)</f>
        <v>0</v>
      </c>
      <c r="H111" s="112">
        <f>+VLOOKUP(C111,'TH-17T4'!$E$7:$H$144,4,0)</f>
        <v>3900000</v>
      </c>
      <c r="I111" s="112">
        <f>+VLOOKUP(C111,'TH-17T4'!$E$7:$AF$144,28,0)</f>
        <v>0</v>
      </c>
      <c r="J111" s="112">
        <f>+VLOOKUP(C111,'TH-17T4'!$E$7:$AI$144,31,0)</f>
        <v>0</v>
      </c>
      <c r="K111" s="112">
        <f>+VLOOKUP(C111,'TH-17T4'!$E$7:$AL$144,34,0)</f>
        <v>0</v>
      </c>
      <c r="L111" s="112">
        <f>+VLOOKUP(C111,'TH-17T4'!$E$7:$Z$144,22,0)</f>
        <v>196364</v>
      </c>
      <c r="M111" s="112">
        <f>+VLOOKUP(C111,'TH-17T4'!$E$7:$AC$144,25,0)</f>
        <v>589092</v>
      </c>
      <c r="N111" s="165">
        <f t="shared" si="9"/>
        <v>785456</v>
      </c>
      <c r="O111" s="113">
        <f>+VLOOKUP(C111,'TH-17T4'!$E$7:$AQ$144,39,0)</f>
        <v>390000</v>
      </c>
      <c r="P111" s="120">
        <f t="shared" si="10"/>
        <v>5417006</v>
      </c>
      <c r="Q111" s="192"/>
      <c r="R111" s="192"/>
      <c r="S111" s="113" t="s">
        <v>272</v>
      </c>
      <c r="T111" s="166" t="s">
        <v>256</v>
      </c>
    </row>
    <row r="112" spans="1:21" ht="15.75" x14ac:dyDescent="0.25">
      <c r="A112" s="166">
        <f t="shared" si="8"/>
        <v>105</v>
      </c>
      <c r="B112" s="170" t="s">
        <v>188</v>
      </c>
      <c r="C112" s="168">
        <f t="shared" si="11"/>
        <v>1502</v>
      </c>
      <c r="D112" s="162" t="s">
        <v>234</v>
      </c>
      <c r="E112" s="113">
        <f>+VLOOKUP(C112,'TH-17T4'!$E$7:$AV$144,44,0)</f>
        <v>110000</v>
      </c>
      <c r="F112" s="112">
        <f>+VLOOKUP(C112,'TH-17T4'!$E$7:$V$144,18,0)</f>
        <v>280290</v>
      </c>
      <c r="G112" s="113">
        <f>+VLOOKUP(C112,'TH-17T4'!$E$7:$AU$144,43,0)</f>
        <v>0</v>
      </c>
      <c r="H112" s="112">
        <f>+VLOOKUP(C112,'TH-17T4'!$E$7:$H$144,4,0)</f>
        <v>0</v>
      </c>
      <c r="I112" s="112">
        <f>+VLOOKUP(C112,'TH-17T4'!$E$7:$AF$144,28,0)</f>
        <v>0</v>
      </c>
      <c r="J112" s="112">
        <f>+VLOOKUP(C112,'TH-17T4'!$E$7:$AI$144,31,0)</f>
        <v>0</v>
      </c>
      <c r="K112" s="112">
        <f>+VLOOKUP(C112,'TH-17T4'!$E$7:$AL$144,34,0)</f>
        <v>0</v>
      </c>
      <c r="L112" s="112">
        <f>+VLOOKUP(C112,'TH-17T4'!$E$7:$Z$144,22,0)</f>
        <v>88364</v>
      </c>
      <c r="M112" s="112">
        <f>+VLOOKUP(C112,'TH-17T4'!$E$7:$AC$144,25,0)</f>
        <v>0</v>
      </c>
      <c r="N112" s="165">
        <f t="shared" si="9"/>
        <v>88364</v>
      </c>
      <c r="O112" s="113">
        <f>+VLOOKUP(C112,'TH-17T4'!$E$7:$AQ$144,39,0)</f>
        <v>0</v>
      </c>
      <c r="P112" s="120">
        <f t="shared" si="10"/>
        <v>478654</v>
      </c>
      <c r="Q112" s="192"/>
      <c r="R112" s="192"/>
      <c r="S112" s="113" t="s">
        <v>273</v>
      </c>
      <c r="T112" s="166" t="s">
        <v>257</v>
      </c>
    </row>
    <row r="113" spans="1:21" ht="15.75" x14ac:dyDescent="0.25">
      <c r="A113" s="166">
        <f t="shared" si="8"/>
        <v>106</v>
      </c>
      <c r="B113" s="170" t="s">
        <v>189</v>
      </c>
      <c r="C113" s="168">
        <f t="shared" si="11"/>
        <v>1503</v>
      </c>
      <c r="D113" s="162" t="s">
        <v>234</v>
      </c>
      <c r="E113" s="113">
        <f>+VLOOKUP(C113,'TH-17T4'!$E$7:$AV$144,44,0)</f>
        <v>0</v>
      </c>
      <c r="F113" s="112">
        <f>+VLOOKUP(C113,'TH-17T4'!$E$7:$V$144,18,0)</f>
        <v>77625</v>
      </c>
      <c r="G113" s="113">
        <f>+VLOOKUP(C113,'TH-17T4'!$E$7:$AU$144,43,0)</f>
        <v>0</v>
      </c>
      <c r="H113" s="112">
        <f>+VLOOKUP(C113,'TH-17T4'!$E$7:$H$144,4,0)</f>
        <v>0</v>
      </c>
      <c r="I113" s="112">
        <f>+VLOOKUP(C113,'TH-17T4'!$E$7:$AF$144,28,0)</f>
        <v>932727</v>
      </c>
      <c r="J113" s="112">
        <f>+VLOOKUP(C113,'TH-17T4'!$E$7:$AI$144,31,0)</f>
        <v>0</v>
      </c>
      <c r="K113" s="112">
        <f>+VLOOKUP(C113,'TH-17T4'!$E$7:$AL$144,34,0)</f>
        <v>0</v>
      </c>
      <c r="L113" s="112">
        <f>+VLOOKUP(C113,'TH-17T4'!$E$7:$Z$144,22,0)</f>
        <v>44182</v>
      </c>
      <c r="M113" s="112">
        <f>+VLOOKUP(C113,'TH-17T4'!$E$7:$AC$144,25,0)</f>
        <v>0</v>
      </c>
      <c r="N113" s="165">
        <f t="shared" si="9"/>
        <v>976909</v>
      </c>
      <c r="O113" s="113">
        <f>+VLOOKUP(C113,'TH-17T4'!$E$7:$AQ$144,39,0)</f>
        <v>0</v>
      </c>
      <c r="P113" s="120">
        <f t="shared" si="10"/>
        <v>1054534</v>
      </c>
      <c r="Q113" s="192"/>
      <c r="R113" s="192"/>
      <c r="S113" s="113">
        <v>0</v>
      </c>
      <c r="T113" s="166" t="s">
        <v>257</v>
      </c>
    </row>
    <row r="114" spans="1:21" ht="15.75" x14ac:dyDescent="0.25">
      <c r="A114" s="166">
        <f t="shared" si="8"/>
        <v>107</v>
      </c>
      <c r="B114" s="170" t="s">
        <v>190</v>
      </c>
      <c r="C114" s="168">
        <f t="shared" si="11"/>
        <v>1504</v>
      </c>
      <c r="D114" s="162" t="s">
        <v>234</v>
      </c>
      <c r="E114" s="113">
        <f>+VLOOKUP(C114,'TH-17T4'!$E$7:$AV$144,44,0)</f>
        <v>0</v>
      </c>
      <c r="F114" s="112">
        <f>+VLOOKUP(C114,'TH-17T4'!$E$7:$V$144,18,0)</f>
        <v>51750</v>
      </c>
      <c r="G114" s="113">
        <f>+VLOOKUP(C114,'TH-17T4'!$E$7:$AU$144,43,0)</f>
        <v>0</v>
      </c>
      <c r="H114" s="112">
        <f>+VLOOKUP(C114,'TH-17T4'!$E$7:$H$144,4,0)</f>
        <v>0</v>
      </c>
      <c r="I114" s="112">
        <f>+VLOOKUP(C114,'TH-17T4'!$E$7:$AF$144,28,0)</f>
        <v>0</v>
      </c>
      <c r="J114" s="112">
        <f>+VLOOKUP(C114,'TH-17T4'!$E$7:$AI$144,31,0)</f>
        <v>0</v>
      </c>
      <c r="K114" s="112">
        <f>+VLOOKUP(C114,'TH-17T4'!$E$7:$AL$144,34,0)</f>
        <v>0</v>
      </c>
      <c r="L114" s="112">
        <f>+VLOOKUP(C114,'TH-17T4'!$E$7:$Z$144,22,0)</f>
        <v>0</v>
      </c>
      <c r="M114" s="112">
        <f>+VLOOKUP(C114,'TH-17T4'!$E$7:$AC$144,25,0)</f>
        <v>0</v>
      </c>
      <c r="N114" s="165">
        <f t="shared" si="9"/>
        <v>0</v>
      </c>
      <c r="O114" s="113">
        <f>+VLOOKUP(C114,'TH-17T4'!$E$7:$AQ$144,39,0)</f>
        <v>0</v>
      </c>
      <c r="P114" s="120">
        <f t="shared" si="10"/>
        <v>51750</v>
      </c>
      <c r="Q114" s="192"/>
      <c r="R114" s="192"/>
      <c r="S114" s="113">
        <v>0</v>
      </c>
      <c r="T114" s="166" t="s">
        <v>257</v>
      </c>
    </row>
    <row r="115" spans="1:21" ht="15.75" x14ac:dyDescent="0.25">
      <c r="A115" s="166">
        <f t="shared" si="8"/>
        <v>108</v>
      </c>
      <c r="B115" s="170" t="s">
        <v>191</v>
      </c>
      <c r="C115" s="168">
        <f t="shared" si="11"/>
        <v>1505</v>
      </c>
      <c r="D115" s="162" t="s">
        <v>234</v>
      </c>
      <c r="E115" s="113">
        <f>+VLOOKUP(C115,'TH-17T4'!$E$7:$AV$144,44,0)</f>
        <v>0</v>
      </c>
      <c r="F115" s="112">
        <f>+VLOOKUP(C115,'TH-17T4'!$E$7:$V$144,18,0)</f>
        <v>69000</v>
      </c>
      <c r="G115" s="113">
        <f>+VLOOKUP(C115,'TH-17T4'!$E$7:$AU$144,43,0)</f>
        <v>0</v>
      </c>
      <c r="H115" s="112">
        <f>+VLOOKUP(C115,'TH-17T4'!$E$7:$H$144,4,0)</f>
        <v>0</v>
      </c>
      <c r="I115" s="112">
        <f>+VLOOKUP(C115,'TH-17T4'!$E$7:$AF$144,28,0)</f>
        <v>932727</v>
      </c>
      <c r="J115" s="112">
        <f>+VLOOKUP(C115,'TH-17T4'!$E$7:$AI$144,31,0)</f>
        <v>0</v>
      </c>
      <c r="K115" s="112">
        <f>+VLOOKUP(C115,'TH-17T4'!$E$7:$AL$144,34,0)</f>
        <v>0</v>
      </c>
      <c r="L115" s="112">
        <f>+VLOOKUP(C115,'TH-17T4'!$E$7:$Z$144,22,0)</f>
        <v>44182</v>
      </c>
      <c r="M115" s="112">
        <f>+VLOOKUP(C115,'TH-17T4'!$E$7:$AC$144,25,0)</f>
        <v>0</v>
      </c>
      <c r="N115" s="165">
        <f t="shared" si="9"/>
        <v>976909</v>
      </c>
      <c r="O115" s="113">
        <f>+VLOOKUP(C115,'TH-17T4'!$E$7:$AQ$144,39,0)</f>
        <v>0</v>
      </c>
      <c r="P115" s="120">
        <f t="shared" si="10"/>
        <v>1045909</v>
      </c>
      <c r="Q115" s="192"/>
      <c r="R115" s="192"/>
      <c r="S115" s="113">
        <v>0</v>
      </c>
      <c r="T115" s="166" t="s">
        <v>257</v>
      </c>
    </row>
    <row r="116" spans="1:21" ht="15.75" hidden="1" x14ac:dyDescent="0.25">
      <c r="A116" s="166">
        <f t="shared" si="8"/>
        <v>109</v>
      </c>
      <c r="B116" s="170" t="s">
        <v>192</v>
      </c>
      <c r="C116" s="168">
        <f t="shared" si="11"/>
        <v>1506</v>
      </c>
      <c r="D116" s="162" t="s">
        <v>234</v>
      </c>
      <c r="E116" s="113">
        <f>+VLOOKUP(C116,'TH-17T4'!$E$7:$AV$144,44,0)</f>
        <v>0</v>
      </c>
      <c r="F116" s="112">
        <f>+VLOOKUP(C116,'TH-17T4'!$E$7:$V$144,18,0)</f>
        <v>0</v>
      </c>
      <c r="G116" s="113">
        <f>+VLOOKUP(C116,'TH-17T4'!$E$7:$AU$144,43,0)</f>
        <v>0</v>
      </c>
      <c r="H116" s="112">
        <f>+VLOOKUP(C116,'TH-17T4'!$E$7:$H$144,4,0)</f>
        <v>3900000</v>
      </c>
      <c r="I116" s="112">
        <f>+VLOOKUP(C116,'TH-17T4'!$E$7:$AF$144,28,0)</f>
        <v>0</v>
      </c>
      <c r="J116" s="112">
        <f>+VLOOKUP(C116,'TH-17T4'!$E$7:$AI$144,31,0)</f>
        <v>0</v>
      </c>
      <c r="K116" s="112">
        <f>+VLOOKUP(C116,'TH-17T4'!$E$7:$AL$144,34,0)</f>
        <v>0</v>
      </c>
      <c r="L116" s="112">
        <f>+VLOOKUP(C116,'TH-17T4'!$E$7:$Z$144,22,0)</f>
        <v>0</v>
      </c>
      <c r="M116" s="112">
        <f>+VLOOKUP(C116,'TH-17T4'!$E$7:$AC$144,25,0)</f>
        <v>0</v>
      </c>
      <c r="N116" s="165">
        <f t="shared" si="9"/>
        <v>0</v>
      </c>
      <c r="O116" s="113">
        <f>+VLOOKUP(C116,'TH-17T4'!$E$7:$AQ$144,39,0)</f>
        <v>390000</v>
      </c>
      <c r="P116" s="120">
        <f>+O116+N116+H116+G116+F116+E116</f>
        <v>4290000</v>
      </c>
      <c r="Q116" s="192">
        <v>4290000</v>
      </c>
      <c r="R116" s="120">
        <f>+Q116-P116</f>
        <v>0</v>
      </c>
      <c r="S116" s="113" t="s">
        <v>272</v>
      </c>
      <c r="T116" s="171" t="s">
        <v>256</v>
      </c>
      <c r="U116" s="193">
        <v>12</v>
      </c>
    </row>
    <row r="117" spans="1:21" ht="15.75" x14ac:dyDescent="0.25">
      <c r="A117" s="166">
        <f t="shared" si="8"/>
        <v>110</v>
      </c>
      <c r="B117" s="170" t="s">
        <v>193</v>
      </c>
      <c r="C117" s="168">
        <f t="shared" si="11"/>
        <v>1507</v>
      </c>
      <c r="D117" s="162" t="s">
        <v>234</v>
      </c>
      <c r="E117" s="113">
        <f>+VLOOKUP(C117,'TH-17T4'!$E$7:$AV$144,44,0)</f>
        <v>0</v>
      </c>
      <c r="F117" s="112">
        <f>+VLOOKUP(C117,'TH-17T4'!$E$7:$V$144,18,0)</f>
        <v>69000</v>
      </c>
      <c r="G117" s="113">
        <f>+VLOOKUP(C117,'TH-17T4'!$E$7:$AU$144,43,0)</f>
        <v>2070000</v>
      </c>
      <c r="H117" s="112">
        <f>+VLOOKUP(C117,'TH-17T4'!$E$7:$H$144,4,0)</f>
        <v>0</v>
      </c>
      <c r="I117" s="112">
        <f>+VLOOKUP(C117,'TH-17T4'!$E$7:$AF$144,28,0)</f>
        <v>0</v>
      </c>
      <c r="J117" s="112">
        <f>+VLOOKUP(C117,'TH-17T4'!$E$7:$AI$144,31,0)</f>
        <v>0</v>
      </c>
      <c r="K117" s="112">
        <f>+VLOOKUP(C117,'TH-17T4'!$E$7:$AL$144,34,0)</f>
        <v>0</v>
      </c>
      <c r="L117" s="112">
        <f>+VLOOKUP(C117,'TH-17T4'!$E$7:$Z$144,22,0)</f>
        <v>44182</v>
      </c>
      <c r="M117" s="112">
        <f>+VLOOKUP(C117,'TH-17T4'!$E$7:$AC$144,25,0)</f>
        <v>0</v>
      </c>
      <c r="N117" s="165">
        <f t="shared" si="9"/>
        <v>44182</v>
      </c>
      <c r="O117" s="113">
        <f>+VLOOKUP(C117,'TH-17T4'!$E$7:$AQ$144,39,0)</f>
        <v>0</v>
      </c>
      <c r="P117" s="120">
        <f t="shared" si="10"/>
        <v>2183182</v>
      </c>
      <c r="Q117" s="192"/>
      <c r="R117" s="192"/>
      <c r="S117" s="113">
        <v>0</v>
      </c>
      <c r="T117" s="166" t="s">
        <v>257</v>
      </c>
    </row>
    <row r="118" spans="1:21" ht="15.75" x14ac:dyDescent="0.25">
      <c r="A118" s="166">
        <f t="shared" si="8"/>
        <v>111</v>
      </c>
      <c r="B118" s="170" t="s">
        <v>78</v>
      </c>
      <c r="C118" s="168">
        <v>1601</v>
      </c>
      <c r="D118" s="162" t="s">
        <v>234</v>
      </c>
      <c r="E118" s="113">
        <f>+VLOOKUP(C118,'TH-17T4'!$E$7:$AV$144,44,0)</f>
        <v>0</v>
      </c>
      <c r="F118" s="112">
        <f>+VLOOKUP(C118,'TH-17T4'!$E$7:$V$144,18,0)</f>
        <v>822250</v>
      </c>
      <c r="G118" s="113">
        <f>+VLOOKUP(C118,'TH-17T4'!$E$7:$AU$144,43,0)</f>
        <v>2802000</v>
      </c>
      <c r="H118" s="112">
        <f>+VLOOKUP(C118,'TH-17T4'!$E$7:$H$144,4,0)</f>
        <v>840000</v>
      </c>
      <c r="I118" s="112">
        <f>+VLOOKUP(C118,'TH-17T4'!$E$7:$AF$144,28,0)</f>
        <v>0</v>
      </c>
      <c r="J118" s="112">
        <f>+VLOOKUP(C118,'TH-17T4'!$E$7:$AI$144,31,0)</f>
        <v>0</v>
      </c>
      <c r="K118" s="112">
        <f>+VLOOKUP(C118,'TH-17T4'!$E$7:$AL$144,34,0)</f>
        <v>0</v>
      </c>
      <c r="L118" s="112">
        <f>+VLOOKUP(C118,'TH-17T4'!$E$7:$Z$144,22,0)</f>
        <v>0</v>
      </c>
      <c r="M118" s="112">
        <f>+VLOOKUP(C118,'TH-17T4'!$E$7:$AC$144,25,0)</f>
        <v>0</v>
      </c>
      <c r="N118" s="165">
        <f t="shared" si="9"/>
        <v>0</v>
      </c>
      <c r="O118" s="113">
        <f>+VLOOKUP(C118,'TH-17T4'!$E$7:$AQ$144,39,0)</f>
        <v>216000</v>
      </c>
      <c r="P118" s="120">
        <f t="shared" si="10"/>
        <v>4680250</v>
      </c>
      <c r="Q118" s="192"/>
      <c r="R118" s="192"/>
      <c r="S118" s="113">
        <v>0</v>
      </c>
      <c r="T118" s="166" t="s">
        <v>257</v>
      </c>
    </row>
    <row r="119" spans="1:21" ht="15.75" x14ac:dyDescent="0.25">
      <c r="A119" s="166">
        <f t="shared" si="8"/>
        <v>112</v>
      </c>
      <c r="B119" s="170" t="s">
        <v>194</v>
      </c>
      <c r="C119" s="168">
        <f t="shared" si="11"/>
        <v>1602</v>
      </c>
      <c r="D119" s="162" t="s">
        <v>234</v>
      </c>
      <c r="E119" s="113">
        <f>+VLOOKUP(C119,'TH-17T4'!$E$7:$AV$144,44,0)</f>
        <v>0</v>
      </c>
      <c r="F119" s="112">
        <f>+VLOOKUP(C119,'TH-17T4'!$E$7:$V$144,18,0)</f>
        <v>311650</v>
      </c>
      <c r="G119" s="113">
        <f>+VLOOKUP(C119,'TH-17T4'!$E$7:$AU$144,43,0)</f>
        <v>0</v>
      </c>
      <c r="H119" s="112">
        <f>+VLOOKUP(C119,'TH-17T4'!$E$7:$H$144,4,0)</f>
        <v>0</v>
      </c>
      <c r="I119" s="112">
        <f>+VLOOKUP(C119,'TH-17T4'!$E$7:$AF$144,28,0)</f>
        <v>0</v>
      </c>
      <c r="J119" s="112">
        <f>+VLOOKUP(C119,'TH-17T4'!$E$7:$AI$144,31,0)</f>
        <v>0</v>
      </c>
      <c r="K119" s="112">
        <f>+VLOOKUP(C119,'TH-17T4'!$E$7:$AL$144,34,0)</f>
        <v>0</v>
      </c>
      <c r="L119" s="112">
        <f>+VLOOKUP(C119,'TH-17T4'!$E$7:$Z$144,22,0)</f>
        <v>44182</v>
      </c>
      <c r="M119" s="112">
        <f>+VLOOKUP(C119,'TH-17T4'!$E$7:$AC$144,25,0)</f>
        <v>0</v>
      </c>
      <c r="N119" s="165">
        <f t="shared" si="9"/>
        <v>44182</v>
      </c>
      <c r="O119" s="113">
        <f>+VLOOKUP(C119,'TH-17T4'!$E$7:$AQ$144,39,0)</f>
        <v>0</v>
      </c>
      <c r="P119" s="120">
        <f t="shared" si="10"/>
        <v>355832</v>
      </c>
      <c r="Q119" s="192"/>
      <c r="R119" s="192"/>
      <c r="S119" s="113">
        <v>0</v>
      </c>
      <c r="T119" s="166" t="s">
        <v>257</v>
      </c>
    </row>
    <row r="120" spans="1:21" ht="15.75" x14ac:dyDescent="0.25">
      <c r="A120" s="166">
        <f t="shared" si="8"/>
        <v>113</v>
      </c>
      <c r="B120" s="170" t="s">
        <v>195</v>
      </c>
      <c r="C120" s="168">
        <f t="shared" si="11"/>
        <v>1603</v>
      </c>
      <c r="D120" s="162" t="s">
        <v>234</v>
      </c>
      <c r="E120" s="113">
        <f>+VLOOKUP(C120,'TH-17T4'!$E$7:$AV$144,44,0)</f>
        <v>0</v>
      </c>
      <c r="F120" s="112">
        <f>+VLOOKUP(C120,'TH-17T4'!$E$7:$V$144,18,0)</f>
        <v>106490</v>
      </c>
      <c r="G120" s="113">
        <f>+VLOOKUP(C120,'TH-17T4'!$E$7:$AU$144,43,0)</f>
        <v>0</v>
      </c>
      <c r="H120" s="112">
        <f>+VLOOKUP(C120,'TH-17T4'!$E$7:$H$144,4,0)</f>
        <v>0</v>
      </c>
      <c r="I120" s="112">
        <f>+VLOOKUP(C120,'TH-17T4'!$E$7:$AF$144,28,0)</f>
        <v>0</v>
      </c>
      <c r="J120" s="112">
        <f>+VLOOKUP(C120,'TH-17T4'!$E$7:$AI$144,31,0)</f>
        <v>0</v>
      </c>
      <c r="K120" s="112">
        <f>+VLOOKUP(C120,'TH-17T4'!$E$7:$AL$144,34,0)</f>
        <v>0</v>
      </c>
      <c r="L120" s="112">
        <f>+VLOOKUP(C120,'TH-17T4'!$E$7:$Z$144,22,0)</f>
        <v>132546</v>
      </c>
      <c r="M120" s="112">
        <f>+VLOOKUP(C120,'TH-17T4'!$E$7:$AC$144,25,0)</f>
        <v>0</v>
      </c>
      <c r="N120" s="165">
        <f t="shared" si="9"/>
        <v>132546</v>
      </c>
      <c r="O120" s="113">
        <f>+VLOOKUP(C120,'TH-17T4'!$E$7:$AQ$144,39,0)</f>
        <v>0</v>
      </c>
      <c r="P120" s="120">
        <f t="shared" si="10"/>
        <v>239036</v>
      </c>
      <c r="Q120" s="192"/>
      <c r="R120" s="192"/>
      <c r="S120" s="113">
        <v>0</v>
      </c>
      <c r="T120" s="166" t="s">
        <v>257</v>
      </c>
    </row>
    <row r="121" spans="1:21" ht="15.75" x14ac:dyDescent="0.25">
      <c r="A121" s="166">
        <f t="shared" si="8"/>
        <v>114</v>
      </c>
      <c r="B121" s="170" t="s">
        <v>196</v>
      </c>
      <c r="C121" s="168">
        <f t="shared" si="11"/>
        <v>1604</v>
      </c>
      <c r="D121" s="162" t="s">
        <v>234</v>
      </c>
      <c r="E121" s="113">
        <f>+VLOOKUP(C121,'TH-17T4'!$E$7:$AV$144,44,0)</f>
        <v>0</v>
      </c>
      <c r="F121" s="112">
        <f>+VLOOKUP(C121,'TH-17T4'!$E$7:$V$144,18,0)</f>
        <v>0</v>
      </c>
      <c r="G121" s="113">
        <f>+VLOOKUP(C121,'TH-17T4'!$E$7:$AU$144,43,0)</f>
        <v>0</v>
      </c>
      <c r="H121" s="112">
        <f>+VLOOKUP(C121,'TH-17T4'!$E$7:$H$144,4,0)</f>
        <v>0</v>
      </c>
      <c r="I121" s="112">
        <f>+VLOOKUP(C121,'TH-17T4'!$E$7:$AF$144,28,0)</f>
        <v>0</v>
      </c>
      <c r="J121" s="112">
        <f>+VLOOKUP(C121,'TH-17T4'!$E$7:$AI$144,31,0)</f>
        <v>0</v>
      </c>
      <c r="K121" s="112">
        <f>+VLOOKUP(C121,'TH-17T4'!$E$7:$AL$144,34,0)</f>
        <v>0</v>
      </c>
      <c r="L121" s="112">
        <f>+VLOOKUP(C121,'TH-17T4'!$E$7:$Z$144,22,0)</f>
        <v>0</v>
      </c>
      <c r="M121" s="112">
        <f>+VLOOKUP(C121,'TH-17T4'!$E$7:$AC$144,25,0)</f>
        <v>0</v>
      </c>
      <c r="N121" s="165">
        <f t="shared" si="9"/>
        <v>0</v>
      </c>
      <c r="O121" s="113">
        <f>+VLOOKUP(C121,'TH-17T4'!$E$7:$AQ$144,39,0)</f>
        <v>0</v>
      </c>
      <c r="P121" s="120">
        <f t="shared" si="10"/>
        <v>0</v>
      </c>
      <c r="Q121" s="192"/>
      <c r="R121" s="192"/>
      <c r="S121" s="113">
        <v>0</v>
      </c>
      <c r="T121" s="166" t="s">
        <v>257</v>
      </c>
    </row>
    <row r="122" spans="1:21" ht="15.75" x14ac:dyDescent="0.25">
      <c r="A122" s="166">
        <f t="shared" si="8"/>
        <v>115</v>
      </c>
      <c r="B122" s="170" t="s">
        <v>197</v>
      </c>
      <c r="C122" s="168">
        <f t="shared" si="11"/>
        <v>1605</v>
      </c>
      <c r="D122" s="162" t="s">
        <v>234</v>
      </c>
      <c r="E122" s="113">
        <f>+VLOOKUP(C122,'TH-17T4'!$E$7:$AV$144,44,0)</f>
        <v>0</v>
      </c>
      <c r="F122" s="112">
        <f>+VLOOKUP(C122,'TH-17T4'!$E$7:$V$144,18,0)</f>
        <v>463450</v>
      </c>
      <c r="G122" s="113">
        <f>+VLOOKUP(C122,'TH-17T4'!$E$7:$AU$144,43,0)</f>
        <v>915000</v>
      </c>
      <c r="H122" s="112">
        <f>+VLOOKUP(C122,'TH-17T4'!$E$7:$H$144,4,0)</f>
        <v>0</v>
      </c>
      <c r="I122" s="112">
        <f>+VLOOKUP(C122,'TH-17T4'!$E$7:$AF$144,28,0)</f>
        <v>932727</v>
      </c>
      <c r="J122" s="112">
        <f>+VLOOKUP(C122,'TH-17T4'!$E$7:$AI$144,31,0)</f>
        <v>0</v>
      </c>
      <c r="K122" s="112">
        <f>+VLOOKUP(C122,'TH-17T4'!$E$7:$AL$144,34,0)</f>
        <v>0</v>
      </c>
      <c r="L122" s="112">
        <f>+VLOOKUP(C122,'TH-17T4'!$E$7:$Z$144,22,0)</f>
        <v>88364</v>
      </c>
      <c r="M122" s="112">
        <f>+VLOOKUP(C122,'TH-17T4'!$E$7:$AC$144,25,0)</f>
        <v>0</v>
      </c>
      <c r="N122" s="165">
        <f t="shared" si="9"/>
        <v>1021091</v>
      </c>
      <c r="O122" s="113">
        <f>+VLOOKUP(C122,'TH-17T4'!$E$7:$AQ$144,39,0)</f>
        <v>0</v>
      </c>
      <c r="P122" s="120">
        <f t="shared" si="10"/>
        <v>2399541</v>
      </c>
      <c r="Q122" s="192"/>
      <c r="R122" s="192"/>
      <c r="S122" s="113">
        <v>0</v>
      </c>
      <c r="T122" s="166" t="s">
        <v>257</v>
      </c>
    </row>
    <row r="123" spans="1:21" ht="15.75" x14ac:dyDescent="0.25">
      <c r="A123" s="166">
        <f t="shared" si="8"/>
        <v>116</v>
      </c>
      <c r="B123" s="170" t="s">
        <v>235</v>
      </c>
      <c r="C123" s="168">
        <f t="shared" si="11"/>
        <v>1606</v>
      </c>
      <c r="D123" s="162" t="s">
        <v>234</v>
      </c>
      <c r="E123" s="113">
        <f>+VLOOKUP(C123,'TH-17T4'!$E$7:$AV$144,44,0)</f>
        <v>0</v>
      </c>
      <c r="F123" s="112">
        <f>+VLOOKUP(C123,'TH-17T4'!$E$7:$V$144,18,0)</f>
        <v>217350</v>
      </c>
      <c r="G123" s="113">
        <f>+VLOOKUP(C123,'TH-17T4'!$E$7:$AU$144,43,0)</f>
        <v>2142000</v>
      </c>
      <c r="H123" s="112">
        <f>+VLOOKUP(C123,'TH-17T4'!$E$7:$H$144,4,0)</f>
        <v>3900000</v>
      </c>
      <c r="I123" s="112">
        <f>+VLOOKUP(C123,'TH-17T4'!$E$7:$AF$144,28,0)</f>
        <v>0</v>
      </c>
      <c r="J123" s="112">
        <f>+VLOOKUP(C123,'TH-17T4'!$E$7:$AI$144,31,0)</f>
        <v>0</v>
      </c>
      <c r="K123" s="112">
        <f>+VLOOKUP(C123,'TH-17T4'!$E$7:$AL$144,34,0)</f>
        <v>0</v>
      </c>
      <c r="L123" s="112">
        <f>+VLOOKUP(C123,'TH-17T4'!$E$7:$Z$144,22,0)</f>
        <v>0</v>
      </c>
      <c r="M123" s="112">
        <f>+VLOOKUP(C123,'TH-17T4'!$E$7:$AC$144,25,0)</f>
        <v>0</v>
      </c>
      <c r="N123" s="165">
        <f t="shared" si="9"/>
        <v>0</v>
      </c>
      <c r="O123" s="113">
        <f>+VLOOKUP(C123,'TH-17T4'!$E$7:$AQ$144,39,0)</f>
        <v>390000</v>
      </c>
      <c r="P123" s="120">
        <f t="shared" si="10"/>
        <v>6649350</v>
      </c>
      <c r="Q123" s="192"/>
      <c r="R123" s="192"/>
      <c r="S123" s="113" t="s">
        <v>272</v>
      </c>
      <c r="T123" s="166" t="s">
        <v>256</v>
      </c>
    </row>
    <row r="124" spans="1:21" ht="15.75" x14ac:dyDescent="0.25">
      <c r="A124" s="166">
        <f t="shared" si="8"/>
        <v>117</v>
      </c>
      <c r="B124" s="170" t="s">
        <v>198</v>
      </c>
      <c r="C124" s="168">
        <f t="shared" si="11"/>
        <v>1607</v>
      </c>
      <c r="D124" s="162" t="s">
        <v>234</v>
      </c>
      <c r="E124" s="113">
        <f>+VLOOKUP(C124,'TH-17T4'!$E$7:$AV$144,44,0)</f>
        <v>0</v>
      </c>
      <c r="F124" s="112">
        <f>+VLOOKUP(C124,'TH-17T4'!$E$7:$V$144,18,0)</f>
        <v>146970</v>
      </c>
      <c r="G124" s="113">
        <f>+VLOOKUP(C124,'TH-17T4'!$E$7:$AU$144,43,0)</f>
        <v>1380000</v>
      </c>
      <c r="H124" s="112">
        <f>+VLOOKUP(C124,'TH-17T4'!$E$7:$H$144,4,0)</f>
        <v>840000</v>
      </c>
      <c r="I124" s="112">
        <f>+VLOOKUP(C124,'TH-17T4'!$E$7:$AF$144,28,0)</f>
        <v>0</v>
      </c>
      <c r="J124" s="112">
        <f>+VLOOKUP(C124,'TH-17T4'!$E$7:$AI$144,31,0)</f>
        <v>0</v>
      </c>
      <c r="K124" s="112">
        <f>+VLOOKUP(C124,'TH-17T4'!$E$7:$AL$144,34,0)</f>
        <v>0</v>
      </c>
      <c r="L124" s="112">
        <f>+VLOOKUP(C124,'TH-17T4'!$E$7:$Z$144,22,0)</f>
        <v>88364</v>
      </c>
      <c r="M124" s="112">
        <f>+VLOOKUP(C124,'TH-17T4'!$E$7:$AC$144,25,0)</f>
        <v>0</v>
      </c>
      <c r="N124" s="165">
        <f t="shared" si="9"/>
        <v>88364</v>
      </c>
      <c r="O124" s="113">
        <f>+VLOOKUP(C124,'TH-17T4'!$E$7:$AQ$144,39,0)</f>
        <v>0</v>
      </c>
      <c r="P124" s="120">
        <f t="shared" si="10"/>
        <v>2455334</v>
      </c>
      <c r="Q124" s="192"/>
      <c r="R124" s="192"/>
      <c r="S124" s="113">
        <v>0</v>
      </c>
      <c r="T124" s="166" t="s">
        <v>257</v>
      </c>
    </row>
    <row r="125" spans="1:21" ht="15.75" hidden="1" x14ac:dyDescent="0.25">
      <c r="A125" s="166">
        <f t="shared" si="8"/>
        <v>118</v>
      </c>
      <c r="B125" s="170" t="s">
        <v>199</v>
      </c>
      <c r="C125" s="168">
        <v>1701</v>
      </c>
      <c r="D125" s="162" t="s">
        <v>234</v>
      </c>
      <c r="E125" s="113">
        <f>+VLOOKUP(C125,'TH-17T4'!$E$7:$AV$144,44,0)</f>
        <v>0</v>
      </c>
      <c r="F125" s="112">
        <f>+VLOOKUP(C125,'TH-17T4'!$E$7:$V$144,18,0)</f>
        <v>242650</v>
      </c>
      <c r="G125" s="113">
        <f>+VLOOKUP(C125,'TH-17T4'!$E$7:$AU$144,43,0)</f>
        <v>0</v>
      </c>
      <c r="H125" s="112">
        <f>+VLOOKUP(C125,'TH-17T4'!$E$7:$H$144,4,0)</f>
        <v>0</v>
      </c>
      <c r="I125" s="112">
        <f>+VLOOKUP(C125,'TH-17T4'!$E$7:$AF$144,28,0)</f>
        <v>932727</v>
      </c>
      <c r="J125" s="112">
        <f>+VLOOKUP(C125,'TH-17T4'!$E$7:$AI$144,31,0)</f>
        <v>0</v>
      </c>
      <c r="K125" s="112">
        <f>+VLOOKUP(C125,'TH-17T4'!$E$7:$AL$144,34,0)</f>
        <v>0</v>
      </c>
      <c r="L125" s="112">
        <f>+VLOOKUP(C125,'TH-17T4'!$E$7:$Z$144,22,0)</f>
        <v>88364</v>
      </c>
      <c r="M125" s="112">
        <f>+VLOOKUP(C125,'TH-17T4'!$E$7:$AC$144,25,0)</f>
        <v>0</v>
      </c>
      <c r="N125" s="165">
        <f t="shared" si="9"/>
        <v>1021091</v>
      </c>
      <c r="O125" s="113">
        <f>+VLOOKUP(C125,'TH-17T4'!$E$7:$AQ$144,39,0)</f>
        <v>0</v>
      </c>
      <c r="P125" s="120">
        <f t="shared" si="10"/>
        <v>1263741</v>
      </c>
      <c r="Q125" s="120">
        <v>1263741</v>
      </c>
      <c r="R125" s="120">
        <f>+Q125-P125</f>
        <v>0</v>
      </c>
      <c r="S125" s="113">
        <v>0</v>
      </c>
      <c r="T125" s="166" t="s">
        <v>257</v>
      </c>
      <c r="U125" s="193">
        <v>14</v>
      </c>
    </row>
    <row r="126" spans="1:21" ht="15.75" x14ac:dyDescent="0.25">
      <c r="A126" s="166">
        <f t="shared" si="8"/>
        <v>119</v>
      </c>
      <c r="B126" s="170" t="s">
        <v>200</v>
      </c>
      <c r="C126" s="168">
        <f t="shared" si="11"/>
        <v>1702</v>
      </c>
      <c r="D126" s="162" t="s">
        <v>234</v>
      </c>
      <c r="E126" s="113">
        <f>+VLOOKUP(C126,'TH-17T4'!$E$7:$AV$144,44,0)</f>
        <v>0</v>
      </c>
      <c r="F126" s="112">
        <f>+VLOOKUP(C126,'TH-17T4'!$E$7:$V$144,18,0)</f>
        <v>279450</v>
      </c>
      <c r="G126" s="113">
        <f>+VLOOKUP(C126,'TH-17T4'!$E$7:$AU$144,43,0)</f>
        <v>0</v>
      </c>
      <c r="H126" s="112">
        <f>+VLOOKUP(C126,'TH-17T4'!$E$7:$H$144,4,0)</f>
        <v>1300000</v>
      </c>
      <c r="I126" s="112">
        <f>+VLOOKUP(C126,'TH-17T4'!$E$7:$AF$144,28,0)</f>
        <v>0</v>
      </c>
      <c r="J126" s="112">
        <f>+VLOOKUP(C126,'TH-17T4'!$E$7:$AI$144,31,0)</f>
        <v>0</v>
      </c>
      <c r="K126" s="112">
        <f>+VLOOKUP(C126,'TH-17T4'!$E$7:$AL$144,34,0)</f>
        <v>0</v>
      </c>
      <c r="L126" s="112">
        <f>+VLOOKUP(C126,'TH-17T4'!$E$7:$Z$144,22,0)</f>
        <v>196364</v>
      </c>
      <c r="M126" s="112">
        <f>+VLOOKUP(C126,'TH-17T4'!$E$7:$AC$144,25,0)</f>
        <v>589092</v>
      </c>
      <c r="N126" s="165">
        <f t="shared" si="9"/>
        <v>785456</v>
      </c>
      <c r="O126" s="113">
        <f>+VLOOKUP(C126,'TH-17T4'!$E$7:$AQ$144,39,0)</f>
        <v>130000</v>
      </c>
      <c r="P126" s="120">
        <f t="shared" si="10"/>
        <v>2494906</v>
      </c>
      <c r="Q126" s="192">
        <v>0</v>
      </c>
      <c r="R126" s="120">
        <f>+Q126-P126</f>
        <v>-2494906</v>
      </c>
      <c r="S126" s="113" t="s">
        <v>272</v>
      </c>
      <c r="T126" s="166" t="s">
        <v>256</v>
      </c>
    </row>
    <row r="127" spans="1:21" ht="15.75" hidden="1" x14ac:dyDescent="0.25">
      <c r="A127" s="166">
        <f t="shared" si="8"/>
        <v>120</v>
      </c>
      <c r="B127" s="170" t="s">
        <v>201</v>
      </c>
      <c r="C127" s="168">
        <v>1703</v>
      </c>
      <c r="D127" s="162" t="s">
        <v>234</v>
      </c>
      <c r="E127" s="113">
        <f>+VLOOKUP(C127,'TH-17T4'!$E$7:$AV$144,44,0)</f>
        <v>0</v>
      </c>
      <c r="F127" s="112">
        <f>+VLOOKUP(C127,'TH-17T4'!$E$7:$V$144,18,0)</f>
        <v>86250</v>
      </c>
      <c r="G127" s="113">
        <f>+VLOOKUP(C127,'TH-17T4'!$E$7:$AU$144,43,0)</f>
        <v>0</v>
      </c>
      <c r="H127" s="112">
        <f>+VLOOKUP(C127,'TH-17T4'!$E$7:$H$144,4,0)</f>
        <v>0</v>
      </c>
      <c r="I127" s="112">
        <f>+VLOOKUP(C127,'TH-17T4'!$E$7:$AF$144,28,0)</f>
        <v>0</v>
      </c>
      <c r="J127" s="112">
        <f>+VLOOKUP(C127,'TH-17T4'!$E$7:$AI$144,31,0)</f>
        <v>0</v>
      </c>
      <c r="K127" s="112">
        <f>+VLOOKUP(C127,'TH-17T4'!$E$7:$AL$144,34,0)</f>
        <v>9818</v>
      </c>
      <c r="L127" s="112">
        <f>+VLOOKUP(C127,'TH-17T4'!$E$7:$Z$144,22,0)</f>
        <v>88364</v>
      </c>
      <c r="M127" s="112">
        <f>+VLOOKUP(C127,'TH-17T4'!$E$7:$AC$144,25,0)</f>
        <v>0</v>
      </c>
      <c r="N127" s="165">
        <f t="shared" si="9"/>
        <v>98182</v>
      </c>
      <c r="O127" s="113">
        <f>+VLOOKUP(C127,'TH-17T4'!$E$7:$AQ$144,39,0)</f>
        <v>0</v>
      </c>
      <c r="P127" s="120">
        <f t="shared" si="10"/>
        <v>184432</v>
      </c>
      <c r="Q127" s="120">
        <v>184432</v>
      </c>
      <c r="R127" s="120">
        <f>+Q127-P127</f>
        <v>0</v>
      </c>
      <c r="S127" s="113">
        <v>0</v>
      </c>
      <c r="T127" s="166" t="s">
        <v>257</v>
      </c>
      <c r="U127" s="193">
        <v>14</v>
      </c>
    </row>
    <row r="128" spans="1:21" ht="15.75" x14ac:dyDescent="0.25">
      <c r="A128" s="166">
        <f t="shared" si="8"/>
        <v>121</v>
      </c>
      <c r="B128" s="170" t="s">
        <v>202</v>
      </c>
      <c r="C128" s="168">
        <v>1704</v>
      </c>
      <c r="D128" s="162" t="s">
        <v>234</v>
      </c>
      <c r="E128" s="113">
        <f>+VLOOKUP(C128,'TH-17T4'!$E$7:$AV$144,44,0)</f>
        <v>0</v>
      </c>
      <c r="F128" s="112">
        <f>+VLOOKUP(C128,'TH-17T4'!$E$7:$V$144,18,0)</f>
        <v>155250</v>
      </c>
      <c r="G128" s="113">
        <f>+VLOOKUP(C128,'TH-17T4'!$E$7:$AU$144,43,0)</f>
        <v>0</v>
      </c>
      <c r="H128" s="112">
        <f>+VLOOKUP(C128,'TH-17T4'!$E$7:$H$144,4,0)</f>
        <v>3900000</v>
      </c>
      <c r="I128" s="112">
        <f>+VLOOKUP(C128,'TH-17T4'!$E$7:$AF$144,28,0)</f>
        <v>0</v>
      </c>
      <c r="J128" s="112">
        <f>+VLOOKUP(C128,'TH-17T4'!$E$7:$AI$144,31,0)</f>
        <v>0</v>
      </c>
      <c r="K128" s="112">
        <f>+VLOOKUP(C128,'TH-17T4'!$E$7:$AL$144,34,0)</f>
        <v>0</v>
      </c>
      <c r="L128" s="112">
        <f>+VLOOKUP(C128,'TH-17T4'!$E$7:$Z$144,22,0)</f>
        <v>0</v>
      </c>
      <c r="M128" s="112">
        <f>+VLOOKUP(C128,'TH-17T4'!$E$7:$AC$144,25,0)</f>
        <v>98182</v>
      </c>
      <c r="N128" s="165">
        <f t="shared" si="9"/>
        <v>98182</v>
      </c>
      <c r="O128" s="113">
        <f>+VLOOKUP(C128,'TH-17T4'!$E$7:$AQ$144,39,0)</f>
        <v>390000</v>
      </c>
      <c r="P128" s="120">
        <f t="shared" si="10"/>
        <v>4543432</v>
      </c>
      <c r="Q128" s="192"/>
      <c r="R128" s="192"/>
      <c r="S128" s="113" t="s">
        <v>272</v>
      </c>
      <c r="T128" s="166" t="s">
        <v>256</v>
      </c>
    </row>
    <row r="129" spans="1:21" ht="15.75" x14ac:dyDescent="0.25">
      <c r="A129" s="166">
        <f t="shared" si="8"/>
        <v>122</v>
      </c>
      <c r="B129" s="170" t="s">
        <v>203</v>
      </c>
      <c r="C129" s="168">
        <f t="shared" si="11"/>
        <v>1705</v>
      </c>
      <c r="D129" s="162" t="s">
        <v>234</v>
      </c>
      <c r="E129" s="113">
        <f>+VLOOKUP(C129,'TH-17T4'!$E$7:$AV$144,44,0)</f>
        <v>0</v>
      </c>
      <c r="F129" s="112">
        <f>+VLOOKUP(C129,'TH-17T4'!$E$7:$V$144,18,0)</f>
        <v>106490</v>
      </c>
      <c r="G129" s="113">
        <f>+VLOOKUP(C129,'TH-17T4'!$E$7:$AU$144,43,0)</f>
        <v>0</v>
      </c>
      <c r="H129" s="112">
        <f>+VLOOKUP(C129,'TH-17T4'!$E$7:$H$144,4,0)</f>
        <v>0</v>
      </c>
      <c r="I129" s="112">
        <f>+VLOOKUP(C129,'TH-17T4'!$E$7:$AF$144,28,0)</f>
        <v>0</v>
      </c>
      <c r="J129" s="112">
        <f>+VLOOKUP(C129,'TH-17T4'!$E$7:$AI$144,31,0)</f>
        <v>0</v>
      </c>
      <c r="K129" s="112">
        <f>+VLOOKUP(C129,'TH-17T4'!$E$7:$AL$144,34,0)</f>
        <v>0</v>
      </c>
      <c r="L129" s="112">
        <f>+VLOOKUP(C129,'TH-17T4'!$E$7:$Z$144,22,0)</f>
        <v>88364</v>
      </c>
      <c r="M129" s="112">
        <f>+VLOOKUP(C129,'TH-17T4'!$E$7:$AC$144,25,0)</f>
        <v>0</v>
      </c>
      <c r="N129" s="165">
        <f t="shared" si="9"/>
        <v>88364</v>
      </c>
      <c r="O129" s="113">
        <f>+VLOOKUP(C129,'TH-17T4'!$E$7:$AQ$144,39,0)</f>
        <v>0</v>
      </c>
      <c r="P129" s="120">
        <f t="shared" si="10"/>
        <v>194854</v>
      </c>
      <c r="Q129" s="192"/>
      <c r="R129" s="192"/>
      <c r="S129" s="113">
        <v>0</v>
      </c>
      <c r="T129" s="166" t="s">
        <v>257</v>
      </c>
    </row>
    <row r="130" spans="1:21" ht="15.75" x14ac:dyDescent="0.25">
      <c r="A130" s="166">
        <f t="shared" si="8"/>
        <v>123</v>
      </c>
      <c r="B130" s="170" t="s">
        <v>204</v>
      </c>
      <c r="C130" s="168">
        <f t="shared" si="11"/>
        <v>1706</v>
      </c>
      <c r="D130" s="162" t="s">
        <v>234</v>
      </c>
      <c r="E130" s="113">
        <f>+VLOOKUP(C130,'TH-17T4'!$E$7:$AV$144,44,0)</f>
        <v>0</v>
      </c>
      <c r="F130" s="112">
        <f>+VLOOKUP(C130,'TH-17T4'!$E$7:$V$144,18,0)</f>
        <v>62100</v>
      </c>
      <c r="G130" s="113">
        <f>+VLOOKUP(C130,'TH-17T4'!$E$7:$AU$144,43,0)</f>
        <v>0</v>
      </c>
      <c r="H130" s="112">
        <f>+VLOOKUP(C130,'TH-17T4'!$E$7:$H$144,4,0)</f>
        <v>1300000</v>
      </c>
      <c r="I130" s="112">
        <f>+VLOOKUP(C130,'TH-17T4'!$E$7:$AF$144,28,0)</f>
        <v>0</v>
      </c>
      <c r="J130" s="112">
        <f>+VLOOKUP(C130,'TH-17T4'!$E$7:$AI$144,31,0)</f>
        <v>0</v>
      </c>
      <c r="K130" s="112">
        <f>+VLOOKUP(C130,'TH-17T4'!$E$7:$AL$144,34,0)</f>
        <v>0</v>
      </c>
      <c r="L130" s="112">
        <f>+VLOOKUP(C130,'TH-17T4'!$E$7:$Z$144,22,0)</f>
        <v>0</v>
      </c>
      <c r="M130" s="112">
        <f>+VLOOKUP(C130,'TH-17T4'!$E$7:$AC$144,25,0)</f>
        <v>0</v>
      </c>
      <c r="N130" s="165">
        <f t="shared" si="9"/>
        <v>0</v>
      </c>
      <c r="O130" s="113">
        <f>+VLOOKUP(C130,'TH-17T4'!$E$7:$AQ$144,39,0)</f>
        <v>130000</v>
      </c>
      <c r="P130" s="120">
        <f t="shared" si="10"/>
        <v>1492100</v>
      </c>
      <c r="Q130" s="192"/>
      <c r="R130" s="192"/>
      <c r="S130" s="113" t="s">
        <v>8</v>
      </c>
      <c r="T130" s="166" t="s">
        <v>256</v>
      </c>
    </row>
    <row r="131" spans="1:21" ht="15.75" x14ac:dyDescent="0.25">
      <c r="A131" s="166">
        <f t="shared" si="8"/>
        <v>124</v>
      </c>
      <c r="B131" s="188" t="s">
        <v>208</v>
      </c>
      <c r="C131" s="187" t="s">
        <v>237</v>
      </c>
      <c r="D131" s="162" t="s">
        <v>234</v>
      </c>
      <c r="E131" s="113">
        <f>+VLOOKUP(C131,'TH-17T4'!$E$7:$AV$144,44,0)</f>
        <v>0</v>
      </c>
      <c r="F131" s="112">
        <f>+VLOOKUP(C131,'TH-17T4'!$E$7:$V$144,18,0)</f>
        <v>0</v>
      </c>
      <c r="G131" s="113">
        <f>+VLOOKUP(C131,'TH-17T4'!$E$7:$AU$144,43,0)</f>
        <v>0</v>
      </c>
      <c r="H131" s="112">
        <f>+VLOOKUP(C131,'TH-17T4'!$E$7:$H$144,4,0)</f>
        <v>0</v>
      </c>
      <c r="I131" s="112">
        <f>+VLOOKUP(C131,'TH-17T4'!$E$7:$AF$144,28,0)</f>
        <v>932727</v>
      </c>
      <c r="J131" s="112">
        <f>+VLOOKUP(C131,'TH-17T4'!$E$7:$AI$144,31,0)</f>
        <v>0</v>
      </c>
      <c r="K131" s="112">
        <f>+VLOOKUP(C131,'TH-17T4'!$E$7:$AL$144,34,0)</f>
        <v>0</v>
      </c>
      <c r="L131" s="112">
        <f>+VLOOKUP(C131,'TH-17T4'!$E$7:$Z$144,22,0)</f>
        <v>0</v>
      </c>
      <c r="M131" s="112">
        <f>+VLOOKUP(C131,'TH-17T4'!$E$7:$AC$144,25,0)</f>
        <v>0</v>
      </c>
      <c r="N131" s="165">
        <f t="shared" si="9"/>
        <v>932727</v>
      </c>
      <c r="O131" s="113">
        <f>+VLOOKUP(C131,'TH-17T4'!$E$7:$AQ$144,39,0)</f>
        <v>0</v>
      </c>
      <c r="P131" s="120">
        <f t="shared" si="10"/>
        <v>932727</v>
      </c>
      <c r="Q131" s="192"/>
      <c r="R131" s="192"/>
      <c r="S131" s="113"/>
      <c r="T131" s="166" t="s">
        <v>257</v>
      </c>
      <c r="U131" s="193">
        <v>16</v>
      </c>
    </row>
    <row r="132" spans="1:21" ht="15.75" x14ac:dyDescent="0.25">
      <c r="A132" s="166">
        <f t="shared" si="8"/>
        <v>125</v>
      </c>
      <c r="B132" s="188" t="s">
        <v>116</v>
      </c>
      <c r="C132" s="187" t="s">
        <v>247</v>
      </c>
      <c r="D132" s="162" t="s">
        <v>234</v>
      </c>
      <c r="E132" s="113">
        <f>+VLOOKUP(C132,'TH-17T4'!$E$7:$AV$144,44,0)</f>
        <v>0</v>
      </c>
      <c r="F132" s="112">
        <f>+VLOOKUP(C132,'TH-17T4'!$E$7:$V$144,18,0)</f>
        <v>0</v>
      </c>
      <c r="G132" s="113">
        <f>+VLOOKUP(C132,'TH-17T4'!$E$7:$AU$144,43,0)</f>
        <v>2760000</v>
      </c>
      <c r="H132" s="112">
        <f>+VLOOKUP(C132,'TH-17T4'!$E$7:$H$144,4,0)</f>
        <v>0</v>
      </c>
      <c r="I132" s="112">
        <f>+VLOOKUP(C132,'TH-17T4'!$E$7:$AF$144,28,0)</f>
        <v>0</v>
      </c>
      <c r="J132" s="112">
        <f>+VLOOKUP(C132,'TH-17T4'!$E$7:$AI$144,31,0)</f>
        <v>0</v>
      </c>
      <c r="K132" s="112">
        <f>+VLOOKUP(C132,'TH-17T4'!$E$7:$AL$144,34,0)</f>
        <v>0</v>
      </c>
      <c r="L132" s="112">
        <f>+VLOOKUP(C132,'TH-17T4'!$E$7:$Z$144,22,0)</f>
        <v>0</v>
      </c>
      <c r="M132" s="112">
        <f>+VLOOKUP(C132,'TH-17T4'!$E$7:$AC$144,25,0)</f>
        <v>0</v>
      </c>
      <c r="N132" s="165">
        <f t="shared" si="9"/>
        <v>0</v>
      </c>
      <c r="O132" s="113">
        <f>+VLOOKUP(C132,'TH-17T4'!$E$7:$AQ$144,39,0)</f>
        <v>0</v>
      </c>
      <c r="P132" s="120">
        <f t="shared" si="10"/>
        <v>2760000</v>
      </c>
      <c r="Q132" s="192"/>
      <c r="R132" s="192"/>
      <c r="S132" s="113"/>
      <c r="T132" s="166" t="s">
        <v>257</v>
      </c>
    </row>
    <row r="133" spans="1:21" ht="15.75" hidden="1" x14ac:dyDescent="0.25">
      <c r="A133" s="166">
        <f t="shared" si="8"/>
        <v>126</v>
      </c>
      <c r="B133" s="188"/>
      <c r="C133" s="187" t="s">
        <v>269</v>
      </c>
      <c r="D133" s="162" t="s">
        <v>234</v>
      </c>
      <c r="E133" s="113">
        <f>+VLOOKUP(C133,'TH-17T4'!$E$7:$AV$144,44,0)</f>
        <v>0</v>
      </c>
      <c r="F133" s="112">
        <f>+VLOOKUP(C133,'TH-17T4'!$E$7:$V$144,18,0)</f>
        <v>0</v>
      </c>
      <c r="G133" s="113">
        <f>+VLOOKUP(C133,'TH-17T4'!$E$7:$AU$144,43,0)</f>
        <v>2745000</v>
      </c>
      <c r="H133" s="112">
        <f>+VLOOKUP(C133,'TH-17T4'!$E$7:$H$144,4,0)</f>
        <v>0</v>
      </c>
      <c r="I133" s="112">
        <f>+VLOOKUP(C133,'TH-17T4'!$E$7:$AF$144,28,0)</f>
        <v>0</v>
      </c>
      <c r="J133" s="112">
        <f>+VLOOKUP(C133,'TH-17T4'!$E$7:$AI$144,31,0)</f>
        <v>0</v>
      </c>
      <c r="K133" s="112">
        <f>+VLOOKUP(C133,'TH-17T4'!$E$7:$AL$144,34,0)</f>
        <v>0</v>
      </c>
      <c r="L133" s="112">
        <f>+VLOOKUP(C133,'TH-17T4'!$E$7:$Z$144,22,0)</f>
        <v>0</v>
      </c>
      <c r="M133" s="112">
        <f>+VLOOKUP(C133,'TH-17T4'!$E$7:$AC$144,25,0)</f>
        <v>0</v>
      </c>
      <c r="N133" s="165">
        <f t="shared" ref="N133" si="15">+SUM(I133:M133)</f>
        <v>0</v>
      </c>
      <c r="O133" s="113">
        <f>+VLOOKUP(C133,'TH-17T4'!$E$7:$AQ$144,39,0)</f>
        <v>0</v>
      </c>
      <c r="P133" s="120">
        <f t="shared" ref="P133" si="16">+O133+N133+H133+G133+F133+E133</f>
        <v>2745000</v>
      </c>
      <c r="Q133" s="192">
        <v>2745000</v>
      </c>
      <c r="R133" s="120">
        <f>+Q133-P133</f>
        <v>0</v>
      </c>
      <c r="S133" s="113"/>
      <c r="T133" s="166" t="s">
        <v>257</v>
      </c>
      <c r="U133" s="193">
        <v>14</v>
      </c>
    </row>
    <row r="134" spans="1:21" ht="15.75" x14ac:dyDescent="0.25">
      <c r="A134" s="166">
        <f t="shared" si="8"/>
        <v>127</v>
      </c>
      <c r="B134" s="188" t="s">
        <v>124</v>
      </c>
      <c r="C134" s="187" t="s">
        <v>246</v>
      </c>
      <c r="D134" s="162" t="s">
        <v>234</v>
      </c>
      <c r="E134" s="113">
        <f>+VLOOKUP(C134,'TH-17T4'!$E$7:$AV$144,44,0)</f>
        <v>0</v>
      </c>
      <c r="F134" s="112">
        <f>+VLOOKUP(C134,'TH-17T4'!$E$7:$V$144,18,0)</f>
        <v>0</v>
      </c>
      <c r="G134" s="113">
        <f>+VLOOKUP(C134,'TH-17T4'!$E$7:$AU$144,43,0)</f>
        <v>2070000</v>
      </c>
      <c r="H134" s="112">
        <f>+VLOOKUP(C134,'TH-17T4'!$E$7:$H$144,4,0)</f>
        <v>0</v>
      </c>
      <c r="I134" s="112">
        <f>+VLOOKUP(C134,'TH-17T4'!$E$7:$AF$144,28,0)</f>
        <v>0</v>
      </c>
      <c r="J134" s="112">
        <f>+VLOOKUP(C134,'TH-17T4'!$E$7:$AI$144,31,0)</f>
        <v>0</v>
      </c>
      <c r="K134" s="112">
        <f>+VLOOKUP(C134,'TH-17T4'!$E$7:$AL$144,34,0)</f>
        <v>0</v>
      </c>
      <c r="L134" s="112">
        <f>+VLOOKUP(C134,'TH-17T4'!$E$7:$Z$144,22,0)</f>
        <v>0</v>
      </c>
      <c r="M134" s="112">
        <f>+VLOOKUP(C134,'TH-17T4'!$E$7:$AC$144,25,0)</f>
        <v>0</v>
      </c>
      <c r="N134" s="165">
        <f t="shared" si="9"/>
        <v>0</v>
      </c>
      <c r="O134" s="113">
        <f>+VLOOKUP(C134,'TH-17T4'!$E$7:$AQ$144,39,0)</f>
        <v>0</v>
      </c>
      <c r="P134" s="120">
        <f t="shared" si="10"/>
        <v>2070000</v>
      </c>
      <c r="Q134" s="192"/>
      <c r="R134" s="192"/>
      <c r="S134" s="113"/>
      <c r="T134" s="166" t="s">
        <v>257</v>
      </c>
    </row>
    <row r="135" spans="1:21" ht="15.75" x14ac:dyDescent="0.25">
      <c r="A135" s="166">
        <f t="shared" si="8"/>
        <v>128</v>
      </c>
      <c r="B135" s="188" t="s">
        <v>128</v>
      </c>
      <c r="C135" s="187" t="s">
        <v>245</v>
      </c>
      <c r="D135" s="162" t="s">
        <v>234</v>
      </c>
      <c r="E135" s="113">
        <f>+VLOOKUP(C135,'TH-17T4'!$E$7:$AV$144,44,0)</f>
        <v>0</v>
      </c>
      <c r="F135" s="112">
        <f>+VLOOKUP(C135,'TH-17T4'!$E$7:$V$144,18,0)</f>
        <v>0</v>
      </c>
      <c r="G135" s="113">
        <f>+VLOOKUP(C135,'TH-17T4'!$E$7:$AU$144,43,0)</f>
        <v>2760000</v>
      </c>
      <c r="H135" s="112">
        <f>+VLOOKUP(C135,'TH-17T4'!$E$7:$H$144,4,0)</f>
        <v>0</v>
      </c>
      <c r="I135" s="112">
        <f>+VLOOKUP(C135,'TH-17T4'!$E$7:$AF$144,28,0)</f>
        <v>0</v>
      </c>
      <c r="J135" s="112">
        <f>+VLOOKUP(C135,'TH-17T4'!$E$7:$AI$144,31,0)</f>
        <v>0</v>
      </c>
      <c r="K135" s="112">
        <f>+VLOOKUP(C135,'TH-17T4'!$E$7:$AL$144,34,0)</f>
        <v>0</v>
      </c>
      <c r="L135" s="112">
        <f>+VLOOKUP(C135,'TH-17T4'!$E$7:$Z$144,22,0)</f>
        <v>0</v>
      </c>
      <c r="M135" s="112">
        <f>+VLOOKUP(C135,'TH-17T4'!$E$7:$AC$144,25,0)</f>
        <v>0</v>
      </c>
      <c r="N135" s="165">
        <f t="shared" si="9"/>
        <v>0</v>
      </c>
      <c r="O135" s="113">
        <f>+VLOOKUP(C135,'TH-17T4'!$E$7:$AQ$144,39,0)</f>
        <v>0</v>
      </c>
      <c r="P135" s="120">
        <f t="shared" si="10"/>
        <v>2760000</v>
      </c>
      <c r="Q135" s="192"/>
      <c r="R135" s="192"/>
      <c r="S135" s="113"/>
      <c r="T135" s="166" t="s">
        <v>257</v>
      </c>
    </row>
    <row r="136" spans="1:21" ht="15.75" x14ac:dyDescent="0.25">
      <c r="A136" s="166">
        <f t="shared" si="8"/>
        <v>129</v>
      </c>
      <c r="B136" s="188" t="s">
        <v>217</v>
      </c>
      <c r="C136" s="187" t="s">
        <v>244</v>
      </c>
      <c r="D136" s="162" t="s">
        <v>234</v>
      </c>
      <c r="E136" s="113">
        <f>+VLOOKUP(C136,'TH-17T4'!$E$7:$AV$144,44,0)</f>
        <v>0</v>
      </c>
      <c r="F136" s="112">
        <f>+VLOOKUP(C136,'TH-17T4'!$E$7:$V$144,18,0)</f>
        <v>0</v>
      </c>
      <c r="G136" s="113">
        <f>+VLOOKUP(C136,'TH-17T4'!$E$7:$AU$144,43,0)</f>
        <v>2760000</v>
      </c>
      <c r="H136" s="112">
        <f>+VLOOKUP(C136,'TH-17T4'!$E$7:$H$144,4,0)</f>
        <v>0</v>
      </c>
      <c r="I136" s="112">
        <f>+VLOOKUP(C136,'TH-17T4'!$E$7:$AF$144,28,0)</f>
        <v>0</v>
      </c>
      <c r="J136" s="112">
        <f>+VLOOKUP(C136,'TH-17T4'!$E$7:$AI$144,31,0)</f>
        <v>0</v>
      </c>
      <c r="K136" s="112">
        <f>+VLOOKUP(C136,'TH-17T4'!$E$7:$AL$144,34,0)</f>
        <v>0</v>
      </c>
      <c r="L136" s="112">
        <f>+VLOOKUP(C136,'TH-17T4'!$E$7:$Z$144,22,0)</f>
        <v>0</v>
      </c>
      <c r="M136" s="112">
        <f>+VLOOKUP(C136,'TH-17T4'!$E$7:$AC$144,25,0)</f>
        <v>0</v>
      </c>
      <c r="N136" s="165">
        <f t="shared" si="9"/>
        <v>0</v>
      </c>
      <c r="O136" s="113">
        <f>+VLOOKUP(C136,'TH-17T4'!$E$7:$AQ$144,39,0)</f>
        <v>0</v>
      </c>
      <c r="P136" s="120">
        <f t="shared" si="10"/>
        <v>2760000</v>
      </c>
      <c r="Q136" s="192"/>
      <c r="R136" s="192"/>
      <c r="S136" s="113"/>
      <c r="T136" s="166" t="s">
        <v>257</v>
      </c>
    </row>
    <row r="137" spans="1:21" ht="15.75" x14ac:dyDescent="0.25">
      <c r="A137" s="166">
        <f t="shared" si="8"/>
        <v>130</v>
      </c>
      <c r="B137" s="188" t="s">
        <v>218</v>
      </c>
      <c r="C137" s="187" t="s">
        <v>243</v>
      </c>
      <c r="D137" s="162" t="s">
        <v>234</v>
      </c>
      <c r="E137" s="113">
        <f>+VLOOKUP(C137,'TH-17T4'!$E$7:$AV$144,44,0)</f>
        <v>0</v>
      </c>
      <c r="F137" s="112">
        <f>+VLOOKUP(C137,'TH-17T4'!$E$7:$V$144,18,0)</f>
        <v>0</v>
      </c>
      <c r="G137" s="113">
        <f>+VLOOKUP(C137,'TH-17T4'!$E$7:$AU$144,43,0)</f>
        <v>2745000</v>
      </c>
      <c r="H137" s="112">
        <f>+VLOOKUP(C137,'TH-17T4'!$E$7:$H$144,4,0)</f>
        <v>0</v>
      </c>
      <c r="I137" s="112">
        <f>+VLOOKUP(C137,'TH-17T4'!$E$7:$AF$144,28,0)</f>
        <v>0</v>
      </c>
      <c r="J137" s="112">
        <f>+VLOOKUP(C137,'TH-17T4'!$E$7:$AI$144,31,0)</f>
        <v>0</v>
      </c>
      <c r="K137" s="112">
        <f>+VLOOKUP(C137,'TH-17T4'!$E$7:$AL$144,34,0)</f>
        <v>0</v>
      </c>
      <c r="L137" s="112">
        <f>+VLOOKUP(C137,'TH-17T4'!$E$7:$Z$144,22,0)</f>
        <v>0</v>
      </c>
      <c r="M137" s="112">
        <f>+VLOOKUP(C137,'TH-17T4'!$E$7:$AC$144,25,0)</f>
        <v>0</v>
      </c>
      <c r="N137" s="165">
        <f t="shared" si="9"/>
        <v>0</v>
      </c>
      <c r="O137" s="113">
        <f>+VLOOKUP(C137,'TH-17T4'!$E$7:$AQ$144,39,0)</f>
        <v>0</v>
      </c>
      <c r="P137" s="120">
        <f t="shared" si="10"/>
        <v>2745000</v>
      </c>
      <c r="Q137" s="192"/>
      <c r="R137" s="192"/>
      <c r="S137" s="113"/>
      <c r="T137" s="166" t="s">
        <v>257</v>
      </c>
    </row>
    <row r="138" spans="1:21" ht="15.75" hidden="1" x14ac:dyDescent="0.25">
      <c r="A138" s="166">
        <f t="shared" si="8"/>
        <v>131</v>
      </c>
      <c r="B138" s="188"/>
      <c r="C138" s="187" t="s">
        <v>271</v>
      </c>
      <c r="D138" s="162" t="s">
        <v>234</v>
      </c>
      <c r="E138" s="113">
        <f>+VLOOKUP(C138,'TH-17T4'!$E$7:$AV$144,44,0)</f>
        <v>0</v>
      </c>
      <c r="F138" s="112">
        <f>+VLOOKUP(C138,'TH-17T4'!$E$7:$V$144,18,0)</f>
        <v>0</v>
      </c>
      <c r="G138" s="113">
        <f>+VLOOKUP(C138,'TH-17T4'!$E$7:$AU$144,43,0)</f>
        <v>2745000</v>
      </c>
      <c r="H138" s="112">
        <f>+VLOOKUP(C138,'TH-17T4'!$E$7:$H$144,4,0)</f>
        <v>0</v>
      </c>
      <c r="I138" s="112">
        <f>+VLOOKUP(C138,'TH-17T4'!$E$7:$AF$144,28,0)</f>
        <v>0</v>
      </c>
      <c r="J138" s="112">
        <f>+VLOOKUP(C138,'TH-17T4'!$E$7:$AI$144,31,0)</f>
        <v>0</v>
      </c>
      <c r="K138" s="112">
        <f>+VLOOKUP(C138,'TH-17T4'!$E$7:$AL$144,34,0)</f>
        <v>0</v>
      </c>
      <c r="L138" s="112">
        <f>+VLOOKUP(C138,'TH-17T4'!$E$7:$Z$144,22,0)</f>
        <v>0</v>
      </c>
      <c r="M138" s="112">
        <f>+VLOOKUP(C138,'TH-17T4'!$E$7:$AC$144,25,0)</f>
        <v>0</v>
      </c>
      <c r="N138" s="165">
        <f t="shared" ref="N138" si="17">+SUM(I138:M138)</f>
        <v>0</v>
      </c>
      <c r="O138" s="113">
        <f>+VLOOKUP(C138,'TH-17T4'!$E$7:$AQ$144,39,0)</f>
        <v>0</v>
      </c>
      <c r="P138" s="120">
        <f t="shared" ref="P138" si="18">+O138+N138+H138+G138+F138+E138</f>
        <v>2745000</v>
      </c>
      <c r="Q138" s="192">
        <f>+P138</f>
        <v>2745000</v>
      </c>
      <c r="R138" s="120">
        <f>+Q138-P138</f>
        <v>0</v>
      </c>
      <c r="S138" s="113"/>
      <c r="T138" s="166" t="s">
        <v>257</v>
      </c>
      <c r="U138" s="193">
        <v>14</v>
      </c>
    </row>
    <row r="139" spans="1:21" ht="15.75" x14ac:dyDescent="0.25">
      <c r="A139" s="166">
        <f t="shared" ref="A139" si="19">+A138+1</f>
        <v>132</v>
      </c>
      <c r="B139" s="188" t="s">
        <v>171</v>
      </c>
      <c r="C139" s="187" t="s">
        <v>242</v>
      </c>
      <c r="D139" s="162" t="s">
        <v>234</v>
      </c>
      <c r="E139" s="113">
        <f>+VLOOKUP(C139,'TH-17T4'!$E$7:$AV$144,44,0)</f>
        <v>0</v>
      </c>
      <c r="F139" s="112">
        <f>+VLOOKUP(C139,'TH-17T4'!$E$7:$V$144,18,0)</f>
        <v>0</v>
      </c>
      <c r="G139" s="113">
        <f>+VLOOKUP(C139,'TH-17T4'!$E$7:$AU$144,43,0)</f>
        <v>2760000</v>
      </c>
      <c r="H139" s="112">
        <f>+VLOOKUP(C139,'TH-17T4'!$E$7:$H$144,4,0)</f>
        <v>0</v>
      </c>
      <c r="I139" s="112">
        <f>+VLOOKUP(C139,'TH-17T4'!$E$7:$AF$144,28,0)</f>
        <v>0</v>
      </c>
      <c r="J139" s="112">
        <f>+VLOOKUP(C139,'TH-17T4'!$E$7:$AI$144,31,0)</f>
        <v>0</v>
      </c>
      <c r="K139" s="112">
        <f>+VLOOKUP(C139,'TH-17T4'!$E$7:$AL$144,34,0)</f>
        <v>0</v>
      </c>
      <c r="L139" s="112">
        <f>+VLOOKUP(C139,'TH-17T4'!$E$7:$Z$144,22,0)</f>
        <v>0</v>
      </c>
      <c r="M139" s="112">
        <f>+VLOOKUP(C139,'TH-17T4'!$E$7:$AC$144,25,0)</f>
        <v>0</v>
      </c>
      <c r="N139" s="165">
        <f t="shared" si="9"/>
        <v>0</v>
      </c>
      <c r="O139" s="113">
        <f>+VLOOKUP(C139,'TH-17T4'!$E$7:$AQ$144,39,0)</f>
        <v>0</v>
      </c>
      <c r="P139" s="120">
        <f t="shared" si="10"/>
        <v>2760000</v>
      </c>
      <c r="Q139" s="192"/>
      <c r="R139" s="192"/>
      <c r="S139" s="113"/>
      <c r="T139" s="166" t="s">
        <v>257</v>
      </c>
    </row>
    <row r="140" spans="1:21" ht="15.75" x14ac:dyDescent="0.25">
      <c r="A140" s="166">
        <f t="shared" ref="A140:A146" si="20">+A139+1</f>
        <v>133</v>
      </c>
      <c r="B140" s="188" t="s">
        <v>193</v>
      </c>
      <c r="C140" s="187" t="s">
        <v>241</v>
      </c>
      <c r="D140" s="162" t="s">
        <v>234</v>
      </c>
      <c r="E140" s="113">
        <f>+VLOOKUP(C140,'TH-17T4'!$E$7:$AV$144,44,0)</f>
        <v>0</v>
      </c>
      <c r="F140" s="112">
        <f>+VLOOKUP(C140,'TH-17T4'!$E$7:$V$144,18,0)</f>
        <v>0</v>
      </c>
      <c r="G140" s="113">
        <f>+VLOOKUP(C140,'TH-17T4'!$E$7:$AU$144,43,0)</f>
        <v>2070000</v>
      </c>
      <c r="H140" s="112">
        <f>+VLOOKUP(C140,'TH-17T4'!$E$7:$H$144,4,0)</f>
        <v>0</v>
      </c>
      <c r="I140" s="112">
        <f>+VLOOKUP(C140,'TH-17T4'!$E$7:$AF$144,28,0)</f>
        <v>0</v>
      </c>
      <c r="J140" s="112">
        <f>+VLOOKUP(C140,'TH-17T4'!$E$7:$AI$144,31,0)</f>
        <v>0</v>
      </c>
      <c r="K140" s="112">
        <f>+VLOOKUP(C140,'TH-17T4'!$E$7:$AL$144,34,0)</f>
        <v>0</v>
      </c>
      <c r="L140" s="112">
        <f>+VLOOKUP(C140,'TH-17T4'!$E$7:$Z$144,22,0)</f>
        <v>0</v>
      </c>
      <c r="M140" s="112">
        <f>+VLOOKUP(C140,'TH-17T4'!$E$7:$AC$144,25,0)</f>
        <v>0</v>
      </c>
      <c r="N140" s="165">
        <f t="shared" ref="N140:N145" si="21">+SUM(I140:M140)</f>
        <v>0</v>
      </c>
      <c r="O140" s="113">
        <f>+VLOOKUP(C140,'TH-17T4'!$E$7:$AQ$144,39,0)</f>
        <v>0</v>
      </c>
      <c r="P140" s="120">
        <f t="shared" ref="P140:P145" si="22">+O140+N140+H140+G140+F140+E140</f>
        <v>2070000</v>
      </c>
      <c r="Q140" s="192"/>
      <c r="R140" s="192"/>
      <c r="S140" s="113"/>
      <c r="T140" s="166" t="s">
        <v>257</v>
      </c>
    </row>
    <row r="141" spans="1:21" ht="15.75" x14ac:dyDescent="0.25">
      <c r="A141" s="166">
        <f t="shared" si="20"/>
        <v>134</v>
      </c>
      <c r="B141" s="188" t="s">
        <v>219</v>
      </c>
      <c r="C141" s="187" t="s">
        <v>240</v>
      </c>
      <c r="D141" s="162" t="s">
        <v>234</v>
      </c>
      <c r="E141" s="113">
        <f>+VLOOKUP(C141,'TH-17T4'!$E$7:$AV$144,44,0)</f>
        <v>0</v>
      </c>
      <c r="F141" s="112">
        <f>+VLOOKUP(C141,'TH-17T4'!$E$7:$V$144,18,0)</f>
        <v>0</v>
      </c>
      <c r="G141" s="113">
        <f>+VLOOKUP(C141,'TH-17T4'!$E$7:$AU$144,43,0)</f>
        <v>2142000</v>
      </c>
      <c r="H141" s="112">
        <f>+VLOOKUP(C141,'TH-17T4'!$E$7:$H$144,4,0)</f>
        <v>0</v>
      </c>
      <c r="I141" s="112">
        <f>+VLOOKUP(C141,'TH-17T4'!$E$7:$AF$144,28,0)</f>
        <v>0</v>
      </c>
      <c r="J141" s="112">
        <f>+VLOOKUP(C141,'TH-17T4'!$E$7:$AI$144,31,0)</f>
        <v>0</v>
      </c>
      <c r="K141" s="112">
        <f>+VLOOKUP(C141,'TH-17T4'!$E$7:$AL$144,34,0)</f>
        <v>0</v>
      </c>
      <c r="L141" s="112">
        <f>+VLOOKUP(C141,'TH-17T4'!$E$7:$Z$144,22,0)</f>
        <v>0</v>
      </c>
      <c r="M141" s="112">
        <f>+VLOOKUP(C141,'TH-17T4'!$E$7:$AC$144,25,0)</f>
        <v>0</v>
      </c>
      <c r="N141" s="165">
        <f t="shared" si="21"/>
        <v>0</v>
      </c>
      <c r="O141" s="113">
        <f>+VLOOKUP(C141,'TH-17T4'!$E$7:$AQ$144,39,0)</f>
        <v>0</v>
      </c>
      <c r="P141" s="120">
        <f t="shared" si="22"/>
        <v>2142000</v>
      </c>
      <c r="Q141" s="192"/>
      <c r="R141" s="192"/>
      <c r="S141" s="113"/>
      <c r="T141" s="166" t="s">
        <v>257</v>
      </c>
    </row>
    <row r="142" spans="1:21" ht="15.75" x14ac:dyDescent="0.25">
      <c r="A142" s="166">
        <f t="shared" si="20"/>
        <v>135</v>
      </c>
      <c r="B142" s="188" t="s">
        <v>219</v>
      </c>
      <c r="C142" s="187" t="s">
        <v>268</v>
      </c>
      <c r="D142" s="162" t="s">
        <v>234</v>
      </c>
      <c r="E142" s="113">
        <f>+VLOOKUP(C142,'TH-17T4'!$E$7:$AV$144,44,0)</f>
        <v>0</v>
      </c>
      <c r="F142" s="112">
        <f>+VLOOKUP(C142,'TH-17T4'!$E$7:$V$144,18,0)</f>
        <v>0</v>
      </c>
      <c r="G142" s="113">
        <f>+VLOOKUP(C142,'TH-17T4'!$E$7:$AU$144,43,0)</f>
        <v>0</v>
      </c>
      <c r="H142" s="112">
        <f>+VLOOKUP(C142,'TH-17T4'!$E$7:$H$144,4,0)</f>
        <v>0</v>
      </c>
      <c r="I142" s="112">
        <f>+VLOOKUP(C142,'TH-17T4'!$E$7:$AF$144,28,0)</f>
        <v>932727</v>
      </c>
      <c r="J142" s="112">
        <f>+VLOOKUP(C142,'TH-17T4'!$E$7:$AI$144,31,0)</f>
        <v>0</v>
      </c>
      <c r="K142" s="112">
        <f>+VLOOKUP(C142,'TH-17T4'!$E$7:$AL$144,34,0)</f>
        <v>0</v>
      </c>
      <c r="L142" s="112">
        <f>+VLOOKUP(C142,'TH-17T4'!$E$7:$Z$144,22,0)</f>
        <v>0</v>
      </c>
      <c r="M142" s="112">
        <f>+VLOOKUP(C142,'TH-17T4'!$E$7:$AC$144,25,0)</f>
        <v>0</v>
      </c>
      <c r="N142" s="165">
        <f t="shared" ref="N142" si="23">+SUM(I142:M142)</f>
        <v>932727</v>
      </c>
      <c r="O142" s="113">
        <f>+VLOOKUP(C142,'TH-17T4'!$E$7:$AQ$144,39,0)</f>
        <v>0</v>
      </c>
      <c r="P142" s="120">
        <f t="shared" ref="P142" si="24">+O142+N142+H142+G142+F142+E142</f>
        <v>932727</v>
      </c>
      <c r="Q142" s="192"/>
      <c r="R142" s="192"/>
      <c r="S142" s="113"/>
      <c r="T142" s="166" t="s">
        <v>257</v>
      </c>
    </row>
    <row r="143" spans="1:21" ht="15.75" x14ac:dyDescent="0.25">
      <c r="A143" s="166">
        <f t="shared" si="20"/>
        <v>136</v>
      </c>
      <c r="B143" s="188" t="s">
        <v>209</v>
      </c>
      <c r="C143" s="187" t="s">
        <v>238</v>
      </c>
      <c r="D143" s="162" t="s">
        <v>234</v>
      </c>
      <c r="E143" s="113">
        <f>+VLOOKUP(C143,'TH-17T4'!$E$7:$AV$144,44,0)</f>
        <v>0</v>
      </c>
      <c r="F143" s="112">
        <f>+VLOOKUP(C143,'TH-17T4'!$E$7:$V$144,18,0)</f>
        <v>0</v>
      </c>
      <c r="G143" s="113">
        <f>+VLOOKUP(C143,'TH-17T4'!$E$7:$AU$144,43,0)</f>
        <v>0</v>
      </c>
      <c r="H143" s="112">
        <f>+VLOOKUP(C143,'TH-17T4'!$E$7:$H$144,4,0)</f>
        <v>0</v>
      </c>
      <c r="I143" s="112">
        <f>+VLOOKUP(C143,'TH-17T4'!$E$7:$AF$144,28,0)</f>
        <v>932727</v>
      </c>
      <c r="J143" s="112">
        <f>+VLOOKUP(C143,'TH-17T4'!$E$7:$AI$144,31,0)</f>
        <v>0</v>
      </c>
      <c r="K143" s="112">
        <f>+VLOOKUP(C143,'TH-17T4'!$E$7:$AL$144,34,0)</f>
        <v>0</v>
      </c>
      <c r="L143" s="112">
        <f>+VLOOKUP(C143,'TH-17T4'!$E$7:$Z$144,22,0)</f>
        <v>0</v>
      </c>
      <c r="M143" s="112">
        <f>+VLOOKUP(C143,'TH-17T4'!$E$7:$AC$144,25,0)</f>
        <v>0</v>
      </c>
      <c r="N143" s="165">
        <f t="shared" si="21"/>
        <v>932727</v>
      </c>
      <c r="O143" s="113">
        <f>+VLOOKUP(C143,'TH-17T4'!$E$7:$AQ$144,39,0)</f>
        <v>0</v>
      </c>
      <c r="P143" s="120">
        <f t="shared" si="22"/>
        <v>932727</v>
      </c>
      <c r="Q143" s="192"/>
      <c r="R143" s="192"/>
      <c r="S143" s="113"/>
      <c r="T143" s="166" t="s">
        <v>257</v>
      </c>
    </row>
    <row r="144" spans="1:21" ht="15.75" hidden="1" x14ac:dyDescent="0.25">
      <c r="A144" s="166">
        <f t="shared" si="20"/>
        <v>137</v>
      </c>
      <c r="B144" s="188" t="s">
        <v>206</v>
      </c>
      <c r="C144" s="187" t="s">
        <v>239</v>
      </c>
      <c r="D144" s="162" t="s">
        <v>234</v>
      </c>
      <c r="E144" s="113">
        <f>+VLOOKUP(C144,'TH-17T4'!$E$7:$AV$144,44,0)</f>
        <v>0</v>
      </c>
      <c r="F144" s="112">
        <f>+VLOOKUP(C144,'TH-17T4'!$E$7:$V$144,18,0)</f>
        <v>0</v>
      </c>
      <c r="G144" s="113">
        <f>+VLOOKUP(C144,'TH-17T4'!$E$7:$AU$144,43,0)</f>
        <v>0</v>
      </c>
      <c r="H144" s="112">
        <f>+VLOOKUP(C144,'TH-17T4'!$E$7:$H$144,4,0)</f>
        <v>0</v>
      </c>
      <c r="I144" s="112">
        <f>+VLOOKUP(C144,'TH-17T4'!$E$7:$AF$144,28,0)</f>
        <v>932727</v>
      </c>
      <c r="J144" s="112">
        <f>+VLOOKUP(C144,'TH-17T4'!$E$7:$AI$144,31,0)</f>
        <v>0</v>
      </c>
      <c r="K144" s="112">
        <f>+VLOOKUP(C144,'TH-17T4'!$E$7:$AL$144,34,0)</f>
        <v>0</v>
      </c>
      <c r="L144" s="112">
        <f>+VLOOKUP(C144,'TH-17T4'!$E$7:$Z$144,22,0)</f>
        <v>0</v>
      </c>
      <c r="M144" s="112">
        <f>+VLOOKUP(C144,'TH-17T4'!$E$7:$AC$144,25,0)</f>
        <v>0</v>
      </c>
      <c r="N144" s="165">
        <f t="shared" si="21"/>
        <v>932727</v>
      </c>
      <c r="O144" s="113">
        <f>+VLOOKUP(C144,'TH-17T4'!$E$7:$AQ$144,39,0)</f>
        <v>0</v>
      </c>
      <c r="P144" s="120">
        <f t="shared" si="22"/>
        <v>932727</v>
      </c>
      <c r="Q144" s="192">
        <v>932727</v>
      </c>
      <c r="R144" s="120">
        <f>+Q144-P144</f>
        <v>0</v>
      </c>
      <c r="S144" s="113"/>
      <c r="T144" s="187" t="s">
        <v>257</v>
      </c>
      <c r="U144" s="193">
        <v>12</v>
      </c>
    </row>
    <row r="145" spans="1:21" ht="15.75" hidden="1" x14ac:dyDescent="0.25">
      <c r="A145" s="166">
        <f t="shared" si="20"/>
        <v>138</v>
      </c>
      <c r="B145" s="188" t="s">
        <v>205</v>
      </c>
      <c r="C145" s="187" t="s">
        <v>207</v>
      </c>
      <c r="D145" s="162" t="s">
        <v>234</v>
      </c>
      <c r="E145" s="113">
        <f>+VLOOKUP(C145,'TH-17T4'!$E$7:$AV$144,44,0)</f>
        <v>0</v>
      </c>
      <c r="F145" s="112">
        <f>+VLOOKUP(C145,'TH-17T4'!$E$7:$V$144,18,0)</f>
        <v>0</v>
      </c>
      <c r="G145" s="113">
        <f>+VLOOKUP(C145,'TH-17T4'!$E$7:$AU$144,43,0)</f>
        <v>0</v>
      </c>
      <c r="H145" s="112">
        <f>+VLOOKUP(C145,'TH-17T4'!$E$7:$H$144,4,0)</f>
        <v>0</v>
      </c>
      <c r="I145" s="112">
        <f>+VLOOKUP(C145,'TH-17T4'!$E$7:$AF$144,28,0)</f>
        <v>0</v>
      </c>
      <c r="J145" s="112">
        <f>+VLOOKUP(C145,'TH-17T4'!$E$7:$AI$144,31,0)</f>
        <v>0</v>
      </c>
      <c r="K145" s="112">
        <f>+VLOOKUP(C145,'TH-17T4'!$E$7:$AL$144,34,0)</f>
        <v>0</v>
      </c>
      <c r="L145" s="112">
        <f>+VLOOKUP(C145,'TH-17T4'!$E$7:$Z$144,22,0)</f>
        <v>0</v>
      </c>
      <c r="M145" s="112">
        <f>+VLOOKUP(C145,'TH-17T4'!$E$7:$AC$144,25,0)</f>
        <v>98182</v>
      </c>
      <c r="N145" s="165">
        <f t="shared" si="21"/>
        <v>98182</v>
      </c>
      <c r="O145" s="113">
        <f>+VLOOKUP(C145,'TH-17T4'!$E$7:$AQ$144,39,0)</f>
        <v>0</v>
      </c>
      <c r="P145" s="120">
        <f t="shared" si="22"/>
        <v>98182</v>
      </c>
      <c r="Q145" s="192">
        <v>98182</v>
      </c>
      <c r="R145" s="120">
        <f>+Q145-P145</f>
        <v>0</v>
      </c>
      <c r="S145" s="113"/>
      <c r="T145" s="171" t="s">
        <v>256</v>
      </c>
      <c r="U145" s="193">
        <v>12</v>
      </c>
    </row>
    <row r="146" spans="1:21" ht="15.75" x14ac:dyDescent="0.25">
      <c r="A146" s="166">
        <f t="shared" si="20"/>
        <v>139</v>
      </c>
      <c r="B146" s="188"/>
      <c r="C146" s="189"/>
      <c r="D146" s="187"/>
      <c r="E146" s="135"/>
      <c r="F146" s="190"/>
      <c r="G146" s="135"/>
      <c r="H146" s="135"/>
      <c r="I146" s="135"/>
      <c r="J146" s="135"/>
      <c r="K146" s="135"/>
      <c r="L146" s="135"/>
      <c r="M146" s="135"/>
      <c r="N146" s="191"/>
      <c r="O146" s="135"/>
      <c r="P146" s="192"/>
      <c r="Q146" s="192"/>
      <c r="R146" s="192"/>
      <c r="S146" s="192"/>
      <c r="T146" s="166" t="s">
        <v>257</v>
      </c>
    </row>
    <row r="147" spans="1:21" ht="15" x14ac:dyDescent="0.25">
      <c r="A147" s="172"/>
      <c r="B147" s="172" t="s">
        <v>4</v>
      </c>
      <c r="C147" s="173"/>
      <c r="D147" s="173"/>
      <c r="E147" s="194">
        <f t="shared" ref="E147:P147" si="25">SUBTOTAL(9,E8:E146)</f>
        <v>880000</v>
      </c>
      <c r="F147" s="194">
        <f t="shared" si="25"/>
        <v>12615880</v>
      </c>
      <c r="G147" s="194">
        <f t="shared" si="25"/>
        <v>41163000</v>
      </c>
      <c r="H147" s="194">
        <f t="shared" si="25"/>
        <v>43160000</v>
      </c>
      <c r="I147" s="174">
        <f t="shared" si="25"/>
        <v>20519994</v>
      </c>
      <c r="J147" s="174">
        <f t="shared" si="25"/>
        <v>0</v>
      </c>
      <c r="K147" s="174">
        <f t="shared" si="25"/>
        <v>68726</v>
      </c>
      <c r="L147" s="174">
        <f t="shared" si="25"/>
        <v>5326384</v>
      </c>
      <c r="M147" s="174">
        <f t="shared" si="25"/>
        <v>4516372</v>
      </c>
      <c r="N147" s="174">
        <f t="shared" si="25"/>
        <v>30431476</v>
      </c>
      <c r="O147" s="174">
        <f t="shared" si="25"/>
        <v>4046000</v>
      </c>
      <c r="P147" s="174">
        <f t="shared" si="25"/>
        <v>132296356</v>
      </c>
      <c r="Q147" s="174"/>
      <c r="R147" s="174"/>
      <c r="S147" s="174"/>
      <c r="T147" s="175"/>
      <c r="U147" s="193" t="s">
        <v>34</v>
      </c>
    </row>
    <row r="148" spans="1:21" x14ac:dyDescent="0.25">
      <c r="N148" s="176">
        <f>+'TH-17T4'!AM146</f>
        <v>49635854</v>
      </c>
    </row>
    <row r="149" spans="1:21" x14ac:dyDescent="0.3">
      <c r="E149" s="1"/>
      <c r="F149" s="41"/>
      <c r="G149" s="1"/>
      <c r="I149" s="41"/>
      <c r="J149" s="41"/>
      <c r="K149" s="41"/>
      <c r="L149" s="41"/>
      <c r="M149" s="41"/>
      <c r="N149" s="195">
        <f>+N148-N147</f>
        <v>19204378</v>
      </c>
      <c r="O149" s="1"/>
      <c r="P149" s="1"/>
      <c r="Q149" s="1"/>
      <c r="R149" s="1"/>
      <c r="S149" s="1"/>
      <c r="T149" s="41"/>
    </row>
    <row r="150" spans="1:21" x14ac:dyDescent="0.25">
      <c r="E150" s="157"/>
      <c r="G150" s="157"/>
      <c r="N150" s="177"/>
      <c r="O150" s="157"/>
      <c r="P150" s="157"/>
      <c r="Q150" s="157"/>
      <c r="R150" s="157"/>
      <c r="S150" s="157"/>
    </row>
    <row r="151" spans="1:21" x14ac:dyDescent="0.25">
      <c r="E151" s="157"/>
      <c r="G151" s="157"/>
      <c r="N151" s="157"/>
      <c r="O151" s="157"/>
      <c r="P151" s="157"/>
      <c r="Q151" s="157"/>
      <c r="R151" s="157"/>
      <c r="S151" s="157"/>
    </row>
    <row r="152" spans="1:21" x14ac:dyDescent="0.25">
      <c r="E152" s="157"/>
      <c r="G152" s="157"/>
      <c r="N152" s="157"/>
      <c r="O152" s="157"/>
      <c r="P152" s="157"/>
      <c r="Q152" s="157"/>
      <c r="R152" s="157"/>
      <c r="S152" s="157"/>
    </row>
    <row r="153" spans="1:21" x14ac:dyDescent="0.25">
      <c r="E153" s="157"/>
      <c r="G153" s="157"/>
      <c r="N153" s="157"/>
      <c r="O153" s="157"/>
      <c r="P153" s="157"/>
      <c r="Q153" s="157"/>
      <c r="R153" s="157"/>
      <c r="S153" s="157"/>
      <c r="T153" s="178"/>
    </row>
    <row r="154" spans="1:21" x14ac:dyDescent="0.25">
      <c r="E154" s="157"/>
      <c r="G154" s="157"/>
      <c r="N154" s="157"/>
      <c r="O154" s="157"/>
      <c r="P154" s="157"/>
      <c r="Q154" s="157"/>
      <c r="R154" s="157"/>
      <c r="S154" s="157"/>
    </row>
    <row r="155" spans="1:21" x14ac:dyDescent="0.25">
      <c r="E155" s="157"/>
      <c r="G155" s="157"/>
      <c r="N155" s="157"/>
      <c r="O155" s="157"/>
      <c r="P155" s="157"/>
      <c r="Q155" s="157"/>
      <c r="R155" s="157"/>
      <c r="S155" s="157"/>
    </row>
    <row r="156" spans="1:21" x14ac:dyDescent="0.25">
      <c r="E156" s="157"/>
      <c r="G156" s="157"/>
      <c r="N156" s="157"/>
      <c r="O156" s="157"/>
      <c r="P156" s="157"/>
      <c r="Q156" s="157"/>
      <c r="R156" s="157"/>
      <c r="S156" s="157"/>
    </row>
    <row r="157" spans="1:21" x14ac:dyDescent="0.25">
      <c r="E157" s="157"/>
      <c r="G157" s="157"/>
      <c r="N157" s="157"/>
      <c r="O157" s="157"/>
      <c r="P157" s="157"/>
      <c r="Q157" s="157"/>
      <c r="R157" s="157"/>
      <c r="S157" s="157"/>
    </row>
    <row r="158" spans="1:21" x14ac:dyDescent="0.25">
      <c r="E158" s="157"/>
      <c r="G158" s="157"/>
      <c r="N158" s="157"/>
      <c r="O158" s="157"/>
      <c r="P158" s="157"/>
      <c r="Q158" s="157"/>
      <c r="R158" s="157"/>
      <c r="S158" s="157"/>
    </row>
    <row r="159" spans="1:21" x14ac:dyDescent="0.25">
      <c r="E159" s="157"/>
      <c r="G159" s="157"/>
      <c r="N159" s="157"/>
      <c r="O159" s="157"/>
      <c r="P159" s="157"/>
      <c r="Q159" s="157"/>
      <c r="R159" s="157"/>
      <c r="S159" s="157"/>
    </row>
    <row r="160" spans="1:21" x14ac:dyDescent="0.25">
      <c r="E160" s="157"/>
      <c r="G160" s="157"/>
      <c r="N160" s="157"/>
      <c r="O160" s="157"/>
      <c r="P160" s="157"/>
      <c r="Q160" s="157"/>
      <c r="R160" s="157"/>
      <c r="S160" s="157"/>
    </row>
    <row r="161" spans="5:19" x14ac:dyDescent="0.25">
      <c r="E161" s="157"/>
      <c r="G161" s="157"/>
      <c r="N161" s="157"/>
      <c r="O161" s="157"/>
      <c r="P161" s="157"/>
      <c r="Q161" s="157"/>
      <c r="R161" s="157"/>
      <c r="S161" s="157"/>
    </row>
    <row r="162" spans="5:19" x14ac:dyDescent="0.25">
      <c r="E162" s="157"/>
      <c r="G162" s="157"/>
      <c r="N162" s="157"/>
      <c r="O162" s="157"/>
      <c r="P162" s="157"/>
      <c r="Q162" s="157"/>
      <c r="R162" s="157"/>
      <c r="S162" s="157"/>
    </row>
    <row r="163" spans="5:19" x14ac:dyDescent="0.25">
      <c r="E163" s="157"/>
      <c r="G163" s="157"/>
      <c r="N163" s="157"/>
      <c r="O163" s="157"/>
      <c r="P163" s="157"/>
      <c r="Q163" s="157"/>
      <c r="R163" s="157"/>
      <c r="S163" s="157"/>
    </row>
    <row r="164" spans="5:19" x14ac:dyDescent="0.25">
      <c r="E164" s="157"/>
      <c r="G164" s="157"/>
      <c r="N164" s="157"/>
      <c r="O164" s="157"/>
      <c r="P164" s="157"/>
      <c r="Q164" s="157"/>
      <c r="R164" s="157"/>
      <c r="S164" s="157"/>
    </row>
    <row r="165" spans="5:19" x14ac:dyDescent="0.25">
      <c r="E165" s="157"/>
      <c r="G165" s="157"/>
      <c r="N165" s="157"/>
      <c r="O165" s="157"/>
      <c r="P165" s="157"/>
      <c r="Q165" s="157"/>
      <c r="R165" s="157"/>
      <c r="S165" s="157"/>
    </row>
    <row r="166" spans="5:19" x14ac:dyDescent="0.25">
      <c r="E166" s="157"/>
      <c r="G166" s="157"/>
      <c r="N166" s="157"/>
      <c r="O166" s="157"/>
      <c r="P166" s="157"/>
      <c r="Q166" s="157"/>
      <c r="R166" s="157"/>
      <c r="S166" s="157"/>
    </row>
    <row r="167" spans="5:19" x14ac:dyDescent="0.25">
      <c r="E167" s="157"/>
      <c r="G167" s="157"/>
      <c r="N167" s="157"/>
      <c r="O167" s="157"/>
      <c r="P167" s="157"/>
      <c r="Q167" s="157"/>
      <c r="R167" s="157"/>
      <c r="S167" s="157"/>
    </row>
    <row r="168" spans="5:19" x14ac:dyDescent="0.25">
      <c r="E168" s="157"/>
      <c r="G168" s="157"/>
      <c r="N168" s="157"/>
      <c r="O168" s="157"/>
      <c r="P168" s="157"/>
      <c r="Q168" s="157"/>
      <c r="R168" s="157"/>
      <c r="S168" s="157"/>
    </row>
  </sheetData>
  <autoFilter ref="A7:V149" xr:uid="{D7AAC513-0285-450E-BBB5-0B215CBEB68B}">
    <filterColumn colId="20">
      <filters blank="1">
        <filter val="*"/>
      </filters>
    </filterColumn>
  </autoFilter>
  <mergeCells count="2">
    <mergeCell ref="A1:C1"/>
    <mergeCell ref="A2:C2"/>
  </mergeCells>
  <pageMargins left="0.2" right="0.2" top="0.2" bottom="0.2" header="0.2" footer="0.2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 PT T10</vt:lpstr>
      <vt:lpstr>TH-17T4</vt:lpstr>
      <vt:lpstr>Bảng kê 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QLDT-NGUYETANH</cp:lastModifiedBy>
  <cp:lastPrinted>2023-10-17T01:16:26Z</cp:lastPrinted>
  <dcterms:created xsi:type="dcterms:W3CDTF">2018-05-02T07:32:15Z</dcterms:created>
  <dcterms:modified xsi:type="dcterms:W3CDTF">2023-10-17T06:18:50Z</dcterms:modified>
</cp:coreProperties>
</file>