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480" yWindow="480" windowWidth="25120" windowHeight="14040" tabRatio="500"/>
  </bookViews>
  <sheets>
    <sheet name="Resources" sheetId="1" r:id="rId1"/>
    <sheet name="Notes" sheetId="2" r:id="rId2"/>
  </sheets>
  <definedNames>
    <definedName name="_xlnm.Print_Area" localSheetId="0">Resources!$A$1:$I$134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3" i="1" l="1"/>
  <c r="G133" i="1"/>
  <c r="D133" i="1"/>
  <c r="D132" i="1"/>
  <c r="G131" i="1"/>
  <c r="D131" i="1"/>
  <c r="H130" i="1"/>
  <c r="G130" i="1"/>
  <c r="G129" i="1"/>
  <c r="G128" i="1"/>
  <c r="D128" i="1"/>
  <c r="D124" i="1"/>
  <c r="H122" i="1"/>
  <c r="G122" i="1"/>
  <c r="D122" i="1"/>
  <c r="D121" i="1"/>
  <c r="H120" i="1"/>
  <c r="G120" i="1"/>
  <c r="I119" i="1"/>
  <c r="H119" i="1"/>
  <c r="G119" i="1"/>
  <c r="F119" i="1"/>
  <c r="E119" i="1"/>
  <c r="D119" i="1"/>
  <c r="D118" i="1"/>
  <c r="D107" i="1"/>
  <c r="H106" i="1"/>
  <c r="G106" i="1"/>
  <c r="G105" i="1"/>
  <c r="G104" i="1"/>
  <c r="E104" i="1"/>
  <c r="D104" i="1"/>
  <c r="G103" i="1"/>
  <c r="D102" i="1"/>
  <c r="H101" i="1"/>
  <c r="G101" i="1"/>
  <c r="D101" i="1"/>
  <c r="I98" i="1"/>
  <c r="H98" i="1"/>
  <c r="G98" i="1"/>
  <c r="E98" i="1"/>
  <c r="D98" i="1"/>
  <c r="H97" i="1"/>
  <c r="G97" i="1"/>
  <c r="G96" i="1"/>
  <c r="I91" i="1"/>
  <c r="H91" i="1"/>
  <c r="G91" i="1"/>
  <c r="I90" i="1"/>
  <c r="H90" i="1"/>
  <c r="G90" i="1"/>
  <c r="F90" i="1"/>
  <c r="E90" i="1"/>
  <c r="D90" i="1"/>
  <c r="D89" i="1"/>
  <c r="H88" i="1"/>
  <c r="G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G85" i="1"/>
  <c r="F85" i="1"/>
  <c r="E85" i="1"/>
  <c r="D85" i="1"/>
  <c r="H84" i="1"/>
  <c r="G84" i="1"/>
  <c r="I81" i="1"/>
  <c r="H81" i="1"/>
  <c r="G81" i="1"/>
  <c r="D81" i="1"/>
  <c r="H80" i="1"/>
  <c r="G80" i="1"/>
  <c r="D80" i="1"/>
  <c r="G79" i="1"/>
  <c r="D79" i="1"/>
  <c r="H78" i="1"/>
  <c r="G78" i="1"/>
  <c r="E78" i="1"/>
  <c r="D78" i="1"/>
  <c r="I77" i="1"/>
  <c r="H77" i="1"/>
  <c r="G77" i="1"/>
  <c r="F77" i="1"/>
  <c r="E77" i="1"/>
  <c r="D77" i="1"/>
  <c r="H76" i="1"/>
  <c r="G76" i="1"/>
  <c r="D76" i="1"/>
  <c r="I75" i="1"/>
  <c r="H75" i="1"/>
  <c r="G75" i="1"/>
  <c r="F75" i="1"/>
  <c r="E75" i="1"/>
  <c r="D75" i="1"/>
  <c r="H74" i="1"/>
  <c r="G74" i="1"/>
  <c r="F74" i="1"/>
  <c r="E74" i="1"/>
  <c r="D74" i="1"/>
  <c r="D73" i="1"/>
  <c r="I72" i="1"/>
  <c r="H72" i="1"/>
  <c r="G72" i="1"/>
  <c r="D71" i="1"/>
  <c r="D70" i="1"/>
  <c r="G69" i="1"/>
  <c r="F69" i="1"/>
  <c r="E69" i="1"/>
  <c r="D69" i="1"/>
  <c r="G68" i="1"/>
  <c r="F68" i="1"/>
  <c r="E68" i="1"/>
  <c r="D68" i="1"/>
  <c r="D66" i="1"/>
  <c r="D65" i="1"/>
  <c r="I64" i="1"/>
  <c r="H64" i="1"/>
  <c r="G64" i="1"/>
  <c r="D64" i="1"/>
  <c r="I63" i="1"/>
  <c r="H63" i="1"/>
  <c r="G63" i="1"/>
  <c r="F63" i="1"/>
  <c r="E63" i="1"/>
  <c r="D63" i="1"/>
  <c r="H61" i="1"/>
  <c r="G61" i="1"/>
  <c r="E61" i="1"/>
  <c r="D61" i="1"/>
  <c r="E59" i="1"/>
  <c r="D59" i="1"/>
  <c r="I57" i="1"/>
  <c r="H57" i="1"/>
  <c r="G57" i="1"/>
  <c r="D57" i="1"/>
  <c r="D56" i="1"/>
  <c r="I55" i="1"/>
  <c r="H55" i="1"/>
  <c r="G55" i="1"/>
  <c r="D55" i="1"/>
  <c r="I54" i="1"/>
  <c r="H54" i="1"/>
  <c r="G54" i="1"/>
  <c r="D54" i="1"/>
  <c r="H53" i="1"/>
  <c r="G53" i="1"/>
  <c r="E53" i="1"/>
  <c r="D53" i="1"/>
  <c r="G52" i="1"/>
  <c r="F52" i="1"/>
  <c r="E52" i="1"/>
  <c r="D52" i="1"/>
  <c r="I51" i="1"/>
  <c r="H51" i="1"/>
  <c r="G51" i="1"/>
  <c r="D51" i="1"/>
  <c r="F50" i="1"/>
  <c r="E50" i="1"/>
  <c r="D50" i="1"/>
  <c r="H49" i="1"/>
  <c r="G49" i="1"/>
  <c r="D49" i="1"/>
  <c r="G48" i="1"/>
  <c r="F48" i="1"/>
  <c r="E48" i="1"/>
  <c r="D48" i="1"/>
  <c r="D47" i="1"/>
  <c r="H46" i="1"/>
  <c r="G46" i="1"/>
  <c r="D46" i="1"/>
  <c r="I45" i="1"/>
  <c r="H45" i="1"/>
  <c r="G45" i="1"/>
  <c r="E45" i="1"/>
  <c r="D45" i="1"/>
  <c r="D43" i="1"/>
  <c r="H42" i="1"/>
  <c r="G42" i="1"/>
  <c r="F42" i="1"/>
  <c r="E42" i="1"/>
  <c r="D42" i="1"/>
  <c r="G41" i="1"/>
  <c r="E41" i="1"/>
  <c r="D41" i="1"/>
  <c r="D40" i="1"/>
  <c r="G39" i="1"/>
  <c r="D39" i="1"/>
  <c r="H38" i="1"/>
  <c r="G38" i="1"/>
  <c r="I37" i="1"/>
  <c r="H37" i="1"/>
  <c r="G37" i="1"/>
  <c r="G35" i="1"/>
  <c r="D35" i="1"/>
  <c r="G34" i="1"/>
  <c r="E34" i="1"/>
  <c r="D34" i="1"/>
  <c r="H33" i="1"/>
  <c r="G33" i="1"/>
  <c r="F33" i="1"/>
  <c r="E33" i="1"/>
  <c r="D33" i="1"/>
  <c r="H32" i="1"/>
  <c r="G32" i="1"/>
  <c r="E32" i="1"/>
  <c r="D32" i="1"/>
  <c r="I31" i="1"/>
  <c r="H31" i="1"/>
  <c r="G31" i="1"/>
  <c r="F31" i="1"/>
  <c r="E31" i="1"/>
  <c r="D31" i="1"/>
  <c r="G29" i="1"/>
  <c r="F29" i="1"/>
  <c r="E29" i="1"/>
  <c r="D29" i="1"/>
  <c r="G28" i="1"/>
  <c r="D28" i="1"/>
  <c r="G27" i="1"/>
  <c r="E27" i="1"/>
  <c r="D27" i="1"/>
  <c r="H26" i="1"/>
  <c r="G26" i="1"/>
  <c r="E26" i="1"/>
  <c r="D26" i="1"/>
  <c r="H25" i="1"/>
  <c r="G25" i="1"/>
  <c r="F25" i="1"/>
  <c r="E25" i="1"/>
  <c r="D25" i="1"/>
  <c r="H24" i="1"/>
  <c r="G24" i="1"/>
  <c r="D24" i="1"/>
  <c r="E23" i="1"/>
  <c r="D23" i="1"/>
  <c r="H22" i="1"/>
  <c r="G22" i="1"/>
  <c r="D21" i="1"/>
  <c r="H20" i="1"/>
  <c r="G20" i="1"/>
  <c r="D20" i="1"/>
  <c r="G19" i="1"/>
  <c r="E19" i="1"/>
  <c r="D19" i="1"/>
  <c r="E18" i="1"/>
  <c r="D18" i="1"/>
  <c r="E17" i="1"/>
  <c r="D17" i="1"/>
  <c r="G16" i="1"/>
  <c r="E16" i="1"/>
  <c r="D16" i="1"/>
  <c r="G15" i="1"/>
  <c r="D15" i="1"/>
  <c r="D14" i="1"/>
  <c r="I13" i="1"/>
  <c r="H13" i="1"/>
  <c r="G13" i="1"/>
  <c r="E13" i="1"/>
  <c r="D13" i="1"/>
  <c r="H12" i="1"/>
  <c r="G12" i="1"/>
  <c r="E12" i="1"/>
  <c r="D12" i="1"/>
  <c r="H11" i="1"/>
  <c r="G11" i="1"/>
  <c r="F11" i="1"/>
  <c r="E11" i="1"/>
  <c r="D11" i="1"/>
  <c r="H10" i="1"/>
  <c r="G10" i="1"/>
  <c r="F10" i="1"/>
  <c r="E10" i="1"/>
  <c r="D10" i="1"/>
  <c r="I9" i="1"/>
  <c r="H9" i="1"/>
  <c r="G9" i="1"/>
  <c r="E9" i="1"/>
  <c r="D9" i="1"/>
  <c r="G7" i="1"/>
  <c r="E7" i="1"/>
  <c r="D7" i="1"/>
  <c r="G6" i="1"/>
  <c r="F6" i="1"/>
  <c r="E6" i="1"/>
  <c r="D6" i="1"/>
</calcChain>
</file>

<file path=xl/sharedStrings.xml><?xml version="1.0" encoding="utf-8"?>
<sst xmlns="http://schemas.openxmlformats.org/spreadsheetml/2006/main" count="278" uniqueCount="230">
  <si>
    <t>Spec code</t>
  </si>
  <si>
    <t>This document suggests where some of our favourite Underground Mathematics resources could be used in the new (2017) A level.</t>
  </si>
  <si>
    <t>Brief description</t>
  </si>
  <si>
    <t>Resources</t>
  </si>
  <si>
    <t>The first three columns are derived from the A level specification provided by the DfE. The original specification can be found at</t>
  </si>
  <si>
    <t>https://www.gov.uk/government/publications/gce-as-and-a-level-mathematics</t>
  </si>
  <si>
    <t>Review questions</t>
  </si>
  <si>
    <t>This is not intended to be prescriptive or complete, but should be treated as some suggestions. We hope it may be of use to teachers</t>
  </si>
  <si>
    <t>and managers when putting together Schemes of Work.</t>
  </si>
  <si>
    <t>Up to three rich resources are suggested against each line of the specification - these are given as hyperlinks that should take you directly to</t>
  </si>
  <si>
    <t>the resource on the Underground Mathematics site. In addition, some Review Questions are suggested and these are identified by Ref.</t>
  </si>
  <si>
    <t>Proof</t>
  </si>
  <si>
    <t>A1</t>
  </si>
  <si>
    <t>AS</t>
  </si>
  <si>
    <t>Proof by deduction, exhaustion, counter-example</t>
  </si>
  <si>
    <t>Proof by contradiction</t>
  </si>
  <si>
    <t>Algebra and Functions</t>
  </si>
  <si>
    <t>B1</t>
  </si>
  <si>
    <t>Laws of indices for rational exponents</t>
  </si>
  <si>
    <t>B2</t>
  </si>
  <si>
    <t>Surds including rationalising</t>
  </si>
  <si>
    <t>B3</t>
  </si>
  <si>
    <t>Quadratics, discriminant, roots, completed square</t>
  </si>
  <si>
    <t>B4</t>
  </si>
  <si>
    <t>Simultaneous equations inc one quadratic</t>
  </si>
  <si>
    <t>B5</t>
  </si>
  <si>
    <t>Linear &amp; quadratic inequalities</t>
  </si>
  <si>
    <t>B6</t>
  </si>
  <si>
    <t>Manipulate polynomials, factor theorem</t>
  </si>
  <si>
    <t>Simplify rationals, algebraic division</t>
  </si>
  <si>
    <t>OT1.4</t>
  </si>
  <si>
    <t>Definition of a function</t>
  </si>
  <si>
    <t>Domain and range</t>
  </si>
  <si>
    <t>B7</t>
  </si>
  <si>
    <t>Use &amp; sketch graphs of polynomials</t>
  </si>
  <si>
    <t>Modulus function</t>
  </si>
  <si>
    <t>y=a/x, y=a/x^2</t>
  </si>
  <si>
    <t>Graphical solutions to equations</t>
  </si>
  <si>
    <t>Proportional relationships and their graphs</t>
  </si>
  <si>
    <t>B8</t>
  </si>
  <si>
    <t>Composite functions</t>
  </si>
  <si>
    <t>Inverse functions</t>
  </si>
  <si>
    <t>B9</t>
  </si>
  <si>
    <t>Simple graph transformations</t>
  </si>
  <si>
    <t>Combinations of transformations</t>
  </si>
  <si>
    <t>B10</t>
  </si>
  <si>
    <t>Partial fractions</t>
  </si>
  <si>
    <t>B11</t>
  </si>
  <si>
    <t>Functions in modelling</t>
  </si>
  <si>
    <t>Coordinate Geometry in the (x,y) plane</t>
  </si>
  <si>
    <t>C1</t>
  </si>
  <si>
    <t>Equations of straight lines</t>
  </si>
  <si>
    <t>C2</t>
  </si>
  <si>
    <t>Equation of a circle</t>
  </si>
  <si>
    <t>Circle theorems</t>
  </si>
  <si>
    <t>C3</t>
  </si>
  <si>
    <t>Parametric equations</t>
  </si>
  <si>
    <t>C4</t>
  </si>
  <si>
    <t>Parametric equations in context</t>
  </si>
  <si>
    <t>Sequences and series</t>
  </si>
  <si>
    <t>D1</t>
  </si>
  <si>
    <t>Binomial expansion for integer n</t>
  </si>
  <si>
    <t>General binomial expansion</t>
  </si>
  <si>
    <t>D2</t>
  </si>
  <si>
    <t>Sequences including increasing, decreasing, periodic</t>
  </si>
  <si>
    <t>D3</t>
  </si>
  <si>
    <t>Sigma notation for sum of a series</t>
  </si>
  <si>
    <t>D4</t>
  </si>
  <si>
    <t>Arithmetic sequences and series</t>
  </si>
  <si>
    <t>D5</t>
  </si>
  <si>
    <t>Geometric sequences and series</t>
  </si>
  <si>
    <t>D6</t>
  </si>
  <si>
    <t>Sequences in modelling</t>
  </si>
  <si>
    <t>Trigonometry</t>
  </si>
  <si>
    <t>E1</t>
  </si>
  <si>
    <t>Definitions of sin, cos and tan; rules; area of triangle</t>
  </si>
  <si>
    <t>Radians and arc length/sector area</t>
  </si>
  <si>
    <t>E2</t>
  </si>
  <si>
    <t>Small angle approximations of sin, cos, tan</t>
  </si>
  <si>
    <t>E3</t>
  </si>
  <si>
    <t>Sin, cos and tan graphs: symmetry, periodicity</t>
  </si>
  <si>
    <t>Exact values</t>
  </si>
  <si>
    <t>E4</t>
  </si>
  <si>
    <t>Reciprocal and inverse trig functions and graphs</t>
  </si>
  <si>
    <t>E5</t>
  </si>
  <si>
    <t>Pythagorean trig identities</t>
  </si>
  <si>
    <t>sec and cosec identities</t>
  </si>
  <si>
    <t>E6</t>
  </si>
  <si>
    <t>Compound and double angle formulae</t>
  </si>
  <si>
    <t>The form R cos(theta+/- alpha)</t>
  </si>
  <si>
    <t>E7</t>
  </si>
  <si>
    <t>Solving trig equations</t>
  </si>
  <si>
    <t>E8</t>
  </si>
  <si>
    <t>Proofs involving trig identities</t>
  </si>
  <si>
    <t>E9</t>
  </si>
  <si>
    <t>Use of trig with vectors and in mechanics</t>
  </si>
  <si>
    <t>Exponentials and logarithms</t>
  </si>
  <si>
    <t>F1</t>
  </si>
  <si>
    <t>Graphs of a^x and e^x</t>
  </si>
  <si>
    <t>F2</t>
  </si>
  <si>
    <t>Gradient of e^kx is ke^kx</t>
  </si>
  <si>
    <t>F3</t>
  </si>
  <si>
    <t>log x as inverse of a^x</t>
  </si>
  <si>
    <t>ln x as inverse of e^x; its graph</t>
  </si>
  <si>
    <t>F4</t>
  </si>
  <si>
    <t>Laws of logs</t>
  </si>
  <si>
    <t>F5</t>
  </si>
  <si>
    <t>Solve equations such as a^x=b</t>
  </si>
  <si>
    <t>F6</t>
  </si>
  <si>
    <t>Use logs to linearise x^n and b^x for given data</t>
  </si>
  <si>
    <t>F7</t>
  </si>
  <si>
    <t>Use of exponential functions in modelling</t>
  </si>
  <si>
    <t>Differentiation</t>
  </si>
  <si>
    <t>G1</t>
  </si>
  <si>
    <t>Understand diff'n as gradient or rate of change; second derivative</t>
  </si>
  <si>
    <t>Differentiate polynomials from first principles</t>
  </si>
  <si>
    <t>Concave and convex curves; points of inflection</t>
  </si>
  <si>
    <t>Differentiate sin and cos from first principles</t>
  </si>
  <si>
    <t>G2</t>
  </si>
  <si>
    <t>Differentiate rational powers of x</t>
  </si>
  <si>
    <t>Differentiate e^kx, a^kx; use derivative of ln x</t>
  </si>
  <si>
    <t>Differentiate trig functions, sin kx, etc.</t>
  </si>
  <si>
    <t>G3</t>
  </si>
  <si>
    <t>Find gradients, tangents, max and min; increasing functions</t>
  </si>
  <si>
    <t>Find points of inflection</t>
  </si>
  <si>
    <t>G4</t>
  </si>
  <si>
    <t>Connected rate of change and inverse functions</t>
  </si>
  <si>
    <t>G5</t>
  </si>
  <si>
    <t>Differentiate implicit functions</t>
  </si>
  <si>
    <t>Differentiate parametric functions</t>
  </si>
  <si>
    <t>G6</t>
  </si>
  <si>
    <t>Construct simple diff equations inc modelling</t>
  </si>
  <si>
    <t>Integration</t>
  </si>
  <si>
    <t>H1</t>
  </si>
  <si>
    <t>Fundamental Theorem of Calculus</t>
  </si>
  <si>
    <t>H2</t>
  </si>
  <si>
    <t>Integrate powers of x</t>
  </si>
  <si>
    <t>Integrate e^kx, 1/x, sin kx, cos kx etc.</t>
  </si>
  <si>
    <t>H3</t>
  </si>
  <si>
    <t>Evaluate definite integrals and area under a curve</t>
  </si>
  <si>
    <t>Area between two curves</t>
  </si>
  <si>
    <t>H4</t>
  </si>
  <si>
    <t>Integration as the limit of a sum</t>
  </si>
  <si>
    <t>H5</t>
  </si>
  <si>
    <t>Integrate by substitution and by parts</t>
  </si>
  <si>
    <t>H6</t>
  </si>
  <si>
    <t>Integrate using partial fractions</t>
  </si>
  <si>
    <t>H7</t>
  </si>
  <si>
    <t>Solve 1st order diff equations with sep of variables</t>
  </si>
  <si>
    <t>H8</t>
  </si>
  <si>
    <t>Interpret solutions of differential equations</t>
  </si>
  <si>
    <t>Numerical methods</t>
  </si>
  <si>
    <t>I1</t>
  </si>
  <si>
    <t>Locate roots by sign change</t>
  </si>
  <si>
    <t>I2</t>
  </si>
  <si>
    <t>Use iterative methods</t>
  </si>
  <si>
    <t>Newton Raphson</t>
  </si>
  <si>
    <t>I3</t>
  </si>
  <si>
    <t>Numerical integration inc trapezium rule</t>
  </si>
  <si>
    <t>I4</t>
  </si>
  <si>
    <t>Numerical methods in context</t>
  </si>
  <si>
    <t>Vectors</t>
  </si>
  <si>
    <t>J1</t>
  </si>
  <si>
    <t>Use vectors in 2 dimensions</t>
  </si>
  <si>
    <t>Use vectors in 3 dimensions</t>
  </si>
  <si>
    <t>J2</t>
  </si>
  <si>
    <t>Magnitude and direction and different forms</t>
  </si>
  <si>
    <t>J3</t>
  </si>
  <si>
    <t>Algebraic operations and geometrical interpretations</t>
  </si>
  <si>
    <t>J4</t>
  </si>
  <si>
    <t>Position vectors and difference between two points</t>
  </si>
  <si>
    <t>J5</t>
  </si>
  <si>
    <t>Use vectors to solve problems in context</t>
  </si>
  <si>
    <t>Use vectors in kinematics</t>
  </si>
  <si>
    <t>K</t>
  </si>
  <si>
    <t>Statistical sampling</t>
  </si>
  <si>
    <t>L</t>
  </si>
  <si>
    <t>Data presentation and interpretation</t>
  </si>
  <si>
    <t>M</t>
  </si>
  <si>
    <t>Probability</t>
  </si>
  <si>
    <t>N</t>
  </si>
  <si>
    <t>Statistical distributions</t>
  </si>
  <si>
    <t>O</t>
  </si>
  <si>
    <t>Statistical hypothesis testing</t>
  </si>
  <si>
    <t>Quantities and units in mechanics</t>
  </si>
  <si>
    <t>P1</t>
  </si>
  <si>
    <t>Understand and use SI units</t>
  </si>
  <si>
    <t>Kinematics</t>
  </si>
  <si>
    <t>Q1</t>
  </si>
  <si>
    <t>Language of kinematics</t>
  </si>
  <si>
    <t>Q2</t>
  </si>
  <si>
    <t>Interpret graphs for motion in a straight line</t>
  </si>
  <si>
    <t>Q3</t>
  </si>
  <si>
    <t>Constant acceleration formulae in 1D</t>
  </si>
  <si>
    <t>Constant acceleration formulae in 2D</t>
  </si>
  <si>
    <t>Q4</t>
  </si>
  <si>
    <t>Calculus for motion in a straight line</t>
  </si>
  <si>
    <t>Calculus for motion in 2D with vectors</t>
  </si>
  <si>
    <t>Q5</t>
  </si>
  <si>
    <t>Motion under gravity, projectiles</t>
  </si>
  <si>
    <t>Forces and Newton's laws</t>
  </si>
  <si>
    <t>R1</t>
  </si>
  <si>
    <t>Concept of a force; Newton's 1st law</t>
  </si>
  <si>
    <t>R2</t>
  </si>
  <si>
    <t>Newton's 2nd law in a straight line</t>
  </si>
  <si>
    <t>Resolve forces in 2D for Newton's 2nd law</t>
  </si>
  <si>
    <t>R3</t>
  </si>
  <si>
    <t>Weight and gravitational acceleration</t>
  </si>
  <si>
    <t>R4</t>
  </si>
  <si>
    <t>Newton's 3rd law inc pulleys and connected particles</t>
  </si>
  <si>
    <t>Equilibrium in 2D with resolved forces</t>
  </si>
  <si>
    <t>R5</t>
  </si>
  <si>
    <t>Addition of forces, resultant forces, motion in a plane</t>
  </si>
  <si>
    <t>R6</t>
  </si>
  <si>
    <t>Friction, F ≤ µR</t>
  </si>
  <si>
    <t>Moments</t>
  </si>
  <si>
    <t>S1</t>
  </si>
  <si>
    <t>Understand and use moments in simple static contexts</t>
  </si>
  <si>
    <t>OT1.3</t>
  </si>
  <si>
    <t>Set theory notation</t>
  </si>
  <si>
    <t>Rows coloured pink are not well covered presently</t>
  </si>
  <si>
    <t>Purple cells address Modelling</t>
  </si>
  <si>
    <t>This document suggests where some Underground Mathematics resources could be used in the new (2017) A level.</t>
  </si>
  <si>
    <t>We do not attempt to map this to any awarding body specifications. Further Maths material is not included.</t>
  </si>
  <si>
    <t xml:space="preserve"> </t>
  </si>
  <si>
    <t>Chain rule</t>
  </si>
  <si>
    <t>Product and quotient rules</t>
  </si>
  <si>
    <t>Line items coloured green are taken from the Overarching themes of the DfE spec.</t>
  </si>
  <si>
    <t>Line items coloured pink are not well covered by Underground Mathematics resources at the time of writing.</t>
  </si>
  <si>
    <t>Resources coloured purple address aspects of OT3, 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</si>
</sst>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10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u/>
      <sz val="10"/>
      <color rgb="FF0000FF"/>
      <name val="Arial"/>
    </font>
    <font>
      <sz val="12"/>
      <name val="Calibri"/>
    </font>
    <font>
      <sz val="8"/>
      <name val="Arial"/>
    </font>
    <font>
      <u/>
      <sz val="10"/>
      <color theme="11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E6B8B7"/>
        <bgColor rgb="FFE6B8B7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3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1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3" xfId="0" applyFont="1" applyBorder="1" applyAlignment="1"/>
    <xf numFmtId="0" fontId="4" fillId="0" borderId="4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3" borderId="0" xfId="0" applyFont="1" applyFill="1" applyAlignment="1"/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4" borderId="0" xfId="0" applyFont="1" applyFill="1" applyAlignment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5" borderId="0" xfId="0" applyFont="1" applyFill="1" applyAlignment="1"/>
    <xf numFmtId="0" fontId="4" fillId="0" borderId="3" xfId="0" applyFont="1" applyBorder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6" xfId="0" applyFont="1" applyBorder="1" applyAlignment="1"/>
    <xf numFmtId="0" fontId="2" fillId="4" borderId="6" xfId="0" applyFont="1" applyFill="1" applyBorder="1" applyAlignment="1"/>
    <xf numFmtId="0" fontId="2" fillId="3" borderId="3" xfId="0" applyFont="1" applyFill="1" applyBorder="1" applyAlignment="1"/>
    <xf numFmtId="0" fontId="6" fillId="0" borderId="0" xfId="0" applyFont="1" applyAlignment="1"/>
    <xf numFmtId="0" fontId="6" fillId="6" borderId="0" xfId="0" applyFont="1" applyFill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2" fillId="6" borderId="0" xfId="0" applyFont="1" applyFill="1" applyAlignment="1"/>
    <xf numFmtId="0" fontId="5" fillId="7" borderId="1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0" fontId="5" fillId="7" borderId="7" xfId="0" applyFont="1" applyFill="1" applyBorder="1" applyAlignment="1">
      <alignment horizontal="left"/>
    </xf>
    <xf numFmtId="0" fontId="4" fillId="0" borderId="6" xfId="0" applyFont="1" applyBorder="1"/>
    <xf numFmtId="0" fontId="5" fillId="0" borderId="1" xfId="0" applyFont="1" applyBorder="1" applyAlignment="1"/>
    <xf numFmtId="0" fontId="5" fillId="8" borderId="0" xfId="0" applyFont="1" applyFill="1" applyAlignment="1">
      <alignment horizontal="left"/>
    </xf>
    <xf numFmtId="0" fontId="5" fillId="0" borderId="0" xfId="0" applyFont="1" applyAlignment="1"/>
    <xf numFmtId="0" fontId="5" fillId="7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9" fillId="9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9" fillId="10" borderId="0" xfId="0" applyFont="1" applyFill="1" applyAlignment="1"/>
    <xf numFmtId="0" fontId="9" fillId="0" borderId="0" xfId="0" applyFont="1" applyAlignment="1"/>
    <xf numFmtId="0" fontId="4" fillId="0" borderId="0" xfId="0" applyFont="1"/>
    <xf numFmtId="0" fontId="6" fillId="0" borderId="0" xfId="0" applyFont="1"/>
    <xf numFmtId="0" fontId="5" fillId="9" borderId="1" xfId="0" applyFont="1" applyFill="1" applyBorder="1" applyAlignment="1"/>
    <xf numFmtId="0" fontId="4" fillId="0" borderId="0" xfId="0" applyFont="1" applyAlignment="1"/>
    <xf numFmtId="0" fontId="2" fillId="9" borderId="0" xfId="0" applyFont="1" applyFill="1" applyAlignment="1"/>
    <xf numFmtId="164" fontId="2" fillId="0" borderId="0" xfId="0" applyNumberFormat="1" applyFont="1" applyAlignme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139700</xdr:colOff>
      <xdr:row>0</xdr:row>
      <xdr:rowOff>0</xdr:rowOff>
    </xdr:from>
    <xdr:to>
      <xdr:col>8</xdr:col>
      <xdr:colOff>889000</xdr:colOff>
      <xdr:row>3</xdr:row>
      <xdr:rowOff>177800</xdr:rowOff>
    </xdr:to>
    <xdr:pic>
      <xdr:nvPicPr>
        <xdr:cNvPr id="2" name="Picture 1" descr="logo-400dpi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3300" y="0"/>
          <a:ext cx="749300" cy="74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undergroundmathematics.org/combining-functions/function-builder-i" TargetMode="External"/><Relationship Id="rId21" Type="http://schemas.openxmlformats.org/officeDocument/2006/relationships/hyperlink" Target="https://undergroundmathematics.org/polynomials/divide-it-up" TargetMode="External"/><Relationship Id="rId22" Type="http://schemas.openxmlformats.org/officeDocument/2006/relationships/hyperlink" Target="https://undergroundmathematics.org/polynomials/function-builder-ii" TargetMode="External"/><Relationship Id="rId23" Type="http://schemas.openxmlformats.org/officeDocument/2006/relationships/hyperlink" Target="https://undergroundmathematics.org/thinking-about-functions/what-relation-are-you" TargetMode="External"/><Relationship Id="rId24" Type="http://schemas.openxmlformats.org/officeDocument/2006/relationships/hyperlink" Target="https://undergroundmathematics.org/combining-functions/domain-and-range-dominoes" TargetMode="External"/><Relationship Id="rId25" Type="http://schemas.openxmlformats.org/officeDocument/2006/relationships/hyperlink" Target="https://undergroundmathematics.org/polynomials/can-you-find-cubic-edition" TargetMode="External"/><Relationship Id="rId26" Type="http://schemas.openxmlformats.org/officeDocument/2006/relationships/hyperlink" Target="https://undergroundmathematics.org/thinking-about-functions/absolutely" TargetMode="External"/><Relationship Id="rId27" Type="http://schemas.openxmlformats.org/officeDocument/2006/relationships/hyperlink" Target="https://undergroundmathematics.org/combining-functions/translating-or-not" TargetMode="External"/><Relationship Id="rId28" Type="http://schemas.openxmlformats.org/officeDocument/2006/relationships/hyperlink" Target="https://undergroundmathematics.org/thinking-about-functions/picture-the-process-i" TargetMode="External"/><Relationship Id="rId29" Type="http://schemas.openxmlformats.org/officeDocument/2006/relationships/hyperlink" Target="https://undergroundmathematics.org/geometry-of-equations/the-equation-of-a-straight-line" TargetMode="External"/><Relationship Id="rId1" Type="http://schemas.openxmlformats.org/officeDocument/2006/relationships/hyperlink" Target="https://undergroundmathematics.org/counting-and-binomials/r5245" TargetMode="External"/><Relationship Id="rId2" Type="http://schemas.openxmlformats.org/officeDocument/2006/relationships/hyperlink" Target="https://undergroundmathematics.org/trigonometry-triangles-to-functions/trig-tables" TargetMode="External"/><Relationship Id="rId3" Type="http://schemas.openxmlformats.org/officeDocument/2006/relationships/hyperlink" Target="https://undergroundmathematics.org/thinking-about-numbers/r6962" TargetMode="External"/><Relationship Id="rId4" Type="http://schemas.openxmlformats.org/officeDocument/2006/relationships/hyperlink" Target="https://undergroundmathematics.org/geometry-of-equations/r7642" TargetMode="External"/><Relationship Id="rId5" Type="http://schemas.openxmlformats.org/officeDocument/2006/relationships/hyperlink" Target="https://undergroundmathematics.org/chain-rule/r8625" TargetMode="External"/><Relationship Id="rId30" Type="http://schemas.openxmlformats.org/officeDocument/2006/relationships/hyperlink" Target="https://undergroundmathematics.org/combining-functions/compose" TargetMode="External"/><Relationship Id="rId31" Type="http://schemas.openxmlformats.org/officeDocument/2006/relationships/hyperlink" Target="https://undergroundmathematics.org/combining-functions/composing-gets-me-nowhere" TargetMode="External"/><Relationship Id="rId32" Type="http://schemas.openxmlformats.org/officeDocument/2006/relationships/hyperlink" Target="https://undergroundmathematics.org/combining-functions/name-that-graph-again" TargetMode="External"/><Relationship Id="rId9" Type="http://schemas.openxmlformats.org/officeDocument/2006/relationships/hyperlink" Target="https://undergroundmathematics.org/thinking-about-numbers/absurd" TargetMode="External"/><Relationship Id="rId6" Type="http://schemas.openxmlformats.org/officeDocument/2006/relationships/hyperlink" Target="https://undergroundmathematics.org/sequences/change-one-thing" TargetMode="External"/><Relationship Id="rId7" Type="http://schemas.openxmlformats.org/officeDocument/2006/relationships/hyperlink" Target="https://undergroundmathematics.org/thinking-about-algebra/index-issues" TargetMode="External"/><Relationship Id="rId8" Type="http://schemas.openxmlformats.org/officeDocument/2006/relationships/hyperlink" Target="https://undergroundmathematics.org/quadratics/powerful-quads" TargetMode="External"/><Relationship Id="rId33" Type="http://schemas.openxmlformats.org/officeDocument/2006/relationships/hyperlink" Target="https://undergroundmathematics.org/combining-functions/its-a-matter-of-perspective" TargetMode="External"/><Relationship Id="rId34" Type="http://schemas.openxmlformats.org/officeDocument/2006/relationships/hyperlink" Target="https://undergroundmathematics.org/combining-functions/transformers" TargetMode="External"/><Relationship Id="rId35" Type="http://schemas.openxmlformats.org/officeDocument/2006/relationships/hyperlink" Target="https://undergroundmathematics.org/combining-functions/order-order" TargetMode="External"/><Relationship Id="rId36" Type="http://schemas.openxmlformats.org/officeDocument/2006/relationships/hyperlink" Target="https://undergroundmathematics.org/polynomials/frightening-function" TargetMode="External"/><Relationship Id="rId10" Type="http://schemas.openxmlformats.org/officeDocument/2006/relationships/hyperlink" Target="https://undergroundmathematics.org/thinking-about-numbers/divide-and-conquer" TargetMode="External"/><Relationship Id="rId11" Type="http://schemas.openxmlformats.org/officeDocument/2006/relationships/hyperlink" Target="https://undergroundmathematics.org/thinking-about-numbers/scary-sum" TargetMode="External"/><Relationship Id="rId12" Type="http://schemas.openxmlformats.org/officeDocument/2006/relationships/hyperlink" Target="https://undergroundmathematics.org/quadratics/discriminating" TargetMode="External"/><Relationship Id="rId13" Type="http://schemas.openxmlformats.org/officeDocument/2006/relationships/hyperlink" Target="https://undergroundmathematics.org/quadratics/name-that-graph" TargetMode="External"/><Relationship Id="rId14" Type="http://schemas.openxmlformats.org/officeDocument/2006/relationships/hyperlink" Target="https://undergroundmathematics.org/quadratics/pick-a-card" TargetMode="External"/><Relationship Id="rId15" Type="http://schemas.openxmlformats.org/officeDocument/2006/relationships/hyperlink" Target="https://undergroundmathematics.org/geometry-of-equations/near-miss" TargetMode="External"/><Relationship Id="rId16" Type="http://schemas.openxmlformats.org/officeDocument/2006/relationships/hyperlink" Target="https://undergroundmathematics.org/thinking-about-algebra/two-way-algebra" TargetMode="External"/><Relationship Id="rId17" Type="http://schemas.openxmlformats.org/officeDocument/2006/relationships/hyperlink" Target="https://undergroundmathematics.org/quadratics/inequalities-for-some-occasions" TargetMode="External"/><Relationship Id="rId18" Type="http://schemas.openxmlformats.org/officeDocument/2006/relationships/hyperlink" Target="https://undergroundmathematics.org/thinking-about-algebra/two-way-algebra" TargetMode="External"/><Relationship Id="rId19" Type="http://schemas.openxmlformats.org/officeDocument/2006/relationships/hyperlink" Target="https://undergroundmathematics.org/polynomials/inequalities" TargetMode="External"/><Relationship Id="rId37" Type="http://schemas.openxmlformats.org/officeDocument/2006/relationships/hyperlink" Target="https://undergroundmathematics.org/calculus-meets-functions/keep-your-distance" TargetMode="External"/><Relationship Id="rId38" Type="http://schemas.openxmlformats.org/officeDocument/2006/relationships/hyperlink" Target="https://undergroundmathematics.org/thinking-about-functions/picture-the-process-i" TargetMode="External"/><Relationship Id="rId39" Type="http://schemas.openxmlformats.org/officeDocument/2006/relationships/hyperlink" Target="https://undergroundmathematics.org/combining-functions/picture-the-process-ii" TargetMode="External"/><Relationship Id="rId40" Type="http://schemas.openxmlformats.org/officeDocument/2006/relationships/hyperlink" Target="https://undergroundmathematics.org/circles/r5754" TargetMode="External"/><Relationship Id="rId41" Type="http://schemas.openxmlformats.org/officeDocument/2006/relationships/hyperlink" Target="https://undergroundmathematics.org/chain-rule/integral-sorting" TargetMode="External"/><Relationship Id="rId42" Type="http://schemas.openxmlformats.org/officeDocument/2006/relationships/hyperlink" Target="https://undergroundmathematics.org/power-series/r7436" TargetMode="External"/><Relationship Id="rId4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gce-as-and-a-level-mathema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003"/>
  <sheetViews>
    <sheetView tabSelected="1" workbookViewId="0">
      <pane ySplit="4" topLeftCell="A5" activePane="bottomLeft" state="frozen"/>
      <selection pane="bottomLeft"/>
    </sheetView>
  </sheetViews>
  <sheetFormatPr baseColWidth="10" defaultColWidth="14.5" defaultRowHeight="15.75" customHeight="1" x14ac:dyDescent="0"/>
  <cols>
    <col min="1" max="1" width="5.5" customWidth="1"/>
    <col min="2" max="2" width="5" customWidth="1"/>
    <col min="3" max="3" width="50.5" customWidth="1"/>
    <col min="4" max="6" width="28" customWidth="1"/>
    <col min="7" max="9" width="13.5" customWidth="1"/>
  </cols>
  <sheetData>
    <row r="1" spans="1:22" ht="15.75" customHeight="1">
      <c r="A1" s="1"/>
      <c r="B1" s="2"/>
      <c r="C1" s="52" t="s">
        <v>222</v>
      </c>
      <c r="D1" s="53"/>
      <c r="E1" s="53"/>
      <c r="F1" s="2"/>
      <c r="G1" s="7"/>
      <c r="H1" s="7"/>
      <c r="I1" s="7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>
      <c r="A2" s="1"/>
      <c r="B2" s="2"/>
      <c r="C2" s="54" t="s">
        <v>220</v>
      </c>
      <c r="D2" s="51" t="s">
        <v>221</v>
      </c>
      <c r="E2" s="55"/>
      <c r="F2" s="2"/>
      <c r="G2" s="7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>
      <c r="A3" s="1"/>
      <c r="B3" s="2"/>
      <c r="C3" s="1"/>
      <c r="D3" s="1"/>
      <c r="E3" s="2"/>
      <c r="F3" s="2"/>
      <c r="G3" s="7"/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>
      <c r="A4" s="1" t="s">
        <v>0</v>
      </c>
      <c r="B4" s="2"/>
      <c r="C4" s="1" t="s">
        <v>2</v>
      </c>
      <c r="D4" s="3" t="s">
        <v>3</v>
      </c>
      <c r="E4" s="2"/>
      <c r="F4" s="2"/>
      <c r="G4" s="5" t="s">
        <v>6</v>
      </c>
      <c r="H4" s="7"/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11"/>
      <c r="B5" s="11"/>
      <c r="C5" s="11" t="s">
        <v>11</v>
      </c>
      <c r="D5" s="12"/>
      <c r="E5" s="13"/>
      <c r="F5" s="13"/>
      <c r="G5" s="14"/>
      <c r="H5" s="15"/>
      <c r="I5" s="16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">
      <c r="A6" s="6" t="s">
        <v>12</v>
      </c>
      <c r="B6" s="6" t="s">
        <v>13</v>
      </c>
      <c r="C6" s="17" t="s">
        <v>14</v>
      </c>
      <c r="D6" s="18" t="str">
        <f>HYPERLINK("https://undergroundmathematics.org/thinking-about-geometry/proving-pythag","Proving Pythagoras")</f>
        <v>Proving Pythagoras</v>
      </c>
      <c r="E6" s="38" t="str">
        <f>HYPERLINK("https://undergroundmathematics.org/quadratics/proving-quad-formula","Proving the quadratic formula")</f>
        <v>Proving the quadratic formula</v>
      </c>
      <c r="F6" s="38" t="str">
        <f>HYPERLINK("https://undergroundmathematics.org/calculus-meets-functions/average-turning-points","Average turning points")</f>
        <v>Average turning points</v>
      </c>
      <c r="G6" s="18" t="str">
        <f>HYPERLINK("https://undergroundmathematics.org/counting-and-binomials/r6993","r6993")</f>
        <v>r6993</v>
      </c>
      <c r="H6" s="19"/>
      <c r="I6" s="30"/>
    </row>
    <row r="7" spans="1:22" ht="15">
      <c r="A7" s="6"/>
      <c r="B7" s="6"/>
      <c r="C7" s="17" t="s">
        <v>15</v>
      </c>
      <c r="D7" s="18" t="str">
        <f>HYPERLINK("https://undergroundmathematics.org/thinking-about-numbers/square-root-of-2-is-irrational","The square root of 2 is irrational")</f>
        <v>The square root of 2 is irrational</v>
      </c>
      <c r="E7" s="38" t="str">
        <f>HYPERLINK("https://undergroundmathematics.org/divisibility-and-induction/the-fundamental-theorem-of-arithmetic","The Fundamental Theorem of Arithmetic")</f>
        <v>The Fundamental Theorem of Arithmetic</v>
      </c>
      <c r="F7" s="19"/>
      <c r="G7" s="18" t="str">
        <f>HYPERLINK("https://undergroundmathematics.org/thinking-about-numbers/r8276","r8276")</f>
        <v>r8276</v>
      </c>
      <c r="H7" s="19"/>
      <c r="I7" s="30"/>
    </row>
    <row r="8" spans="1:22" ht="15">
      <c r="A8" s="11"/>
      <c r="B8" s="11"/>
      <c r="C8" s="11" t="s">
        <v>16</v>
      </c>
      <c r="D8" s="14"/>
      <c r="E8" s="15"/>
      <c r="F8" s="15"/>
      <c r="G8" s="14"/>
      <c r="H8" s="15"/>
      <c r="I8" s="16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">
      <c r="A9" s="6" t="s">
        <v>17</v>
      </c>
      <c r="B9" s="6" t="s">
        <v>13</v>
      </c>
      <c r="C9" s="17" t="s">
        <v>18</v>
      </c>
      <c r="D9" s="18" t="str">
        <f>HYPERLINK("https://undergroundmathematics.org/thinking-about-algebra/index-issues","Index issues")</f>
        <v>Index issues</v>
      </c>
      <c r="E9" s="38" t="str">
        <f>HYPERLINK("https://undergroundmathematics.org/quadratics/powerful-quads","Powerful quadratics")</f>
        <v>Powerful quadratics</v>
      </c>
      <c r="F9" s="19"/>
      <c r="G9" s="18" t="str">
        <f>HYPERLINK("https://undergroundmathematics.org/thinking-about-algebra/r6983","r6983")</f>
        <v>r6983</v>
      </c>
      <c r="H9" s="38" t="str">
        <f>HYPERLINK("https://undergroundmathematics.org/thinking-about-algebra/r9160","r9160")</f>
        <v>r9160</v>
      </c>
      <c r="I9" s="39" t="str">
        <f>HYPERLINK("https://undergroundmathematics.org/thinking-about-algebra/r8779","r8779")</f>
        <v>r8779</v>
      </c>
      <c r="J9" s="20"/>
      <c r="K9" s="20"/>
    </row>
    <row r="10" spans="1:22" ht="15">
      <c r="A10" s="6" t="s">
        <v>19</v>
      </c>
      <c r="B10" s="6" t="s">
        <v>13</v>
      </c>
      <c r="C10" s="17" t="s">
        <v>20</v>
      </c>
      <c r="D10" s="18" t="str">
        <f>HYPERLINK("https://undergroundmathematics.org/thinking-about-numbers/absurd","Ab-surd!")</f>
        <v>Ab-surd!</v>
      </c>
      <c r="E10" s="38" t="str">
        <f>HYPERLINK("https://undergroundmathematics.org/thinking-about-numbers/divide-and-conquer","Divide and conquer")</f>
        <v>Divide and conquer</v>
      </c>
      <c r="F10" s="38" t="str">
        <f>HYPERLINK("https://undergroundmathematics.org/thinking-about-numbers/scary-sum","Scary sum")</f>
        <v>Scary sum</v>
      </c>
      <c r="G10" s="18" t="str">
        <f>HYPERLINK("https://undergroundmathematics.org/thinking-about-algebra/r5701","r5701")</f>
        <v>r5701</v>
      </c>
      <c r="H10" s="38" t="str">
        <f>HYPERLINK("https://undergroundmathematics.org/thinking-about-numbers/r7658","r7658")</f>
        <v>r7658</v>
      </c>
      <c r="I10" s="30"/>
      <c r="K10" s="20"/>
    </row>
    <row r="11" spans="1:22" ht="15">
      <c r="A11" s="6" t="s">
        <v>21</v>
      </c>
      <c r="B11" s="6" t="s">
        <v>13</v>
      </c>
      <c r="C11" s="17" t="s">
        <v>22</v>
      </c>
      <c r="D11" s="18" t="str">
        <f>HYPERLINK("https://undergroundmathematics.org/quadratics/discriminating","Discriminating")</f>
        <v>Discriminating</v>
      </c>
      <c r="E11" s="38" t="str">
        <f>HYPERLINK("https://undergroundmathematics.org/quadratics/name-that-graph","Name that graph")</f>
        <v>Name that graph</v>
      </c>
      <c r="F11" s="38" t="str">
        <f>HYPERLINK("https://undergroundmathematics.org/quadratics/pick-a-card","Pick a card")</f>
        <v>Pick a card</v>
      </c>
      <c r="G11" s="18" t="str">
        <f>HYPERLINK("https://undergroundmathematics.org/quadratics/r9658","r9658")</f>
        <v>r9658</v>
      </c>
      <c r="H11" s="38" t="str">
        <f>HYPERLINK("https://undergroundmathematics.org/quadratics/r6756","r6756")</f>
        <v>r6756</v>
      </c>
      <c r="I11" s="30"/>
      <c r="J11" s="20"/>
      <c r="K11" s="20"/>
    </row>
    <row r="12" spans="1:22" ht="15">
      <c r="A12" s="6" t="s">
        <v>23</v>
      </c>
      <c r="B12" s="6" t="s">
        <v>13</v>
      </c>
      <c r="C12" s="17" t="s">
        <v>24</v>
      </c>
      <c r="D12" s="18" t="str">
        <f>HYPERLINK("https://undergroundmathematics.org/geometry-of-equations/near-miss","Near miss")</f>
        <v>Near miss</v>
      </c>
      <c r="E12" s="38" t="str">
        <f t="shared" ref="E12:E13" si="0">HYPERLINK("https://undergroundmathematics.org/thinking-about-algebra/two-way-algebra","Two-way algebra")</f>
        <v>Two-way algebra</v>
      </c>
      <c r="F12" s="19"/>
      <c r="G12" s="18" t="str">
        <f>HYPERLINK("https://undergroundmathematics.org/quadratics/r6429","r6429")</f>
        <v>r6429</v>
      </c>
      <c r="H12" s="38" t="str">
        <f>HYPERLINK("https://undergroundmathematics.org/thinking-about-algebra/r6797","r6797")</f>
        <v>r6797</v>
      </c>
      <c r="I12" s="30"/>
      <c r="J12" s="20"/>
      <c r="K12" s="20"/>
    </row>
    <row r="13" spans="1:22" ht="15">
      <c r="A13" s="6" t="s">
        <v>25</v>
      </c>
      <c r="B13" s="6" t="s">
        <v>13</v>
      </c>
      <c r="C13" s="17" t="s">
        <v>26</v>
      </c>
      <c r="D13" s="18" t="str">
        <f>HYPERLINK("https://undergroundmathematics.org/quadratics/inequalities-for-some-occasions","Inequalities for some occasions")</f>
        <v>Inequalities for some occasions</v>
      </c>
      <c r="E13" s="38" t="str">
        <f t="shared" si="0"/>
        <v>Two-way algebra</v>
      </c>
      <c r="F13" s="19"/>
      <c r="G13" s="18" t="str">
        <f>HYPERLINK("https://undergroundmathematics.org/quadratics/r9989","r9989")</f>
        <v>r9989</v>
      </c>
      <c r="H13" s="38" t="str">
        <f>HYPERLINK("https://undergroundmathematics.org/thinking-about-algebra/r9603","r9603")</f>
        <v>r9603</v>
      </c>
      <c r="I13" s="39" t="str">
        <f>HYPERLINK("https://undergroundmathematics.org/quadratics/r5059","r5059")</f>
        <v>r5059</v>
      </c>
      <c r="J13" s="20"/>
      <c r="K13" s="20"/>
    </row>
    <row r="14" spans="1:22" ht="15">
      <c r="A14" s="36" t="s">
        <v>218</v>
      </c>
      <c r="B14" s="36" t="s">
        <v>13</v>
      </c>
      <c r="C14" s="37" t="s">
        <v>219</v>
      </c>
      <c r="D14" s="18" t="str">
        <f>HYPERLINK("https://undergroundmathematics.org/polynomials/inequalities","Inequality sets")</f>
        <v>Inequality sets</v>
      </c>
      <c r="E14" s="20"/>
      <c r="F14" s="20"/>
      <c r="G14" s="29"/>
      <c r="H14" s="19"/>
      <c r="I14" s="30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ht="15">
      <c r="A15" s="6" t="s">
        <v>27</v>
      </c>
      <c r="B15" s="6" t="s">
        <v>13</v>
      </c>
      <c r="C15" s="17" t="s">
        <v>28</v>
      </c>
      <c r="D15" s="18" t="str">
        <f>HYPERLINK("https://undergroundmathematics.org/combining-functions/function-builder-i","Function builder I")</f>
        <v>Function builder I</v>
      </c>
      <c r="E15" s="19" t="s">
        <v>224</v>
      </c>
      <c r="F15" s="19"/>
      <c r="G15" s="18" t="str">
        <f>HYPERLINK("https://undergroundmathematics.org/polynomials/r6488","r6488")</f>
        <v>r6488</v>
      </c>
      <c r="H15" s="19"/>
      <c r="I15" s="30"/>
      <c r="J15" s="20"/>
      <c r="K15" s="20"/>
    </row>
    <row r="16" spans="1:22" ht="15">
      <c r="A16" s="6"/>
      <c r="B16" s="6"/>
      <c r="C16" s="17" t="s">
        <v>29</v>
      </c>
      <c r="D16" s="18" t="str">
        <f>HYPERLINK("https://undergroundmathematics.org/polynomials/divide-it-up","Divide it up")</f>
        <v>Divide it up</v>
      </c>
      <c r="E16" s="38" t="str">
        <f>HYPERLINK("https://undergroundmathematics.org/polynomials/function-builder-ii","Function builder II")</f>
        <v>Function builder II</v>
      </c>
      <c r="F16" s="19"/>
      <c r="G16" s="18" t="str">
        <f>HYPERLINK("https://undergroundmathematics.org/polynomials/r6577","r6577")</f>
        <v>r6577</v>
      </c>
      <c r="H16" s="19"/>
      <c r="I16" s="30"/>
      <c r="J16" s="20"/>
      <c r="K16" s="20"/>
    </row>
    <row r="17" spans="1:22" ht="15">
      <c r="A17" s="6" t="s">
        <v>30</v>
      </c>
      <c r="B17" s="6"/>
      <c r="C17" s="40" t="s">
        <v>31</v>
      </c>
      <c r="D17" s="18" t="str">
        <f>HYPERLINK("https://undergroundmathematics.org/thinking-about-functions/what-relation-are-you","What relation are you?")</f>
        <v>What relation are you?</v>
      </c>
      <c r="E17" s="38" t="str">
        <f>HYPERLINK("https://undergroundmathematics.org/thinking-about-functions/mapping-a-function","Mapping a function")</f>
        <v>Mapping a function</v>
      </c>
      <c r="F17" s="19"/>
      <c r="G17" s="29"/>
      <c r="H17" s="19"/>
      <c r="I17" s="30"/>
      <c r="J17" s="20"/>
      <c r="K17" s="20"/>
    </row>
    <row r="18" spans="1:22" ht="15">
      <c r="A18" s="6"/>
      <c r="B18" s="6"/>
      <c r="C18" s="40" t="s">
        <v>32</v>
      </c>
      <c r="D18" s="18" t="str">
        <f>HYPERLINK("https://undergroundmathematics.org/combining-functions/domain-and-range-dominoes","Domain and range dominoes")</f>
        <v>Domain and range dominoes</v>
      </c>
      <c r="E18" s="38" t="str">
        <f>HYPERLINK("https://undergroundmathematics.org/combining-functions/forming-functions-defining-domains","Forming functions-defining domains")</f>
        <v>Forming functions-defining domains</v>
      </c>
      <c r="F18" s="19"/>
      <c r="G18" s="29"/>
      <c r="H18" s="19"/>
      <c r="I18" s="30"/>
      <c r="J18" s="20"/>
      <c r="K18" s="20"/>
    </row>
    <row r="19" spans="1:22" ht="15">
      <c r="A19" s="6" t="s">
        <v>33</v>
      </c>
      <c r="B19" s="6" t="s">
        <v>13</v>
      </c>
      <c r="C19" s="17" t="s">
        <v>34</v>
      </c>
      <c r="D19" s="18" t="str">
        <f>HYPERLINK("https://undergroundmathematics.org/polynomials/can-you-find-cubic-edition","Can you find... cubic edition")</f>
        <v>Can you find... cubic edition</v>
      </c>
      <c r="E19" s="38" t="str">
        <f>HYPERLINK("https://undergroundmathematics.org/polynomials/how-not-to-solve-a-cubic","How not to solve a cubic...")</f>
        <v>How not to solve a cubic...</v>
      </c>
      <c r="F19" s="19"/>
      <c r="G19" s="18" t="str">
        <f>HYPERLINK("https://undergroundmathematics.org/polynomials/r6612","r6612")</f>
        <v>r6612</v>
      </c>
      <c r="H19" s="19"/>
      <c r="I19" s="30"/>
      <c r="J19" s="20"/>
      <c r="K19" s="20"/>
    </row>
    <row r="20" spans="1:22" ht="15">
      <c r="A20" s="6"/>
      <c r="B20" s="6"/>
      <c r="C20" s="17" t="s">
        <v>35</v>
      </c>
      <c r="D20" s="18" t="str">
        <f>HYPERLINK("https://undergroundmathematics.org/thinking-about-functions/absolutely","Absolutely!")</f>
        <v>Absolutely!</v>
      </c>
      <c r="E20" s="19"/>
      <c r="F20" s="19"/>
      <c r="G20" s="18" t="str">
        <f>HYPERLINK("https://undergroundmathematics.org/thinking-about-functions/r9896","r9896")</f>
        <v>r9896</v>
      </c>
      <c r="H20" s="38" t="str">
        <f>HYPERLINK("https://undergroundmathematics.org/thinking-about-functions/r9130","r9130")</f>
        <v>r9130</v>
      </c>
      <c r="I20" s="30"/>
      <c r="J20" s="20"/>
      <c r="K20" s="20"/>
    </row>
    <row r="21" spans="1:22" ht="15">
      <c r="A21" s="6"/>
      <c r="B21" s="6" t="s">
        <v>13</v>
      </c>
      <c r="C21" s="17" t="s">
        <v>36</v>
      </c>
      <c r="D21" s="18" t="str">
        <f>HYPERLINK("https://undergroundmathematics.org/combining-functions/translating-or-not","Translating or not?")</f>
        <v>Translating or not?</v>
      </c>
      <c r="E21" s="19"/>
      <c r="F21" s="19"/>
      <c r="G21" s="29"/>
      <c r="H21" s="19"/>
      <c r="I21" s="30"/>
      <c r="J21" s="20"/>
      <c r="K21" s="20"/>
    </row>
    <row r="22" spans="1:22" ht="15">
      <c r="A22" s="6"/>
      <c r="B22" s="6" t="s">
        <v>13</v>
      </c>
      <c r="C22" s="17" t="s">
        <v>37</v>
      </c>
      <c r="D22" s="29"/>
      <c r="E22" s="19"/>
      <c r="F22" s="19"/>
      <c r="G22" s="18" t="str">
        <f>HYPERLINK("https://undergroundmathematics.org/exp-and-log/r8013","r8013")</f>
        <v>r8013</v>
      </c>
      <c r="H22" s="38" t="str">
        <f>HYPERLINK("https://undergroundmathematics.org/introducing-calculus/r5782","r5782")</f>
        <v>r5782</v>
      </c>
      <c r="I22" s="30"/>
      <c r="J22" s="20"/>
      <c r="K22" s="20"/>
    </row>
    <row r="23" spans="1:22" ht="15">
      <c r="A23" s="6"/>
      <c r="B23" s="6" t="s">
        <v>13</v>
      </c>
      <c r="C23" s="17" t="s">
        <v>38</v>
      </c>
      <c r="D23" s="41" t="str">
        <f>HYPERLINK("https://undergroundmathematics.org/thinking-about-functions/picture-the-process-i","Picture the process I")</f>
        <v>Picture the process I</v>
      </c>
      <c r="E23" s="38" t="str">
        <f>HYPERLINK("https://undergroundmathematics.org/geometry-of-equations/the-equation-of-a-straight-line","The equation of a straight line")</f>
        <v>The equation of a straight line</v>
      </c>
      <c r="F23" s="19"/>
      <c r="G23" s="29"/>
      <c r="H23" s="19"/>
      <c r="I23" s="30"/>
      <c r="J23" s="20"/>
      <c r="K23" s="20"/>
    </row>
    <row r="24" spans="1:22" ht="15">
      <c r="A24" s="6" t="s">
        <v>39</v>
      </c>
      <c r="B24" s="6"/>
      <c r="C24" s="17" t="s">
        <v>40</v>
      </c>
      <c r="D24" s="18" t="str">
        <f>HYPERLINK("https://undergroundmathematics.org/combining-functions/compose","Compose")</f>
        <v>Compose</v>
      </c>
      <c r="E24" s="19"/>
      <c r="F24" s="19"/>
      <c r="G24" s="18" t="str">
        <f>HYPERLINK("https://undergroundmathematics.org/combining-functions/r6656","r6656")</f>
        <v>r6656</v>
      </c>
      <c r="H24" s="38" t="str">
        <f>HYPERLINK("https://undergroundmathematics.org/combining-functions/r5595","r5595")</f>
        <v>r5595</v>
      </c>
      <c r="I24" s="30"/>
      <c r="J24" s="20"/>
      <c r="K24" s="20"/>
    </row>
    <row r="25" spans="1:22" ht="15">
      <c r="A25" s="6"/>
      <c r="B25" s="6"/>
      <c r="C25" s="17" t="s">
        <v>41</v>
      </c>
      <c r="D25" s="18" t="str">
        <f>HYPERLINK("https://undergroundmathematics.org/combining-functions/invertibles","Invertibles")</f>
        <v>Invertibles</v>
      </c>
      <c r="E25" s="47" t="str">
        <f>HYPERLINK("https://undergroundmathematics.org/combining-functions/making-inverse-functions","Making inverse functions")</f>
        <v>Making inverse functions</v>
      </c>
      <c r="F25" s="38" t="str">
        <f>HYPERLINK("https://undergroundmathematics.org/combining-functions/composing-gets-me-nowhere","Composing gets me nowhere")</f>
        <v>Composing gets me nowhere</v>
      </c>
      <c r="G25" s="18" t="str">
        <f>HYPERLINK("https://undergroundmathematics.org/combining-functions/r5646","r5646")</f>
        <v>r5646</v>
      </c>
      <c r="H25" s="38" t="str">
        <f>HYPERLINK("https://undergroundmathematics.org/combining-functions/r6735","r6735")</f>
        <v>r6735</v>
      </c>
      <c r="I25" s="30"/>
      <c r="J25" s="20"/>
      <c r="K25" s="20"/>
    </row>
    <row r="26" spans="1:22" ht="15">
      <c r="A26" s="6" t="s">
        <v>42</v>
      </c>
      <c r="B26" s="6" t="s">
        <v>13</v>
      </c>
      <c r="C26" s="17" t="s">
        <v>43</v>
      </c>
      <c r="D26" s="18" t="str">
        <f>HYPERLINK("https://undergroundmathematics.org/combining-functions/name-that-graph-again","Name that graph again")</f>
        <v>Name that graph again</v>
      </c>
      <c r="E26" s="38" t="str">
        <f>HYPERLINK("https://undergroundmathematics.org/combining-functions/its-a-matter-of-perspective","It's a matter of perspective")</f>
        <v>It's a matter of perspective</v>
      </c>
      <c r="F26" s="19"/>
      <c r="G26" s="18" t="str">
        <f>HYPERLINK("https://undergroundmathematics.org/combining-functions/r7119","r7119")</f>
        <v>r7119</v>
      </c>
      <c r="H26" s="38" t="str">
        <f>HYPERLINK("https://undergroundmathematics.org/combining-functions/r9673","r9673")</f>
        <v>r9673</v>
      </c>
      <c r="I26" s="30"/>
      <c r="J26" s="20"/>
      <c r="K26" s="20"/>
    </row>
    <row r="27" spans="1:22" ht="15">
      <c r="A27" s="6"/>
      <c r="B27" s="6"/>
      <c r="C27" s="17" t="s">
        <v>44</v>
      </c>
      <c r="D27" s="18" t="str">
        <f>HYPERLINK("https://undergroundmathematics.org/combining-functions/transformers","Transformers")</f>
        <v>Transformers</v>
      </c>
      <c r="E27" s="38" t="str">
        <f>HYPERLINK("https://undergroundmathematics.org/combining-functions/order-order","Order! Order!")</f>
        <v>Order! Order!</v>
      </c>
      <c r="G27" s="18" t="str">
        <f>HYPERLINK("https://undergroundmathematics.org/combining-functions/r6607","r6607")</f>
        <v>r6607</v>
      </c>
      <c r="H27" s="19"/>
      <c r="I27" s="30"/>
      <c r="J27" s="20"/>
      <c r="K27" s="20"/>
    </row>
    <row r="28" spans="1:22" ht="15">
      <c r="A28" s="6" t="s">
        <v>45</v>
      </c>
      <c r="B28" s="6"/>
      <c r="C28" s="17" t="s">
        <v>46</v>
      </c>
      <c r="D28" s="18" t="str">
        <f>HYPERLINK("https://undergroundmathematics.org/polynomials/frightening-function","Frightening function")</f>
        <v>Frightening function</v>
      </c>
      <c r="E28" s="19"/>
      <c r="F28" s="19"/>
      <c r="G28" s="18" t="str">
        <f>HYPERLINK("https://undergroundmathematics.org/counting-and-binomials/r5245","r5245")</f>
        <v>r5245</v>
      </c>
      <c r="H28" s="19"/>
      <c r="I28" s="30"/>
      <c r="J28" s="20"/>
      <c r="K28" s="20"/>
    </row>
    <row r="29" spans="1:22" ht="15">
      <c r="A29" s="6" t="s">
        <v>47</v>
      </c>
      <c r="B29" s="6"/>
      <c r="C29" s="17" t="s">
        <v>48</v>
      </c>
      <c r="D29" s="41" t="str">
        <f>HYPERLINK("https://undergroundmathematics.org/calculus-meets-functions/keep-your-distance","Keep your distance")</f>
        <v>Keep your distance</v>
      </c>
      <c r="E29" s="42" t="str">
        <f>HYPERLINK("https://undergroundmathematics.org/thinking-about-functions/picture-the-process-i","Picture the process I")</f>
        <v>Picture the process I</v>
      </c>
      <c r="F29" s="43" t="str">
        <f>HYPERLINK("https://undergroundmathematics.org/combining-functions/picture-the-process-ii","Picture the process II")</f>
        <v>Picture the process II</v>
      </c>
      <c r="G29" s="42" t="str">
        <f>HYPERLINK("https://undergroundmathematics.org/geometry-of-equations/r7642","r7642")</f>
        <v>r7642</v>
      </c>
      <c r="H29" s="19"/>
      <c r="I29" s="30"/>
      <c r="J29" s="20"/>
      <c r="K29" s="20"/>
    </row>
    <row r="30" spans="1:22" ht="15">
      <c r="A30" s="11"/>
      <c r="B30" s="11"/>
      <c r="C30" s="11" t="s">
        <v>49</v>
      </c>
      <c r="D30" s="21"/>
      <c r="E30" s="13"/>
      <c r="F30" s="44"/>
      <c r="G30" s="14"/>
      <c r="H30" s="15"/>
      <c r="I30" s="16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">
      <c r="A31" s="6" t="s">
        <v>50</v>
      </c>
      <c r="B31" s="6" t="s">
        <v>13</v>
      </c>
      <c r="C31" s="17" t="s">
        <v>51</v>
      </c>
      <c r="D31" s="18" t="str">
        <f>HYPERLINK("https://undergroundmathematics.org/geometry-of-equations/lots-of-lines","Lots of lines")</f>
        <v>Lots of lines</v>
      </c>
      <c r="E31" s="38" t="str">
        <f>HYPERLINK("https://undergroundmathematics.org/geometry-of-equations/describing-straight-lines","Straight lines")</f>
        <v>Straight lines</v>
      </c>
      <c r="F31" s="38" t="str">
        <f>HYPERLINK("https://undergroundmathematics.org/geometry-of-equations/straight-line-pairs","Straight line pairs")</f>
        <v>Straight line pairs</v>
      </c>
      <c r="G31" s="18" t="str">
        <f>HYPERLINK("https://undergroundmathematics.org/geometry-of-equations/r5967","r5967")</f>
        <v>r5967</v>
      </c>
      <c r="H31" s="38" t="str">
        <f>HYPERLINK("https://undergroundmathematics.org/geometry-of-equations/r9273","r9273")</f>
        <v>r9273</v>
      </c>
      <c r="I31" s="39" t="str">
        <f>HYPERLINK("https://undergroundmathematics.org/geometry-of-equations/r5661","r5661")</f>
        <v>r5661</v>
      </c>
    </row>
    <row r="32" spans="1:22" ht="15">
      <c r="A32" s="6" t="s">
        <v>52</v>
      </c>
      <c r="B32" s="6" t="s">
        <v>13</v>
      </c>
      <c r="C32" s="17" t="s">
        <v>53</v>
      </c>
      <c r="D32" s="18" t="str">
        <f>HYPERLINK("https://undergroundmathematics.org/circles/teddy-bear","Teddy bear")</f>
        <v>Teddy bear</v>
      </c>
      <c r="E32" s="38" t="str">
        <f>HYPERLINK("https://undergroundmathematics.org/circles/pairs-of-circles","Pairs of circles")</f>
        <v>Pairs of circles</v>
      </c>
      <c r="F32" s="19"/>
      <c r="G32" s="18" t="str">
        <f t="shared" ref="G32:G33" si="1">HYPERLINK("https://undergroundmathematics.org/circles/r5717","r5717")</f>
        <v>r5717</v>
      </c>
      <c r="H32" s="38" t="str">
        <f>HYPERLINK("https://undergroundmathematics.org/circles/r6100","r6100")</f>
        <v>r6100</v>
      </c>
      <c r="I32" s="30"/>
    </row>
    <row r="33" spans="1:22" ht="15">
      <c r="A33" s="6"/>
      <c r="B33" s="6" t="s">
        <v>13</v>
      </c>
      <c r="C33" s="17" t="s">
        <v>54</v>
      </c>
      <c r="D33" s="18" t="str">
        <f>HYPERLINK("https://undergroundmathematics.org/circles/finding-circles","Finding circles")</f>
        <v>Finding circles</v>
      </c>
      <c r="E33" s="38" t="str">
        <f>HYPERLINK("https://undergroundmathematics.org/circles/belt","Belt")</f>
        <v>Belt</v>
      </c>
      <c r="F33" s="38" t="str">
        <f>HYPERLINK("https://undergroundmathematics.org/trigonometry-triangles-to-functions/sine-ing-the-way","Sine-ing the way")</f>
        <v>Sine-ing the way</v>
      </c>
      <c r="G33" s="18" t="str">
        <f t="shared" si="1"/>
        <v>r5717</v>
      </c>
      <c r="H33" s="38" t="str">
        <f>HYPERLINK("https://undergroundmathematics.org/circles/r5903","r5903")</f>
        <v>r5903</v>
      </c>
      <c r="I33" s="30"/>
    </row>
    <row r="34" spans="1:22" ht="15">
      <c r="A34" s="6" t="s">
        <v>55</v>
      </c>
      <c r="B34" s="6"/>
      <c r="C34" s="17" t="s">
        <v>56</v>
      </c>
      <c r="D34" s="18" t="str">
        <f>HYPERLINK("https://undergroundmathematics.org/chain-rule/parametric-preliminaries","Parametric preliminaries")</f>
        <v>Parametric preliminaries</v>
      </c>
      <c r="E34" s="38" t="str">
        <f>HYPERLINK("https://undergroundmathematics.org/chain-rule/parametric-paths","Parametric paths")</f>
        <v>Parametric paths</v>
      </c>
      <c r="F34" s="19"/>
      <c r="G34" s="18" t="str">
        <f>HYPERLINK("https://undergroundmathematics.org/geometry-of-equations/r5255","r5255")</f>
        <v>r5255</v>
      </c>
      <c r="H34" s="19"/>
      <c r="I34" s="30"/>
    </row>
    <row r="35" spans="1:22" ht="15">
      <c r="A35" s="6" t="s">
        <v>57</v>
      </c>
      <c r="B35" s="6"/>
      <c r="C35" s="17" t="s">
        <v>58</v>
      </c>
      <c r="D35" s="41" t="str">
        <f>HYPERLINK("https://undergroundmathematics.org/vector-geometry/one-windy-day","One windy day")</f>
        <v>One windy day</v>
      </c>
      <c r="E35" s="19"/>
      <c r="F35" s="19"/>
      <c r="G35" s="18" t="str">
        <f>HYPERLINK("https://undergroundmathematics.org/circles/r5754","r5754")</f>
        <v>r5754</v>
      </c>
      <c r="H35" s="19"/>
      <c r="I35" s="30"/>
    </row>
    <row r="36" spans="1:22" ht="15">
      <c r="A36" s="11"/>
      <c r="B36" s="11"/>
      <c r="C36" s="11" t="s">
        <v>59</v>
      </c>
      <c r="D36" s="22"/>
      <c r="E36" s="23"/>
      <c r="F36" s="23"/>
      <c r="G36" s="14"/>
      <c r="H36" s="15"/>
      <c r="I36" s="16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">
      <c r="A37" s="6" t="s">
        <v>60</v>
      </c>
      <c r="B37" s="6" t="s">
        <v>13</v>
      </c>
      <c r="C37" s="17" t="s">
        <v>61</v>
      </c>
      <c r="D37" s="25"/>
      <c r="E37" s="20"/>
      <c r="F37" s="20"/>
      <c r="G37" s="18" t="str">
        <f>HYPERLINK("https://undergroundmathematics.org/counting-and-binomials/r6503","r6503")</f>
        <v>r6503</v>
      </c>
      <c r="H37" s="38" t="str">
        <f>HYPERLINK("https://undergroundmathematics.org/counting-and-binomials/r7978","r7978")</f>
        <v>r7978</v>
      </c>
      <c r="I37" s="39" t="str">
        <f>HYPERLINK("https://undergroundmathematics.org/counting-and-binomials/r5563","r5563")</f>
        <v>r5563</v>
      </c>
      <c r="J37" s="26"/>
    </row>
    <row r="38" spans="1:22" ht="15">
      <c r="A38" s="6"/>
      <c r="B38" s="6"/>
      <c r="C38" s="24" t="s">
        <v>62</v>
      </c>
      <c r="D38" s="25"/>
      <c r="E38" s="20"/>
      <c r="F38" s="20"/>
      <c r="G38" s="18" t="str">
        <f>HYPERLINK("https://undergroundmathematics.org/power-series/r7436","r7436")</f>
        <v>r7436</v>
      </c>
      <c r="H38" s="38" t="str">
        <f>HYPERLINK("https://undergroundmathematics.org/power-series/r6601","r6601")</f>
        <v>r6601</v>
      </c>
      <c r="I38" s="30"/>
      <c r="J38" s="26"/>
    </row>
    <row r="39" spans="1:22" ht="15">
      <c r="A39" s="6" t="s">
        <v>63</v>
      </c>
      <c r="B39" s="6"/>
      <c r="C39" s="17" t="s">
        <v>64</v>
      </c>
      <c r="D39" s="45" t="str">
        <f>HYPERLINK("https://undergroundmathematics.org/sequences/sort-it-out","Sort it out")</f>
        <v>Sort it out</v>
      </c>
      <c r="E39" s="20"/>
      <c r="F39" s="20"/>
      <c r="G39" s="18" t="str">
        <f>HYPERLINK("https://undergroundmathematics.org/thinking-about-numbers/r6962","r6962")</f>
        <v>r6962</v>
      </c>
      <c r="H39" s="19"/>
      <c r="I39" s="30"/>
      <c r="J39" s="26"/>
    </row>
    <row r="40" spans="1:22" ht="15">
      <c r="A40" s="6" t="s">
        <v>65</v>
      </c>
      <c r="B40" s="6"/>
      <c r="C40" s="17" t="s">
        <v>66</v>
      </c>
      <c r="D40" s="45" t="str">
        <f>HYPERLINK("https://undergroundmathematics.org/sequences/same-different","Same or different?")</f>
        <v>Same or different?</v>
      </c>
      <c r="E40" s="20"/>
      <c r="F40" s="20"/>
      <c r="G40" s="29"/>
      <c r="H40" s="19"/>
      <c r="I40" s="30"/>
      <c r="J40" s="26"/>
    </row>
    <row r="41" spans="1:22" ht="15">
      <c r="A41" s="6" t="s">
        <v>67</v>
      </c>
      <c r="B41" s="6"/>
      <c r="C41" s="17" t="s">
        <v>68</v>
      </c>
      <c r="D41" s="45" t="str">
        <f>HYPERLINK("https://undergroundmathematics.org/sequences/change-one-thing","Change one thing")</f>
        <v>Change one thing</v>
      </c>
      <c r="E41" s="38" t="str">
        <f>HYPERLINK("https://undergroundmathematics.org/sequences/connect-three","Connect three?")</f>
        <v>Connect three?</v>
      </c>
      <c r="F41" s="20"/>
      <c r="G41" s="18" t="str">
        <f>HYPERLINK("https://undergroundmathematics.org/sequences/r8121","r8121")</f>
        <v>r8121</v>
      </c>
      <c r="H41" s="19"/>
      <c r="I41" s="30"/>
      <c r="J41" s="26"/>
    </row>
    <row r="42" spans="1:22" ht="15">
      <c r="A42" s="6" t="s">
        <v>69</v>
      </c>
      <c r="B42" s="6"/>
      <c r="C42" s="17" t="s">
        <v>70</v>
      </c>
      <c r="D42" s="45" t="str">
        <f>HYPERLINK("https://undergroundmathematics.org/sequences/square-spirals","Square spirals")</f>
        <v>Square spirals</v>
      </c>
      <c r="E42" s="46" t="str">
        <f>HYPERLINK("https://undergroundmathematics.org/sequences/can-you-find-series-edition","Can you find... series edition")</f>
        <v>Can you find... series edition</v>
      </c>
      <c r="F42" s="38" t="str">
        <f>HYPERLINK("https://undergroundmathematics.org/sequences/common-terms","Common terms")</f>
        <v>Common terms</v>
      </c>
      <c r="G42" s="18" t="str">
        <f>HYPERLINK("https://undergroundmathematics.org/sequences/r6257","r6257")</f>
        <v>r6257</v>
      </c>
      <c r="H42" s="38" t="str">
        <f>HYPERLINK("https://undergroundmathematics.org/sequences/r9177","r9177")</f>
        <v>r9177</v>
      </c>
      <c r="I42" s="30"/>
      <c r="J42" s="26"/>
    </row>
    <row r="43" spans="1:22" ht="15">
      <c r="A43" s="6" t="s">
        <v>71</v>
      </c>
      <c r="B43" s="6"/>
      <c r="C43" s="17" t="s">
        <v>72</v>
      </c>
      <c r="D43" s="58" t="str">
        <f>HYPERLINK("https://undergroundmathematics.org/sequences/bouncing-to-nothing","Bouncing to nothing")</f>
        <v>Bouncing to nothing</v>
      </c>
      <c r="E43" s="20"/>
      <c r="F43" s="20"/>
      <c r="G43" s="29"/>
      <c r="H43" s="19"/>
      <c r="I43" s="30"/>
      <c r="J43" s="26"/>
    </row>
    <row r="44" spans="1:22" ht="15">
      <c r="A44" s="11"/>
      <c r="B44" s="11"/>
      <c r="C44" s="11" t="s">
        <v>73</v>
      </c>
      <c r="D44" s="21"/>
      <c r="E44" s="13"/>
      <c r="F44" s="13"/>
      <c r="G44" s="14"/>
      <c r="H44" s="15"/>
      <c r="I44" s="16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">
      <c r="A45" s="6" t="s">
        <v>74</v>
      </c>
      <c r="B45" s="6" t="s">
        <v>13</v>
      </c>
      <c r="C45" s="17" t="s">
        <v>75</v>
      </c>
      <c r="D45" s="18" t="str">
        <f>HYPERLINK("https://undergroundmathematics.org/trigonometry-triangles-to-functions/have-a-sine","Have a sine")</f>
        <v>Have a sine</v>
      </c>
      <c r="E45" s="38" t="str">
        <f>HYPERLINK("https://undergroundmathematics.org/trigonometry-triangles-to-functions/sine-ing-the-way","Sine-ing the way")</f>
        <v>Sine-ing the way</v>
      </c>
      <c r="F45" s="19"/>
      <c r="G45" s="18" t="str">
        <f>HYPERLINK("https://undergroundmathematics.org/trigonometry-triangles-to-functions/r7973","r7973")</f>
        <v>r7973</v>
      </c>
      <c r="H45" s="38" t="str">
        <f>HYPERLINK("https://undergroundmathematics.org/trigonometry-triangles-to-functions/r5497","r5497")</f>
        <v>r5497</v>
      </c>
      <c r="I45" s="39" t="str">
        <f>HYPERLINK("https://undergroundmathematics.org/trigonometry-triangles-to-functions/r8658","r8658")</f>
        <v>r8658</v>
      </c>
    </row>
    <row r="46" spans="1:22" ht="15">
      <c r="A46" s="6"/>
      <c r="B46" s="6"/>
      <c r="C46" s="17" t="s">
        <v>76</v>
      </c>
      <c r="D46" s="18" t="str">
        <f>HYPERLINK("https://undergroundmathematics.org/circles/sector-spirals","Sector spirals")</f>
        <v>Sector spirals</v>
      </c>
      <c r="E46" s="19"/>
      <c r="F46" s="19"/>
      <c r="G46" s="41" t="str">
        <f>HYPERLINK("https://undergroundmathematics.org/circles/r7385","r7385")</f>
        <v>r7385</v>
      </c>
      <c r="H46" s="38" t="str">
        <f>HYPERLINK("https://undergroundmathematics.org/circles/r8225","r8225")</f>
        <v>r8225</v>
      </c>
      <c r="I46" s="30"/>
    </row>
    <row r="47" spans="1:22" ht="15">
      <c r="A47" s="6" t="s">
        <v>77</v>
      </c>
      <c r="B47" s="6"/>
      <c r="C47" s="27" t="s">
        <v>78</v>
      </c>
      <c r="D47" s="18" t="str">
        <f>HYPERLINK("https://undergroundmathematics.org/thinking-about-numbers/embracing-infinity","Embracing infinity")</f>
        <v>Embracing infinity</v>
      </c>
      <c r="E47" s="19"/>
      <c r="F47" s="19"/>
      <c r="G47" s="29"/>
      <c r="H47" s="19"/>
      <c r="I47" s="30"/>
    </row>
    <row r="48" spans="1:22" ht="15">
      <c r="A48" s="6" t="s">
        <v>79</v>
      </c>
      <c r="B48" s="6" t="s">
        <v>13</v>
      </c>
      <c r="C48" s="17" t="s">
        <v>80</v>
      </c>
      <c r="D48" s="18" t="str">
        <f>HYPERLINK("https://undergroundmathematics.org/trigonometry-triangles-to-functions/general-solutions","General solutions")</f>
        <v>General solutions</v>
      </c>
      <c r="E48" s="38" t="str">
        <f>HYPERLINK("https://undergroundmathematics.org/trigonometry-triangles-to-functions/muddled-trig","Muddled trig")</f>
        <v>Muddled trig</v>
      </c>
      <c r="F48" s="38" t="str">
        <f>HYPERLINK("https://undergroundmathematics.org/trigonometry-triangles-to-functions/can-you-find-trigonometry-edition","Can you find... trigonometry edition")</f>
        <v>Can you find... trigonometry edition</v>
      </c>
      <c r="G48" s="18" t="str">
        <f>HYPERLINK("https://undergroundmathematics.org/trigonometry-triangles-to-functions/r7577","r7577")</f>
        <v>r7577</v>
      </c>
      <c r="H48" s="19"/>
      <c r="I48" s="30"/>
    </row>
    <row r="49" spans="1:22" ht="15">
      <c r="A49" s="6"/>
      <c r="B49" s="6"/>
      <c r="C49" s="17" t="s">
        <v>81</v>
      </c>
      <c r="D49" s="18" t="str">
        <f>HYPERLINK("https://undergroundmathematics.org/trigonometry-triangles-to-functions/trig-tables","Trig tables")</f>
        <v>Trig tables</v>
      </c>
      <c r="E49" s="19"/>
      <c r="F49" s="19"/>
      <c r="G49" s="18" t="str">
        <f>HYPERLINK("https://undergroundmathematics.org/trigonometry-compound-angles/r7050","r7050")</f>
        <v>r7050</v>
      </c>
      <c r="H49" s="38" t="str">
        <f>HYPERLINK("https://undergroundmathematics.org/exp-and-log/r7184","r7184")</f>
        <v>r7184</v>
      </c>
      <c r="I49" s="30"/>
    </row>
    <row r="50" spans="1:22" ht="15">
      <c r="A50" s="6" t="s">
        <v>82</v>
      </c>
      <c r="B50" s="6"/>
      <c r="C50" s="17" t="s">
        <v>83</v>
      </c>
      <c r="D50" s="18" t="str">
        <f t="shared" ref="D50:D51" si="2">HYPERLINK("https://undergroundmathematics.org/trigonometry-triangles-to-functions/going-round-in-circles","Going round in circles")</f>
        <v>Going round in circles</v>
      </c>
      <c r="E50" s="38" t="str">
        <f>HYPERLINK("https://undergroundmathematics.org/trigonometry-triangles-to-functions/inverse-or-not","Inverse or not?")</f>
        <v>Inverse or not?</v>
      </c>
      <c r="F50" s="38" t="str">
        <f>HYPERLINK("https://undergroundmathematics.org/trigonometry-triangles-to-functions/inverse-trig-functions","Inverse trigonometric functions")</f>
        <v>Inverse trigonometric functions</v>
      </c>
      <c r="G50" s="29"/>
      <c r="H50" s="19"/>
      <c r="I50" s="30"/>
    </row>
    <row r="51" spans="1:22" ht="15">
      <c r="A51" s="6" t="s">
        <v>84</v>
      </c>
      <c r="B51" s="6" t="s">
        <v>13</v>
      </c>
      <c r="C51" s="17" t="s">
        <v>85</v>
      </c>
      <c r="D51" s="18" t="str">
        <f t="shared" si="2"/>
        <v>Going round in circles</v>
      </c>
      <c r="E51" s="19"/>
      <c r="F51" s="19"/>
      <c r="G51" s="18" t="str">
        <f>HYPERLINK("https://undergroundmathematics.org/trigonometry-triangles-to-functions/r5269","r5269")</f>
        <v>r5269</v>
      </c>
      <c r="H51" s="38" t="str">
        <f>HYPERLINK("https://undergroundmathematics.org/trigonometry-triangles-to-functions/r9770","r9770")</f>
        <v>r9770</v>
      </c>
      <c r="I51" s="39" t="str">
        <f>HYPERLINK("https://undergroundmathematics.org/trigonometry-triangles-to-functions/r9491","r9491")</f>
        <v>r9491</v>
      </c>
    </row>
    <row r="52" spans="1:22" ht="15">
      <c r="A52" s="6"/>
      <c r="B52" s="6"/>
      <c r="C52" s="17" t="s">
        <v>86</v>
      </c>
      <c r="D52" s="18" t="str">
        <f>HYPERLINK("https://undergroundmathematics.org/trigonometry-triangles-to-functions/equation-or-identity-i","Equation or identity? (I)")</f>
        <v>Equation or identity? (I)</v>
      </c>
      <c r="E52" s="38" t="str">
        <f>HYPERLINK("https://undergroundmathematics.org/trigonometry-triangles-to-functions/going-round-in-circles","Going round in circles")</f>
        <v>Going round in circles</v>
      </c>
      <c r="F52" s="39" t="str">
        <f>HYPERLINK("https://undergroundmathematics.org/trigonometry-triangles-to-functions/trig-tables","Trig tables")</f>
        <v>Trig tables</v>
      </c>
      <c r="G52" s="38" t="str">
        <f>HYPERLINK("https://undergroundmathematics.org/trigonometry-triangles-to-functions/r7756","r7756")</f>
        <v>r7756</v>
      </c>
      <c r="H52" s="19"/>
      <c r="I52" s="30"/>
    </row>
    <row r="53" spans="1:22" ht="15">
      <c r="A53" s="6" t="s">
        <v>87</v>
      </c>
      <c r="B53" s="6"/>
      <c r="C53" s="17" t="s">
        <v>88</v>
      </c>
      <c r="D53" s="18" t="str">
        <f>HYPERLINK("https://undergroundmathematics.org/trigonometry-compound-angles/equation-or-identity-ii","Equation or identity? (II)")</f>
        <v>Equation or identity? (II)</v>
      </c>
      <c r="E53" s="38" t="str">
        <f>HYPERLINK("https://undergroundmathematics.org/trigonometry-compound-angles/t-for-tan","t for tan")</f>
        <v>t for tan</v>
      </c>
      <c r="F53" s="19"/>
      <c r="G53" s="18" t="str">
        <f>HYPERLINK("https://undergroundmathematics.org/trigonometry-compound-angles/r6807","r6807")</f>
        <v>r6807</v>
      </c>
      <c r="H53" s="38" t="str">
        <f>HYPERLINK("https://undergroundmathematics.org/trigonometry-compound-angles/r6696","r6696")</f>
        <v>r6696</v>
      </c>
      <c r="I53" s="30"/>
    </row>
    <row r="54" spans="1:22" ht="15">
      <c r="A54" s="6"/>
      <c r="B54" s="6"/>
      <c r="C54" s="17" t="s">
        <v>89</v>
      </c>
      <c r="D54" s="18" t="str">
        <f>HYPERLINK("https://undergroundmathematics.org/trigonometry-compound-angles/transformation-or-not","Transformation... or not?")</f>
        <v>Transformation... or not?</v>
      </c>
      <c r="E54" s="19"/>
      <c r="F54" s="19"/>
      <c r="G54" s="18" t="str">
        <f>HYPERLINK("https://undergroundmathematics.org/trigonometry-compound-angles/r8709","r8709")</f>
        <v>r8709</v>
      </c>
      <c r="H54" s="38" t="str">
        <f>HYPERLINK("https://undergroundmathematics.org/calculus-trig-log/r6938","r6938")</f>
        <v>r6938</v>
      </c>
      <c r="I54" s="39" t="str">
        <f>HYPERLINK("https://undergroundmathematics.org/trigonometry-compound-angles/r5113","r5113")</f>
        <v>r5113</v>
      </c>
      <c r="J54" s="59"/>
    </row>
    <row r="55" spans="1:22" ht="15">
      <c r="A55" s="6" t="s">
        <v>90</v>
      </c>
      <c r="B55" s="6" t="s">
        <v>13</v>
      </c>
      <c r="C55" s="17" t="s">
        <v>91</v>
      </c>
      <c r="D55" s="18" t="str">
        <f>HYPERLINK("https://undergroundmathematics.org/trigonometry-triangles-to-functions/slices-of-pi","Slices of π")</f>
        <v>Slices of π</v>
      </c>
      <c r="E55" s="19"/>
      <c r="F55" s="19"/>
      <c r="G55" s="18" t="str">
        <f>HYPERLINK("https://undergroundmathematics.org/trigonometry-triangles-to-functions/r9491","r9491")</f>
        <v>r9491</v>
      </c>
      <c r="H55" s="38" t="str">
        <f>HYPERLINK("https://undergroundmathematics.org/trigonometry-triangles-to-functions/r5533","r5533")</f>
        <v>r5533</v>
      </c>
      <c r="I55" s="39" t="str">
        <f>HYPERLINK("https://undergroundmathematics.org/trigonometry-triangles-to-functions/r8386","r8386")</f>
        <v>r8386</v>
      </c>
    </row>
    <row r="56" spans="1:22" ht="15">
      <c r="A56" s="6" t="s">
        <v>92</v>
      </c>
      <c r="B56" s="6"/>
      <c r="C56" s="17" t="s">
        <v>93</v>
      </c>
      <c r="D56" s="18" t="str">
        <f>HYPERLINK("https://undergroundmathematics.org/trigonometry-compound-angles/proving-half-angle-formulae","Proving half-angle formulae")</f>
        <v>Proving half-angle formulae</v>
      </c>
      <c r="E56" s="19"/>
      <c r="F56" s="19"/>
      <c r="G56" s="29"/>
      <c r="H56" s="19"/>
      <c r="I56" s="30"/>
    </row>
    <row r="57" spans="1:22" ht="15">
      <c r="A57" s="6" t="s">
        <v>94</v>
      </c>
      <c r="B57" s="6"/>
      <c r="C57" s="17" t="s">
        <v>95</v>
      </c>
      <c r="D57" s="18" t="str">
        <f>HYPERLINK("https://undergroundmathematics.org/vector-geometry/make-it-stop","Make it stop!")</f>
        <v>Make it stop!</v>
      </c>
      <c r="E57" s="19"/>
      <c r="F57" s="19"/>
      <c r="G57" s="18" t="str">
        <f>HYPERLINK("https://undergroundmathematics.org/trigonometry-triangles-to-functions/r9200","r9200")</f>
        <v>r9200</v>
      </c>
      <c r="H57" s="38" t="str">
        <f>HYPERLINK("https://undergroundmathematics.org/trigonometry-compound-angles/r8557","r8557")</f>
        <v>r8557</v>
      </c>
      <c r="I57" s="39" t="str">
        <f>HYPERLINK("https://undergroundmathematics.org/vector-geometry/r6009","r6009")</f>
        <v>r6009</v>
      </c>
    </row>
    <row r="58" spans="1:22" ht="15.75" customHeight="1">
      <c r="A58" s="13"/>
      <c r="B58" s="13"/>
      <c r="C58" s="28" t="s">
        <v>96</v>
      </c>
      <c r="D58" s="12"/>
      <c r="E58" s="13"/>
      <c r="F58" s="13"/>
      <c r="G58" s="14"/>
      <c r="H58" s="15"/>
      <c r="I58" s="16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">
      <c r="A59" s="6" t="s">
        <v>97</v>
      </c>
      <c r="B59" s="6" t="s">
        <v>13</v>
      </c>
      <c r="C59" s="17" t="s">
        <v>98</v>
      </c>
      <c r="D59" s="41" t="str">
        <f>HYPERLINK("https://undergroundmathematics.org/exp-and-log/reach-for-the-stars","Reach for the stars")</f>
        <v>Reach for the stars</v>
      </c>
      <c r="E59" s="38" t="str">
        <f>HYPERLINK("https://undergroundmathematics.org/exp-and-log/how-fast-does-it-grow","How fast does it grow?")</f>
        <v>How fast does it grow?</v>
      </c>
      <c r="F59" s="19"/>
      <c r="G59" s="29"/>
      <c r="H59" s="19"/>
      <c r="I59" s="30"/>
    </row>
    <row r="60" spans="1:22" ht="15">
      <c r="A60" s="6" t="s">
        <v>99</v>
      </c>
      <c r="B60" s="6" t="s">
        <v>13</v>
      </c>
      <c r="C60" s="24" t="s">
        <v>100</v>
      </c>
      <c r="D60" s="29"/>
      <c r="E60" s="19"/>
      <c r="F60" s="19"/>
      <c r="G60" s="29"/>
      <c r="H60" s="19"/>
      <c r="I60" s="30"/>
    </row>
    <row r="61" spans="1:22" ht="15">
      <c r="A61" s="6" t="s">
        <v>101</v>
      </c>
      <c r="B61" s="6" t="s">
        <v>13</v>
      </c>
      <c r="C61" s="17" t="s">
        <v>102</v>
      </c>
      <c r="D61" s="18" t="str">
        <f>HYPERLINK("https://undergroundmathematics.org/exp-and-log/see-the-power","See the power")</f>
        <v>See the power</v>
      </c>
      <c r="E61" s="38" t="str">
        <f>HYPERLINK("https://undergroundmathematics.org/exp-and-log/log-lattice","Logarithm lattice")</f>
        <v>Logarithm lattice</v>
      </c>
      <c r="F61" s="19"/>
      <c r="G61" s="18" t="str">
        <f>HYPERLINK("https://undergroundmathematics.org/exp-and-log/r7298","r7298")</f>
        <v>r7298</v>
      </c>
      <c r="H61" s="38" t="str">
        <f>HYPERLINK("https://undergroundmathematics.org/exp-and-log/r7015","r7015")</f>
        <v>r7015</v>
      </c>
      <c r="I61" s="30"/>
    </row>
    <row r="62" spans="1:22" ht="15">
      <c r="A62" s="6"/>
      <c r="B62" s="6"/>
      <c r="C62" s="24" t="s">
        <v>103</v>
      </c>
      <c r="D62" s="29"/>
      <c r="E62" s="19"/>
      <c r="F62" s="19"/>
      <c r="G62" s="29"/>
      <c r="H62" s="19"/>
      <c r="I62" s="30"/>
    </row>
    <row r="63" spans="1:22" ht="15">
      <c r="A63" s="6" t="s">
        <v>104</v>
      </c>
      <c r="B63" s="6" t="s">
        <v>13</v>
      </c>
      <c r="C63" s="17" t="s">
        <v>105</v>
      </c>
      <c r="D63" s="18" t="str">
        <f>HYPERLINK("https://undergroundmathematics.org/exp-and-log/summing-to-one","Summing to one")</f>
        <v>Summing to one</v>
      </c>
      <c r="E63" s="38" t="str">
        <f>HYPERLINK("https://undergroundmathematics.org/exp-and-log/factorial-fragments","Factorial fragments")</f>
        <v>Factorial fragments</v>
      </c>
      <c r="F63" s="38" t="str">
        <f>HYPERLINK("https://undergroundmathematics.org/exp-and-log/proving-laws-of-logs","Proving the laws of logarithms")</f>
        <v>Proving the laws of logarithms</v>
      </c>
      <c r="G63" s="18" t="str">
        <f>HYPERLINK("https://undergroundmathematics.org/exp-and-log/r7471","r7471")</f>
        <v>r7471</v>
      </c>
      <c r="H63" s="38" t="str">
        <f>HYPERLINK("https://undergroundmathematics.org/exp-and-log/r6414","r6414")</f>
        <v>r6414</v>
      </c>
      <c r="I63" s="39" t="str">
        <f>HYPERLINK("https://undergroundmathematics.org/exp-and-log/r9976","r9976")</f>
        <v>r9976</v>
      </c>
    </row>
    <row r="64" spans="1:22" ht="15">
      <c r="A64" s="6" t="s">
        <v>106</v>
      </c>
      <c r="B64" s="6" t="s">
        <v>13</v>
      </c>
      <c r="C64" s="17" t="s">
        <v>107</v>
      </c>
      <c r="D64" s="18" t="str">
        <f>HYPERLINK("https://undergroundmathematics.org/exp-and-log/to-log-or-not-to-log","To log or not to log?")</f>
        <v>To log or not to log?</v>
      </c>
      <c r="E64" s="19"/>
      <c r="F64" s="19"/>
      <c r="G64" s="18" t="str">
        <f>HYPERLINK("https://undergroundmathematics.org/exp-and-log/r7606","r7606")</f>
        <v>r7606</v>
      </c>
      <c r="H64" s="38" t="str">
        <f>HYPERLINK("https://undergroundmathematics.org/exp-and-log/r7384","r7384")</f>
        <v>r7384</v>
      </c>
      <c r="I64" s="39" t="str">
        <f>HYPERLINK("https://undergroundmathematics.org/exp-and-log/r5940","r5940")</f>
        <v>r5940</v>
      </c>
    </row>
    <row r="65" spans="1:22" ht="15">
      <c r="A65" s="6" t="s">
        <v>108</v>
      </c>
      <c r="B65" s="6" t="s">
        <v>13</v>
      </c>
      <c r="C65" s="17" t="s">
        <v>109</v>
      </c>
      <c r="D65" s="41" t="str">
        <f>HYPERLINK("https://undergroundmathematics.org/exp-and-log/plotting-planets","Plotting the planets")</f>
        <v>Plotting the planets</v>
      </c>
      <c r="E65" s="19"/>
      <c r="F65" s="19"/>
      <c r="G65" s="29"/>
      <c r="H65" s="19"/>
      <c r="I65" s="30"/>
    </row>
    <row r="66" spans="1:22" ht="15">
      <c r="A66" s="6" t="s">
        <v>110</v>
      </c>
      <c r="B66" s="6" t="s">
        <v>13</v>
      </c>
      <c r="C66" s="17" t="s">
        <v>111</v>
      </c>
      <c r="D66" s="41" t="str">
        <f>HYPERLINK("https://undergroundmathematics.org/exp-and-log/how-far-did-the-earth-move","How far did the earth move?")</f>
        <v>How far did the earth move?</v>
      </c>
      <c r="E66" s="19"/>
      <c r="F66" s="19"/>
      <c r="G66" s="29"/>
      <c r="H66" s="19"/>
      <c r="I66" s="30"/>
    </row>
    <row r="67" spans="1:22" ht="15">
      <c r="A67" s="11"/>
      <c r="B67" s="11"/>
      <c r="C67" s="11" t="s">
        <v>112</v>
      </c>
      <c r="D67" s="12"/>
      <c r="E67" s="13"/>
      <c r="F67" s="13"/>
      <c r="G67" s="14"/>
      <c r="H67" s="15"/>
      <c r="I67" s="16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">
      <c r="A68" s="6" t="s">
        <v>113</v>
      </c>
      <c r="B68" s="6" t="s">
        <v>13</v>
      </c>
      <c r="C68" s="17" t="s">
        <v>114</v>
      </c>
      <c r="D68" s="18" t="str">
        <f>HYPERLINK("https://undergroundmathematics.org/introducing-calculus/a-tangent-is","A tangent is ...")</f>
        <v>A tangent is ...</v>
      </c>
      <c r="E68" s="38" t="str">
        <f>HYPERLINK("https://undergroundmathematics.org/introducing-calculus/gradient-match","Gradient match")</f>
        <v>Gradient match</v>
      </c>
      <c r="F68" s="38" t="str">
        <f>HYPERLINK("https://undergroundmathematics.org/calculus-meets-functions/slippery-slopes","Slippery slopes")</f>
        <v>Slippery slopes</v>
      </c>
      <c r="G68" s="18" t="str">
        <f>HYPERLINK("https://undergroundmathematics.org/calculus-meets-functions/r6180","r6180")</f>
        <v>r6180</v>
      </c>
      <c r="H68" s="19"/>
      <c r="I68" s="30"/>
    </row>
    <row r="69" spans="1:22" ht="15">
      <c r="A69" s="6"/>
      <c r="B69" s="6" t="s">
        <v>13</v>
      </c>
      <c r="C69" s="17" t="s">
        <v>115</v>
      </c>
      <c r="D69" s="18" t="str">
        <f>HYPERLINK("https://undergroundmathematics.org/introducing-calculus/zooming-in","Zooming in")</f>
        <v>Zooming in</v>
      </c>
      <c r="E69" s="38" t="str">
        <f>HYPERLINK("https://undergroundmathematics.org/calculus-of-powers/gradient-spotting","Gradient spotting")</f>
        <v>Gradient spotting</v>
      </c>
      <c r="F69" s="38" t="str">
        <f>HYPERLINK("https://undergroundmathematics.org/calculus-of-powers/binomials-are-the-answer","Binomials are the answer")</f>
        <v>Binomials are the answer</v>
      </c>
      <c r="G69" s="18" t="str">
        <f>HYPERLINK("https://undergroundmathematics.org/calculus-of-powers/r9942","r9942")</f>
        <v>r9942</v>
      </c>
      <c r="H69" s="19"/>
      <c r="I69" s="30"/>
    </row>
    <row r="70" spans="1:22" ht="15">
      <c r="A70" s="6"/>
      <c r="B70" s="6"/>
      <c r="C70" s="17" t="s">
        <v>116</v>
      </c>
      <c r="D70" s="18" t="str">
        <f>HYPERLINK("https://undergroundmathematics.org/calculus-meets-functions/gradients-of-gradients","Gradients of gradients")</f>
        <v>Gradients of gradients</v>
      </c>
      <c r="E70" s="19"/>
      <c r="F70" s="19"/>
      <c r="G70" s="29"/>
      <c r="H70" s="19"/>
      <c r="I70" s="30"/>
    </row>
    <row r="71" spans="1:22" ht="15">
      <c r="A71" s="6"/>
      <c r="B71" s="6"/>
      <c r="C71" s="17" t="s">
        <v>117</v>
      </c>
      <c r="D71" s="18" t="str">
        <f>HYPERLINK("https://undergroundmathematics.org/calculus-trig-log/rotating-derivatives","Rotating derivatives")</f>
        <v>Rotating derivatives</v>
      </c>
      <c r="E71" s="19"/>
      <c r="F71" s="19"/>
      <c r="G71" s="29"/>
      <c r="H71" s="19"/>
      <c r="I71" s="30"/>
    </row>
    <row r="72" spans="1:22" ht="15">
      <c r="A72" s="6" t="s">
        <v>118</v>
      </c>
      <c r="B72" s="6" t="s">
        <v>13</v>
      </c>
      <c r="C72" s="17" t="s">
        <v>119</v>
      </c>
      <c r="D72" s="29"/>
      <c r="E72" s="19"/>
      <c r="F72" s="19"/>
      <c r="G72" s="18" t="str">
        <f>HYPERLINK("https://undergroundmathematics.org/calculus-of-powers/r8931","r8931")</f>
        <v>r8931</v>
      </c>
      <c r="H72" s="38" t="str">
        <f>HYPERLINK("https://undergroundmathematics.org/calculus-of-powers/r7391","r7391")</f>
        <v>r7391</v>
      </c>
      <c r="I72" s="39" t="str">
        <f>HYPERLINK("https://undergroundmathematics.org/calculus-of-powers/r8065","r8065")</f>
        <v>r8065</v>
      </c>
    </row>
    <row r="73" spans="1:22" ht="15">
      <c r="A73" s="6"/>
      <c r="B73" s="6"/>
      <c r="C73" s="17" t="s">
        <v>120</v>
      </c>
      <c r="D73" s="18" t="str">
        <f>HYPERLINK("https://undergroundmathematics.org/calculus-trig-log/to-the-limit","To the limit")</f>
        <v>To the limit</v>
      </c>
      <c r="G73" s="29"/>
      <c r="H73" s="19"/>
      <c r="I73" s="30"/>
    </row>
    <row r="74" spans="1:22" ht="15">
      <c r="A74" s="6"/>
      <c r="B74" s="6"/>
      <c r="C74" s="17" t="s">
        <v>121</v>
      </c>
      <c r="D74" s="18" t="str">
        <f>HYPERLINK("https://undergroundmathematics.org/calculus-trig-log/estimating-gradients","Estimating gradients")</f>
        <v>Estimating gradients</v>
      </c>
      <c r="E74" s="38" t="str">
        <f>HYPERLINK("https://undergroundmathematics.org/calculus-trig-log/trig-gradient-match","Trig gradient match")</f>
        <v>Trig gradient match</v>
      </c>
      <c r="F74" s="38" t="str">
        <f>HYPERLINK("https://undergroundmathematics.org/calculus-trig-log/similar-derivatives","Similar derivatives")</f>
        <v>Similar derivatives</v>
      </c>
      <c r="G74" s="18" t="str">
        <f>HYPERLINK("https://undergroundmathematics.org/calculus-trig-log/r6938","r6938")</f>
        <v>r6938</v>
      </c>
      <c r="H74" s="38" t="str">
        <f>HYPERLINK("https://undergroundmathematics.org/calculus-trig-log/r8071","r8071")</f>
        <v>r8071</v>
      </c>
      <c r="I74" s="30"/>
      <c r="J74" s="59"/>
    </row>
    <row r="75" spans="1:22" ht="15">
      <c r="A75" s="6" t="s">
        <v>122</v>
      </c>
      <c r="B75" s="6" t="s">
        <v>13</v>
      </c>
      <c r="C75" s="17" t="s">
        <v>123</v>
      </c>
      <c r="D75" s="18" t="str">
        <f>HYPERLINK("https://undergroundmathematics.org/calculus-of-powers/floppy-hair","Floppy hair")</f>
        <v>Floppy hair</v>
      </c>
      <c r="E75" s="38" t="str">
        <f>HYPERLINK("https://undergroundmathematics.org/calculus-of-powers/tangent-or-normal","Tangent or normal?")</f>
        <v>Tangent or normal?</v>
      </c>
      <c r="F75" s="47" t="str">
        <f>HYPERLINK("https://undergroundmathematics.org/calculus-meets-functions/choose-your-families","Choose your families")</f>
        <v>Choose your families</v>
      </c>
      <c r="G75" s="18" t="str">
        <f>HYPERLINK("https://undergroundmathematics.org/calculus-of-powers/r7280","r7280")</f>
        <v>r7280</v>
      </c>
      <c r="H75" s="38" t="str">
        <f>HYPERLINK("https://undergroundmathematics.org/calculus-of-powers/r8399","r8399")</f>
        <v>r8399</v>
      </c>
      <c r="I75" s="39" t="str">
        <f>HYPERLINK("https://undergroundmathematics.org/calculus-of-powers/r6820","r6820")</f>
        <v>r6820</v>
      </c>
    </row>
    <row r="76" spans="1:22" ht="15">
      <c r="A76" s="6"/>
      <c r="B76" s="6"/>
      <c r="C76" s="17" t="s">
        <v>124</v>
      </c>
      <c r="D76" s="18" t="str">
        <f>HYPERLINK("https://undergroundmathematics.org/calculus-meets-functions/two-way-calculus","Two-way calculus")</f>
        <v>Two-way calculus</v>
      </c>
      <c r="E76" s="19"/>
      <c r="F76" s="19"/>
      <c r="G76" s="18" t="str">
        <f>HYPERLINK("https://undergroundmathematics.org/calculus-of-powers/r7433","r7433")</f>
        <v>r7433</v>
      </c>
      <c r="H76" s="38" t="str">
        <f>HYPERLINK("https://undergroundmathematics.org/product-rule/r9329","r9329")</f>
        <v>r9329</v>
      </c>
      <c r="I76" s="30"/>
    </row>
    <row r="77" spans="1:22" ht="15">
      <c r="A77" s="6" t="s">
        <v>125</v>
      </c>
      <c r="B77" s="6"/>
      <c r="C77" s="17" t="s">
        <v>225</v>
      </c>
      <c r="D77" s="18" t="str">
        <f>HYPERLINK("https://undergroundmathematics.org/chain-rule/slippery-slopes-another-derivative","Slippery slopes ... another derivative")</f>
        <v>Slippery slopes ... another derivative</v>
      </c>
      <c r="E77" s="38" t="str">
        <f>HYPERLINK("https://undergroundmathematics.org/chain-rule/can-you-find-chain-rule-edition","Can you find... chain rule edition")</f>
        <v>Can you find... chain rule edition</v>
      </c>
      <c r="F77" s="38" t="str">
        <f>HYPERLINK("https://undergroundmathematics.org/chain-rule/i-can-see-u","I can see u!")</f>
        <v>I can see u!</v>
      </c>
      <c r="G77" s="18" t="str">
        <f>HYPERLINK("https://undergroundmathematics.org/chain-rule/r7431","r7431")</f>
        <v>r7431</v>
      </c>
      <c r="H77" s="42" t="str">
        <f>HYPERLINK("https://undergroundmathematics.org/chain-rule/r7115","r7115")</f>
        <v>r7115</v>
      </c>
      <c r="I77" s="48" t="str">
        <f>HYPERLINK("https://undergroundmathematics.org/chain-rule/r8625","r8625")</f>
        <v>r8625</v>
      </c>
    </row>
    <row r="78" spans="1:22" ht="15">
      <c r="A78" s="6"/>
      <c r="B78" s="6"/>
      <c r="C78" s="17" t="s">
        <v>226</v>
      </c>
      <c r="D78" s="18" t="str">
        <f>HYPERLINK("https://undergroundmathematics.org/product-rule/how-does-your-rectangle-grow","How does your rectangle grow?")</f>
        <v>How does your rectangle grow?</v>
      </c>
      <c r="E78" s="38" t="str">
        <f>HYPERLINK("https://undergroundmathematics.org/product-rule/producing-a-rule","Producing a rule")</f>
        <v>Producing a rule</v>
      </c>
      <c r="F78" s="19"/>
      <c r="G78" s="18" t="str">
        <f>HYPERLINK("https://undergroundmathematics.org/product-rule/r8774","r8774")</f>
        <v>r8774</v>
      </c>
      <c r="H78" s="38" t="str">
        <f>HYPERLINK("https://undergroundmathematics.org/product-rule/r8936","r8936")</f>
        <v>r8936</v>
      </c>
      <c r="I78" s="30"/>
    </row>
    <row r="79" spans="1:22" ht="15">
      <c r="A79" s="6"/>
      <c r="B79" s="6"/>
      <c r="C79" s="17" t="s">
        <v>126</v>
      </c>
      <c r="D79" s="18" t="str">
        <f>HYPERLINK("https://undergroundmathematics.org/chain-rule/reflecting-on-change","Reflecting on change")</f>
        <v>Reflecting on change</v>
      </c>
      <c r="E79" s="19"/>
      <c r="F79" s="19"/>
      <c r="G79" s="18" t="str">
        <f>HYPERLINK("https://undergroundmathematics.org/calculus-of-powers/r6959","r6959")</f>
        <v>r6959</v>
      </c>
      <c r="H79" s="19"/>
      <c r="I79" s="30"/>
    </row>
    <row r="80" spans="1:22" ht="15">
      <c r="A80" s="6" t="s">
        <v>127</v>
      </c>
      <c r="B80" s="6"/>
      <c r="C80" s="17" t="s">
        <v>128</v>
      </c>
      <c r="D80" s="18" t="str">
        <f>HYPERLINK("https://undergroundmathematics.org/chain-rule/implicit-circles","Implicit circles")</f>
        <v>Implicit circles</v>
      </c>
      <c r="E80" s="19"/>
      <c r="F80" s="19"/>
      <c r="G80" s="18" t="str">
        <f>HYPERLINK("https://undergroundmathematics.org/chain-rule/r9815","r9815")</f>
        <v>r9815</v>
      </c>
      <c r="H80" s="38" t="str">
        <f>HYPERLINK("https://undergroundmathematics.org/chain-rule/r7833","r7833")</f>
        <v>r7833</v>
      </c>
      <c r="I80" s="30"/>
    </row>
    <row r="81" spans="1:22" ht="15">
      <c r="A81" s="6"/>
      <c r="B81" s="6"/>
      <c r="C81" s="17" t="s">
        <v>129</v>
      </c>
      <c r="D81" s="18" t="str">
        <f>HYPERLINK("https://undergroundmathematics.org/chain-rule/parametric-points","Parametric points")</f>
        <v>Parametric points</v>
      </c>
      <c r="E81" s="19"/>
      <c r="F81" s="19"/>
      <c r="G81" s="18" t="str">
        <f>HYPERLINK("https://undergroundmathematics.org/chain-rule/r8620","r8620")</f>
        <v>r8620</v>
      </c>
      <c r="H81" s="38" t="str">
        <f>HYPERLINK("https://undergroundmathematics.org/chain-rule/r8939","r8939")</f>
        <v>r8939</v>
      </c>
      <c r="I81" s="39" t="str">
        <f>HYPERLINK("https://undergroundmathematics.org/chain-rule/r5053","r5053")</f>
        <v>r5053</v>
      </c>
    </row>
    <row r="82" spans="1:22" ht="15">
      <c r="A82" s="6" t="s">
        <v>130</v>
      </c>
      <c r="B82" s="6"/>
      <c r="C82" s="24" t="s">
        <v>131</v>
      </c>
      <c r="D82" s="31"/>
      <c r="E82" s="20"/>
      <c r="F82" s="20"/>
      <c r="G82" s="29"/>
      <c r="H82" s="19"/>
      <c r="I82" s="30"/>
    </row>
    <row r="83" spans="1:22" ht="15">
      <c r="A83" s="11"/>
      <c r="B83" s="11"/>
      <c r="C83" s="11" t="s">
        <v>132</v>
      </c>
      <c r="D83" s="32"/>
      <c r="E83" s="23"/>
      <c r="F83" s="23"/>
      <c r="G83" s="14"/>
      <c r="H83" s="15"/>
      <c r="I83" s="16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">
      <c r="A84" s="6" t="s">
        <v>133</v>
      </c>
      <c r="B84" s="6" t="s">
        <v>13</v>
      </c>
      <c r="C84" s="17" t="s">
        <v>134</v>
      </c>
      <c r="D84" s="31"/>
      <c r="E84" s="20"/>
      <c r="F84" s="20"/>
      <c r="G84" s="18" t="str">
        <f>HYPERLINK("https://undergroundmathematics.org/calculus-of-powers/r5768","r5768")</f>
        <v>r5768</v>
      </c>
      <c r="H84" s="38" t="str">
        <f>HYPERLINK("https://undergroundmathematics.org/calculus-of-powers/r8716","r8716")</f>
        <v>r8716</v>
      </c>
      <c r="I84" s="30"/>
    </row>
    <row r="85" spans="1:22" ht="15">
      <c r="A85" s="6" t="s">
        <v>135</v>
      </c>
      <c r="B85" s="6" t="s">
        <v>13</v>
      </c>
      <c r="C85" s="17" t="s">
        <v>136</v>
      </c>
      <c r="D85" s="18" t="str">
        <f>HYPERLINK("https://undergroundmathematics.org/calculus-of-powers/integral-chasing","Integral chasing")</f>
        <v>Integral chasing</v>
      </c>
      <c r="E85" s="38" t="str">
        <f>HYPERLINK("https://undergroundmathematics.org/calculus-meets-functions/additional-integrals","Additional integrals")</f>
        <v>Additional integrals</v>
      </c>
      <c r="F85" s="38" t="str">
        <f>HYPERLINK("https://undergroundmathematics.org/calculus-meets-functions/can-you-find-curvy-cubics","Can you find... curvy cubics edition")</f>
        <v>Can you find... curvy cubics edition</v>
      </c>
      <c r="G85" s="18" t="str">
        <f>HYPERLINK("https://undergroundmathematics.org/calculus-meets-functions/r6076","r6076")</f>
        <v>r6076</v>
      </c>
      <c r="H85" s="19"/>
      <c r="I85" s="30"/>
    </row>
    <row r="86" spans="1:22" ht="15">
      <c r="A86" s="6"/>
      <c r="B86" s="6"/>
      <c r="C86" s="17" t="s">
        <v>137</v>
      </c>
      <c r="D86" s="18" t="str">
        <f>HYPERLINK("https://undergroundmathematics.org/calculus-trig-log/trigsy-integrals","Trigsy integrals")</f>
        <v>Trigsy integrals</v>
      </c>
      <c r="E86" s="38" t="str">
        <f>HYPERLINK("https://undergroundmathematics.org/calculus-trig-log/stretching-an-integral","Stretching an integral")</f>
        <v>Stretching an integral</v>
      </c>
      <c r="F86" s="38" t="str">
        <f>HYPERLINK("https://undergroundmathematics.org/calculus-trig-log/two-for-one","Two for one")</f>
        <v>Two for one</v>
      </c>
      <c r="G86" s="18" t="str">
        <f>HYPERLINK("https://undergroundmathematics.org/calculus-trig-log/r9184","r9184")</f>
        <v>r9184</v>
      </c>
      <c r="H86" s="38" t="str">
        <f>HYPERLINK("https://undergroundmathematics.org/calculus-trig-log/r7074","r7074")</f>
        <v>r7074</v>
      </c>
      <c r="I86" s="39" t="str">
        <f>HYPERLINK("https://undergroundmathematics.org/calculus-trig-log/r8679","r8679")</f>
        <v>r8679</v>
      </c>
    </row>
    <row r="87" spans="1:22" ht="15">
      <c r="A87" s="6" t="s">
        <v>138</v>
      </c>
      <c r="B87" s="6" t="s">
        <v>13</v>
      </c>
      <c r="C87" s="17" t="s">
        <v>139</v>
      </c>
      <c r="D87" s="18" t="str">
        <f>HYPERLINK("https://undergroundmathematics.org/introducing-calculus/problem-areas","Problem areas")</f>
        <v>Problem areas</v>
      </c>
      <c r="E87" s="38" t="str">
        <f>HYPERLINK("https://undergroundmathematics.org/calculus-of-powers/stretch-the-function","Stretch the function")</f>
        <v>Stretch the function</v>
      </c>
      <c r="F87" s="38" t="str">
        <f>HYPERLINK("https://undergroundmathematics.org/calculus-meets-functions/what-else-do-you-know","What else do you know?")</f>
        <v>What else do you know?</v>
      </c>
      <c r="G87" s="18" t="str">
        <f>HYPERLINK("https://undergroundmathematics.org/calculus-of-powers/r6584","r6584")</f>
        <v>r6584</v>
      </c>
      <c r="H87" s="38" t="str">
        <f>HYPERLINK("https://undergroundmathematics.org/calculus-of-powers/r7724","r7724")</f>
        <v>r7724</v>
      </c>
      <c r="I87" s="39" t="str">
        <f>HYPERLINK("https://undergroundmathematics.org/calculus-of-powers/r9138","r9138")</f>
        <v>r9138</v>
      </c>
    </row>
    <row r="88" spans="1:22" ht="15">
      <c r="A88" s="6"/>
      <c r="B88" s="6"/>
      <c r="C88" s="17" t="s">
        <v>140</v>
      </c>
      <c r="D88" s="18" t="str">
        <f>HYPERLINK("https://undergroundmathematics.org/calculus-of-powers/meaningful-areas","Meaningful areas")</f>
        <v>Meaningful areas</v>
      </c>
      <c r="E88" s="19"/>
      <c r="F88" s="19"/>
      <c r="G88" s="18" t="str">
        <f>HYPERLINK("https://undergroundmathematics.org/calculus-of-powers/r9357","r9357")</f>
        <v>r9357</v>
      </c>
      <c r="H88" s="38" t="str">
        <f>HYPERLINK("https://undergroundmathematics.org/calculus-meets-functions/r8287","r8287")</f>
        <v>r8287</v>
      </c>
      <c r="I88" s="30"/>
    </row>
    <row r="89" spans="1:22" ht="15">
      <c r="A89" s="6" t="s">
        <v>141</v>
      </c>
      <c r="B89" s="6"/>
      <c r="C89" s="17" t="s">
        <v>142</v>
      </c>
      <c r="D89" s="18" t="str">
        <f>HYPERLINK("https://undergroundmathematics.org/sequences/sum-estimating","Sum estimating")</f>
        <v>Sum estimating</v>
      </c>
      <c r="E89" s="19"/>
      <c r="F89" s="19"/>
      <c r="G89" s="29"/>
      <c r="H89" s="19"/>
      <c r="I89" s="30"/>
    </row>
    <row r="90" spans="1:22" ht="15">
      <c r="A90" s="6" t="s">
        <v>143</v>
      </c>
      <c r="B90" s="6"/>
      <c r="C90" s="17" t="s">
        <v>144</v>
      </c>
      <c r="D90" s="18" t="str">
        <f>HYPERLINK("https://undergroundmathematics.org/chain-rule/slippery-areas","Slippery areas")</f>
        <v>Slippery areas</v>
      </c>
      <c r="E90" s="38" t="str">
        <f>HYPERLINK("https://undergroundmathematics.org/chain-rule/integral-sorting","Integral sorting")</f>
        <v>Integral sorting</v>
      </c>
      <c r="F90" s="38" t="str">
        <f>HYPERLINK("https://undergroundmathematics.org/product-rule/integral-chasing-2","Integral chasing II")</f>
        <v>Integral chasing II</v>
      </c>
      <c r="G90" s="18" t="str">
        <f>HYPERLINK("https://undergroundmathematics.org/chain-rule/r8890","r8890")</f>
        <v>r8890</v>
      </c>
      <c r="H90" s="42" t="str">
        <f>HYPERLINK("https://undergroundmathematics.org/product-rule/r8152","r8152")</f>
        <v>r8152</v>
      </c>
      <c r="I90" s="39" t="str">
        <f t="shared" ref="I90:I91" si="3">HYPERLINK("https://undergroundmathematics.org/product-rule/r5126","r5126")</f>
        <v>r5126</v>
      </c>
    </row>
    <row r="91" spans="1:22" ht="15">
      <c r="A91" s="6" t="s">
        <v>145</v>
      </c>
      <c r="B91" s="6"/>
      <c r="C91" s="17" t="s">
        <v>146</v>
      </c>
      <c r="D91" s="31"/>
      <c r="E91" s="20"/>
      <c r="F91" s="20"/>
      <c r="G91" s="41" t="str">
        <f>HYPERLINK("https://undergroundmathematics.org/product-rule/r8152","r8152")</f>
        <v>r8152</v>
      </c>
      <c r="H91" s="38" t="str">
        <f>HYPERLINK("https://undergroundmathematics.org/chain-rule/r9701","r9701")</f>
        <v>r9701</v>
      </c>
      <c r="I91" s="39" t="str">
        <f t="shared" si="3"/>
        <v>r5126</v>
      </c>
    </row>
    <row r="92" spans="1:22" ht="15">
      <c r="A92" s="6" t="s">
        <v>147</v>
      </c>
      <c r="B92" s="6"/>
      <c r="C92" s="24" t="s">
        <v>148</v>
      </c>
      <c r="D92" s="31"/>
      <c r="E92" s="20"/>
      <c r="F92" s="20"/>
      <c r="G92" s="29"/>
      <c r="H92" s="19"/>
      <c r="I92" s="30"/>
    </row>
    <row r="93" spans="1:22" ht="15">
      <c r="A93" s="6" t="s">
        <v>149</v>
      </c>
      <c r="B93" s="6"/>
      <c r="C93" s="24" t="s">
        <v>150</v>
      </c>
      <c r="D93" s="31"/>
      <c r="E93" s="20"/>
      <c r="F93" s="20"/>
      <c r="G93" s="29"/>
      <c r="H93" s="19"/>
      <c r="I93" s="30"/>
    </row>
    <row r="94" spans="1:22" ht="15">
      <c r="A94" s="11"/>
      <c r="B94" s="11"/>
      <c r="C94" s="11" t="s">
        <v>151</v>
      </c>
      <c r="D94" s="32"/>
      <c r="E94" s="23"/>
      <c r="F94" s="23"/>
      <c r="G94" s="14"/>
      <c r="H94" s="15"/>
      <c r="I94" s="16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">
      <c r="A95" s="6" t="s">
        <v>152</v>
      </c>
      <c r="B95" s="6"/>
      <c r="C95" s="24" t="s">
        <v>153</v>
      </c>
      <c r="D95" s="31"/>
      <c r="E95" s="20"/>
      <c r="F95" s="20"/>
      <c r="G95" s="29"/>
      <c r="H95" s="19"/>
      <c r="I95" s="30"/>
    </row>
    <row r="96" spans="1:22" ht="15">
      <c r="A96" s="6" t="s">
        <v>154</v>
      </c>
      <c r="B96" s="6"/>
      <c r="C96" s="17" t="s">
        <v>155</v>
      </c>
      <c r="D96" s="31"/>
      <c r="E96" s="20"/>
      <c r="F96" s="20"/>
      <c r="G96" s="18" t="str">
        <f>HYPERLINK("https://undergroundmathematics.org/calculus-of-powers/r8231","r8231")</f>
        <v>r8231</v>
      </c>
      <c r="H96" s="19"/>
      <c r="I96" s="30"/>
    </row>
    <row r="97" spans="1:22" ht="15">
      <c r="A97" s="6"/>
      <c r="B97" s="6"/>
      <c r="C97" s="17" t="s">
        <v>156</v>
      </c>
      <c r="D97" s="31"/>
      <c r="E97" s="20"/>
      <c r="F97" s="20"/>
      <c r="G97" s="18" t="str">
        <f>HYPERLINK("https://undergroundmathematics.org/calculus-trig-log/r8679","r8679")</f>
        <v>r8679</v>
      </c>
      <c r="H97" s="38" t="str">
        <f>HYPERLINK("https://undergroundmathematics.org/calculus-of-powers/r8231","r8231")</f>
        <v>r8231</v>
      </c>
      <c r="I97" s="30"/>
    </row>
    <row r="98" spans="1:22" ht="15">
      <c r="A98" s="6" t="s">
        <v>157</v>
      </c>
      <c r="B98" s="6"/>
      <c r="C98" s="17" t="s">
        <v>158</v>
      </c>
      <c r="D98" s="41" t="str">
        <f>HYPERLINK("https://undergroundmathematics.org/introducing-calculus/serpentine-lake","Is the Serpentine Lake really 40 acres?")</f>
        <v>Is the Serpentine Lake really 40 acres?</v>
      </c>
      <c r="E98" s="38" t="str">
        <f>HYPERLINK("https://undergroundmathematics.org/introducing-calculus/underneath-the-arches","Underneath the arches")</f>
        <v>Underneath the arches</v>
      </c>
      <c r="F98" s="20"/>
      <c r="G98" s="18" t="str">
        <f>HYPERLINK("https://undergroundmathematics.org/introducing-calculus/r7903","r7903")</f>
        <v>r7903</v>
      </c>
      <c r="H98" s="38" t="str">
        <f>HYPERLINK("https://undergroundmathematics.org/introducing-calculus/r7912","r7912")</f>
        <v>r7912</v>
      </c>
      <c r="I98" s="39" t="str">
        <f>HYPERLINK("https://undergroundmathematics.org/calculus-meets-functions/r5324","r5324")</f>
        <v>r5324</v>
      </c>
    </row>
    <row r="99" spans="1:22" ht="15">
      <c r="A99" s="6" t="s">
        <v>159</v>
      </c>
      <c r="B99" s="6"/>
      <c r="C99" s="24" t="s">
        <v>160</v>
      </c>
      <c r="D99" s="31"/>
      <c r="E99" s="20"/>
      <c r="F99" s="20"/>
      <c r="G99" s="29"/>
      <c r="H99" s="19"/>
      <c r="I99" s="30"/>
    </row>
    <row r="100" spans="1:22" ht="15">
      <c r="A100" s="11"/>
      <c r="B100" s="11"/>
      <c r="C100" s="11" t="s">
        <v>161</v>
      </c>
      <c r="D100" s="32"/>
      <c r="E100" s="23"/>
      <c r="F100" s="23"/>
      <c r="G100" s="14"/>
      <c r="H100" s="15"/>
      <c r="I100" s="16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">
      <c r="A101" s="6" t="s">
        <v>162</v>
      </c>
      <c r="B101" s="6" t="s">
        <v>13</v>
      </c>
      <c r="C101" s="17" t="s">
        <v>163</v>
      </c>
      <c r="D101" s="18" t="str">
        <f>HYPERLINK("https://undergroundmathematics.org/vector-geometry/hit-the-spot","Hit the spot")</f>
        <v>Hit the spot</v>
      </c>
      <c r="E101" s="19"/>
      <c r="F101" s="20"/>
      <c r="G101" s="18" t="str">
        <f>HYPERLINK("https://undergroundmathematics.org/vector-geometry/r9629","r9629")</f>
        <v>r9629</v>
      </c>
      <c r="H101" s="38" t="str">
        <f>HYPERLINK("https://undergroundmathematics.org/vector-geometry/r8115","r8115")</f>
        <v>r8115</v>
      </c>
      <c r="I101" s="30"/>
    </row>
    <row r="102" spans="1:22" ht="15">
      <c r="A102" s="6"/>
      <c r="B102" s="6"/>
      <c r="C102" s="17" t="s">
        <v>164</v>
      </c>
      <c r="D102" s="18" t="str">
        <f>HYPERLINK("https://undergroundmathematics.org/vector-geometry/three-lines","Three lines")</f>
        <v>Three lines</v>
      </c>
      <c r="E102" s="19"/>
      <c r="F102" s="20"/>
      <c r="G102" s="29"/>
      <c r="H102" s="19"/>
      <c r="I102" s="30"/>
    </row>
    <row r="103" spans="1:22" ht="15">
      <c r="A103" s="6" t="s">
        <v>165</v>
      </c>
      <c r="B103" s="6" t="s">
        <v>13</v>
      </c>
      <c r="C103" s="17" t="s">
        <v>166</v>
      </c>
      <c r="D103" s="29"/>
      <c r="E103" s="19"/>
      <c r="F103" s="20"/>
      <c r="G103" s="41" t="str">
        <f>HYPERLINK("https://undergroundmathematics.org/vector-geometry/r6009","r6009")</f>
        <v>r6009</v>
      </c>
      <c r="H103" s="19"/>
      <c r="I103" s="30"/>
    </row>
    <row r="104" spans="1:22" ht="15">
      <c r="A104" s="6" t="s">
        <v>167</v>
      </c>
      <c r="B104" s="6" t="s">
        <v>13</v>
      </c>
      <c r="C104" s="17" t="s">
        <v>168</v>
      </c>
      <c r="D104" s="18" t="str">
        <f>HYPERLINK("https://undergroundmathematics.org/vector-geometry/vector-squares","Vector squares")</f>
        <v>Vector squares</v>
      </c>
      <c r="E104" s="38" t="str">
        <f>HYPERLINK("https://undergroundmathematics.org/vector-geometry/lots-of-vector-lines","Lots of vector lines")</f>
        <v>Lots of vector lines</v>
      </c>
      <c r="F104" s="20"/>
      <c r="G104" s="18" t="str">
        <f>HYPERLINK("https://undergroundmathematics.org/vector-geometry/r8573","r8573")</f>
        <v>r8573</v>
      </c>
      <c r="H104" s="19"/>
      <c r="I104" s="30"/>
    </row>
    <row r="105" spans="1:22" ht="15">
      <c r="A105" s="6" t="s">
        <v>169</v>
      </c>
      <c r="B105" s="6" t="s">
        <v>13</v>
      </c>
      <c r="C105" s="17" t="s">
        <v>170</v>
      </c>
      <c r="D105" s="29"/>
      <c r="E105" s="19"/>
      <c r="F105" s="20"/>
      <c r="G105" s="18" t="str">
        <f>HYPERLINK("https://undergroundmathematics.org/vector-geometry/r5153","r5153")</f>
        <v>r5153</v>
      </c>
      <c r="H105" s="19"/>
      <c r="I105" s="30"/>
    </row>
    <row r="106" spans="1:22" ht="15">
      <c r="A106" s="6" t="s">
        <v>171</v>
      </c>
      <c r="B106" s="6" t="s">
        <v>13</v>
      </c>
      <c r="C106" s="17" t="s">
        <v>172</v>
      </c>
      <c r="D106" s="29"/>
      <c r="E106" s="19"/>
      <c r="F106" s="20"/>
      <c r="G106" s="18" t="str">
        <f>HYPERLINK("https://undergroundmathematics.org/vector-geometry/r5992","r5992")</f>
        <v>r5992</v>
      </c>
      <c r="H106" s="38" t="str">
        <f>HYPERLINK("https://undergroundmathematics.org/vector-geometry/r8215","r8215")</f>
        <v>r8215</v>
      </c>
      <c r="I106" s="30"/>
    </row>
    <row r="107" spans="1:22" ht="15">
      <c r="A107" s="6"/>
      <c r="B107" s="6"/>
      <c r="C107" s="17" t="s">
        <v>173</v>
      </c>
      <c r="D107" s="41" t="str">
        <f>HYPERLINK("https://undergroundmathematics.org/vector-geometry/one-windy-day","One windy day")</f>
        <v>One windy day</v>
      </c>
      <c r="E107" s="19"/>
      <c r="F107" s="20"/>
      <c r="G107" s="29"/>
      <c r="H107" s="19"/>
      <c r="I107" s="30"/>
    </row>
    <row r="108" spans="1:22" ht="15">
      <c r="A108" s="11"/>
      <c r="B108" s="11"/>
      <c r="C108" s="11"/>
      <c r="D108" s="32"/>
      <c r="E108" s="23"/>
      <c r="F108" s="23"/>
      <c r="G108" s="14"/>
      <c r="H108" s="15"/>
      <c r="I108" s="16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">
      <c r="A109" s="6" t="s">
        <v>174</v>
      </c>
      <c r="B109" s="6"/>
      <c r="C109" s="24" t="s">
        <v>175</v>
      </c>
      <c r="D109" s="31"/>
      <c r="E109" s="20"/>
      <c r="F109" s="20"/>
      <c r="G109" s="29"/>
      <c r="H109" s="19"/>
      <c r="I109" s="30"/>
    </row>
    <row r="110" spans="1:22" ht="15">
      <c r="A110" s="6" t="s">
        <v>176</v>
      </c>
      <c r="B110" s="6"/>
      <c r="C110" s="24" t="s">
        <v>177</v>
      </c>
      <c r="D110" s="31"/>
      <c r="E110" s="20"/>
      <c r="F110" s="20"/>
      <c r="G110" s="29"/>
      <c r="H110" s="19"/>
      <c r="I110" s="30"/>
    </row>
    <row r="111" spans="1:22" ht="15">
      <c r="A111" s="6" t="s">
        <v>178</v>
      </c>
      <c r="B111" s="6"/>
      <c r="C111" s="24" t="s">
        <v>179</v>
      </c>
      <c r="D111" s="31"/>
      <c r="E111" s="20"/>
      <c r="F111" s="20"/>
      <c r="G111" s="29"/>
      <c r="H111" s="19"/>
      <c r="I111" s="30"/>
    </row>
    <row r="112" spans="1:22" ht="15">
      <c r="A112" s="6" t="s">
        <v>180</v>
      </c>
      <c r="B112" s="6"/>
      <c r="C112" s="24" t="s">
        <v>181</v>
      </c>
      <c r="D112" s="31"/>
      <c r="E112" s="20"/>
      <c r="F112" s="20"/>
      <c r="G112" s="29"/>
      <c r="H112" s="19"/>
      <c r="I112" s="30"/>
    </row>
    <row r="113" spans="1:22" ht="15">
      <c r="A113" s="33" t="s">
        <v>182</v>
      </c>
      <c r="B113" s="33"/>
      <c r="C113" s="34" t="s">
        <v>183</v>
      </c>
      <c r="D113" s="31"/>
      <c r="E113" s="20"/>
      <c r="F113" s="20"/>
      <c r="G113" s="29"/>
      <c r="H113" s="19"/>
      <c r="I113" s="30"/>
    </row>
    <row r="114" spans="1:22" ht="15">
      <c r="A114" s="11"/>
      <c r="B114" s="11"/>
      <c r="C114" s="11"/>
      <c r="D114" s="32"/>
      <c r="E114" s="23"/>
      <c r="F114" s="23"/>
      <c r="G114" s="14"/>
      <c r="H114" s="15"/>
      <c r="I114" s="16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">
      <c r="A115" s="11"/>
      <c r="B115" s="11"/>
      <c r="C115" s="11" t="s">
        <v>184</v>
      </c>
      <c r="D115" s="32"/>
      <c r="E115" s="23"/>
      <c r="F115" s="23"/>
      <c r="G115" s="14"/>
      <c r="H115" s="15"/>
      <c r="I115" s="16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">
      <c r="A116" s="11" t="s">
        <v>185</v>
      </c>
      <c r="B116" s="11" t="s">
        <v>13</v>
      </c>
      <c r="C116" s="35" t="s">
        <v>186</v>
      </c>
      <c r="D116" s="32"/>
      <c r="E116" s="23"/>
      <c r="F116" s="23"/>
      <c r="G116" s="14"/>
      <c r="H116" s="15"/>
      <c r="I116" s="16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">
      <c r="A117" s="11"/>
      <c r="B117" s="11"/>
      <c r="C117" s="11" t="s">
        <v>187</v>
      </c>
      <c r="D117" s="32"/>
      <c r="E117" s="23"/>
      <c r="F117" s="23"/>
      <c r="G117" s="14"/>
      <c r="H117" s="15"/>
      <c r="I117" s="16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">
      <c r="A118" s="6" t="s">
        <v>188</v>
      </c>
      <c r="B118" s="6" t="s">
        <v>13</v>
      </c>
      <c r="C118" s="17" t="s">
        <v>189</v>
      </c>
      <c r="D118" s="18" t="str">
        <f>HYPERLINK("https://undergroundmathematics.org/introducing-calculus/discussing-distance","Discussing distance")</f>
        <v>Discussing distance</v>
      </c>
      <c r="E118" s="20"/>
      <c r="F118" s="20"/>
      <c r="G118" s="29"/>
      <c r="H118" s="19"/>
      <c r="I118" s="30"/>
    </row>
    <row r="119" spans="1:22" ht="15">
      <c r="A119" s="6" t="s">
        <v>190</v>
      </c>
      <c r="B119" s="6" t="s">
        <v>13</v>
      </c>
      <c r="C119" s="17" t="s">
        <v>191</v>
      </c>
      <c r="D119" s="18" t="str">
        <f>HYPERLINK("https://undergroundmathematics.org/introducing-calculus/walk-sorting","Walk sorting")</f>
        <v>Walk sorting</v>
      </c>
      <c r="E119" s="38" t="str">
        <f>HYPERLINK("https://undergroundmathematics.org/introducing-calculus/speed-vs-velocity","Speed vs velocity")</f>
        <v>Speed vs velocity</v>
      </c>
      <c r="F119" s="47" t="str">
        <f>HYPERLINK("https://undergroundmathematics.org/introducing-calculus/average-speed","Average speed")</f>
        <v>Average speed</v>
      </c>
      <c r="G119" s="18" t="str">
        <f>HYPERLINK("https://undergroundmathematics.org/introducing-calculus/r5782","r5782")</f>
        <v>r5782</v>
      </c>
      <c r="H119" s="38" t="str">
        <f>HYPERLINK("https://undergroundmathematics.org/introducing-calculus/r7250","r7250")</f>
        <v>r7250</v>
      </c>
      <c r="I119" s="39" t="str">
        <f>HYPERLINK("https://undergroundmathematics.org/geometry-of-equations/r6841","r6841")</f>
        <v>r6841</v>
      </c>
    </row>
    <row r="120" spans="1:22" ht="15">
      <c r="A120" s="6" t="s">
        <v>192</v>
      </c>
      <c r="B120" s="6" t="s">
        <v>13</v>
      </c>
      <c r="C120" s="24" t="s">
        <v>193</v>
      </c>
      <c r="D120" s="29"/>
      <c r="E120" s="19"/>
      <c r="F120" s="19"/>
      <c r="G120" s="18" t="str">
        <f>HYPERLINK("https://undergroundmathematics.org/quadratics/r6864","r6864")</f>
        <v>r6864</v>
      </c>
      <c r="H120" s="38" t="str">
        <f>HYPERLINK("https://undergroundmathematics.org/vector-geometry/r7982","r7982")</f>
        <v>r7982</v>
      </c>
      <c r="I120" s="30"/>
    </row>
    <row r="121" spans="1:22" ht="15">
      <c r="A121" s="6"/>
      <c r="B121" s="6"/>
      <c r="C121" s="17" t="s">
        <v>194</v>
      </c>
      <c r="D121" s="41" t="str">
        <f>HYPERLINK("https://undergroundmathematics.org/vector-geometry/one-windy-day","One windy day")</f>
        <v>One windy day</v>
      </c>
      <c r="E121" s="19"/>
      <c r="F121" s="19"/>
      <c r="G121" s="29"/>
      <c r="H121" s="19"/>
      <c r="I121" s="30"/>
    </row>
    <row r="122" spans="1:22" ht="15">
      <c r="A122" s="6" t="s">
        <v>195</v>
      </c>
      <c r="B122" s="6" t="s">
        <v>13</v>
      </c>
      <c r="C122" s="17" t="s">
        <v>196</v>
      </c>
      <c r="D122" s="18" t="str">
        <f>HYPERLINK("https://undergroundmathematics.org/calculus-meets-functions/thinking-constantly","Thinking constantly")</f>
        <v>Thinking constantly</v>
      </c>
      <c r="E122" s="19"/>
      <c r="F122" s="19"/>
      <c r="G122" s="18" t="str">
        <f>HYPERLINK("https://undergroundmathematics.org/product-rule/r8774","r8774")</f>
        <v>r8774</v>
      </c>
      <c r="H122" s="38" t="str">
        <f>HYPERLINK("https://undergroundmathematics.org/calculus-trig-log/r8071","r8071")</f>
        <v>r8071</v>
      </c>
      <c r="I122" s="30"/>
    </row>
    <row r="123" spans="1:22" ht="15">
      <c r="A123" s="6"/>
      <c r="B123" s="6"/>
      <c r="C123" s="24" t="s">
        <v>197</v>
      </c>
      <c r="D123" s="29"/>
      <c r="E123" s="19"/>
      <c r="F123" s="19"/>
      <c r="G123" s="29"/>
      <c r="H123" s="19"/>
      <c r="I123" s="30"/>
    </row>
    <row r="124" spans="1:22" ht="15">
      <c r="A124" s="6" t="s">
        <v>198</v>
      </c>
      <c r="B124" s="6"/>
      <c r="C124" s="17" t="s">
        <v>199</v>
      </c>
      <c r="D124" s="41" t="str">
        <f>HYPERLINK("https://undergroundmathematics.org/vector-geometry/where-did-it-land","Where did it land?")</f>
        <v>Where did it land?</v>
      </c>
      <c r="E124" s="19"/>
      <c r="F124" s="19"/>
      <c r="G124" s="29"/>
      <c r="H124" s="19"/>
      <c r="I124" s="30"/>
    </row>
    <row r="125" spans="1:22" ht="15">
      <c r="A125" s="11"/>
      <c r="B125" s="11"/>
      <c r="C125" s="11" t="s">
        <v>200</v>
      </c>
      <c r="D125" s="32"/>
      <c r="E125" s="23"/>
      <c r="F125" s="23"/>
      <c r="G125" s="14"/>
      <c r="H125" s="15"/>
      <c r="I125" s="16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">
      <c r="A126" s="6" t="s">
        <v>201</v>
      </c>
      <c r="B126" s="6" t="s">
        <v>13</v>
      </c>
      <c r="C126" s="24" t="s">
        <v>202</v>
      </c>
      <c r="D126" s="31"/>
      <c r="E126" s="20"/>
      <c r="F126" s="20"/>
      <c r="G126" s="29"/>
      <c r="H126" s="19"/>
      <c r="I126" s="30"/>
    </row>
    <row r="127" spans="1:22" ht="15">
      <c r="A127" s="6" t="s">
        <v>203</v>
      </c>
      <c r="B127" s="6" t="s">
        <v>13</v>
      </c>
      <c r="C127" s="24" t="s">
        <v>204</v>
      </c>
      <c r="D127" s="31"/>
      <c r="E127" s="20"/>
      <c r="F127" s="20"/>
      <c r="G127" s="29"/>
      <c r="H127" s="19"/>
      <c r="I127" s="30"/>
    </row>
    <row r="128" spans="1:22" ht="15">
      <c r="A128" s="6"/>
      <c r="B128" s="6"/>
      <c r="C128" s="17" t="s">
        <v>205</v>
      </c>
      <c r="D128" s="18" t="str">
        <f>HYPERLINK("https://undergroundmathematics.org/vector-geometry/make-it-stop","Make it stop!")</f>
        <v>Make it stop!</v>
      </c>
      <c r="E128" s="20"/>
      <c r="F128" s="20"/>
      <c r="G128" s="18" t="str">
        <f>HYPERLINK("https://undergroundmathematics.org/vector-geometry/r7678","r7678")</f>
        <v>r7678</v>
      </c>
      <c r="H128" s="19"/>
      <c r="I128" s="30"/>
    </row>
    <row r="129" spans="1:22" ht="15">
      <c r="A129" s="6" t="s">
        <v>206</v>
      </c>
      <c r="B129" s="6" t="s">
        <v>13</v>
      </c>
      <c r="C129" s="17" t="s">
        <v>207</v>
      </c>
      <c r="D129" s="29"/>
      <c r="E129" s="20"/>
      <c r="F129" s="20"/>
      <c r="G129" s="18" t="str">
        <f>HYPERLINK("https://undergroundmathematics.org/vector-geometry/r7982","r7982")</f>
        <v>r7982</v>
      </c>
      <c r="H129" s="19"/>
      <c r="I129" s="30"/>
    </row>
    <row r="130" spans="1:22" ht="15">
      <c r="A130" s="6" t="s">
        <v>208</v>
      </c>
      <c r="B130" s="6" t="s">
        <v>13</v>
      </c>
      <c r="C130" s="24" t="s">
        <v>209</v>
      </c>
      <c r="D130" s="29"/>
      <c r="E130" s="20"/>
      <c r="F130" s="20"/>
      <c r="G130" s="18" t="str">
        <f t="shared" ref="G130:G131" si="4">HYPERLINK("https://undergroundmathematics.org/vector-geometry/r8335","r8335")</f>
        <v>r8335</v>
      </c>
      <c r="H130" s="38" t="str">
        <f>HYPERLINK("https://undergroundmathematics.org/vector-geometry/r7982","r7982")</f>
        <v>r7982</v>
      </c>
      <c r="I130" s="30"/>
    </row>
    <row r="131" spans="1:22" ht="15">
      <c r="A131" s="6"/>
      <c r="B131" s="6"/>
      <c r="C131" s="17" t="s">
        <v>210</v>
      </c>
      <c r="D131" s="18" t="str">
        <f>HYPERLINK("https://undergroundmathematics.org/vector-geometry/make-it-equal","Make it equal")</f>
        <v>Make it equal</v>
      </c>
      <c r="E131" s="20"/>
      <c r="F131" s="20"/>
      <c r="G131" s="18" t="str">
        <f t="shared" si="4"/>
        <v>r8335</v>
      </c>
      <c r="H131" s="19"/>
      <c r="I131" s="30"/>
    </row>
    <row r="132" spans="1:22" ht="15">
      <c r="A132" s="6" t="s">
        <v>211</v>
      </c>
      <c r="B132" s="6"/>
      <c r="C132" s="17" t="s">
        <v>212</v>
      </c>
      <c r="D132" s="18" t="str">
        <f>HYPERLINK("https://undergroundmathematics.org/vector-geometry/make-it-stop","Make it stop!")</f>
        <v>Make it stop!</v>
      </c>
      <c r="E132" s="20"/>
      <c r="F132" s="20"/>
      <c r="G132" s="29"/>
      <c r="H132" s="19"/>
      <c r="I132" s="30"/>
    </row>
    <row r="133" spans="1:22" ht="15">
      <c r="A133" s="6" t="s">
        <v>213</v>
      </c>
      <c r="B133" s="6"/>
      <c r="C133" s="17" t="s">
        <v>214</v>
      </c>
      <c r="D133" s="18" t="str">
        <f>HYPERLINK("https://undergroundmathematics.org/vector-geometry/frictional-story","A frictional story")</f>
        <v>A frictional story</v>
      </c>
      <c r="E133" s="20"/>
      <c r="F133" s="20"/>
      <c r="G133" s="18" t="str">
        <f>HYPERLINK("https://undergroundmathematics.org/quadratics/r6864","r6864")</f>
        <v>r6864</v>
      </c>
      <c r="H133" s="49" t="str">
        <f>HYPERLINK("https://undergroundmathematics.org/vector-geometry/r8335","r8335")</f>
        <v>r8335</v>
      </c>
      <c r="I133" s="30"/>
    </row>
    <row r="134" spans="1:22" ht="15">
      <c r="A134" s="11"/>
      <c r="B134" s="11"/>
      <c r="C134" s="11" t="s">
        <v>215</v>
      </c>
      <c r="D134" s="32"/>
      <c r="E134" s="23"/>
      <c r="F134" s="23"/>
      <c r="G134" s="14"/>
      <c r="H134" s="50"/>
      <c r="I134" s="16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">
      <c r="A135" s="6" t="s">
        <v>216</v>
      </c>
      <c r="B135" s="6"/>
      <c r="C135" s="24" t="s">
        <v>217</v>
      </c>
      <c r="D135" s="31"/>
      <c r="E135" s="20"/>
      <c r="F135" s="20"/>
      <c r="G135" s="29"/>
      <c r="H135" s="19"/>
      <c r="I135" s="30"/>
    </row>
    <row r="136" spans="1:22" ht="15">
      <c r="A136" s="57"/>
      <c r="B136" s="57"/>
      <c r="C136" s="57"/>
      <c r="D136" s="25"/>
      <c r="E136" s="56"/>
      <c r="F136" s="56"/>
      <c r="G136" s="29"/>
      <c r="H136" s="19"/>
      <c r="I136" s="30"/>
      <c r="J136" s="56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</row>
    <row r="137" spans="1:22" ht="15.75" customHeight="1">
      <c r="D137" s="25"/>
      <c r="G137" s="29"/>
      <c r="H137" s="19"/>
      <c r="I137" s="30"/>
    </row>
    <row r="138" spans="1:22" ht="15.75" customHeight="1">
      <c r="D138" s="25"/>
      <c r="G138" s="29"/>
      <c r="H138" s="19"/>
      <c r="I138" s="30"/>
    </row>
    <row r="139" spans="1:22" ht="15.75" customHeight="1">
      <c r="D139" s="25"/>
      <c r="G139" s="29"/>
      <c r="H139" s="19"/>
      <c r="I139" s="30"/>
    </row>
    <row r="140" spans="1:22" ht="15.75" customHeight="1">
      <c r="D140" s="25"/>
      <c r="G140" s="29"/>
      <c r="H140" s="19"/>
      <c r="I140" s="30"/>
    </row>
    <row r="141" spans="1:22" ht="15.75" customHeight="1">
      <c r="D141" s="25"/>
      <c r="G141" s="29"/>
      <c r="H141" s="19"/>
      <c r="I141" s="30"/>
    </row>
    <row r="142" spans="1:22" ht="15.75" customHeight="1">
      <c r="D142" s="25"/>
      <c r="G142" s="29"/>
      <c r="H142" s="19"/>
      <c r="I142" s="30"/>
    </row>
    <row r="143" spans="1:22" ht="15.75" customHeight="1">
      <c r="D143" s="25"/>
      <c r="G143" s="29"/>
      <c r="H143" s="19"/>
      <c r="I143" s="30"/>
    </row>
    <row r="144" spans="1:22" ht="15.75" customHeight="1">
      <c r="D144" s="25"/>
      <c r="G144" s="29"/>
      <c r="H144" s="19"/>
      <c r="I144" s="30"/>
    </row>
    <row r="145" spans="4:9" ht="15.75" customHeight="1">
      <c r="D145" s="25"/>
      <c r="G145" s="29"/>
      <c r="H145" s="19"/>
      <c r="I145" s="30"/>
    </row>
    <row r="146" spans="4:9" ht="15.75" customHeight="1">
      <c r="D146" s="25"/>
      <c r="G146" s="29"/>
      <c r="H146" s="19"/>
      <c r="I146" s="30"/>
    </row>
    <row r="147" spans="4:9" ht="15.75" customHeight="1">
      <c r="D147" s="25"/>
      <c r="G147" s="29"/>
      <c r="H147" s="19"/>
      <c r="I147" s="30"/>
    </row>
    <row r="148" spans="4:9" ht="15.75" customHeight="1">
      <c r="D148" s="25"/>
      <c r="G148" s="29"/>
      <c r="H148" s="19"/>
      <c r="I148" s="30"/>
    </row>
    <row r="149" spans="4:9" ht="15.75" customHeight="1">
      <c r="D149" s="25"/>
      <c r="G149" s="29"/>
      <c r="H149" s="19"/>
      <c r="I149" s="30"/>
    </row>
    <row r="150" spans="4:9" ht="15.75" customHeight="1">
      <c r="D150" s="25"/>
      <c r="G150" s="29"/>
      <c r="H150" s="19"/>
      <c r="I150" s="30"/>
    </row>
    <row r="151" spans="4:9" ht="15.75" customHeight="1">
      <c r="D151" s="25"/>
      <c r="G151" s="29"/>
      <c r="H151" s="19"/>
      <c r="I151" s="30"/>
    </row>
    <row r="152" spans="4:9" ht="15.75" customHeight="1">
      <c r="D152" s="25"/>
      <c r="G152" s="29"/>
      <c r="H152" s="19"/>
      <c r="I152" s="30"/>
    </row>
    <row r="153" spans="4:9" ht="15.75" customHeight="1">
      <c r="D153" s="25"/>
      <c r="G153" s="29"/>
      <c r="H153" s="19"/>
      <c r="I153" s="30"/>
    </row>
    <row r="154" spans="4:9" ht="15.75" customHeight="1">
      <c r="D154" s="25"/>
      <c r="G154" s="29"/>
      <c r="H154" s="19"/>
      <c r="I154" s="30"/>
    </row>
    <row r="155" spans="4:9" ht="15.75" customHeight="1">
      <c r="D155" s="25"/>
      <c r="G155" s="29"/>
      <c r="H155" s="19"/>
      <c r="I155" s="30"/>
    </row>
    <row r="156" spans="4:9" ht="15.75" customHeight="1">
      <c r="D156" s="25"/>
      <c r="G156" s="29"/>
      <c r="H156" s="19"/>
      <c r="I156" s="30"/>
    </row>
    <row r="157" spans="4:9" ht="15.75" customHeight="1">
      <c r="D157" s="25"/>
      <c r="G157" s="29"/>
      <c r="H157" s="19"/>
      <c r="I157" s="30"/>
    </row>
    <row r="158" spans="4:9" ht="15.75" customHeight="1">
      <c r="D158" s="25"/>
      <c r="G158" s="29"/>
      <c r="H158" s="19"/>
      <c r="I158" s="30"/>
    </row>
    <row r="159" spans="4:9" ht="15.75" customHeight="1">
      <c r="D159" s="25"/>
      <c r="G159" s="29"/>
      <c r="H159" s="19"/>
      <c r="I159" s="30"/>
    </row>
    <row r="160" spans="4:9" ht="15.75" customHeight="1">
      <c r="D160" s="25"/>
      <c r="G160" s="29"/>
      <c r="H160" s="19"/>
      <c r="I160" s="30"/>
    </row>
    <row r="161" spans="4:9" ht="15.75" customHeight="1">
      <c r="D161" s="25"/>
      <c r="G161" s="29"/>
      <c r="H161" s="19"/>
      <c r="I161" s="30"/>
    </row>
    <row r="162" spans="4:9" ht="15.75" customHeight="1">
      <c r="D162" s="25"/>
      <c r="G162" s="29"/>
      <c r="H162" s="19"/>
      <c r="I162" s="30"/>
    </row>
    <row r="163" spans="4:9" ht="15.75" customHeight="1">
      <c r="D163" s="25"/>
      <c r="G163" s="29"/>
      <c r="H163" s="19"/>
      <c r="I163" s="30"/>
    </row>
    <row r="164" spans="4:9" ht="15.75" customHeight="1">
      <c r="D164" s="25"/>
      <c r="G164" s="29"/>
      <c r="H164" s="19"/>
      <c r="I164" s="30"/>
    </row>
    <row r="165" spans="4:9" ht="15.75" customHeight="1">
      <c r="D165" s="25"/>
      <c r="G165" s="29"/>
      <c r="H165" s="19"/>
      <c r="I165" s="30"/>
    </row>
    <row r="166" spans="4:9" ht="15.75" customHeight="1">
      <c r="D166" s="25"/>
      <c r="G166" s="29"/>
      <c r="H166" s="19"/>
      <c r="I166" s="30"/>
    </row>
    <row r="167" spans="4:9" ht="15.75" customHeight="1">
      <c r="D167" s="25"/>
      <c r="G167" s="29"/>
      <c r="H167" s="19"/>
      <c r="I167" s="30"/>
    </row>
    <row r="168" spans="4:9" ht="15.75" customHeight="1">
      <c r="D168" s="25"/>
      <c r="G168" s="29"/>
      <c r="H168" s="19"/>
      <c r="I168" s="30"/>
    </row>
    <row r="169" spans="4:9" ht="15.75" customHeight="1">
      <c r="D169" s="25"/>
      <c r="G169" s="29"/>
      <c r="H169" s="19"/>
      <c r="I169" s="30"/>
    </row>
    <row r="170" spans="4:9" ht="15.75" customHeight="1">
      <c r="D170" s="25"/>
      <c r="G170" s="29"/>
      <c r="H170" s="19"/>
      <c r="I170" s="30"/>
    </row>
    <row r="171" spans="4:9" ht="15.75" customHeight="1">
      <c r="D171" s="25"/>
      <c r="G171" s="29"/>
      <c r="H171" s="19"/>
      <c r="I171" s="30"/>
    </row>
    <row r="172" spans="4:9" ht="15.75" customHeight="1">
      <c r="D172" s="25"/>
      <c r="G172" s="29"/>
      <c r="H172" s="19"/>
      <c r="I172" s="30"/>
    </row>
    <row r="173" spans="4:9" ht="15.75" customHeight="1">
      <c r="D173" s="25"/>
      <c r="G173" s="29"/>
      <c r="H173" s="19"/>
      <c r="I173" s="30"/>
    </row>
    <row r="174" spans="4:9" ht="15.75" customHeight="1">
      <c r="D174" s="25"/>
      <c r="G174" s="29"/>
      <c r="H174" s="19"/>
      <c r="I174" s="30"/>
    </row>
    <row r="175" spans="4:9" ht="15.75" customHeight="1">
      <c r="D175" s="25"/>
      <c r="G175" s="29"/>
      <c r="H175" s="19"/>
      <c r="I175" s="30"/>
    </row>
    <row r="176" spans="4:9" ht="15.75" customHeight="1">
      <c r="D176" s="25"/>
      <c r="G176" s="29"/>
      <c r="H176" s="19"/>
      <c r="I176" s="30"/>
    </row>
    <row r="177" spans="4:9" ht="15.75" customHeight="1">
      <c r="D177" s="25"/>
      <c r="G177" s="29"/>
      <c r="H177" s="19"/>
      <c r="I177" s="30"/>
    </row>
    <row r="178" spans="4:9" ht="15.75" customHeight="1">
      <c r="D178" s="25"/>
      <c r="G178" s="29"/>
      <c r="H178" s="19"/>
      <c r="I178" s="30"/>
    </row>
    <row r="179" spans="4:9" ht="15.75" customHeight="1">
      <c r="D179" s="25"/>
      <c r="G179" s="29"/>
      <c r="H179" s="19"/>
      <c r="I179" s="30"/>
    </row>
    <row r="180" spans="4:9" ht="15.75" customHeight="1">
      <c r="D180" s="25"/>
      <c r="G180" s="29"/>
      <c r="H180" s="19"/>
      <c r="I180" s="30"/>
    </row>
    <row r="181" spans="4:9" ht="15.75" customHeight="1">
      <c r="D181" s="25"/>
      <c r="G181" s="29"/>
      <c r="H181" s="19"/>
      <c r="I181" s="30"/>
    </row>
    <row r="182" spans="4:9" ht="15.75" customHeight="1">
      <c r="D182" s="25"/>
      <c r="G182" s="29"/>
      <c r="H182" s="19"/>
      <c r="I182" s="30"/>
    </row>
    <row r="183" spans="4:9" ht="15.75" customHeight="1">
      <c r="D183" s="25"/>
      <c r="G183" s="29"/>
      <c r="H183" s="19"/>
      <c r="I183" s="30"/>
    </row>
    <row r="184" spans="4:9" ht="15.75" customHeight="1">
      <c r="D184" s="25"/>
      <c r="G184" s="29"/>
      <c r="H184" s="19"/>
      <c r="I184" s="30"/>
    </row>
    <row r="185" spans="4:9" ht="15.75" customHeight="1">
      <c r="D185" s="25"/>
      <c r="G185" s="29"/>
      <c r="H185" s="19"/>
      <c r="I185" s="30"/>
    </row>
    <row r="186" spans="4:9" ht="15.75" customHeight="1">
      <c r="D186" s="25"/>
      <c r="G186" s="29"/>
      <c r="H186" s="19"/>
      <c r="I186" s="30"/>
    </row>
    <row r="187" spans="4:9" ht="15.75" customHeight="1">
      <c r="D187" s="25"/>
      <c r="G187" s="29"/>
      <c r="H187" s="19"/>
      <c r="I187" s="30"/>
    </row>
    <row r="188" spans="4:9" ht="15.75" customHeight="1">
      <c r="D188" s="25"/>
      <c r="G188" s="29"/>
      <c r="H188" s="19"/>
      <c r="I188" s="30"/>
    </row>
    <row r="189" spans="4:9" ht="15.75" customHeight="1">
      <c r="D189" s="25"/>
      <c r="G189" s="29"/>
      <c r="H189" s="19"/>
      <c r="I189" s="30"/>
    </row>
    <row r="190" spans="4:9" ht="15.75" customHeight="1">
      <c r="D190" s="25"/>
      <c r="G190" s="29"/>
      <c r="H190" s="19"/>
      <c r="I190" s="30"/>
    </row>
    <row r="191" spans="4:9" ht="15.75" customHeight="1">
      <c r="D191" s="25"/>
      <c r="G191" s="29"/>
      <c r="H191" s="19"/>
      <c r="I191" s="30"/>
    </row>
    <row r="192" spans="4:9" ht="15.75" customHeight="1">
      <c r="D192" s="25"/>
      <c r="G192" s="29"/>
      <c r="H192" s="19"/>
      <c r="I192" s="30"/>
    </row>
    <row r="193" spans="4:9" ht="15.75" customHeight="1">
      <c r="D193" s="25"/>
      <c r="G193" s="29"/>
      <c r="H193" s="19"/>
      <c r="I193" s="30"/>
    </row>
    <row r="194" spans="4:9" ht="15.75" customHeight="1">
      <c r="D194" s="25"/>
      <c r="G194" s="29"/>
      <c r="H194" s="19"/>
      <c r="I194" s="30"/>
    </row>
    <row r="195" spans="4:9" ht="15.75" customHeight="1">
      <c r="D195" s="25"/>
      <c r="G195" s="29"/>
      <c r="H195" s="19"/>
      <c r="I195" s="30"/>
    </row>
    <row r="196" spans="4:9" ht="15.75" customHeight="1">
      <c r="D196" s="25"/>
      <c r="G196" s="29"/>
      <c r="H196" s="19"/>
      <c r="I196" s="30"/>
    </row>
    <row r="197" spans="4:9" ht="15.75" customHeight="1">
      <c r="D197" s="25"/>
      <c r="G197" s="29"/>
      <c r="H197" s="19"/>
      <c r="I197" s="30"/>
    </row>
    <row r="198" spans="4:9" ht="15.75" customHeight="1">
      <c r="D198" s="25"/>
      <c r="G198" s="29"/>
      <c r="H198" s="19"/>
      <c r="I198" s="30"/>
    </row>
    <row r="199" spans="4:9" ht="15.75" customHeight="1">
      <c r="D199" s="25"/>
      <c r="G199" s="29"/>
      <c r="H199" s="19"/>
      <c r="I199" s="30"/>
    </row>
    <row r="200" spans="4:9" ht="15.75" customHeight="1">
      <c r="D200" s="25"/>
      <c r="G200" s="29"/>
      <c r="H200" s="19"/>
      <c r="I200" s="30"/>
    </row>
    <row r="201" spans="4:9" ht="15.75" customHeight="1">
      <c r="D201" s="25"/>
      <c r="G201" s="29"/>
      <c r="H201" s="19"/>
      <c r="I201" s="30"/>
    </row>
    <row r="202" spans="4:9" ht="15.75" customHeight="1">
      <c r="D202" s="25"/>
      <c r="G202" s="29"/>
      <c r="H202" s="19"/>
      <c r="I202" s="30"/>
    </row>
    <row r="203" spans="4:9" ht="15.75" customHeight="1">
      <c r="D203" s="25"/>
      <c r="G203" s="29"/>
      <c r="H203" s="19"/>
      <c r="I203" s="30"/>
    </row>
    <row r="204" spans="4:9" ht="15.75" customHeight="1">
      <c r="D204" s="25"/>
      <c r="G204" s="29"/>
      <c r="H204" s="19"/>
      <c r="I204" s="30"/>
    </row>
    <row r="205" spans="4:9" ht="15.75" customHeight="1">
      <c r="D205" s="25"/>
      <c r="G205" s="29"/>
      <c r="H205" s="19"/>
      <c r="I205" s="30"/>
    </row>
    <row r="206" spans="4:9" ht="15.75" customHeight="1">
      <c r="D206" s="25"/>
      <c r="G206" s="29"/>
      <c r="H206" s="19"/>
      <c r="I206" s="30"/>
    </row>
    <row r="207" spans="4:9" ht="15.75" customHeight="1">
      <c r="D207" s="25"/>
      <c r="G207" s="29"/>
      <c r="H207" s="19"/>
      <c r="I207" s="30"/>
    </row>
    <row r="208" spans="4:9" ht="15.75" customHeight="1">
      <c r="D208" s="25"/>
      <c r="G208" s="29"/>
      <c r="H208" s="19"/>
      <c r="I208" s="30"/>
    </row>
    <row r="209" spans="4:9" ht="15.75" customHeight="1">
      <c r="D209" s="25"/>
      <c r="G209" s="29"/>
      <c r="H209" s="19"/>
      <c r="I209" s="30"/>
    </row>
    <row r="210" spans="4:9" ht="15.75" customHeight="1">
      <c r="D210" s="25"/>
      <c r="G210" s="29"/>
      <c r="H210" s="19"/>
      <c r="I210" s="30"/>
    </row>
    <row r="211" spans="4:9" ht="15.75" customHeight="1">
      <c r="D211" s="25"/>
      <c r="G211" s="29"/>
      <c r="H211" s="19"/>
      <c r="I211" s="30"/>
    </row>
    <row r="212" spans="4:9" ht="15.75" customHeight="1">
      <c r="D212" s="25"/>
      <c r="G212" s="29"/>
      <c r="H212" s="19"/>
      <c r="I212" s="30"/>
    </row>
    <row r="213" spans="4:9" ht="15.75" customHeight="1">
      <c r="D213" s="25"/>
      <c r="G213" s="29"/>
      <c r="H213" s="19"/>
      <c r="I213" s="30"/>
    </row>
    <row r="214" spans="4:9" ht="15.75" customHeight="1">
      <c r="D214" s="25"/>
      <c r="G214" s="29"/>
      <c r="H214" s="19"/>
      <c r="I214" s="30"/>
    </row>
    <row r="215" spans="4:9" ht="15.75" customHeight="1">
      <c r="D215" s="25"/>
      <c r="G215" s="29"/>
      <c r="H215" s="19"/>
      <c r="I215" s="30"/>
    </row>
    <row r="216" spans="4:9" ht="15.75" customHeight="1">
      <c r="D216" s="25"/>
      <c r="G216" s="29"/>
      <c r="H216" s="19"/>
      <c r="I216" s="30"/>
    </row>
    <row r="217" spans="4:9" ht="15.75" customHeight="1">
      <c r="D217" s="25"/>
      <c r="G217" s="29"/>
      <c r="H217" s="19"/>
      <c r="I217" s="30"/>
    </row>
    <row r="218" spans="4:9" ht="15.75" customHeight="1">
      <c r="D218" s="25"/>
      <c r="G218" s="29"/>
      <c r="H218" s="19"/>
      <c r="I218" s="30"/>
    </row>
    <row r="219" spans="4:9" ht="15.75" customHeight="1">
      <c r="D219" s="25"/>
      <c r="G219" s="29"/>
      <c r="H219" s="19"/>
      <c r="I219" s="30"/>
    </row>
    <row r="220" spans="4:9" ht="15.75" customHeight="1">
      <c r="D220" s="25"/>
      <c r="G220" s="29"/>
      <c r="H220" s="19"/>
      <c r="I220" s="30"/>
    </row>
    <row r="221" spans="4:9" ht="15.75" customHeight="1">
      <c r="D221" s="25"/>
      <c r="G221" s="29"/>
      <c r="H221" s="19"/>
      <c r="I221" s="30"/>
    </row>
    <row r="222" spans="4:9" ht="15.75" customHeight="1">
      <c r="D222" s="25"/>
      <c r="G222" s="29"/>
      <c r="H222" s="19"/>
      <c r="I222" s="30"/>
    </row>
    <row r="223" spans="4:9" ht="15.75" customHeight="1">
      <c r="D223" s="25"/>
      <c r="G223" s="29"/>
      <c r="H223" s="19"/>
      <c r="I223" s="30"/>
    </row>
    <row r="224" spans="4:9" ht="15.75" customHeight="1">
      <c r="D224" s="25"/>
      <c r="G224" s="29"/>
      <c r="H224" s="19"/>
      <c r="I224" s="30"/>
    </row>
    <row r="225" spans="4:9" ht="15.75" customHeight="1">
      <c r="D225" s="25"/>
      <c r="G225" s="29"/>
      <c r="H225" s="19"/>
      <c r="I225" s="30"/>
    </row>
    <row r="226" spans="4:9" ht="15.75" customHeight="1">
      <c r="D226" s="25"/>
      <c r="G226" s="29"/>
      <c r="H226" s="19"/>
      <c r="I226" s="30"/>
    </row>
    <row r="227" spans="4:9" ht="15.75" customHeight="1">
      <c r="D227" s="25"/>
      <c r="G227" s="29"/>
      <c r="H227" s="19"/>
      <c r="I227" s="30"/>
    </row>
    <row r="228" spans="4:9" ht="15.75" customHeight="1">
      <c r="D228" s="25"/>
      <c r="G228" s="29"/>
      <c r="H228" s="19"/>
      <c r="I228" s="30"/>
    </row>
    <row r="229" spans="4:9" ht="15.75" customHeight="1">
      <c r="D229" s="25"/>
      <c r="G229" s="29"/>
      <c r="H229" s="19"/>
      <c r="I229" s="30"/>
    </row>
    <row r="230" spans="4:9" ht="15.75" customHeight="1">
      <c r="D230" s="25"/>
      <c r="G230" s="29"/>
      <c r="H230" s="19"/>
      <c r="I230" s="30"/>
    </row>
    <row r="231" spans="4:9" ht="15.75" customHeight="1">
      <c r="D231" s="25"/>
      <c r="G231" s="29"/>
      <c r="H231" s="19"/>
      <c r="I231" s="30"/>
    </row>
    <row r="232" spans="4:9" ht="15.75" customHeight="1">
      <c r="D232" s="25"/>
      <c r="G232" s="29"/>
      <c r="H232" s="19"/>
      <c r="I232" s="30"/>
    </row>
    <row r="233" spans="4:9" ht="15.75" customHeight="1">
      <c r="D233" s="25"/>
      <c r="G233" s="29"/>
      <c r="H233" s="19"/>
      <c r="I233" s="30"/>
    </row>
    <row r="234" spans="4:9" ht="15.75" customHeight="1">
      <c r="D234" s="25"/>
      <c r="G234" s="29"/>
      <c r="H234" s="19"/>
      <c r="I234" s="30"/>
    </row>
    <row r="235" spans="4:9" ht="15.75" customHeight="1">
      <c r="D235" s="25"/>
      <c r="G235" s="29"/>
      <c r="H235" s="19"/>
      <c r="I235" s="30"/>
    </row>
    <row r="236" spans="4:9" ht="15.75" customHeight="1">
      <c r="D236" s="25"/>
      <c r="G236" s="29"/>
      <c r="H236" s="19"/>
      <c r="I236" s="30"/>
    </row>
    <row r="237" spans="4:9" ht="15.75" customHeight="1">
      <c r="D237" s="25"/>
      <c r="G237" s="29"/>
      <c r="H237" s="19"/>
      <c r="I237" s="30"/>
    </row>
    <row r="238" spans="4:9" ht="15.75" customHeight="1">
      <c r="D238" s="25"/>
      <c r="G238" s="29"/>
      <c r="H238" s="19"/>
      <c r="I238" s="30"/>
    </row>
    <row r="239" spans="4:9" ht="15.75" customHeight="1">
      <c r="D239" s="25"/>
      <c r="G239" s="29"/>
      <c r="H239" s="19"/>
      <c r="I239" s="30"/>
    </row>
    <row r="240" spans="4:9" ht="15.75" customHeight="1">
      <c r="D240" s="25"/>
      <c r="G240" s="29"/>
      <c r="H240" s="19"/>
      <c r="I240" s="30"/>
    </row>
    <row r="241" spans="4:9" ht="15.75" customHeight="1">
      <c r="D241" s="25"/>
      <c r="G241" s="29"/>
      <c r="H241" s="19"/>
      <c r="I241" s="30"/>
    </row>
    <row r="242" spans="4:9" ht="15.75" customHeight="1">
      <c r="D242" s="25"/>
      <c r="G242" s="29"/>
      <c r="H242" s="19"/>
      <c r="I242" s="30"/>
    </row>
    <row r="243" spans="4:9" ht="15.75" customHeight="1">
      <c r="D243" s="25"/>
      <c r="G243" s="29"/>
      <c r="H243" s="19"/>
      <c r="I243" s="30"/>
    </row>
    <row r="244" spans="4:9" ht="15.75" customHeight="1">
      <c r="D244" s="25"/>
      <c r="G244" s="29"/>
      <c r="H244" s="19"/>
      <c r="I244" s="30"/>
    </row>
    <row r="245" spans="4:9" ht="15.75" customHeight="1">
      <c r="D245" s="25"/>
      <c r="G245" s="29"/>
      <c r="H245" s="19"/>
      <c r="I245" s="30"/>
    </row>
    <row r="246" spans="4:9" ht="15.75" customHeight="1">
      <c r="D246" s="25"/>
      <c r="G246" s="29"/>
      <c r="H246" s="19"/>
      <c r="I246" s="30"/>
    </row>
    <row r="247" spans="4:9" ht="15.75" customHeight="1">
      <c r="D247" s="25"/>
      <c r="G247" s="29"/>
      <c r="H247" s="19"/>
      <c r="I247" s="30"/>
    </row>
    <row r="248" spans="4:9" ht="15.75" customHeight="1">
      <c r="D248" s="25"/>
      <c r="G248" s="29"/>
      <c r="H248" s="19"/>
      <c r="I248" s="30"/>
    </row>
    <row r="249" spans="4:9" ht="15.75" customHeight="1">
      <c r="D249" s="25"/>
      <c r="G249" s="29"/>
      <c r="H249" s="19"/>
      <c r="I249" s="30"/>
    </row>
    <row r="250" spans="4:9" ht="15.75" customHeight="1">
      <c r="D250" s="25"/>
      <c r="G250" s="29"/>
      <c r="H250" s="19"/>
      <c r="I250" s="30"/>
    </row>
    <row r="251" spans="4:9" ht="15.75" customHeight="1">
      <c r="D251" s="25"/>
      <c r="G251" s="29"/>
      <c r="H251" s="19"/>
      <c r="I251" s="30"/>
    </row>
    <row r="252" spans="4:9" ht="15.75" customHeight="1">
      <c r="D252" s="25"/>
      <c r="G252" s="29"/>
      <c r="H252" s="19"/>
      <c r="I252" s="30"/>
    </row>
    <row r="253" spans="4:9" ht="15.75" customHeight="1">
      <c r="D253" s="25"/>
      <c r="G253" s="29"/>
      <c r="H253" s="19"/>
      <c r="I253" s="30"/>
    </row>
    <row r="254" spans="4:9" ht="15.75" customHeight="1">
      <c r="D254" s="25"/>
      <c r="G254" s="29"/>
      <c r="H254" s="19"/>
      <c r="I254" s="30"/>
    </row>
    <row r="255" spans="4:9" ht="15.75" customHeight="1">
      <c r="D255" s="25"/>
      <c r="G255" s="29"/>
      <c r="H255" s="19"/>
      <c r="I255" s="30"/>
    </row>
    <row r="256" spans="4:9" ht="15.75" customHeight="1">
      <c r="D256" s="25"/>
      <c r="G256" s="29"/>
      <c r="H256" s="19"/>
      <c r="I256" s="30"/>
    </row>
    <row r="257" spans="4:9" ht="15.75" customHeight="1">
      <c r="D257" s="25"/>
      <c r="G257" s="29"/>
      <c r="H257" s="19"/>
      <c r="I257" s="30"/>
    </row>
    <row r="258" spans="4:9" ht="15.75" customHeight="1">
      <c r="D258" s="25"/>
      <c r="G258" s="29"/>
      <c r="H258" s="19"/>
      <c r="I258" s="30"/>
    </row>
    <row r="259" spans="4:9" ht="15.75" customHeight="1">
      <c r="D259" s="25"/>
      <c r="G259" s="29"/>
      <c r="H259" s="19"/>
      <c r="I259" s="30"/>
    </row>
    <row r="260" spans="4:9" ht="15.75" customHeight="1">
      <c r="D260" s="25"/>
      <c r="G260" s="29"/>
      <c r="H260" s="19"/>
      <c r="I260" s="30"/>
    </row>
    <row r="261" spans="4:9" ht="15.75" customHeight="1">
      <c r="D261" s="25"/>
      <c r="G261" s="29"/>
      <c r="H261" s="19"/>
      <c r="I261" s="30"/>
    </row>
    <row r="262" spans="4:9" ht="15.75" customHeight="1">
      <c r="D262" s="25"/>
      <c r="G262" s="29"/>
      <c r="H262" s="19"/>
      <c r="I262" s="30"/>
    </row>
    <row r="263" spans="4:9" ht="15.75" customHeight="1">
      <c r="D263" s="25"/>
      <c r="G263" s="29"/>
      <c r="H263" s="19"/>
      <c r="I263" s="30"/>
    </row>
    <row r="264" spans="4:9" ht="15.75" customHeight="1">
      <c r="D264" s="25"/>
      <c r="G264" s="29"/>
      <c r="H264" s="19"/>
      <c r="I264" s="30"/>
    </row>
    <row r="265" spans="4:9" ht="15.75" customHeight="1">
      <c r="D265" s="25"/>
      <c r="G265" s="29"/>
      <c r="H265" s="19"/>
      <c r="I265" s="30"/>
    </row>
    <row r="266" spans="4:9" ht="15.75" customHeight="1">
      <c r="D266" s="25"/>
      <c r="G266" s="29"/>
      <c r="H266" s="19"/>
      <c r="I266" s="30"/>
    </row>
    <row r="267" spans="4:9" ht="15.75" customHeight="1">
      <c r="D267" s="25"/>
      <c r="G267" s="29"/>
      <c r="H267" s="19"/>
      <c r="I267" s="30"/>
    </row>
    <row r="268" spans="4:9" ht="15.75" customHeight="1">
      <c r="D268" s="25"/>
      <c r="G268" s="29"/>
      <c r="H268" s="19"/>
      <c r="I268" s="30"/>
    </row>
    <row r="269" spans="4:9" ht="15.75" customHeight="1">
      <c r="D269" s="25"/>
      <c r="G269" s="29"/>
      <c r="H269" s="19"/>
      <c r="I269" s="30"/>
    </row>
    <row r="270" spans="4:9" ht="15.75" customHeight="1">
      <c r="D270" s="25"/>
      <c r="G270" s="29"/>
      <c r="H270" s="19"/>
      <c r="I270" s="30"/>
    </row>
    <row r="271" spans="4:9" ht="15.75" customHeight="1">
      <c r="D271" s="25"/>
      <c r="G271" s="29"/>
      <c r="H271" s="19"/>
      <c r="I271" s="30"/>
    </row>
    <row r="272" spans="4:9" ht="15.75" customHeight="1">
      <c r="D272" s="25"/>
      <c r="G272" s="29"/>
      <c r="H272" s="19"/>
      <c r="I272" s="30"/>
    </row>
    <row r="273" spans="4:9" ht="15.75" customHeight="1">
      <c r="D273" s="25"/>
      <c r="G273" s="29"/>
      <c r="H273" s="19"/>
      <c r="I273" s="30"/>
    </row>
    <row r="274" spans="4:9" ht="15.75" customHeight="1">
      <c r="D274" s="25"/>
      <c r="G274" s="29"/>
      <c r="H274" s="19"/>
      <c r="I274" s="30"/>
    </row>
    <row r="275" spans="4:9" ht="15.75" customHeight="1">
      <c r="D275" s="25"/>
      <c r="G275" s="29"/>
      <c r="H275" s="19"/>
      <c r="I275" s="30"/>
    </row>
    <row r="276" spans="4:9" ht="15.75" customHeight="1">
      <c r="D276" s="25"/>
      <c r="G276" s="29"/>
      <c r="H276" s="19"/>
      <c r="I276" s="30"/>
    </row>
    <row r="277" spans="4:9" ht="15.75" customHeight="1">
      <c r="D277" s="25"/>
      <c r="G277" s="29"/>
      <c r="H277" s="19"/>
      <c r="I277" s="30"/>
    </row>
    <row r="278" spans="4:9" ht="15.75" customHeight="1">
      <c r="D278" s="25"/>
      <c r="G278" s="29"/>
      <c r="H278" s="19"/>
      <c r="I278" s="30"/>
    </row>
    <row r="279" spans="4:9" ht="15.75" customHeight="1">
      <c r="D279" s="25"/>
      <c r="G279" s="29"/>
      <c r="H279" s="19"/>
      <c r="I279" s="30"/>
    </row>
    <row r="280" spans="4:9" ht="15.75" customHeight="1">
      <c r="D280" s="25"/>
      <c r="G280" s="29"/>
      <c r="H280" s="19"/>
      <c r="I280" s="30"/>
    </row>
    <row r="281" spans="4:9" ht="15.75" customHeight="1">
      <c r="D281" s="25"/>
      <c r="G281" s="29"/>
      <c r="H281" s="19"/>
      <c r="I281" s="30"/>
    </row>
    <row r="282" spans="4:9" ht="15.75" customHeight="1">
      <c r="D282" s="25"/>
      <c r="G282" s="29"/>
      <c r="H282" s="19"/>
      <c r="I282" s="30"/>
    </row>
    <row r="283" spans="4:9" ht="15.75" customHeight="1">
      <c r="D283" s="25"/>
      <c r="G283" s="29"/>
      <c r="H283" s="19"/>
      <c r="I283" s="30"/>
    </row>
    <row r="284" spans="4:9" ht="15.75" customHeight="1">
      <c r="D284" s="25"/>
      <c r="G284" s="29"/>
      <c r="H284" s="19"/>
      <c r="I284" s="30"/>
    </row>
    <row r="285" spans="4:9" ht="15.75" customHeight="1">
      <c r="D285" s="25"/>
      <c r="G285" s="29"/>
      <c r="H285" s="19"/>
      <c r="I285" s="30"/>
    </row>
    <row r="286" spans="4:9" ht="15.75" customHeight="1">
      <c r="D286" s="25"/>
      <c r="G286" s="29"/>
      <c r="H286" s="19"/>
      <c r="I286" s="30"/>
    </row>
    <row r="287" spans="4:9" ht="15.75" customHeight="1">
      <c r="D287" s="25"/>
      <c r="G287" s="29"/>
      <c r="H287" s="19"/>
      <c r="I287" s="30"/>
    </row>
    <row r="288" spans="4:9" ht="15.75" customHeight="1">
      <c r="D288" s="25"/>
      <c r="G288" s="29"/>
      <c r="H288" s="19"/>
      <c r="I288" s="30"/>
    </row>
    <row r="289" spans="4:9" ht="15.75" customHeight="1">
      <c r="D289" s="25"/>
      <c r="G289" s="29"/>
      <c r="H289" s="19"/>
      <c r="I289" s="30"/>
    </row>
    <row r="290" spans="4:9" ht="15.75" customHeight="1">
      <c r="D290" s="25"/>
      <c r="G290" s="29"/>
      <c r="H290" s="19"/>
      <c r="I290" s="30"/>
    </row>
    <row r="291" spans="4:9" ht="15.75" customHeight="1">
      <c r="D291" s="25"/>
      <c r="G291" s="29"/>
      <c r="H291" s="19"/>
      <c r="I291" s="30"/>
    </row>
    <row r="292" spans="4:9" ht="15.75" customHeight="1">
      <c r="D292" s="25"/>
      <c r="G292" s="29"/>
      <c r="H292" s="19"/>
      <c r="I292" s="30"/>
    </row>
    <row r="293" spans="4:9" ht="15.75" customHeight="1">
      <c r="D293" s="25"/>
      <c r="G293" s="29"/>
      <c r="H293" s="19"/>
      <c r="I293" s="30"/>
    </row>
    <row r="294" spans="4:9" ht="15.75" customHeight="1">
      <c r="D294" s="25"/>
      <c r="G294" s="29"/>
      <c r="H294" s="19"/>
      <c r="I294" s="30"/>
    </row>
    <row r="295" spans="4:9" ht="15.75" customHeight="1">
      <c r="D295" s="25"/>
      <c r="G295" s="29"/>
      <c r="H295" s="19"/>
      <c r="I295" s="30"/>
    </row>
    <row r="296" spans="4:9" ht="15.75" customHeight="1">
      <c r="D296" s="25"/>
      <c r="G296" s="29"/>
      <c r="H296" s="19"/>
      <c r="I296" s="30"/>
    </row>
    <row r="297" spans="4:9" ht="15.75" customHeight="1">
      <c r="D297" s="25"/>
      <c r="G297" s="29"/>
      <c r="H297" s="19"/>
      <c r="I297" s="30"/>
    </row>
    <row r="298" spans="4:9" ht="15.75" customHeight="1">
      <c r="D298" s="25"/>
      <c r="G298" s="29"/>
      <c r="H298" s="19"/>
      <c r="I298" s="30"/>
    </row>
    <row r="299" spans="4:9" ht="15.75" customHeight="1">
      <c r="D299" s="25"/>
      <c r="G299" s="29"/>
      <c r="H299" s="19"/>
      <c r="I299" s="30"/>
    </row>
    <row r="300" spans="4:9" ht="15.75" customHeight="1">
      <c r="D300" s="25"/>
      <c r="G300" s="29"/>
      <c r="H300" s="19"/>
      <c r="I300" s="30"/>
    </row>
    <row r="301" spans="4:9" ht="15.75" customHeight="1">
      <c r="D301" s="25"/>
      <c r="G301" s="29"/>
      <c r="H301" s="19"/>
      <c r="I301" s="30"/>
    </row>
    <row r="302" spans="4:9" ht="15.75" customHeight="1">
      <c r="D302" s="25"/>
      <c r="G302" s="29"/>
      <c r="H302" s="19"/>
      <c r="I302" s="30"/>
    </row>
    <row r="303" spans="4:9" ht="15.75" customHeight="1">
      <c r="D303" s="25"/>
      <c r="G303" s="29"/>
      <c r="H303" s="19"/>
      <c r="I303" s="30"/>
    </row>
    <row r="304" spans="4:9" ht="15.75" customHeight="1">
      <c r="D304" s="25"/>
      <c r="G304" s="29"/>
      <c r="H304" s="19"/>
      <c r="I304" s="30"/>
    </row>
    <row r="305" spans="4:9" ht="15.75" customHeight="1">
      <c r="D305" s="25"/>
      <c r="G305" s="29"/>
      <c r="H305" s="19"/>
      <c r="I305" s="30"/>
    </row>
    <row r="306" spans="4:9" ht="15.75" customHeight="1">
      <c r="D306" s="25"/>
      <c r="G306" s="29"/>
      <c r="H306" s="19"/>
      <c r="I306" s="30"/>
    </row>
    <row r="307" spans="4:9" ht="15.75" customHeight="1">
      <c r="D307" s="25"/>
      <c r="G307" s="29"/>
      <c r="H307" s="19"/>
      <c r="I307" s="30"/>
    </row>
    <row r="308" spans="4:9" ht="15.75" customHeight="1">
      <c r="D308" s="25"/>
      <c r="G308" s="29"/>
      <c r="H308" s="19"/>
      <c r="I308" s="30"/>
    </row>
    <row r="309" spans="4:9" ht="15.75" customHeight="1">
      <c r="D309" s="25"/>
      <c r="G309" s="29"/>
      <c r="H309" s="19"/>
      <c r="I309" s="30"/>
    </row>
    <row r="310" spans="4:9" ht="15.75" customHeight="1">
      <c r="D310" s="25"/>
      <c r="G310" s="29"/>
      <c r="H310" s="19"/>
      <c r="I310" s="30"/>
    </row>
    <row r="311" spans="4:9" ht="15.75" customHeight="1">
      <c r="D311" s="25"/>
      <c r="G311" s="29"/>
      <c r="H311" s="19"/>
      <c r="I311" s="30"/>
    </row>
    <row r="312" spans="4:9" ht="15.75" customHeight="1">
      <c r="D312" s="25"/>
      <c r="G312" s="29"/>
      <c r="H312" s="19"/>
      <c r="I312" s="30"/>
    </row>
    <row r="313" spans="4:9" ht="15.75" customHeight="1">
      <c r="D313" s="25"/>
      <c r="G313" s="29"/>
      <c r="H313" s="19"/>
      <c r="I313" s="30"/>
    </row>
    <row r="314" spans="4:9" ht="15.75" customHeight="1">
      <c r="D314" s="25"/>
      <c r="G314" s="29"/>
      <c r="H314" s="19"/>
      <c r="I314" s="30"/>
    </row>
    <row r="315" spans="4:9" ht="15.75" customHeight="1">
      <c r="D315" s="25"/>
      <c r="G315" s="29"/>
      <c r="H315" s="19"/>
      <c r="I315" s="30"/>
    </row>
    <row r="316" spans="4:9" ht="15.75" customHeight="1">
      <c r="D316" s="25"/>
      <c r="G316" s="29"/>
      <c r="H316" s="19"/>
      <c r="I316" s="30"/>
    </row>
    <row r="317" spans="4:9" ht="15.75" customHeight="1">
      <c r="D317" s="25"/>
      <c r="G317" s="29"/>
      <c r="H317" s="19"/>
      <c r="I317" s="30"/>
    </row>
    <row r="318" spans="4:9" ht="15.75" customHeight="1">
      <c r="D318" s="25"/>
      <c r="G318" s="29"/>
      <c r="H318" s="19"/>
      <c r="I318" s="30"/>
    </row>
    <row r="319" spans="4:9" ht="15.75" customHeight="1">
      <c r="D319" s="25"/>
      <c r="G319" s="29"/>
      <c r="H319" s="19"/>
      <c r="I319" s="30"/>
    </row>
    <row r="320" spans="4:9" ht="15.75" customHeight="1">
      <c r="D320" s="25"/>
      <c r="G320" s="29"/>
      <c r="H320" s="19"/>
      <c r="I320" s="30"/>
    </row>
    <row r="321" spans="4:9" ht="15.75" customHeight="1">
      <c r="D321" s="25"/>
      <c r="G321" s="29"/>
      <c r="H321" s="19"/>
      <c r="I321" s="30"/>
    </row>
    <row r="322" spans="4:9" ht="15.75" customHeight="1">
      <c r="D322" s="25"/>
      <c r="G322" s="29"/>
      <c r="H322" s="19"/>
      <c r="I322" s="30"/>
    </row>
    <row r="323" spans="4:9" ht="15.75" customHeight="1">
      <c r="D323" s="25"/>
      <c r="G323" s="29"/>
      <c r="H323" s="19"/>
      <c r="I323" s="30"/>
    </row>
    <row r="324" spans="4:9" ht="15.75" customHeight="1">
      <c r="D324" s="25"/>
      <c r="G324" s="29"/>
      <c r="H324" s="19"/>
      <c r="I324" s="30"/>
    </row>
    <row r="325" spans="4:9" ht="15.75" customHeight="1">
      <c r="D325" s="25"/>
      <c r="G325" s="29"/>
      <c r="H325" s="19"/>
      <c r="I325" s="30"/>
    </row>
    <row r="326" spans="4:9" ht="15.75" customHeight="1">
      <c r="D326" s="25"/>
      <c r="G326" s="29"/>
      <c r="H326" s="19"/>
      <c r="I326" s="30"/>
    </row>
    <row r="327" spans="4:9" ht="15.75" customHeight="1">
      <c r="D327" s="25"/>
      <c r="G327" s="29"/>
      <c r="H327" s="19"/>
      <c r="I327" s="30"/>
    </row>
    <row r="328" spans="4:9" ht="15.75" customHeight="1">
      <c r="D328" s="25"/>
      <c r="G328" s="29"/>
      <c r="H328" s="19"/>
      <c r="I328" s="30"/>
    </row>
    <row r="329" spans="4:9" ht="15.75" customHeight="1">
      <c r="D329" s="25"/>
      <c r="G329" s="29"/>
      <c r="H329" s="19"/>
      <c r="I329" s="30"/>
    </row>
    <row r="330" spans="4:9" ht="15.75" customHeight="1">
      <c r="D330" s="25"/>
      <c r="G330" s="29"/>
      <c r="H330" s="19"/>
      <c r="I330" s="30"/>
    </row>
    <row r="331" spans="4:9" ht="15.75" customHeight="1">
      <c r="D331" s="25"/>
      <c r="G331" s="29"/>
      <c r="H331" s="19"/>
      <c r="I331" s="30"/>
    </row>
    <row r="332" spans="4:9" ht="15.75" customHeight="1">
      <c r="D332" s="25"/>
      <c r="G332" s="29"/>
      <c r="H332" s="19"/>
      <c r="I332" s="30"/>
    </row>
    <row r="333" spans="4:9" ht="15.75" customHeight="1">
      <c r="D333" s="25"/>
      <c r="G333" s="29"/>
      <c r="H333" s="19"/>
      <c r="I333" s="30"/>
    </row>
    <row r="334" spans="4:9" ht="15.75" customHeight="1">
      <c r="D334" s="25"/>
      <c r="G334" s="29"/>
      <c r="H334" s="19"/>
      <c r="I334" s="30"/>
    </row>
    <row r="335" spans="4:9" ht="15.75" customHeight="1">
      <c r="D335" s="25"/>
      <c r="G335" s="29"/>
      <c r="H335" s="19"/>
      <c r="I335" s="30"/>
    </row>
    <row r="336" spans="4:9" ht="15.75" customHeight="1">
      <c r="D336" s="25"/>
      <c r="G336" s="29"/>
      <c r="H336" s="19"/>
      <c r="I336" s="30"/>
    </row>
    <row r="337" spans="4:9" ht="15.75" customHeight="1">
      <c r="D337" s="25"/>
      <c r="G337" s="29"/>
      <c r="H337" s="19"/>
      <c r="I337" s="30"/>
    </row>
    <row r="338" spans="4:9" ht="15.75" customHeight="1">
      <c r="D338" s="25"/>
      <c r="G338" s="29"/>
      <c r="H338" s="19"/>
      <c r="I338" s="30"/>
    </row>
    <row r="339" spans="4:9" ht="15.75" customHeight="1">
      <c r="D339" s="25"/>
      <c r="G339" s="29"/>
      <c r="H339" s="19"/>
      <c r="I339" s="30"/>
    </row>
    <row r="340" spans="4:9" ht="15.75" customHeight="1">
      <c r="D340" s="25"/>
      <c r="G340" s="29"/>
      <c r="H340" s="19"/>
      <c r="I340" s="30"/>
    </row>
    <row r="341" spans="4:9" ht="15.75" customHeight="1">
      <c r="D341" s="25"/>
      <c r="G341" s="29"/>
      <c r="H341" s="19"/>
      <c r="I341" s="30"/>
    </row>
    <row r="342" spans="4:9" ht="15.75" customHeight="1">
      <c r="D342" s="25"/>
      <c r="G342" s="29"/>
      <c r="H342" s="19"/>
      <c r="I342" s="30"/>
    </row>
    <row r="343" spans="4:9" ht="15.75" customHeight="1">
      <c r="D343" s="25"/>
      <c r="G343" s="29"/>
      <c r="H343" s="19"/>
      <c r="I343" s="30"/>
    </row>
    <row r="344" spans="4:9" ht="15.75" customHeight="1">
      <c r="D344" s="25"/>
      <c r="G344" s="29"/>
      <c r="H344" s="19"/>
      <c r="I344" s="30"/>
    </row>
    <row r="345" spans="4:9" ht="15.75" customHeight="1">
      <c r="D345" s="25"/>
      <c r="G345" s="29"/>
      <c r="H345" s="19"/>
      <c r="I345" s="30"/>
    </row>
    <row r="346" spans="4:9" ht="15.75" customHeight="1">
      <c r="D346" s="25"/>
      <c r="G346" s="29"/>
      <c r="H346" s="19"/>
      <c r="I346" s="30"/>
    </row>
    <row r="347" spans="4:9" ht="15.75" customHeight="1">
      <c r="D347" s="25"/>
      <c r="G347" s="29"/>
      <c r="H347" s="19"/>
      <c r="I347" s="30"/>
    </row>
    <row r="348" spans="4:9" ht="15.75" customHeight="1">
      <c r="D348" s="25"/>
      <c r="G348" s="29"/>
      <c r="H348" s="19"/>
      <c r="I348" s="30"/>
    </row>
    <row r="349" spans="4:9" ht="15.75" customHeight="1">
      <c r="D349" s="25"/>
      <c r="G349" s="29"/>
      <c r="H349" s="19"/>
      <c r="I349" s="30"/>
    </row>
    <row r="350" spans="4:9" ht="15.75" customHeight="1">
      <c r="D350" s="25"/>
      <c r="G350" s="29"/>
      <c r="H350" s="19"/>
      <c r="I350" s="30"/>
    </row>
    <row r="351" spans="4:9" ht="15.75" customHeight="1">
      <c r="D351" s="25"/>
      <c r="G351" s="29"/>
      <c r="H351" s="19"/>
      <c r="I351" s="30"/>
    </row>
    <row r="352" spans="4:9" ht="15.75" customHeight="1">
      <c r="D352" s="25"/>
      <c r="G352" s="29"/>
      <c r="H352" s="19"/>
      <c r="I352" s="30"/>
    </row>
    <row r="353" spans="4:9" ht="15.75" customHeight="1">
      <c r="D353" s="25"/>
      <c r="G353" s="29"/>
      <c r="H353" s="19"/>
      <c r="I353" s="30"/>
    </row>
    <row r="354" spans="4:9" ht="15.75" customHeight="1">
      <c r="D354" s="25"/>
      <c r="G354" s="29"/>
      <c r="H354" s="19"/>
      <c r="I354" s="30"/>
    </row>
    <row r="355" spans="4:9" ht="15.75" customHeight="1">
      <c r="D355" s="25"/>
      <c r="G355" s="29"/>
      <c r="H355" s="19"/>
      <c r="I355" s="30"/>
    </row>
    <row r="356" spans="4:9" ht="15.75" customHeight="1">
      <c r="D356" s="25"/>
      <c r="G356" s="29"/>
      <c r="H356" s="19"/>
      <c r="I356" s="30"/>
    </row>
    <row r="357" spans="4:9" ht="15.75" customHeight="1">
      <c r="D357" s="25"/>
      <c r="G357" s="29"/>
      <c r="H357" s="19"/>
      <c r="I357" s="30"/>
    </row>
    <row r="358" spans="4:9" ht="15.75" customHeight="1">
      <c r="D358" s="25"/>
      <c r="G358" s="29"/>
      <c r="H358" s="19"/>
      <c r="I358" s="30"/>
    </row>
    <row r="359" spans="4:9" ht="15.75" customHeight="1">
      <c r="D359" s="25"/>
      <c r="G359" s="29"/>
      <c r="H359" s="19"/>
      <c r="I359" s="30"/>
    </row>
    <row r="360" spans="4:9" ht="15.75" customHeight="1">
      <c r="D360" s="25"/>
      <c r="G360" s="29"/>
      <c r="H360" s="19"/>
      <c r="I360" s="30"/>
    </row>
    <row r="361" spans="4:9" ht="15.75" customHeight="1">
      <c r="D361" s="25"/>
      <c r="G361" s="29"/>
      <c r="H361" s="19"/>
      <c r="I361" s="30"/>
    </row>
    <row r="362" spans="4:9" ht="15.75" customHeight="1">
      <c r="D362" s="25"/>
      <c r="G362" s="29"/>
      <c r="H362" s="19"/>
      <c r="I362" s="30"/>
    </row>
    <row r="363" spans="4:9" ht="15.75" customHeight="1">
      <c r="D363" s="25"/>
      <c r="G363" s="29"/>
      <c r="H363" s="19"/>
      <c r="I363" s="30"/>
    </row>
    <row r="364" spans="4:9" ht="15.75" customHeight="1">
      <c r="D364" s="25"/>
      <c r="G364" s="29"/>
      <c r="H364" s="19"/>
      <c r="I364" s="30"/>
    </row>
    <row r="365" spans="4:9" ht="15.75" customHeight="1">
      <c r="D365" s="25"/>
      <c r="G365" s="29"/>
      <c r="H365" s="19"/>
      <c r="I365" s="30"/>
    </row>
    <row r="366" spans="4:9" ht="15.75" customHeight="1">
      <c r="D366" s="25"/>
      <c r="G366" s="29"/>
      <c r="H366" s="19"/>
      <c r="I366" s="30"/>
    </row>
    <row r="367" spans="4:9" ht="15.75" customHeight="1">
      <c r="D367" s="25"/>
      <c r="G367" s="29"/>
      <c r="H367" s="19"/>
      <c r="I367" s="30"/>
    </row>
    <row r="368" spans="4:9" ht="15.75" customHeight="1">
      <c r="D368" s="25"/>
      <c r="G368" s="29"/>
      <c r="H368" s="19"/>
      <c r="I368" s="30"/>
    </row>
    <row r="369" spans="4:9" ht="15.75" customHeight="1">
      <c r="D369" s="25"/>
      <c r="G369" s="29"/>
      <c r="H369" s="19"/>
      <c r="I369" s="30"/>
    </row>
    <row r="370" spans="4:9" ht="15.75" customHeight="1">
      <c r="D370" s="25"/>
      <c r="G370" s="29"/>
      <c r="H370" s="19"/>
      <c r="I370" s="30"/>
    </row>
    <row r="371" spans="4:9" ht="15.75" customHeight="1">
      <c r="D371" s="25"/>
      <c r="G371" s="29"/>
      <c r="H371" s="19"/>
      <c r="I371" s="30"/>
    </row>
    <row r="372" spans="4:9" ht="15.75" customHeight="1">
      <c r="D372" s="25"/>
      <c r="G372" s="29"/>
      <c r="H372" s="19"/>
      <c r="I372" s="30"/>
    </row>
    <row r="373" spans="4:9" ht="15.75" customHeight="1">
      <c r="D373" s="25"/>
      <c r="G373" s="29"/>
      <c r="H373" s="19"/>
      <c r="I373" s="30"/>
    </row>
    <row r="374" spans="4:9" ht="15.75" customHeight="1">
      <c r="D374" s="25"/>
      <c r="G374" s="29"/>
      <c r="H374" s="19"/>
      <c r="I374" s="30"/>
    </row>
    <row r="375" spans="4:9" ht="15.75" customHeight="1">
      <c r="D375" s="25"/>
      <c r="G375" s="29"/>
      <c r="H375" s="19"/>
      <c r="I375" s="30"/>
    </row>
    <row r="376" spans="4:9" ht="15.75" customHeight="1">
      <c r="D376" s="25"/>
      <c r="G376" s="29"/>
      <c r="H376" s="19"/>
      <c r="I376" s="30"/>
    </row>
    <row r="377" spans="4:9" ht="15.75" customHeight="1">
      <c r="D377" s="25"/>
      <c r="G377" s="29"/>
      <c r="H377" s="19"/>
      <c r="I377" s="30"/>
    </row>
    <row r="378" spans="4:9" ht="15.75" customHeight="1">
      <c r="D378" s="25"/>
      <c r="G378" s="29"/>
      <c r="H378" s="19"/>
      <c r="I378" s="30"/>
    </row>
    <row r="379" spans="4:9" ht="15.75" customHeight="1">
      <c r="D379" s="25"/>
      <c r="G379" s="29"/>
      <c r="H379" s="19"/>
      <c r="I379" s="30"/>
    </row>
    <row r="380" spans="4:9" ht="15.75" customHeight="1">
      <c r="D380" s="25"/>
      <c r="G380" s="29"/>
      <c r="H380" s="19"/>
      <c r="I380" s="30"/>
    </row>
    <row r="381" spans="4:9" ht="15.75" customHeight="1">
      <c r="D381" s="25"/>
      <c r="G381" s="29"/>
      <c r="H381" s="19"/>
      <c r="I381" s="30"/>
    </row>
    <row r="382" spans="4:9" ht="15.75" customHeight="1">
      <c r="D382" s="25"/>
      <c r="G382" s="29"/>
      <c r="H382" s="19"/>
      <c r="I382" s="30"/>
    </row>
    <row r="383" spans="4:9" ht="15.75" customHeight="1">
      <c r="D383" s="25"/>
      <c r="G383" s="29"/>
      <c r="H383" s="19"/>
      <c r="I383" s="30"/>
    </row>
    <row r="384" spans="4:9" ht="15.75" customHeight="1">
      <c r="D384" s="25"/>
      <c r="G384" s="29"/>
      <c r="H384" s="19"/>
      <c r="I384" s="30"/>
    </row>
    <row r="385" spans="4:9" ht="15.75" customHeight="1">
      <c r="D385" s="25"/>
      <c r="G385" s="29"/>
      <c r="H385" s="19"/>
      <c r="I385" s="30"/>
    </row>
    <row r="386" spans="4:9" ht="15.75" customHeight="1">
      <c r="D386" s="25"/>
      <c r="G386" s="29"/>
      <c r="H386" s="19"/>
      <c r="I386" s="30"/>
    </row>
    <row r="387" spans="4:9" ht="15.75" customHeight="1">
      <c r="D387" s="25"/>
      <c r="G387" s="29"/>
      <c r="H387" s="19"/>
      <c r="I387" s="30"/>
    </row>
    <row r="388" spans="4:9" ht="15.75" customHeight="1">
      <c r="D388" s="25"/>
      <c r="G388" s="29"/>
      <c r="H388" s="19"/>
      <c r="I388" s="30"/>
    </row>
    <row r="389" spans="4:9" ht="15.75" customHeight="1">
      <c r="D389" s="25"/>
      <c r="G389" s="29"/>
      <c r="H389" s="19"/>
      <c r="I389" s="30"/>
    </row>
    <row r="390" spans="4:9" ht="15.75" customHeight="1">
      <c r="D390" s="25"/>
      <c r="G390" s="29"/>
      <c r="H390" s="19"/>
      <c r="I390" s="30"/>
    </row>
    <row r="391" spans="4:9" ht="15.75" customHeight="1">
      <c r="D391" s="25"/>
      <c r="G391" s="29"/>
      <c r="H391" s="19"/>
      <c r="I391" s="30"/>
    </row>
    <row r="392" spans="4:9" ht="15.75" customHeight="1">
      <c r="D392" s="25"/>
      <c r="G392" s="29"/>
      <c r="H392" s="19"/>
      <c r="I392" s="30"/>
    </row>
    <row r="393" spans="4:9" ht="15.75" customHeight="1">
      <c r="D393" s="25"/>
      <c r="G393" s="29"/>
      <c r="H393" s="19"/>
      <c r="I393" s="30"/>
    </row>
    <row r="394" spans="4:9" ht="15.75" customHeight="1">
      <c r="D394" s="25"/>
      <c r="G394" s="29"/>
      <c r="H394" s="19"/>
      <c r="I394" s="30"/>
    </row>
    <row r="395" spans="4:9" ht="15.75" customHeight="1">
      <c r="D395" s="25"/>
      <c r="G395" s="29"/>
      <c r="H395" s="19"/>
      <c r="I395" s="30"/>
    </row>
    <row r="396" spans="4:9" ht="15.75" customHeight="1">
      <c r="D396" s="25"/>
      <c r="G396" s="29"/>
      <c r="H396" s="19"/>
      <c r="I396" s="30"/>
    </row>
    <row r="397" spans="4:9" ht="15.75" customHeight="1">
      <c r="D397" s="25"/>
      <c r="G397" s="29"/>
      <c r="H397" s="19"/>
      <c r="I397" s="30"/>
    </row>
    <row r="398" spans="4:9" ht="15.75" customHeight="1">
      <c r="D398" s="25"/>
      <c r="G398" s="29"/>
      <c r="H398" s="19"/>
      <c r="I398" s="30"/>
    </row>
    <row r="399" spans="4:9" ht="15.75" customHeight="1">
      <c r="D399" s="25"/>
      <c r="G399" s="29"/>
      <c r="H399" s="19"/>
      <c r="I399" s="30"/>
    </row>
    <row r="400" spans="4:9" ht="15.75" customHeight="1">
      <c r="D400" s="25"/>
      <c r="G400" s="29"/>
      <c r="H400" s="19"/>
      <c r="I400" s="30"/>
    </row>
    <row r="401" spans="4:9" ht="15.75" customHeight="1">
      <c r="D401" s="25"/>
      <c r="G401" s="29"/>
      <c r="H401" s="19"/>
      <c r="I401" s="30"/>
    </row>
    <row r="402" spans="4:9" ht="15.75" customHeight="1">
      <c r="D402" s="25"/>
      <c r="G402" s="29"/>
      <c r="H402" s="19"/>
      <c r="I402" s="30"/>
    </row>
    <row r="403" spans="4:9" ht="15.75" customHeight="1">
      <c r="D403" s="25"/>
      <c r="G403" s="29"/>
      <c r="H403" s="19"/>
      <c r="I403" s="30"/>
    </row>
    <row r="404" spans="4:9" ht="15.75" customHeight="1">
      <c r="D404" s="25"/>
      <c r="G404" s="29"/>
      <c r="H404" s="19"/>
      <c r="I404" s="30"/>
    </row>
    <row r="405" spans="4:9" ht="15.75" customHeight="1">
      <c r="D405" s="25"/>
      <c r="G405" s="29"/>
      <c r="H405" s="19"/>
      <c r="I405" s="30"/>
    </row>
    <row r="406" spans="4:9" ht="15.75" customHeight="1">
      <c r="D406" s="25"/>
      <c r="G406" s="29"/>
      <c r="H406" s="19"/>
      <c r="I406" s="30"/>
    </row>
    <row r="407" spans="4:9" ht="15.75" customHeight="1">
      <c r="D407" s="25"/>
      <c r="G407" s="29"/>
      <c r="H407" s="19"/>
      <c r="I407" s="30"/>
    </row>
    <row r="408" spans="4:9" ht="15.75" customHeight="1">
      <c r="D408" s="25"/>
      <c r="G408" s="29"/>
      <c r="H408" s="19"/>
      <c r="I408" s="30"/>
    </row>
    <row r="409" spans="4:9" ht="15.75" customHeight="1">
      <c r="D409" s="25"/>
      <c r="G409" s="29"/>
      <c r="H409" s="19"/>
      <c r="I409" s="30"/>
    </row>
    <row r="410" spans="4:9" ht="15.75" customHeight="1">
      <c r="D410" s="25"/>
      <c r="G410" s="29"/>
      <c r="H410" s="19"/>
      <c r="I410" s="30"/>
    </row>
    <row r="411" spans="4:9" ht="15.75" customHeight="1">
      <c r="D411" s="25"/>
      <c r="G411" s="29"/>
      <c r="H411" s="19"/>
      <c r="I411" s="30"/>
    </row>
    <row r="412" spans="4:9" ht="15.75" customHeight="1">
      <c r="D412" s="25"/>
      <c r="G412" s="29"/>
      <c r="H412" s="19"/>
      <c r="I412" s="30"/>
    </row>
    <row r="413" spans="4:9" ht="15.75" customHeight="1">
      <c r="D413" s="25"/>
      <c r="G413" s="29"/>
      <c r="H413" s="19"/>
      <c r="I413" s="30"/>
    </row>
    <row r="414" spans="4:9" ht="15.75" customHeight="1">
      <c r="D414" s="25"/>
      <c r="G414" s="29"/>
      <c r="H414" s="19"/>
      <c r="I414" s="30"/>
    </row>
    <row r="415" spans="4:9" ht="15.75" customHeight="1">
      <c r="D415" s="25"/>
      <c r="G415" s="29"/>
      <c r="H415" s="19"/>
      <c r="I415" s="30"/>
    </row>
    <row r="416" spans="4:9" ht="15.75" customHeight="1">
      <c r="D416" s="25"/>
      <c r="G416" s="29"/>
      <c r="H416" s="19"/>
      <c r="I416" s="30"/>
    </row>
    <row r="417" spans="4:9" ht="15.75" customHeight="1">
      <c r="D417" s="25"/>
      <c r="G417" s="29"/>
      <c r="H417" s="19"/>
      <c r="I417" s="30"/>
    </row>
    <row r="418" spans="4:9" ht="15.75" customHeight="1">
      <c r="D418" s="25"/>
      <c r="G418" s="29"/>
      <c r="H418" s="19"/>
      <c r="I418" s="30"/>
    </row>
    <row r="419" spans="4:9" ht="15.75" customHeight="1">
      <c r="D419" s="25"/>
      <c r="G419" s="29"/>
      <c r="H419" s="19"/>
      <c r="I419" s="30"/>
    </row>
    <row r="420" spans="4:9" ht="15.75" customHeight="1">
      <c r="D420" s="25"/>
      <c r="G420" s="29"/>
      <c r="H420" s="19"/>
      <c r="I420" s="30"/>
    </row>
    <row r="421" spans="4:9" ht="15.75" customHeight="1">
      <c r="D421" s="25"/>
      <c r="G421" s="29"/>
      <c r="H421" s="19"/>
      <c r="I421" s="30"/>
    </row>
    <row r="422" spans="4:9" ht="15.75" customHeight="1">
      <c r="D422" s="25"/>
      <c r="G422" s="29"/>
      <c r="H422" s="19"/>
      <c r="I422" s="30"/>
    </row>
    <row r="423" spans="4:9" ht="15.75" customHeight="1">
      <c r="D423" s="25"/>
      <c r="G423" s="29"/>
      <c r="H423" s="19"/>
      <c r="I423" s="30"/>
    </row>
    <row r="424" spans="4:9" ht="15.75" customHeight="1">
      <c r="D424" s="25"/>
      <c r="G424" s="29"/>
      <c r="H424" s="19"/>
      <c r="I424" s="30"/>
    </row>
    <row r="425" spans="4:9" ht="15.75" customHeight="1">
      <c r="D425" s="25"/>
      <c r="G425" s="29"/>
      <c r="H425" s="19"/>
      <c r="I425" s="30"/>
    </row>
    <row r="426" spans="4:9" ht="15.75" customHeight="1">
      <c r="D426" s="25"/>
      <c r="G426" s="29"/>
      <c r="H426" s="19"/>
      <c r="I426" s="30"/>
    </row>
    <row r="427" spans="4:9" ht="15.75" customHeight="1">
      <c r="D427" s="25"/>
      <c r="G427" s="29"/>
      <c r="H427" s="19"/>
      <c r="I427" s="30"/>
    </row>
    <row r="428" spans="4:9" ht="15.75" customHeight="1">
      <c r="D428" s="25"/>
      <c r="G428" s="29"/>
      <c r="H428" s="19"/>
      <c r="I428" s="30"/>
    </row>
    <row r="429" spans="4:9" ht="15.75" customHeight="1">
      <c r="D429" s="25"/>
      <c r="G429" s="29"/>
      <c r="H429" s="19"/>
      <c r="I429" s="30"/>
    </row>
    <row r="430" spans="4:9" ht="15.75" customHeight="1">
      <c r="D430" s="25"/>
      <c r="G430" s="29"/>
      <c r="H430" s="19"/>
      <c r="I430" s="30"/>
    </row>
    <row r="431" spans="4:9" ht="15.75" customHeight="1">
      <c r="D431" s="25"/>
      <c r="G431" s="29"/>
      <c r="H431" s="19"/>
      <c r="I431" s="30"/>
    </row>
    <row r="432" spans="4:9" ht="15.75" customHeight="1">
      <c r="D432" s="25"/>
      <c r="G432" s="29"/>
      <c r="H432" s="19"/>
      <c r="I432" s="30"/>
    </row>
    <row r="433" spans="4:9" ht="15.75" customHeight="1">
      <c r="D433" s="25"/>
      <c r="G433" s="29"/>
      <c r="H433" s="19"/>
      <c r="I433" s="30"/>
    </row>
    <row r="434" spans="4:9" ht="15.75" customHeight="1">
      <c r="D434" s="25"/>
      <c r="G434" s="29"/>
      <c r="H434" s="19"/>
      <c r="I434" s="30"/>
    </row>
    <row r="435" spans="4:9" ht="15.75" customHeight="1">
      <c r="D435" s="25"/>
      <c r="G435" s="29"/>
      <c r="H435" s="19"/>
      <c r="I435" s="30"/>
    </row>
    <row r="436" spans="4:9" ht="15.75" customHeight="1">
      <c r="D436" s="25"/>
      <c r="G436" s="29"/>
      <c r="H436" s="19"/>
      <c r="I436" s="30"/>
    </row>
    <row r="437" spans="4:9" ht="15.75" customHeight="1">
      <c r="D437" s="25"/>
      <c r="G437" s="29"/>
      <c r="H437" s="19"/>
      <c r="I437" s="30"/>
    </row>
    <row r="438" spans="4:9" ht="15.75" customHeight="1">
      <c r="D438" s="25"/>
      <c r="G438" s="29"/>
      <c r="H438" s="19"/>
      <c r="I438" s="30"/>
    </row>
    <row r="439" spans="4:9" ht="15.75" customHeight="1">
      <c r="D439" s="25"/>
      <c r="G439" s="29"/>
      <c r="H439" s="19"/>
      <c r="I439" s="30"/>
    </row>
    <row r="440" spans="4:9" ht="15.75" customHeight="1">
      <c r="D440" s="25"/>
      <c r="G440" s="29"/>
      <c r="H440" s="19"/>
      <c r="I440" s="30"/>
    </row>
    <row r="441" spans="4:9" ht="15.75" customHeight="1">
      <c r="D441" s="25"/>
      <c r="G441" s="29"/>
      <c r="H441" s="19"/>
      <c r="I441" s="30"/>
    </row>
    <row r="442" spans="4:9" ht="15.75" customHeight="1">
      <c r="D442" s="25"/>
      <c r="G442" s="29"/>
      <c r="H442" s="19"/>
      <c r="I442" s="30"/>
    </row>
    <row r="443" spans="4:9" ht="15.75" customHeight="1">
      <c r="D443" s="25"/>
      <c r="G443" s="29"/>
      <c r="H443" s="19"/>
      <c r="I443" s="30"/>
    </row>
    <row r="444" spans="4:9" ht="15.75" customHeight="1">
      <c r="D444" s="25"/>
      <c r="G444" s="29"/>
      <c r="H444" s="19"/>
      <c r="I444" s="30"/>
    </row>
    <row r="445" spans="4:9" ht="15.75" customHeight="1">
      <c r="D445" s="25"/>
      <c r="G445" s="29"/>
      <c r="H445" s="19"/>
      <c r="I445" s="30"/>
    </row>
    <row r="446" spans="4:9" ht="15.75" customHeight="1">
      <c r="D446" s="25"/>
      <c r="G446" s="29"/>
      <c r="H446" s="19"/>
      <c r="I446" s="30"/>
    </row>
    <row r="447" spans="4:9" ht="15.75" customHeight="1">
      <c r="D447" s="25"/>
      <c r="G447" s="29"/>
      <c r="H447" s="19"/>
      <c r="I447" s="30"/>
    </row>
    <row r="448" spans="4:9" ht="15.75" customHeight="1">
      <c r="D448" s="25"/>
      <c r="G448" s="29"/>
      <c r="H448" s="19"/>
      <c r="I448" s="30"/>
    </row>
    <row r="449" spans="4:9" ht="15.75" customHeight="1">
      <c r="D449" s="25"/>
      <c r="G449" s="29"/>
      <c r="H449" s="19"/>
      <c r="I449" s="30"/>
    </row>
    <row r="450" spans="4:9" ht="15.75" customHeight="1">
      <c r="D450" s="25"/>
      <c r="G450" s="29"/>
      <c r="H450" s="19"/>
      <c r="I450" s="30"/>
    </row>
    <row r="451" spans="4:9" ht="15.75" customHeight="1">
      <c r="D451" s="25"/>
      <c r="G451" s="29"/>
      <c r="H451" s="19"/>
      <c r="I451" s="30"/>
    </row>
    <row r="452" spans="4:9" ht="15.75" customHeight="1">
      <c r="D452" s="25"/>
      <c r="G452" s="29"/>
      <c r="H452" s="19"/>
      <c r="I452" s="30"/>
    </row>
    <row r="453" spans="4:9" ht="15.75" customHeight="1">
      <c r="D453" s="25"/>
      <c r="G453" s="29"/>
      <c r="H453" s="19"/>
      <c r="I453" s="30"/>
    </row>
    <row r="454" spans="4:9" ht="15.75" customHeight="1">
      <c r="D454" s="25"/>
      <c r="G454" s="29"/>
      <c r="H454" s="19"/>
      <c r="I454" s="30"/>
    </row>
    <row r="455" spans="4:9" ht="15.75" customHeight="1">
      <c r="D455" s="25"/>
      <c r="G455" s="29"/>
      <c r="H455" s="19"/>
      <c r="I455" s="30"/>
    </row>
    <row r="456" spans="4:9" ht="15.75" customHeight="1">
      <c r="D456" s="25"/>
      <c r="G456" s="29"/>
      <c r="H456" s="19"/>
      <c r="I456" s="30"/>
    </row>
    <row r="457" spans="4:9" ht="15.75" customHeight="1">
      <c r="D457" s="25"/>
      <c r="G457" s="29"/>
      <c r="H457" s="19"/>
      <c r="I457" s="30"/>
    </row>
    <row r="458" spans="4:9" ht="15.75" customHeight="1">
      <c r="D458" s="25"/>
      <c r="G458" s="29"/>
      <c r="H458" s="19"/>
      <c r="I458" s="30"/>
    </row>
    <row r="459" spans="4:9" ht="15.75" customHeight="1">
      <c r="D459" s="25"/>
      <c r="G459" s="29"/>
      <c r="H459" s="19"/>
      <c r="I459" s="30"/>
    </row>
    <row r="460" spans="4:9" ht="15.75" customHeight="1">
      <c r="D460" s="25"/>
      <c r="G460" s="29"/>
      <c r="H460" s="19"/>
      <c r="I460" s="30"/>
    </row>
    <row r="461" spans="4:9" ht="15.75" customHeight="1">
      <c r="D461" s="25"/>
      <c r="G461" s="29"/>
      <c r="H461" s="19"/>
      <c r="I461" s="30"/>
    </row>
    <row r="462" spans="4:9" ht="15.75" customHeight="1">
      <c r="D462" s="25"/>
      <c r="G462" s="29"/>
      <c r="H462" s="19"/>
      <c r="I462" s="30"/>
    </row>
    <row r="463" spans="4:9" ht="15.75" customHeight="1">
      <c r="D463" s="25"/>
      <c r="G463" s="29"/>
      <c r="H463" s="19"/>
      <c r="I463" s="30"/>
    </row>
    <row r="464" spans="4:9" ht="15.75" customHeight="1">
      <c r="D464" s="25"/>
      <c r="G464" s="29"/>
      <c r="H464" s="19"/>
      <c r="I464" s="30"/>
    </row>
    <row r="465" spans="4:9" ht="15.75" customHeight="1">
      <c r="D465" s="25"/>
      <c r="G465" s="29"/>
      <c r="H465" s="19"/>
      <c r="I465" s="30"/>
    </row>
    <row r="466" spans="4:9" ht="15.75" customHeight="1">
      <c r="D466" s="25"/>
      <c r="G466" s="29"/>
      <c r="H466" s="19"/>
      <c r="I466" s="30"/>
    </row>
    <row r="467" spans="4:9" ht="15.75" customHeight="1">
      <c r="D467" s="25"/>
      <c r="G467" s="29"/>
      <c r="H467" s="19"/>
      <c r="I467" s="30"/>
    </row>
    <row r="468" spans="4:9" ht="15.75" customHeight="1">
      <c r="D468" s="25"/>
      <c r="G468" s="29"/>
      <c r="H468" s="19"/>
      <c r="I468" s="30"/>
    </row>
    <row r="469" spans="4:9" ht="15.75" customHeight="1">
      <c r="D469" s="25"/>
      <c r="G469" s="29"/>
      <c r="H469" s="19"/>
      <c r="I469" s="30"/>
    </row>
    <row r="470" spans="4:9" ht="15.75" customHeight="1">
      <c r="D470" s="25"/>
      <c r="G470" s="29"/>
      <c r="H470" s="19"/>
      <c r="I470" s="30"/>
    </row>
    <row r="471" spans="4:9" ht="15.75" customHeight="1">
      <c r="D471" s="25"/>
      <c r="G471" s="29"/>
      <c r="H471" s="19"/>
      <c r="I471" s="30"/>
    </row>
    <row r="472" spans="4:9" ht="15.75" customHeight="1">
      <c r="D472" s="25"/>
      <c r="G472" s="29"/>
      <c r="H472" s="19"/>
      <c r="I472" s="30"/>
    </row>
    <row r="473" spans="4:9" ht="15.75" customHeight="1">
      <c r="D473" s="25"/>
      <c r="G473" s="29"/>
      <c r="H473" s="19"/>
      <c r="I473" s="30"/>
    </row>
    <row r="474" spans="4:9" ht="15.75" customHeight="1">
      <c r="D474" s="25"/>
      <c r="G474" s="29"/>
      <c r="H474" s="19"/>
      <c r="I474" s="30"/>
    </row>
    <row r="475" spans="4:9" ht="15.75" customHeight="1">
      <c r="D475" s="25"/>
      <c r="G475" s="29"/>
      <c r="H475" s="19"/>
      <c r="I475" s="30"/>
    </row>
    <row r="476" spans="4:9" ht="15.75" customHeight="1">
      <c r="D476" s="25"/>
      <c r="G476" s="29"/>
      <c r="H476" s="19"/>
      <c r="I476" s="30"/>
    </row>
    <row r="477" spans="4:9" ht="15.75" customHeight="1">
      <c r="D477" s="25"/>
      <c r="G477" s="29"/>
      <c r="H477" s="19"/>
      <c r="I477" s="30"/>
    </row>
    <row r="478" spans="4:9" ht="15.75" customHeight="1">
      <c r="D478" s="25"/>
      <c r="G478" s="29"/>
      <c r="H478" s="19"/>
      <c r="I478" s="30"/>
    </row>
    <row r="479" spans="4:9" ht="15.75" customHeight="1">
      <c r="D479" s="25"/>
      <c r="G479" s="29"/>
      <c r="H479" s="19"/>
      <c r="I479" s="30"/>
    </row>
    <row r="480" spans="4:9" ht="15.75" customHeight="1">
      <c r="D480" s="25"/>
      <c r="G480" s="29"/>
      <c r="H480" s="19"/>
      <c r="I480" s="30"/>
    </row>
    <row r="481" spans="4:9" ht="15.75" customHeight="1">
      <c r="D481" s="25"/>
      <c r="G481" s="29"/>
      <c r="H481" s="19"/>
      <c r="I481" s="30"/>
    </row>
    <row r="482" spans="4:9" ht="15.75" customHeight="1">
      <c r="D482" s="25"/>
      <c r="G482" s="29"/>
      <c r="H482" s="19"/>
      <c r="I482" s="30"/>
    </row>
    <row r="483" spans="4:9" ht="15.75" customHeight="1">
      <c r="D483" s="25"/>
      <c r="G483" s="29"/>
      <c r="H483" s="19"/>
      <c r="I483" s="30"/>
    </row>
    <row r="484" spans="4:9" ht="15.75" customHeight="1">
      <c r="D484" s="25"/>
      <c r="G484" s="29"/>
      <c r="H484" s="19"/>
      <c r="I484" s="30"/>
    </row>
    <row r="485" spans="4:9" ht="15.75" customHeight="1">
      <c r="D485" s="25"/>
      <c r="G485" s="29"/>
      <c r="H485" s="19"/>
      <c r="I485" s="30"/>
    </row>
    <row r="486" spans="4:9" ht="15.75" customHeight="1">
      <c r="D486" s="25"/>
      <c r="G486" s="29"/>
      <c r="H486" s="19"/>
      <c r="I486" s="30"/>
    </row>
    <row r="487" spans="4:9" ht="15.75" customHeight="1">
      <c r="D487" s="25"/>
      <c r="G487" s="29"/>
      <c r="H487" s="19"/>
      <c r="I487" s="30"/>
    </row>
    <row r="488" spans="4:9" ht="15.75" customHeight="1">
      <c r="D488" s="25"/>
      <c r="G488" s="29"/>
      <c r="H488" s="19"/>
      <c r="I488" s="30"/>
    </row>
    <row r="489" spans="4:9" ht="15.75" customHeight="1">
      <c r="D489" s="25"/>
      <c r="G489" s="29"/>
      <c r="H489" s="19"/>
      <c r="I489" s="30"/>
    </row>
    <row r="490" spans="4:9" ht="15.75" customHeight="1">
      <c r="D490" s="25"/>
      <c r="G490" s="29"/>
      <c r="H490" s="19"/>
      <c r="I490" s="30"/>
    </row>
    <row r="491" spans="4:9" ht="15.75" customHeight="1">
      <c r="D491" s="25"/>
      <c r="G491" s="29"/>
      <c r="H491" s="19"/>
      <c r="I491" s="30"/>
    </row>
    <row r="492" spans="4:9" ht="15.75" customHeight="1">
      <c r="D492" s="25"/>
      <c r="G492" s="29"/>
      <c r="H492" s="19"/>
      <c r="I492" s="30"/>
    </row>
    <row r="493" spans="4:9" ht="15.75" customHeight="1">
      <c r="D493" s="25"/>
      <c r="G493" s="29"/>
      <c r="H493" s="19"/>
      <c r="I493" s="30"/>
    </row>
    <row r="494" spans="4:9" ht="15.75" customHeight="1">
      <c r="D494" s="25"/>
      <c r="G494" s="29"/>
      <c r="H494" s="19"/>
      <c r="I494" s="30"/>
    </row>
    <row r="495" spans="4:9" ht="15.75" customHeight="1">
      <c r="D495" s="25"/>
      <c r="G495" s="29"/>
      <c r="H495" s="19"/>
      <c r="I495" s="30"/>
    </row>
    <row r="496" spans="4:9" ht="15.75" customHeight="1">
      <c r="D496" s="25"/>
      <c r="G496" s="29"/>
      <c r="H496" s="19"/>
      <c r="I496" s="30"/>
    </row>
    <row r="497" spans="4:9" ht="15.75" customHeight="1">
      <c r="D497" s="25"/>
      <c r="G497" s="29"/>
      <c r="H497" s="19"/>
      <c r="I497" s="30"/>
    </row>
    <row r="498" spans="4:9" ht="15.75" customHeight="1">
      <c r="D498" s="25"/>
      <c r="G498" s="29"/>
      <c r="H498" s="19"/>
      <c r="I498" s="30"/>
    </row>
    <row r="499" spans="4:9" ht="15.75" customHeight="1">
      <c r="D499" s="25"/>
      <c r="G499" s="29"/>
      <c r="H499" s="19"/>
      <c r="I499" s="30"/>
    </row>
    <row r="500" spans="4:9" ht="15.75" customHeight="1">
      <c r="D500" s="25"/>
      <c r="G500" s="29"/>
      <c r="H500" s="19"/>
      <c r="I500" s="30"/>
    </row>
    <row r="501" spans="4:9" ht="15.75" customHeight="1">
      <c r="D501" s="25"/>
      <c r="G501" s="29"/>
      <c r="H501" s="19"/>
      <c r="I501" s="30"/>
    </row>
    <row r="502" spans="4:9" ht="15.75" customHeight="1">
      <c r="D502" s="25"/>
      <c r="G502" s="29"/>
      <c r="H502" s="19"/>
      <c r="I502" s="30"/>
    </row>
    <row r="503" spans="4:9" ht="15.75" customHeight="1">
      <c r="D503" s="25"/>
      <c r="G503" s="29"/>
      <c r="H503" s="19"/>
      <c r="I503" s="30"/>
    </row>
    <row r="504" spans="4:9" ht="15.75" customHeight="1">
      <c r="D504" s="25"/>
      <c r="G504" s="29"/>
      <c r="H504" s="19"/>
      <c r="I504" s="30"/>
    </row>
    <row r="505" spans="4:9" ht="15.75" customHeight="1">
      <c r="D505" s="25"/>
      <c r="G505" s="29"/>
      <c r="H505" s="19"/>
      <c r="I505" s="30"/>
    </row>
    <row r="506" spans="4:9" ht="15.75" customHeight="1">
      <c r="D506" s="25"/>
      <c r="G506" s="29"/>
      <c r="H506" s="19"/>
      <c r="I506" s="30"/>
    </row>
    <row r="507" spans="4:9" ht="15.75" customHeight="1">
      <c r="D507" s="25"/>
      <c r="G507" s="29"/>
      <c r="H507" s="19"/>
      <c r="I507" s="30"/>
    </row>
    <row r="508" spans="4:9" ht="15.75" customHeight="1">
      <c r="D508" s="25"/>
      <c r="G508" s="29"/>
      <c r="H508" s="19"/>
      <c r="I508" s="30"/>
    </row>
    <row r="509" spans="4:9" ht="15.75" customHeight="1">
      <c r="D509" s="25"/>
      <c r="G509" s="29"/>
      <c r="H509" s="19"/>
      <c r="I509" s="30"/>
    </row>
    <row r="510" spans="4:9" ht="15.75" customHeight="1">
      <c r="D510" s="25"/>
      <c r="G510" s="29"/>
      <c r="H510" s="19"/>
      <c r="I510" s="30"/>
    </row>
    <row r="511" spans="4:9" ht="15.75" customHeight="1">
      <c r="D511" s="25"/>
      <c r="G511" s="29"/>
      <c r="H511" s="19"/>
      <c r="I511" s="30"/>
    </row>
    <row r="512" spans="4:9" ht="15.75" customHeight="1">
      <c r="D512" s="25"/>
      <c r="G512" s="29"/>
      <c r="H512" s="19"/>
      <c r="I512" s="30"/>
    </row>
    <row r="513" spans="4:9" ht="15.75" customHeight="1">
      <c r="D513" s="25"/>
      <c r="G513" s="29"/>
      <c r="H513" s="19"/>
      <c r="I513" s="30"/>
    </row>
    <row r="514" spans="4:9" ht="15.75" customHeight="1">
      <c r="D514" s="25"/>
      <c r="G514" s="29"/>
      <c r="H514" s="19"/>
      <c r="I514" s="30"/>
    </row>
    <row r="515" spans="4:9" ht="15.75" customHeight="1">
      <c r="D515" s="25"/>
      <c r="G515" s="29"/>
      <c r="H515" s="19"/>
      <c r="I515" s="30"/>
    </row>
    <row r="516" spans="4:9" ht="15.75" customHeight="1">
      <c r="D516" s="25"/>
      <c r="G516" s="29"/>
      <c r="H516" s="19"/>
      <c r="I516" s="30"/>
    </row>
    <row r="517" spans="4:9" ht="15.75" customHeight="1">
      <c r="D517" s="25"/>
      <c r="G517" s="29"/>
      <c r="H517" s="19"/>
      <c r="I517" s="30"/>
    </row>
    <row r="518" spans="4:9" ht="15.75" customHeight="1">
      <c r="D518" s="25"/>
      <c r="G518" s="29"/>
      <c r="H518" s="19"/>
      <c r="I518" s="30"/>
    </row>
    <row r="519" spans="4:9" ht="15.75" customHeight="1">
      <c r="D519" s="25"/>
      <c r="G519" s="29"/>
      <c r="H519" s="19"/>
      <c r="I519" s="30"/>
    </row>
    <row r="520" spans="4:9" ht="15.75" customHeight="1">
      <c r="D520" s="25"/>
      <c r="G520" s="29"/>
      <c r="H520" s="19"/>
      <c r="I520" s="30"/>
    </row>
    <row r="521" spans="4:9" ht="15.75" customHeight="1">
      <c r="D521" s="25"/>
      <c r="G521" s="29"/>
      <c r="H521" s="19"/>
      <c r="I521" s="30"/>
    </row>
    <row r="522" spans="4:9" ht="15.75" customHeight="1">
      <c r="D522" s="25"/>
      <c r="G522" s="29"/>
      <c r="H522" s="19"/>
      <c r="I522" s="30"/>
    </row>
    <row r="523" spans="4:9" ht="15.75" customHeight="1">
      <c r="D523" s="25"/>
      <c r="G523" s="29"/>
      <c r="H523" s="19"/>
      <c r="I523" s="30"/>
    </row>
    <row r="524" spans="4:9" ht="15.75" customHeight="1">
      <c r="D524" s="25"/>
      <c r="G524" s="29"/>
      <c r="H524" s="19"/>
      <c r="I524" s="30"/>
    </row>
    <row r="525" spans="4:9" ht="15.75" customHeight="1">
      <c r="D525" s="25"/>
      <c r="G525" s="29"/>
      <c r="H525" s="19"/>
      <c r="I525" s="30"/>
    </row>
    <row r="526" spans="4:9" ht="15.75" customHeight="1">
      <c r="D526" s="25"/>
      <c r="G526" s="29"/>
      <c r="H526" s="19"/>
      <c r="I526" s="30"/>
    </row>
    <row r="527" spans="4:9" ht="15.75" customHeight="1">
      <c r="D527" s="25"/>
      <c r="G527" s="29"/>
      <c r="H527" s="19"/>
      <c r="I527" s="30"/>
    </row>
    <row r="528" spans="4:9" ht="15.75" customHeight="1">
      <c r="D528" s="25"/>
      <c r="G528" s="29"/>
      <c r="H528" s="19"/>
      <c r="I528" s="30"/>
    </row>
    <row r="529" spans="4:9" ht="15.75" customHeight="1">
      <c r="D529" s="25"/>
      <c r="G529" s="29"/>
      <c r="H529" s="19"/>
      <c r="I529" s="30"/>
    </row>
    <row r="530" spans="4:9" ht="15.75" customHeight="1">
      <c r="D530" s="25"/>
      <c r="G530" s="29"/>
      <c r="H530" s="19"/>
      <c r="I530" s="30"/>
    </row>
    <row r="531" spans="4:9" ht="15.75" customHeight="1">
      <c r="D531" s="25"/>
      <c r="G531" s="29"/>
      <c r="H531" s="19"/>
      <c r="I531" s="30"/>
    </row>
    <row r="532" spans="4:9" ht="15.75" customHeight="1">
      <c r="D532" s="25"/>
      <c r="G532" s="29"/>
      <c r="H532" s="19"/>
      <c r="I532" s="30"/>
    </row>
    <row r="533" spans="4:9" ht="15.75" customHeight="1">
      <c r="D533" s="25"/>
      <c r="G533" s="29"/>
      <c r="H533" s="19"/>
      <c r="I533" s="30"/>
    </row>
    <row r="534" spans="4:9" ht="15.75" customHeight="1">
      <c r="D534" s="25"/>
      <c r="G534" s="29"/>
      <c r="H534" s="19"/>
      <c r="I534" s="30"/>
    </row>
    <row r="535" spans="4:9" ht="15.75" customHeight="1">
      <c r="D535" s="25"/>
      <c r="G535" s="29"/>
      <c r="H535" s="19"/>
      <c r="I535" s="30"/>
    </row>
    <row r="536" spans="4:9" ht="15.75" customHeight="1">
      <c r="D536" s="25"/>
      <c r="G536" s="29"/>
      <c r="H536" s="19"/>
      <c r="I536" s="30"/>
    </row>
    <row r="537" spans="4:9" ht="15.75" customHeight="1">
      <c r="D537" s="25"/>
      <c r="G537" s="29"/>
      <c r="H537" s="19"/>
      <c r="I537" s="30"/>
    </row>
    <row r="538" spans="4:9" ht="15.75" customHeight="1">
      <c r="D538" s="25"/>
      <c r="G538" s="29"/>
      <c r="H538" s="19"/>
      <c r="I538" s="30"/>
    </row>
    <row r="539" spans="4:9" ht="15.75" customHeight="1">
      <c r="D539" s="25"/>
      <c r="G539" s="29"/>
      <c r="H539" s="19"/>
      <c r="I539" s="30"/>
    </row>
    <row r="540" spans="4:9" ht="15.75" customHeight="1">
      <c r="D540" s="25"/>
      <c r="G540" s="29"/>
      <c r="H540" s="19"/>
      <c r="I540" s="30"/>
    </row>
    <row r="541" spans="4:9" ht="15.75" customHeight="1">
      <c r="D541" s="25"/>
      <c r="G541" s="29"/>
      <c r="H541" s="19"/>
      <c r="I541" s="30"/>
    </row>
    <row r="542" spans="4:9" ht="15.75" customHeight="1">
      <c r="D542" s="25"/>
      <c r="G542" s="29"/>
      <c r="H542" s="19"/>
      <c r="I542" s="30"/>
    </row>
    <row r="543" spans="4:9" ht="15.75" customHeight="1">
      <c r="D543" s="25"/>
      <c r="G543" s="29"/>
      <c r="H543" s="19"/>
      <c r="I543" s="30"/>
    </row>
    <row r="544" spans="4:9" ht="15.75" customHeight="1">
      <c r="D544" s="25"/>
      <c r="G544" s="29"/>
      <c r="H544" s="19"/>
      <c r="I544" s="30"/>
    </row>
    <row r="545" spans="4:9" ht="15.75" customHeight="1">
      <c r="D545" s="25"/>
      <c r="G545" s="29"/>
      <c r="H545" s="19"/>
      <c r="I545" s="30"/>
    </row>
    <row r="546" spans="4:9" ht="15.75" customHeight="1">
      <c r="D546" s="25"/>
      <c r="G546" s="29"/>
      <c r="H546" s="19"/>
      <c r="I546" s="30"/>
    </row>
    <row r="547" spans="4:9" ht="15.75" customHeight="1">
      <c r="D547" s="25"/>
      <c r="G547" s="29"/>
      <c r="H547" s="19"/>
      <c r="I547" s="30"/>
    </row>
    <row r="548" spans="4:9" ht="15.75" customHeight="1">
      <c r="D548" s="25"/>
      <c r="G548" s="29"/>
      <c r="H548" s="19"/>
      <c r="I548" s="30"/>
    </row>
    <row r="549" spans="4:9" ht="15.75" customHeight="1">
      <c r="D549" s="25"/>
      <c r="G549" s="29"/>
      <c r="H549" s="19"/>
      <c r="I549" s="30"/>
    </row>
    <row r="550" spans="4:9" ht="15.75" customHeight="1">
      <c r="D550" s="25"/>
      <c r="G550" s="29"/>
      <c r="H550" s="19"/>
      <c r="I550" s="30"/>
    </row>
    <row r="551" spans="4:9" ht="15.75" customHeight="1">
      <c r="D551" s="25"/>
      <c r="G551" s="29"/>
      <c r="H551" s="19"/>
      <c r="I551" s="30"/>
    </row>
    <row r="552" spans="4:9" ht="15.75" customHeight="1">
      <c r="D552" s="25"/>
      <c r="G552" s="29"/>
      <c r="H552" s="19"/>
      <c r="I552" s="30"/>
    </row>
    <row r="553" spans="4:9" ht="15.75" customHeight="1">
      <c r="D553" s="25"/>
      <c r="G553" s="29"/>
      <c r="H553" s="19"/>
      <c r="I553" s="30"/>
    </row>
    <row r="554" spans="4:9" ht="15.75" customHeight="1">
      <c r="D554" s="25"/>
      <c r="G554" s="29"/>
      <c r="H554" s="19"/>
      <c r="I554" s="30"/>
    </row>
    <row r="555" spans="4:9" ht="15.75" customHeight="1">
      <c r="D555" s="25"/>
      <c r="G555" s="29"/>
      <c r="H555" s="19"/>
      <c r="I555" s="30"/>
    </row>
    <row r="556" spans="4:9" ht="15.75" customHeight="1">
      <c r="D556" s="25"/>
      <c r="G556" s="29"/>
      <c r="H556" s="19"/>
      <c r="I556" s="30"/>
    </row>
    <row r="557" spans="4:9" ht="15.75" customHeight="1">
      <c r="D557" s="25"/>
      <c r="G557" s="29"/>
      <c r="H557" s="19"/>
      <c r="I557" s="30"/>
    </row>
    <row r="558" spans="4:9" ht="15.75" customHeight="1">
      <c r="D558" s="25"/>
      <c r="G558" s="29"/>
      <c r="H558" s="19"/>
      <c r="I558" s="30"/>
    </row>
    <row r="559" spans="4:9" ht="15.75" customHeight="1">
      <c r="D559" s="25"/>
      <c r="G559" s="29"/>
      <c r="H559" s="19"/>
      <c r="I559" s="30"/>
    </row>
    <row r="560" spans="4:9" ht="15.75" customHeight="1">
      <c r="D560" s="25"/>
      <c r="G560" s="29"/>
      <c r="H560" s="19"/>
      <c r="I560" s="30"/>
    </row>
    <row r="561" spans="4:9" ht="15.75" customHeight="1">
      <c r="D561" s="25"/>
      <c r="G561" s="29"/>
      <c r="H561" s="19"/>
      <c r="I561" s="30"/>
    </row>
    <row r="562" spans="4:9" ht="15.75" customHeight="1">
      <c r="D562" s="25"/>
      <c r="G562" s="29"/>
      <c r="H562" s="19"/>
      <c r="I562" s="30"/>
    </row>
    <row r="563" spans="4:9" ht="15.75" customHeight="1">
      <c r="D563" s="25"/>
      <c r="G563" s="29"/>
      <c r="H563" s="19"/>
      <c r="I563" s="30"/>
    </row>
    <row r="564" spans="4:9" ht="15.75" customHeight="1">
      <c r="D564" s="25"/>
      <c r="G564" s="29"/>
      <c r="H564" s="19"/>
      <c r="I564" s="30"/>
    </row>
    <row r="565" spans="4:9" ht="15.75" customHeight="1">
      <c r="D565" s="25"/>
      <c r="G565" s="29"/>
      <c r="H565" s="19"/>
      <c r="I565" s="30"/>
    </row>
    <row r="566" spans="4:9" ht="15.75" customHeight="1">
      <c r="D566" s="25"/>
      <c r="G566" s="29"/>
      <c r="H566" s="19"/>
      <c r="I566" s="30"/>
    </row>
    <row r="567" spans="4:9" ht="15.75" customHeight="1">
      <c r="D567" s="25"/>
      <c r="G567" s="29"/>
      <c r="H567" s="19"/>
      <c r="I567" s="30"/>
    </row>
    <row r="568" spans="4:9" ht="15.75" customHeight="1">
      <c r="D568" s="25"/>
      <c r="G568" s="29"/>
      <c r="H568" s="19"/>
      <c r="I568" s="30"/>
    </row>
    <row r="569" spans="4:9" ht="15.75" customHeight="1">
      <c r="D569" s="25"/>
      <c r="G569" s="29"/>
      <c r="H569" s="19"/>
      <c r="I569" s="30"/>
    </row>
    <row r="570" spans="4:9" ht="15.75" customHeight="1">
      <c r="D570" s="25"/>
      <c r="G570" s="29"/>
      <c r="H570" s="19"/>
      <c r="I570" s="30"/>
    </row>
    <row r="571" spans="4:9" ht="15.75" customHeight="1">
      <c r="D571" s="25"/>
      <c r="G571" s="29"/>
      <c r="H571" s="19"/>
      <c r="I571" s="30"/>
    </row>
    <row r="572" spans="4:9" ht="15.75" customHeight="1">
      <c r="D572" s="25"/>
      <c r="G572" s="29"/>
      <c r="H572" s="19"/>
      <c r="I572" s="30"/>
    </row>
    <row r="573" spans="4:9" ht="15.75" customHeight="1">
      <c r="D573" s="25"/>
      <c r="G573" s="29"/>
      <c r="H573" s="19"/>
      <c r="I573" s="30"/>
    </row>
    <row r="574" spans="4:9" ht="15.75" customHeight="1">
      <c r="D574" s="25"/>
      <c r="G574" s="29"/>
      <c r="H574" s="19"/>
      <c r="I574" s="30"/>
    </row>
    <row r="575" spans="4:9" ht="15.75" customHeight="1">
      <c r="D575" s="25"/>
      <c r="G575" s="29"/>
      <c r="H575" s="19"/>
      <c r="I575" s="30"/>
    </row>
    <row r="576" spans="4:9" ht="15.75" customHeight="1">
      <c r="D576" s="25"/>
      <c r="G576" s="29"/>
      <c r="H576" s="19"/>
      <c r="I576" s="30"/>
    </row>
    <row r="577" spans="4:9" ht="15.75" customHeight="1">
      <c r="D577" s="25"/>
      <c r="G577" s="29"/>
      <c r="H577" s="19"/>
      <c r="I577" s="30"/>
    </row>
    <row r="578" spans="4:9" ht="15.75" customHeight="1">
      <c r="D578" s="25"/>
      <c r="G578" s="29"/>
      <c r="H578" s="19"/>
      <c r="I578" s="30"/>
    </row>
    <row r="579" spans="4:9" ht="15.75" customHeight="1">
      <c r="D579" s="25"/>
      <c r="G579" s="29"/>
      <c r="H579" s="19"/>
      <c r="I579" s="30"/>
    </row>
    <row r="580" spans="4:9" ht="15.75" customHeight="1">
      <c r="D580" s="25"/>
      <c r="G580" s="29"/>
      <c r="H580" s="19"/>
      <c r="I580" s="30"/>
    </row>
    <row r="581" spans="4:9" ht="15.75" customHeight="1">
      <c r="D581" s="25"/>
      <c r="G581" s="29"/>
      <c r="H581" s="19"/>
      <c r="I581" s="30"/>
    </row>
    <row r="582" spans="4:9" ht="15.75" customHeight="1">
      <c r="D582" s="25"/>
      <c r="G582" s="29"/>
      <c r="H582" s="19"/>
      <c r="I582" s="30"/>
    </row>
    <row r="583" spans="4:9" ht="15.75" customHeight="1">
      <c r="D583" s="25"/>
      <c r="G583" s="29"/>
      <c r="H583" s="19"/>
      <c r="I583" s="30"/>
    </row>
    <row r="584" spans="4:9" ht="15.75" customHeight="1">
      <c r="D584" s="25"/>
      <c r="G584" s="29"/>
      <c r="H584" s="19"/>
      <c r="I584" s="30"/>
    </row>
    <row r="585" spans="4:9" ht="15.75" customHeight="1">
      <c r="D585" s="25"/>
      <c r="G585" s="29"/>
      <c r="H585" s="19"/>
      <c r="I585" s="30"/>
    </row>
    <row r="586" spans="4:9" ht="15.75" customHeight="1">
      <c r="D586" s="25"/>
      <c r="G586" s="29"/>
      <c r="H586" s="19"/>
      <c r="I586" s="30"/>
    </row>
    <row r="587" spans="4:9" ht="15.75" customHeight="1">
      <c r="D587" s="25"/>
      <c r="G587" s="29"/>
      <c r="H587" s="19"/>
      <c r="I587" s="30"/>
    </row>
    <row r="588" spans="4:9" ht="15.75" customHeight="1">
      <c r="D588" s="25"/>
      <c r="G588" s="29"/>
      <c r="H588" s="19"/>
      <c r="I588" s="30"/>
    </row>
    <row r="589" spans="4:9" ht="15.75" customHeight="1">
      <c r="D589" s="25"/>
      <c r="G589" s="29"/>
      <c r="H589" s="19"/>
      <c r="I589" s="30"/>
    </row>
    <row r="590" spans="4:9" ht="15.75" customHeight="1">
      <c r="D590" s="25"/>
      <c r="G590" s="29"/>
      <c r="H590" s="19"/>
      <c r="I590" s="30"/>
    </row>
    <row r="591" spans="4:9" ht="15.75" customHeight="1">
      <c r="D591" s="25"/>
      <c r="G591" s="29"/>
      <c r="H591" s="19"/>
      <c r="I591" s="30"/>
    </row>
    <row r="592" spans="4:9" ht="15.75" customHeight="1">
      <c r="D592" s="25"/>
      <c r="G592" s="29"/>
      <c r="H592" s="19"/>
      <c r="I592" s="30"/>
    </row>
    <row r="593" spans="4:9" ht="15.75" customHeight="1">
      <c r="D593" s="25"/>
      <c r="G593" s="29"/>
      <c r="H593" s="19"/>
      <c r="I593" s="30"/>
    </row>
    <row r="594" spans="4:9" ht="15.75" customHeight="1">
      <c r="D594" s="25"/>
      <c r="G594" s="29"/>
      <c r="H594" s="19"/>
      <c r="I594" s="30"/>
    </row>
    <row r="595" spans="4:9" ht="15.75" customHeight="1">
      <c r="D595" s="25"/>
      <c r="G595" s="29"/>
      <c r="H595" s="19"/>
      <c r="I595" s="30"/>
    </row>
    <row r="596" spans="4:9" ht="15.75" customHeight="1">
      <c r="D596" s="25"/>
      <c r="G596" s="29"/>
      <c r="H596" s="19"/>
      <c r="I596" s="30"/>
    </row>
    <row r="597" spans="4:9" ht="15.75" customHeight="1">
      <c r="D597" s="25"/>
      <c r="G597" s="29"/>
      <c r="H597" s="19"/>
      <c r="I597" s="30"/>
    </row>
    <row r="598" spans="4:9" ht="15.75" customHeight="1">
      <c r="D598" s="25"/>
      <c r="G598" s="29"/>
      <c r="H598" s="19"/>
      <c r="I598" s="30"/>
    </row>
    <row r="599" spans="4:9" ht="15.75" customHeight="1">
      <c r="D599" s="25"/>
      <c r="G599" s="29"/>
      <c r="H599" s="19"/>
      <c r="I599" s="30"/>
    </row>
    <row r="600" spans="4:9" ht="15.75" customHeight="1">
      <c r="D600" s="25"/>
      <c r="G600" s="29"/>
      <c r="H600" s="19"/>
      <c r="I600" s="30"/>
    </row>
    <row r="601" spans="4:9" ht="15.75" customHeight="1">
      <c r="D601" s="25"/>
      <c r="G601" s="29"/>
      <c r="H601" s="19"/>
      <c r="I601" s="30"/>
    </row>
    <row r="602" spans="4:9" ht="15.75" customHeight="1">
      <c r="D602" s="25"/>
      <c r="G602" s="29"/>
      <c r="H602" s="19"/>
      <c r="I602" s="30"/>
    </row>
    <row r="603" spans="4:9" ht="15.75" customHeight="1">
      <c r="D603" s="25"/>
      <c r="G603" s="29"/>
      <c r="H603" s="19"/>
      <c r="I603" s="30"/>
    </row>
    <row r="604" spans="4:9" ht="15.75" customHeight="1">
      <c r="D604" s="25"/>
      <c r="G604" s="29"/>
      <c r="H604" s="19"/>
      <c r="I604" s="30"/>
    </row>
    <row r="605" spans="4:9" ht="15.75" customHeight="1">
      <c r="D605" s="25"/>
      <c r="G605" s="29"/>
      <c r="H605" s="19"/>
      <c r="I605" s="30"/>
    </row>
    <row r="606" spans="4:9" ht="15.75" customHeight="1">
      <c r="D606" s="25"/>
      <c r="G606" s="29"/>
      <c r="H606" s="19"/>
      <c r="I606" s="30"/>
    </row>
    <row r="607" spans="4:9" ht="15.75" customHeight="1">
      <c r="D607" s="25"/>
      <c r="G607" s="29"/>
      <c r="H607" s="19"/>
      <c r="I607" s="30"/>
    </row>
    <row r="608" spans="4:9" ht="15.75" customHeight="1">
      <c r="D608" s="25"/>
      <c r="G608" s="29"/>
      <c r="H608" s="19"/>
      <c r="I608" s="30"/>
    </row>
    <row r="609" spans="4:9" ht="15.75" customHeight="1">
      <c r="D609" s="25"/>
      <c r="G609" s="29"/>
      <c r="H609" s="19"/>
      <c r="I609" s="30"/>
    </row>
    <row r="610" spans="4:9" ht="15.75" customHeight="1">
      <c r="D610" s="25"/>
      <c r="G610" s="29"/>
      <c r="H610" s="19"/>
      <c r="I610" s="30"/>
    </row>
    <row r="611" spans="4:9" ht="15.75" customHeight="1">
      <c r="D611" s="25"/>
      <c r="G611" s="29"/>
      <c r="H611" s="19"/>
      <c r="I611" s="30"/>
    </row>
    <row r="612" spans="4:9" ht="15.75" customHeight="1">
      <c r="D612" s="25"/>
      <c r="G612" s="29"/>
      <c r="H612" s="19"/>
      <c r="I612" s="30"/>
    </row>
    <row r="613" spans="4:9" ht="15.75" customHeight="1">
      <c r="D613" s="25"/>
      <c r="G613" s="29"/>
      <c r="H613" s="19"/>
      <c r="I613" s="30"/>
    </row>
    <row r="614" spans="4:9" ht="15.75" customHeight="1">
      <c r="D614" s="25"/>
      <c r="G614" s="29"/>
      <c r="H614" s="19"/>
      <c r="I614" s="30"/>
    </row>
    <row r="615" spans="4:9" ht="15.75" customHeight="1">
      <c r="D615" s="25"/>
      <c r="G615" s="29"/>
      <c r="H615" s="19"/>
      <c r="I615" s="30"/>
    </row>
    <row r="616" spans="4:9" ht="15.75" customHeight="1">
      <c r="D616" s="25"/>
      <c r="G616" s="29"/>
      <c r="H616" s="19"/>
      <c r="I616" s="30"/>
    </row>
    <row r="617" spans="4:9" ht="15.75" customHeight="1">
      <c r="D617" s="25"/>
      <c r="G617" s="29"/>
      <c r="H617" s="19"/>
      <c r="I617" s="30"/>
    </row>
    <row r="618" spans="4:9" ht="15.75" customHeight="1">
      <c r="D618" s="25"/>
      <c r="G618" s="29"/>
      <c r="H618" s="19"/>
      <c r="I618" s="30"/>
    </row>
    <row r="619" spans="4:9" ht="15.75" customHeight="1">
      <c r="D619" s="25"/>
      <c r="G619" s="29"/>
      <c r="H619" s="19"/>
      <c r="I619" s="30"/>
    </row>
    <row r="620" spans="4:9" ht="15.75" customHeight="1">
      <c r="D620" s="25"/>
      <c r="G620" s="29"/>
      <c r="H620" s="19"/>
      <c r="I620" s="30"/>
    </row>
    <row r="621" spans="4:9" ht="15.75" customHeight="1">
      <c r="D621" s="25"/>
      <c r="G621" s="29"/>
      <c r="H621" s="19"/>
      <c r="I621" s="30"/>
    </row>
    <row r="622" spans="4:9" ht="15.75" customHeight="1">
      <c r="D622" s="25"/>
      <c r="G622" s="29"/>
      <c r="H622" s="19"/>
      <c r="I622" s="30"/>
    </row>
    <row r="623" spans="4:9" ht="15.75" customHeight="1">
      <c r="D623" s="25"/>
      <c r="G623" s="29"/>
      <c r="H623" s="19"/>
      <c r="I623" s="30"/>
    </row>
    <row r="624" spans="4:9" ht="15.75" customHeight="1">
      <c r="D624" s="25"/>
      <c r="G624" s="29"/>
      <c r="H624" s="19"/>
      <c r="I624" s="30"/>
    </row>
    <row r="625" spans="4:9" ht="15.75" customHeight="1">
      <c r="D625" s="25"/>
      <c r="G625" s="29"/>
      <c r="H625" s="19"/>
      <c r="I625" s="30"/>
    </row>
    <row r="626" spans="4:9" ht="15.75" customHeight="1">
      <c r="D626" s="25"/>
      <c r="G626" s="29"/>
      <c r="H626" s="19"/>
      <c r="I626" s="30"/>
    </row>
    <row r="627" spans="4:9" ht="15.75" customHeight="1">
      <c r="D627" s="25"/>
      <c r="G627" s="29"/>
      <c r="H627" s="19"/>
      <c r="I627" s="30"/>
    </row>
    <row r="628" spans="4:9" ht="15.75" customHeight="1">
      <c r="D628" s="25"/>
      <c r="G628" s="29"/>
      <c r="H628" s="19"/>
      <c r="I628" s="30"/>
    </row>
    <row r="629" spans="4:9" ht="15.75" customHeight="1">
      <c r="D629" s="25"/>
      <c r="G629" s="29"/>
      <c r="H629" s="19"/>
      <c r="I629" s="30"/>
    </row>
    <row r="630" spans="4:9" ht="15.75" customHeight="1">
      <c r="D630" s="25"/>
      <c r="G630" s="29"/>
      <c r="H630" s="19"/>
      <c r="I630" s="30"/>
    </row>
    <row r="631" spans="4:9" ht="15.75" customHeight="1">
      <c r="D631" s="25"/>
      <c r="G631" s="29"/>
      <c r="H631" s="19"/>
      <c r="I631" s="30"/>
    </row>
    <row r="632" spans="4:9" ht="15.75" customHeight="1">
      <c r="D632" s="25"/>
      <c r="G632" s="29"/>
      <c r="H632" s="19"/>
      <c r="I632" s="30"/>
    </row>
    <row r="633" spans="4:9" ht="15.75" customHeight="1">
      <c r="D633" s="25"/>
      <c r="G633" s="29"/>
      <c r="H633" s="19"/>
      <c r="I633" s="30"/>
    </row>
    <row r="634" spans="4:9" ht="15.75" customHeight="1">
      <c r="D634" s="25"/>
      <c r="G634" s="29"/>
      <c r="H634" s="19"/>
      <c r="I634" s="30"/>
    </row>
    <row r="635" spans="4:9" ht="15.75" customHeight="1">
      <c r="D635" s="25"/>
      <c r="G635" s="29"/>
      <c r="H635" s="19"/>
      <c r="I635" s="30"/>
    </row>
    <row r="636" spans="4:9" ht="15.75" customHeight="1">
      <c r="D636" s="25"/>
      <c r="G636" s="29"/>
      <c r="H636" s="19"/>
      <c r="I636" s="30"/>
    </row>
    <row r="637" spans="4:9" ht="15.75" customHeight="1">
      <c r="D637" s="25"/>
      <c r="G637" s="29"/>
      <c r="H637" s="19"/>
      <c r="I637" s="30"/>
    </row>
    <row r="638" spans="4:9" ht="15.75" customHeight="1">
      <c r="D638" s="25"/>
      <c r="G638" s="29"/>
      <c r="H638" s="19"/>
      <c r="I638" s="30"/>
    </row>
    <row r="639" spans="4:9" ht="15.75" customHeight="1">
      <c r="D639" s="25"/>
      <c r="G639" s="29"/>
      <c r="H639" s="19"/>
      <c r="I639" s="30"/>
    </row>
    <row r="640" spans="4:9" ht="15.75" customHeight="1">
      <c r="D640" s="25"/>
      <c r="G640" s="29"/>
      <c r="H640" s="19"/>
      <c r="I640" s="30"/>
    </row>
    <row r="641" spans="4:9" ht="15.75" customHeight="1">
      <c r="D641" s="25"/>
      <c r="G641" s="29"/>
      <c r="H641" s="19"/>
      <c r="I641" s="30"/>
    </row>
    <row r="642" spans="4:9" ht="15.75" customHeight="1">
      <c r="D642" s="25"/>
      <c r="G642" s="29"/>
      <c r="H642" s="19"/>
      <c r="I642" s="30"/>
    </row>
    <row r="643" spans="4:9" ht="15.75" customHeight="1">
      <c r="D643" s="25"/>
      <c r="G643" s="29"/>
      <c r="H643" s="19"/>
      <c r="I643" s="30"/>
    </row>
    <row r="644" spans="4:9" ht="15.75" customHeight="1">
      <c r="D644" s="25"/>
      <c r="G644" s="29"/>
      <c r="H644" s="19"/>
      <c r="I644" s="30"/>
    </row>
    <row r="645" spans="4:9" ht="15.75" customHeight="1">
      <c r="D645" s="25"/>
      <c r="G645" s="29"/>
      <c r="H645" s="19"/>
      <c r="I645" s="30"/>
    </row>
    <row r="646" spans="4:9" ht="15.75" customHeight="1">
      <c r="D646" s="25"/>
      <c r="G646" s="29"/>
      <c r="H646" s="19"/>
      <c r="I646" s="30"/>
    </row>
    <row r="647" spans="4:9" ht="15.75" customHeight="1">
      <c r="D647" s="25"/>
      <c r="G647" s="29"/>
      <c r="H647" s="19"/>
      <c r="I647" s="30"/>
    </row>
    <row r="648" spans="4:9" ht="15.75" customHeight="1">
      <c r="D648" s="25"/>
      <c r="G648" s="29"/>
      <c r="H648" s="19"/>
      <c r="I648" s="30"/>
    </row>
    <row r="649" spans="4:9" ht="15.75" customHeight="1">
      <c r="D649" s="25"/>
      <c r="G649" s="29"/>
      <c r="H649" s="19"/>
      <c r="I649" s="30"/>
    </row>
    <row r="650" spans="4:9" ht="15.75" customHeight="1">
      <c r="D650" s="25"/>
      <c r="G650" s="29"/>
      <c r="H650" s="19"/>
      <c r="I650" s="30"/>
    </row>
    <row r="651" spans="4:9" ht="15.75" customHeight="1">
      <c r="D651" s="25"/>
      <c r="G651" s="29"/>
      <c r="H651" s="19"/>
      <c r="I651" s="30"/>
    </row>
    <row r="652" spans="4:9" ht="15.75" customHeight="1">
      <c r="D652" s="25"/>
      <c r="G652" s="29"/>
      <c r="H652" s="19"/>
      <c r="I652" s="30"/>
    </row>
    <row r="653" spans="4:9" ht="15.75" customHeight="1">
      <c r="D653" s="25"/>
      <c r="G653" s="29"/>
      <c r="H653" s="19"/>
      <c r="I653" s="30"/>
    </row>
    <row r="654" spans="4:9" ht="15.75" customHeight="1">
      <c r="D654" s="25"/>
      <c r="G654" s="29"/>
      <c r="H654" s="19"/>
      <c r="I654" s="30"/>
    </row>
    <row r="655" spans="4:9" ht="15.75" customHeight="1">
      <c r="D655" s="25"/>
      <c r="G655" s="29"/>
      <c r="H655" s="19"/>
      <c r="I655" s="30"/>
    </row>
    <row r="656" spans="4:9" ht="15.75" customHeight="1">
      <c r="D656" s="25"/>
      <c r="G656" s="29"/>
      <c r="H656" s="19"/>
      <c r="I656" s="30"/>
    </row>
    <row r="657" spans="4:9" ht="15.75" customHeight="1">
      <c r="D657" s="25"/>
      <c r="G657" s="29"/>
      <c r="H657" s="19"/>
      <c r="I657" s="30"/>
    </row>
    <row r="658" spans="4:9" ht="15.75" customHeight="1">
      <c r="D658" s="25"/>
      <c r="G658" s="29"/>
      <c r="H658" s="19"/>
      <c r="I658" s="30"/>
    </row>
    <row r="659" spans="4:9" ht="15.75" customHeight="1">
      <c r="D659" s="25"/>
      <c r="G659" s="29"/>
      <c r="H659" s="19"/>
      <c r="I659" s="30"/>
    </row>
    <row r="660" spans="4:9" ht="15.75" customHeight="1">
      <c r="D660" s="25"/>
      <c r="G660" s="29"/>
      <c r="H660" s="19"/>
      <c r="I660" s="30"/>
    </row>
    <row r="661" spans="4:9" ht="15.75" customHeight="1">
      <c r="D661" s="25"/>
      <c r="G661" s="29"/>
      <c r="H661" s="19"/>
      <c r="I661" s="30"/>
    </row>
    <row r="662" spans="4:9" ht="15.75" customHeight="1">
      <c r="D662" s="25"/>
      <c r="G662" s="29"/>
      <c r="H662" s="19"/>
      <c r="I662" s="30"/>
    </row>
    <row r="663" spans="4:9" ht="15.75" customHeight="1">
      <c r="D663" s="25"/>
      <c r="G663" s="29"/>
      <c r="H663" s="19"/>
      <c r="I663" s="30"/>
    </row>
    <row r="664" spans="4:9" ht="15.75" customHeight="1">
      <c r="D664" s="25"/>
      <c r="G664" s="29"/>
      <c r="H664" s="19"/>
      <c r="I664" s="30"/>
    </row>
    <row r="665" spans="4:9" ht="15.75" customHeight="1">
      <c r="D665" s="25"/>
      <c r="G665" s="29"/>
      <c r="H665" s="19"/>
      <c r="I665" s="30"/>
    </row>
    <row r="666" spans="4:9" ht="15.75" customHeight="1">
      <c r="D666" s="25"/>
      <c r="G666" s="29"/>
      <c r="H666" s="19"/>
      <c r="I666" s="30"/>
    </row>
    <row r="667" spans="4:9" ht="15.75" customHeight="1">
      <c r="D667" s="25"/>
      <c r="G667" s="29"/>
      <c r="H667" s="19"/>
      <c r="I667" s="30"/>
    </row>
    <row r="668" spans="4:9" ht="15.75" customHeight="1">
      <c r="D668" s="25"/>
      <c r="G668" s="29"/>
      <c r="H668" s="19"/>
      <c r="I668" s="30"/>
    </row>
    <row r="669" spans="4:9" ht="15.75" customHeight="1">
      <c r="D669" s="25"/>
      <c r="G669" s="29"/>
      <c r="H669" s="19"/>
      <c r="I669" s="30"/>
    </row>
    <row r="670" spans="4:9" ht="15.75" customHeight="1">
      <c r="D670" s="25"/>
      <c r="G670" s="29"/>
      <c r="H670" s="19"/>
      <c r="I670" s="30"/>
    </row>
    <row r="671" spans="4:9" ht="15.75" customHeight="1">
      <c r="D671" s="25"/>
      <c r="G671" s="29"/>
      <c r="H671" s="19"/>
      <c r="I671" s="30"/>
    </row>
    <row r="672" spans="4:9" ht="15.75" customHeight="1">
      <c r="D672" s="25"/>
      <c r="G672" s="29"/>
      <c r="H672" s="19"/>
      <c r="I672" s="30"/>
    </row>
    <row r="673" spans="4:9" ht="15.75" customHeight="1">
      <c r="D673" s="25"/>
      <c r="G673" s="29"/>
      <c r="H673" s="19"/>
      <c r="I673" s="30"/>
    </row>
    <row r="674" spans="4:9" ht="15.75" customHeight="1">
      <c r="D674" s="25"/>
      <c r="G674" s="29"/>
      <c r="H674" s="19"/>
      <c r="I674" s="30"/>
    </row>
    <row r="675" spans="4:9" ht="15.75" customHeight="1">
      <c r="D675" s="25"/>
      <c r="G675" s="29"/>
      <c r="H675" s="19"/>
      <c r="I675" s="30"/>
    </row>
    <row r="676" spans="4:9" ht="15.75" customHeight="1">
      <c r="D676" s="25"/>
      <c r="G676" s="29"/>
      <c r="H676" s="19"/>
      <c r="I676" s="30"/>
    </row>
    <row r="677" spans="4:9" ht="15.75" customHeight="1">
      <c r="D677" s="25"/>
      <c r="G677" s="29"/>
      <c r="H677" s="19"/>
      <c r="I677" s="30"/>
    </row>
    <row r="678" spans="4:9" ht="15.75" customHeight="1">
      <c r="D678" s="25"/>
      <c r="G678" s="29"/>
      <c r="H678" s="19"/>
      <c r="I678" s="30"/>
    </row>
    <row r="679" spans="4:9" ht="15.75" customHeight="1">
      <c r="D679" s="25"/>
      <c r="G679" s="29"/>
      <c r="H679" s="19"/>
      <c r="I679" s="30"/>
    </row>
    <row r="680" spans="4:9" ht="15.75" customHeight="1">
      <c r="D680" s="25"/>
      <c r="G680" s="29"/>
      <c r="H680" s="19"/>
      <c r="I680" s="30"/>
    </row>
    <row r="681" spans="4:9" ht="15.75" customHeight="1">
      <c r="D681" s="25"/>
      <c r="G681" s="29"/>
      <c r="H681" s="19"/>
      <c r="I681" s="30"/>
    </row>
    <row r="682" spans="4:9" ht="15.75" customHeight="1">
      <c r="D682" s="25"/>
      <c r="G682" s="29"/>
      <c r="H682" s="19"/>
      <c r="I682" s="30"/>
    </row>
    <row r="683" spans="4:9" ht="15.75" customHeight="1">
      <c r="D683" s="25"/>
      <c r="G683" s="29"/>
      <c r="H683" s="19"/>
      <c r="I683" s="30"/>
    </row>
    <row r="684" spans="4:9" ht="15.75" customHeight="1">
      <c r="D684" s="25"/>
      <c r="G684" s="29"/>
      <c r="H684" s="19"/>
      <c r="I684" s="30"/>
    </row>
    <row r="685" spans="4:9" ht="15.75" customHeight="1">
      <c r="D685" s="25"/>
      <c r="G685" s="29"/>
      <c r="H685" s="19"/>
      <c r="I685" s="30"/>
    </row>
    <row r="686" spans="4:9" ht="15.75" customHeight="1">
      <c r="D686" s="25"/>
      <c r="G686" s="29"/>
      <c r="H686" s="19"/>
      <c r="I686" s="30"/>
    </row>
    <row r="687" spans="4:9" ht="15.75" customHeight="1">
      <c r="D687" s="25"/>
      <c r="G687" s="29"/>
      <c r="H687" s="19"/>
      <c r="I687" s="30"/>
    </row>
    <row r="688" spans="4:9" ht="15.75" customHeight="1">
      <c r="D688" s="25"/>
      <c r="G688" s="29"/>
      <c r="H688" s="19"/>
      <c r="I688" s="30"/>
    </row>
    <row r="689" spans="4:9" ht="15.75" customHeight="1">
      <c r="D689" s="25"/>
      <c r="G689" s="29"/>
      <c r="H689" s="19"/>
      <c r="I689" s="30"/>
    </row>
    <row r="690" spans="4:9" ht="15.75" customHeight="1">
      <c r="D690" s="25"/>
      <c r="G690" s="29"/>
      <c r="H690" s="19"/>
      <c r="I690" s="30"/>
    </row>
    <row r="691" spans="4:9" ht="15.75" customHeight="1">
      <c r="D691" s="25"/>
      <c r="G691" s="29"/>
      <c r="H691" s="19"/>
      <c r="I691" s="30"/>
    </row>
    <row r="692" spans="4:9" ht="15.75" customHeight="1">
      <c r="D692" s="25"/>
      <c r="G692" s="29"/>
      <c r="H692" s="19"/>
      <c r="I692" s="30"/>
    </row>
    <row r="693" spans="4:9" ht="15.75" customHeight="1">
      <c r="D693" s="25"/>
      <c r="G693" s="29"/>
      <c r="H693" s="19"/>
      <c r="I693" s="30"/>
    </row>
    <row r="694" spans="4:9" ht="15.75" customHeight="1">
      <c r="D694" s="25"/>
      <c r="G694" s="29"/>
      <c r="H694" s="19"/>
      <c r="I694" s="30"/>
    </row>
    <row r="695" spans="4:9" ht="15.75" customHeight="1">
      <c r="D695" s="25"/>
      <c r="G695" s="29"/>
      <c r="H695" s="19"/>
      <c r="I695" s="30"/>
    </row>
    <row r="696" spans="4:9" ht="15.75" customHeight="1">
      <c r="D696" s="25"/>
      <c r="G696" s="29"/>
      <c r="H696" s="19"/>
      <c r="I696" s="30"/>
    </row>
    <row r="697" spans="4:9" ht="15.75" customHeight="1">
      <c r="D697" s="25"/>
      <c r="G697" s="29"/>
      <c r="H697" s="19"/>
      <c r="I697" s="30"/>
    </row>
    <row r="698" spans="4:9" ht="15.75" customHeight="1">
      <c r="D698" s="25"/>
      <c r="G698" s="29"/>
      <c r="H698" s="19"/>
      <c r="I698" s="30"/>
    </row>
    <row r="699" spans="4:9" ht="15.75" customHeight="1">
      <c r="D699" s="25"/>
      <c r="G699" s="29"/>
      <c r="H699" s="19"/>
      <c r="I699" s="30"/>
    </row>
    <row r="700" spans="4:9" ht="15.75" customHeight="1">
      <c r="D700" s="25"/>
      <c r="G700" s="29"/>
      <c r="H700" s="19"/>
      <c r="I700" s="30"/>
    </row>
    <row r="701" spans="4:9" ht="15.75" customHeight="1">
      <c r="D701" s="25"/>
      <c r="G701" s="29"/>
      <c r="H701" s="19"/>
      <c r="I701" s="30"/>
    </row>
    <row r="702" spans="4:9" ht="15.75" customHeight="1">
      <c r="D702" s="25"/>
      <c r="G702" s="29"/>
      <c r="H702" s="19"/>
      <c r="I702" s="30"/>
    </row>
    <row r="703" spans="4:9" ht="15.75" customHeight="1">
      <c r="D703" s="25"/>
      <c r="G703" s="29"/>
      <c r="H703" s="19"/>
      <c r="I703" s="30"/>
    </row>
    <row r="704" spans="4:9" ht="15.75" customHeight="1">
      <c r="D704" s="25"/>
      <c r="G704" s="29"/>
      <c r="H704" s="19"/>
      <c r="I704" s="30"/>
    </row>
    <row r="705" spans="4:9" ht="15.75" customHeight="1">
      <c r="D705" s="25"/>
      <c r="G705" s="29"/>
      <c r="H705" s="19"/>
      <c r="I705" s="30"/>
    </row>
    <row r="706" spans="4:9" ht="15.75" customHeight="1">
      <c r="D706" s="25"/>
      <c r="G706" s="29"/>
      <c r="H706" s="19"/>
      <c r="I706" s="30"/>
    </row>
    <row r="707" spans="4:9" ht="15.75" customHeight="1">
      <c r="D707" s="25"/>
      <c r="G707" s="29"/>
      <c r="H707" s="19"/>
      <c r="I707" s="30"/>
    </row>
    <row r="708" spans="4:9" ht="15.75" customHeight="1">
      <c r="D708" s="25"/>
      <c r="G708" s="29"/>
      <c r="H708" s="19"/>
      <c r="I708" s="30"/>
    </row>
    <row r="709" spans="4:9" ht="15.75" customHeight="1">
      <c r="D709" s="25"/>
      <c r="G709" s="29"/>
      <c r="H709" s="19"/>
      <c r="I709" s="30"/>
    </row>
    <row r="710" spans="4:9" ht="15.75" customHeight="1">
      <c r="D710" s="25"/>
      <c r="G710" s="29"/>
      <c r="H710" s="19"/>
      <c r="I710" s="30"/>
    </row>
    <row r="711" spans="4:9" ht="15.75" customHeight="1">
      <c r="D711" s="25"/>
      <c r="G711" s="29"/>
      <c r="H711" s="19"/>
      <c r="I711" s="30"/>
    </row>
    <row r="712" spans="4:9" ht="15.75" customHeight="1">
      <c r="D712" s="25"/>
      <c r="G712" s="29"/>
      <c r="H712" s="19"/>
      <c r="I712" s="30"/>
    </row>
    <row r="713" spans="4:9" ht="15.75" customHeight="1">
      <c r="D713" s="25"/>
      <c r="G713" s="29"/>
      <c r="H713" s="19"/>
      <c r="I713" s="30"/>
    </row>
    <row r="714" spans="4:9" ht="15.75" customHeight="1">
      <c r="D714" s="25"/>
      <c r="G714" s="29"/>
      <c r="H714" s="19"/>
      <c r="I714" s="30"/>
    </row>
    <row r="715" spans="4:9" ht="15.75" customHeight="1">
      <c r="D715" s="25"/>
      <c r="G715" s="29"/>
      <c r="H715" s="19"/>
      <c r="I715" s="30"/>
    </row>
    <row r="716" spans="4:9" ht="15.75" customHeight="1">
      <c r="D716" s="25"/>
      <c r="G716" s="29"/>
      <c r="H716" s="19"/>
      <c r="I716" s="30"/>
    </row>
    <row r="717" spans="4:9" ht="15.75" customHeight="1">
      <c r="D717" s="25"/>
      <c r="G717" s="29"/>
      <c r="H717" s="19"/>
      <c r="I717" s="30"/>
    </row>
    <row r="718" spans="4:9" ht="15.75" customHeight="1">
      <c r="D718" s="25"/>
      <c r="G718" s="29"/>
      <c r="H718" s="19"/>
      <c r="I718" s="30"/>
    </row>
    <row r="719" spans="4:9" ht="15.75" customHeight="1">
      <c r="D719" s="25"/>
      <c r="G719" s="29"/>
      <c r="H719" s="19"/>
      <c r="I719" s="30"/>
    </row>
    <row r="720" spans="4:9" ht="15.75" customHeight="1">
      <c r="D720" s="25"/>
      <c r="G720" s="29"/>
      <c r="H720" s="19"/>
      <c r="I720" s="30"/>
    </row>
    <row r="721" spans="4:9" ht="15.75" customHeight="1">
      <c r="D721" s="25"/>
      <c r="G721" s="29"/>
      <c r="H721" s="19"/>
      <c r="I721" s="30"/>
    </row>
    <row r="722" spans="4:9" ht="15.75" customHeight="1">
      <c r="D722" s="25"/>
      <c r="G722" s="29"/>
      <c r="H722" s="19"/>
      <c r="I722" s="30"/>
    </row>
    <row r="723" spans="4:9" ht="15.75" customHeight="1">
      <c r="D723" s="25"/>
      <c r="G723" s="29"/>
      <c r="H723" s="19"/>
      <c r="I723" s="30"/>
    </row>
    <row r="724" spans="4:9" ht="15.75" customHeight="1">
      <c r="D724" s="25"/>
      <c r="G724" s="29"/>
      <c r="H724" s="19"/>
      <c r="I724" s="30"/>
    </row>
    <row r="725" spans="4:9" ht="15.75" customHeight="1">
      <c r="D725" s="25"/>
      <c r="G725" s="29"/>
      <c r="H725" s="19"/>
      <c r="I725" s="30"/>
    </row>
    <row r="726" spans="4:9" ht="15.75" customHeight="1">
      <c r="D726" s="25"/>
      <c r="G726" s="29"/>
      <c r="H726" s="19"/>
      <c r="I726" s="30"/>
    </row>
    <row r="727" spans="4:9" ht="15.75" customHeight="1">
      <c r="D727" s="25"/>
      <c r="G727" s="29"/>
      <c r="H727" s="19"/>
      <c r="I727" s="30"/>
    </row>
    <row r="728" spans="4:9" ht="15.75" customHeight="1">
      <c r="D728" s="25"/>
      <c r="G728" s="29"/>
      <c r="H728" s="19"/>
      <c r="I728" s="30"/>
    </row>
    <row r="729" spans="4:9" ht="15.75" customHeight="1">
      <c r="D729" s="25"/>
      <c r="G729" s="29"/>
      <c r="H729" s="19"/>
      <c r="I729" s="30"/>
    </row>
    <row r="730" spans="4:9" ht="15.75" customHeight="1">
      <c r="D730" s="25"/>
      <c r="G730" s="29"/>
      <c r="H730" s="19"/>
      <c r="I730" s="30"/>
    </row>
    <row r="731" spans="4:9" ht="15.75" customHeight="1">
      <c r="D731" s="25"/>
      <c r="G731" s="29"/>
      <c r="H731" s="19"/>
      <c r="I731" s="30"/>
    </row>
    <row r="732" spans="4:9" ht="15.75" customHeight="1">
      <c r="D732" s="25"/>
      <c r="G732" s="29"/>
      <c r="H732" s="19"/>
      <c r="I732" s="30"/>
    </row>
    <row r="733" spans="4:9" ht="15.75" customHeight="1">
      <c r="D733" s="25"/>
      <c r="G733" s="29"/>
      <c r="H733" s="19"/>
      <c r="I733" s="30"/>
    </row>
    <row r="734" spans="4:9" ht="15.75" customHeight="1">
      <c r="D734" s="25"/>
      <c r="G734" s="29"/>
      <c r="H734" s="19"/>
      <c r="I734" s="30"/>
    </row>
    <row r="735" spans="4:9" ht="15.75" customHeight="1">
      <c r="D735" s="25"/>
      <c r="G735" s="29"/>
      <c r="H735" s="19"/>
      <c r="I735" s="30"/>
    </row>
    <row r="736" spans="4:9" ht="15.75" customHeight="1">
      <c r="D736" s="25"/>
      <c r="G736" s="29"/>
      <c r="H736" s="19"/>
      <c r="I736" s="30"/>
    </row>
    <row r="737" spans="4:9" ht="15.75" customHeight="1">
      <c r="D737" s="25"/>
      <c r="G737" s="29"/>
      <c r="H737" s="19"/>
      <c r="I737" s="30"/>
    </row>
    <row r="738" spans="4:9" ht="15.75" customHeight="1">
      <c r="D738" s="25"/>
      <c r="G738" s="29"/>
      <c r="H738" s="19"/>
      <c r="I738" s="30"/>
    </row>
    <row r="739" spans="4:9" ht="15.75" customHeight="1">
      <c r="D739" s="25"/>
      <c r="G739" s="29"/>
      <c r="H739" s="19"/>
      <c r="I739" s="30"/>
    </row>
    <row r="740" spans="4:9" ht="15.75" customHeight="1">
      <c r="D740" s="25"/>
      <c r="G740" s="29"/>
      <c r="H740" s="19"/>
      <c r="I740" s="30"/>
    </row>
    <row r="741" spans="4:9" ht="15.75" customHeight="1">
      <c r="D741" s="25"/>
      <c r="G741" s="29"/>
      <c r="H741" s="19"/>
      <c r="I741" s="30"/>
    </row>
    <row r="742" spans="4:9" ht="15.75" customHeight="1">
      <c r="D742" s="25"/>
      <c r="G742" s="29"/>
      <c r="H742" s="19"/>
      <c r="I742" s="30"/>
    </row>
    <row r="743" spans="4:9" ht="15.75" customHeight="1">
      <c r="D743" s="25"/>
      <c r="G743" s="29"/>
      <c r="H743" s="19"/>
      <c r="I743" s="30"/>
    </row>
    <row r="744" spans="4:9" ht="15.75" customHeight="1">
      <c r="D744" s="25"/>
      <c r="G744" s="29"/>
      <c r="H744" s="19"/>
      <c r="I744" s="30"/>
    </row>
    <row r="745" spans="4:9" ht="15.75" customHeight="1">
      <c r="D745" s="25"/>
      <c r="G745" s="29"/>
      <c r="H745" s="19"/>
      <c r="I745" s="30"/>
    </row>
    <row r="746" spans="4:9" ht="15.75" customHeight="1">
      <c r="D746" s="25"/>
      <c r="G746" s="29"/>
      <c r="H746" s="19"/>
      <c r="I746" s="30"/>
    </row>
    <row r="747" spans="4:9" ht="15.75" customHeight="1">
      <c r="D747" s="25"/>
      <c r="G747" s="29"/>
      <c r="H747" s="19"/>
      <c r="I747" s="30"/>
    </row>
    <row r="748" spans="4:9" ht="15.75" customHeight="1">
      <c r="D748" s="25"/>
      <c r="G748" s="29"/>
      <c r="H748" s="19"/>
      <c r="I748" s="30"/>
    </row>
    <row r="749" spans="4:9" ht="15.75" customHeight="1">
      <c r="D749" s="25"/>
      <c r="G749" s="29"/>
      <c r="H749" s="19"/>
      <c r="I749" s="30"/>
    </row>
    <row r="750" spans="4:9" ht="15.75" customHeight="1">
      <c r="D750" s="25"/>
      <c r="G750" s="29"/>
      <c r="H750" s="19"/>
      <c r="I750" s="30"/>
    </row>
    <row r="751" spans="4:9" ht="15.75" customHeight="1">
      <c r="D751" s="25"/>
      <c r="G751" s="29"/>
      <c r="H751" s="19"/>
      <c r="I751" s="30"/>
    </row>
    <row r="752" spans="4:9" ht="15.75" customHeight="1">
      <c r="D752" s="25"/>
      <c r="G752" s="29"/>
      <c r="H752" s="19"/>
      <c r="I752" s="30"/>
    </row>
    <row r="753" spans="4:9" ht="15.75" customHeight="1">
      <c r="D753" s="25"/>
      <c r="G753" s="29"/>
      <c r="H753" s="19"/>
      <c r="I753" s="30"/>
    </row>
    <row r="754" spans="4:9" ht="15.75" customHeight="1">
      <c r="D754" s="25"/>
      <c r="G754" s="29"/>
      <c r="H754" s="19"/>
      <c r="I754" s="30"/>
    </row>
    <row r="755" spans="4:9" ht="15.75" customHeight="1">
      <c r="D755" s="25"/>
      <c r="G755" s="29"/>
      <c r="H755" s="19"/>
      <c r="I755" s="30"/>
    </row>
    <row r="756" spans="4:9" ht="15.75" customHeight="1">
      <c r="D756" s="25"/>
      <c r="G756" s="29"/>
      <c r="H756" s="19"/>
      <c r="I756" s="30"/>
    </row>
    <row r="757" spans="4:9" ht="15.75" customHeight="1">
      <c r="D757" s="25"/>
      <c r="G757" s="29"/>
      <c r="H757" s="19"/>
      <c r="I757" s="30"/>
    </row>
    <row r="758" spans="4:9" ht="15.75" customHeight="1">
      <c r="D758" s="25"/>
      <c r="G758" s="29"/>
      <c r="H758" s="19"/>
      <c r="I758" s="30"/>
    </row>
    <row r="759" spans="4:9" ht="15.75" customHeight="1">
      <c r="D759" s="25"/>
      <c r="G759" s="29"/>
      <c r="H759" s="19"/>
      <c r="I759" s="30"/>
    </row>
    <row r="760" spans="4:9" ht="15.75" customHeight="1">
      <c r="D760" s="25"/>
      <c r="G760" s="29"/>
      <c r="H760" s="19"/>
      <c r="I760" s="30"/>
    </row>
    <row r="761" spans="4:9" ht="15.75" customHeight="1">
      <c r="D761" s="25"/>
      <c r="G761" s="29"/>
      <c r="H761" s="19"/>
      <c r="I761" s="30"/>
    </row>
    <row r="762" spans="4:9" ht="15.75" customHeight="1">
      <c r="D762" s="25"/>
      <c r="G762" s="29"/>
      <c r="H762" s="19"/>
      <c r="I762" s="30"/>
    </row>
    <row r="763" spans="4:9" ht="15.75" customHeight="1">
      <c r="D763" s="25"/>
      <c r="G763" s="29"/>
      <c r="H763" s="19"/>
      <c r="I763" s="30"/>
    </row>
    <row r="764" spans="4:9" ht="15.75" customHeight="1">
      <c r="D764" s="25"/>
      <c r="G764" s="29"/>
      <c r="H764" s="19"/>
      <c r="I764" s="30"/>
    </row>
    <row r="765" spans="4:9" ht="15.75" customHeight="1">
      <c r="D765" s="25"/>
      <c r="G765" s="29"/>
      <c r="H765" s="19"/>
      <c r="I765" s="30"/>
    </row>
    <row r="766" spans="4:9" ht="15.75" customHeight="1">
      <c r="D766" s="25"/>
      <c r="G766" s="29"/>
      <c r="H766" s="19"/>
      <c r="I766" s="30"/>
    </row>
    <row r="767" spans="4:9" ht="15.75" customHeight="1">
      <c r="D767" s="25"/>
      <c r="G767" s="29"/>
      <c r="H767" s="19"/>
      <c r="I767" s="30"/>
    </row>
    <row r="768" spans="4:9" ht="15.75" customHeight="1">
      <c r="D768" s="25"/>
      <c r="G768" s="29"/>
      <c r="H768" s="19"/>
      <c r="I768" s="30"/>
    </row>
    <row r="769" spans="4:9" ht="15.75" customHeight="1">
      <c r="D769" s="25"/>
      <c r="G769" s="29"/>
      <c r="H769" s="19"/>
      <c r="I769" s="30"/>
    </row>
    <row r="770" spans="4:9" ht="15.75" customHeight="1">
      <c r="D770" s="25"/>
      <c r="G770" s="29"/>
      <c r="H770" s="19"/>
      <c r="I770" s="30"/>
    </row>
    <row r="771" spans="4:9" ht="15.75" customHeight="1">
      <c r="D771" s="25"/>
      <c r="G771" s="29"/>
      <c r="H771" s="19"/>
      <c r="I771" s="30"/>
    </row>
    <row r="772" spans="4:9" ht="15.75" customHeight="1">
      <c r="D772" s="25"/>
      <c r="G772" s="29"/>
      <c r="H772" s="19"/>
      <c r="I772" s="30"/>
    </row>
    <row r="773" spans="4:9" ht="15.75" customHeight="1">
      <c r="D773" s="25"/>
      <c r="G773" s="29"/>
      <c r="H773" s="19"/>
      <c r="I773" s="30"/>
    </row>
    <row r="774" spans="4:9" ht="15.75" customHeight="1">
      <c r="D774" s="25"/>
      <c r="G774" s="29"/>
      <c r="H774" s="19"/>
      <c r="I774" s="30"/>
    </row>
    <row r="775" spans="4:9" ht="15.75" customHeight="1">
      <c r="D775" s="25"/>
      <c r="G775" s="29"/>
      <c r="H775" s="19"/>
      <c r="I775" s="30"/>
    </row>
    <row r="776" spans="4:9" ht="15.75" customHeight="1">
      <c r="D776" s="25"/>
      <c r="G776" s="29"/>
      <c r="H776" s="19"/>
      <c r="I776" s="30"/>
    </row>
    <row r="777" spans="4:9" ht="15.75" customHeight="1">
      <c r="D777" s="25"/>
      <c r="G777" s="29"/>
      <c r="H777" s="19"/>
      <c r="I777" s="30"/>
    </row>
    <row r="778" spans="4:9" ht="15.75" customHeight="1">
      <c r="D778" s="25"/>
      <c r="G778" s="29"/>
      <c r="H778" s="19"/>
      <c r="I778" s="30"/>
    </row>
    <row r="779" spans="4:9" ht="15.75" customHeight="1">
      <c r="D779" s="25"/>
      <c r="G779" s="29"/>
      <c r="H779" s="19"/>
      <c r="I779" s="30"/>
    </row>
    <row r="780" spans="4:9" ht="15.75" customHeight="1">
      <c r="D780" s="25"/>
      <c r="G780" s="29"/>
      <c r="H780" s="19"/>
      <c r="I780" s="30"/>
    </row>
    <row r="781" spans="4:9" ht="15.75" customHeight="1">
      <c r="D781" s="25"/>
      <c r="G781" s="29"/>
      <c r="H781" s="19"/>
      <c r="I781" s="30"/>
    </row>
    <row r="782" spans="4:9" ht="15.75" customHeight="1">
      <c r="D782" s="25"/>
      <c r="G782" s="29"/>
      <c r="H782" s="19"/>
      <c r="I782" s="30"/>
    </row>
    <row r="783" spans="4:9" ht="15.75" customHeight="1">
      <c r="D783" s="25"/>
      <c r="G783" s="29"/>
      <c r="H783" s="19"/>
      <c r="I783" s="30"/>
    </row>
    <row r="784" spans="4:9" ht="15.75" customHeight="1">
      <c r="D784" s="25"/>
      <c r="G784" s="29"/>
      <c r="H784" s="19"/>
      <c r="I784" s="30"/>
    </row>
    <row r="785" spans="4:9" ht="15.75" customHeight="1">
      <c r="D785" s="25"/>
      <c r="G785" s="29"/>
      <c r="H785" s="19"/>
      <c r="I785" s="30"/>
    </row>
    <row r="786" spans="4:9" ht="15.75" customHeight="1">
      <c r="D786" s="25"/>
      <c r="G786" s="29"/>
      <c r="H786" s="19"/>
      <c r="I786" s="30"/>
    </row>
    <row r="787" spans="4:9" ht="15.75" customHeight="1">
      <c r="D787" s="25"/>
      <c r="G787" s="29"/>
      <c r="H787" s="19"/>
      <c r="I787" s="30"/>
    </row>
    <row r="788" spans="4:9" ht="15.75" customHeight="1">
      <c r="D788" s="25"/>
      <c r="G788" s="29"/>
      <c r="H788" s="19"/>
      <c r="I788" s="30"/>
    </row>
    <row r="789" spans="4:9" ht="15.75" customHeight="1">
      <c r="D789" s="25"/>
      <c r="G789" s="29"/>
      <c r="H789" s="19"/>
      <c r="I789" s="30"/>
    </row>
    <row r="790" spans="4:9" ht="15.75" customHeight="1">
      <c r="D790" s="25"/>
      <c r="G790" s="29"/>
      <c r="H790" s="19"/>
      <c r="I790" s="30"/>
    </row>
    <row r="791" spans="4:9" ht="15.75" customHeight="1">
      <c r="D791" s="25"/>
      <c r="G791" s="29"/>
      <c r="H791" s="19"/>
      <c r="I791" s="30"/>
    </row>
    <row r="792" spans="4:9" ht="15.75" customHeight="1">
      <c r="D792" s="25"/>
      <c r="G792" s="29"/>
      <c r="H792" s="19"/>
      <c r="I792" s="30"/>
    </row>
    <row r="793" spans="4:9" ht="15.75" customHeight="1">
      <c r="D793" s="25"/>
      <c r="G793" s="29"/>
      <c r="H793" s="19"/>
      <c r="I793" s="30"/>
    </row>
    <row r="794" spans="4:9" ht="15.75" customHeight="1">
      <c r="D794" s="25"/>
      <c r="G794" s="29"/>
      <c r="H794" s="19"/>
      <c r="I794" s="30"/>
    </row>
    <row r="795" spans="4:9" ht="15.75" customHeight="1">
      <c r="D795" s="25"/>
      <c r="G795" s="29"/>
      <c r="H795" s="19"/>
      <c r="I795" s="30"/>
    </row>
    <row r="796" spans="4:9" ht="15.75" customHeight="1">
      <c r="D796" s="25"/>
      <c r="G796" s="29"/>
      <c r="H796" s="19"/>
      <c r="I796" s="30"/>
    </row>
    <row r="797" spans="4:9" ht="15.75" customHeight="1">
      <c r="D797" s="25"/>
      <c r="G797" s="29"/>
      <c r="H797" s="19"/>
      <c r="I797" s="30"/>
    </row>
    <row r="798" spans="4:9" ht="15.75" customHeight="1">
      <c r="D798" s="25"/>
      <c r="G798" s="29"/>
      <c r="H798" s="19"/>
      <c r="I798" s="30"/>
    </row>
    <row r="799" spans="4:9" ht="15.75" customHeight="1">
      <c r="D799" s="25"/>
      <c r="G799" s="29"/>
      <c r="H799" s="19"/>
      <c r="I799" s="30"/>
    </row>
    <row r="800" spans="4:9" ht="15.75" customHeight="1">
      <c r="D800" s="25"/>
      <c r="G800" s="29"/>
      <c r="H800" s="19"/>
      <c r="I800" s="30"/>
    </row>
    <row r="801" spans="4:9" ht="15.75" customHeight="1">
      <c r="D801" s="25"/>
      <c r="G801" s="29"/>
      <c r="H801" s="19"/>
      <c r="I801" s="30"/>
    </row>
    <row r="802" spans="4:9" ht="15.75" customHeight="1">
      <c r="D802" s="25"/>
      <c r="G802" s="29"/>
      <c r="H802" s="19"/>
      <c r="I802" s="30"/>
    </row>
    <row r="803" spans="4:9" ht="15.75" customHeight="1">
      <c r="D803" s="25"/>
      <c r="G803" s="29"/>
      <c r="H803" s="19"/>
      <c r="I803" s="30"/>
    </row>
    <row r="804" spans="4:9" ht="15.75" customHeight="1">
      <c r="D804" s="25"/>
      <c r="G804" s="29"/>
      <c r="H804" s="19"/>
      <c r="I804" s="30"/>
    </row>
    <row r="805" spans="4:9" ht="15.75" customHeight="1">
      <c r="D805" s="25"/>
      <c r="G805" s="29"/>
      <c r="H805" s="19"/>
      <c r="I805" s="30"/>
    </row>
    <row r="806" spans="4:9" ht="15.75" customHeight="1">
      <c r="D806" s="25"/>
      <c r="G806" s="29"/>
      <c r="H806" s="19"/>
      <c r="I806" s="30"/>
    </row>
    <row r="807" spans="4:9" ht="15.75" customHeight="1">
      <c r="D807" s="25"/>
      <c r="G807" s="29"/>
      <c r="H807" s="19"/>
      <c r="I807" s="30"/>
    </row>
    <row r="808" spans="4:9" ht="15.75" customHeight="1">
      <c r="D808" s="25"/>
      <c r="G808" s="29"/>
      <c r="H808" s="19"/>
      <c r="I808" s="30"/>
    </row>
    <row r="809" spans="4:9" ht="15.75" customHeight="1">
      <c r="D809" s="25"/>
      <c r="G809" s="29"/>
      <c r="H809" s="19"/>
      <c r="I809" s="30"/>
    </row>
    <row r="810" spans="4:9" ht="15.75" customHeight="1">
      <c r="D810" s="25"/>
      <c r="G810" s="29"/>
      <c r="H810" s="19"/>
      <c r="I810" s="30"/>
    </row>
    <row r="811" spans="4:9" ht="15.75" customHeight="1">
      <c r="D811" s="25"/>
      <c r="G811" s="29"/>
      <c r="H811" s="19"/>
      <c r="I811" s="30"/>
    </row>
    <row r="812" spans="4:9" ht="15.75" customHeight="1">
      <c r="D812" s="25"/>
      <c r="G812" s="29"/>
      <c r="H812" s="19"/>
      <c r="I812" s="30"/>
    </row>
    <row r="813" spans="4:9" ht="15.75" customHeight="1">
      <c r="D813" s="25"/>
      <c r="G813" s="29"/>
      <c r="H813" s="19"/>
      <c r="I813" s="30"/>
    </row>
    <row r="814" spans="4:9" ht="15.75" customHeight="1">
      <c r="D814" s="25"/>
      <c r="G814" s="29"/>
      <c r="H814" s="19"/>
      <c r="I814" s="30"/>
    </row>
    <row r="815" spans="4:9" ht="15.75" customHeight="1">
      <c r="D815" s="25"/>
      <c r="G815" s="29"/>
      <c r="H815" s="19"/>
      <c r="I815" s="30"/>
    </row>
    <row r="816" spans="4:9" ht="15.75" customHeight="1">
      <c r="D816" s="25"/>
      <c r="G816" s="29"/>
      <c r="H816" s="19"/>
      <c r="I816" s="30"/>
    </row>
    <row r="817" spans="4:9" ht="15.75" customHeight="1">
      <c r="D817" s="25"/>
      <c r="G817" s="29"/>
      <c r="H817" s="19"/>
      <c r="I817" s="30"/>
    </row>
    <row r="818" spans="4:9" ht="15.75" customHeight="1">
      <c r="D818" s="25"/>
      <c r="G818" s="29"/>
      <c r="H818" s="19"/>
      <c r="I818" s="30"/>
    </row>
    <row r="819" spans="4:9" ht="15.75" customHeight="1">
      <c r="D819" s="25"/>
      <c r="G819" s="29"/>
      <c r="H819" s="19"/>
      <c r="I819" s="30"/>
    </row>
    <row r="820" spans="4:9" ht="15.75" customHeight="1">
      <c r="D820" s="25"/>
      <c r="G820" s="29"/>
      <c r="H820" s="19"/>
      <c r="I820" s="30"/>
    </row>
    <row r="821" spans="4:9" ht="15.75" customHeight="1">
      <c r="D821" s="25"/>
      <c r="G821" s="29"/>
      <c r="H821" s="19"/>
      <c r="I821" s="30"/>
    </row>
    <row r="822" spans="4:9" ht="15.75" customHeight="1">
      <c r="D822" s="25"/>
      <c r="G822" s="29"/>
      <c r="H822" s="19"/>
      <c r="I822" s="30"/>
    </row>
    <row r="823" spans="4:9" ht="15.75" customHeight="1">
      <c r="D823" s="25"/>
      <c r="G823" s="29"/>
      <c r="H823" s="19"/>
      <c r="I823" s="30"/>
    </row>
    <row r="824" spans="4:9" ht="15.75" customHeight="1">
      <c r="D824" s="25"/>
      <c r="G824" s="29"/>
      <c r="H824" s="19"/>
      <c r="I824" s="30"/>
    </row>
    <row r="825" spans="4:9" ht="15.75" customHeight="1">
      <c r="D825" s="25"/>
      <c r="G825" s="29"/>
      <c r="H825" s="19"/>
      <c r="I825" s="30"/>
    </row>
    <row r="826" spans="4:9" ht="15.75" customHeight="1">
      <c r="D826" s="25"/>
      <c r="G826" s="29"/>
      <c r="H826" s="19"/>
      <c r="I826" s="30"/>
    </row>
    <row r="827" spans="4:9" ht="15.75" customHeight="1">
      <c r="D827" s="25"/>
      <c r="G827" s="29"/>
      <c r="H827" s="19"/>
      <c r="I827" s="30"/>
    </row>
    <row r="828" spans="4:9" ht="15.75" customHeight="1">
      <c r="D828" s="25"/>
      <c r="G828" s="29"/>
      <c r="H828" s="19"/>
      <c r="I828" s="30"/>
    </row>
    <row r="829" spans="4:9" ht="15.75" customHeight="1">
      <c r="D829" s="25"/>
      <c r="G829" s="29"/>
      <c r="H829" s="19"/>
      <c r="I829" s="30"/>
    </row>
    <row r="830" spans="4:9" ht="15.75" customHeight="1">
      <c r="D830" s="25"/>
      <c r="G830" s="29"/>
      <c r="H830" s="19"/>
      <c r="I830" s="30"/>
    </row>
    <row r="831" spans="4:9" ht="15.75" customHeight="1">
      <c r="D831" s="25"/>
      <c r="G831" s="29"/>
      <c r="H831" s="19"/>
      <c r="I831" s="30"/>
    </row>
    <row r="832" spans="4:9" ht="15.75" customHeight="1">
      <c r="D832" s="25"/>
      <c r="G832" s="29"/>
      <c r="H832" s="19"/>
      <c r="I832" s="30"/>
    </row>
    <row r="833" spans="4:9" ht="15.75" customHeight="1">
      <c r="D833" s="25"/>
      <c r="G833" s="29"/>
      <c r="H833" s="19"/>
      <c r="I833" s="30"/>
    </row>
    <row r="834" spans="4:9" ht="15.75" customHeight="1">
      <c r="D834" s="25"/>
      <c r="G834" s="29"/>
      <c r="H834" s="19"/>
      <c r="I834" s="30"/>
    </row>
    <row r="835" spans="4:9" ht="15.75" customHeight="1">
      <c r="D835" s="25"/>
      <c r="G835" s="29"/>
      <c r="H835" s="19"/>
      <c r="I835" s="30"/>
    </row>
    <row r="836" spans="4:9" ht="15.75" customHeight="1">
      <c r="D836" s="25"/>
      <c r="G836" s="29"/>
      <c r="H836" s="19"/>
      <c r="I836" s="30"/>
    </row>
    <row r="837" spans="4:9" ht="15.75" customHeight="1">
      <c r="D837" s="25"/>
      <c r="G837" s="29"/>
      <c r="H837" s="19"/>
      <c r="I837" s="30"/>
    </row>
    <row r="838" spans="4:9" ht="15.75" customHeight="1">
      <c r="D838" s="25"/>
      <c r="G838" s="29"/>
      <c r="H838" s="19"/>
      <c r="I838" s="30"/>
    </row>
    <row r="839" spans="4:9" ht="15.75" customHeight="1">
      <c r="D839" s="25"/>
      <c r="G839" s="29"/>
      <c r="H839" s="19"/>
      <c r="I839" s="30"/>
    </row>
    <row r="840" spans="4:9" ht="15.75" customHeight="1">
      <c r="D840" s="25"/>
      <c r="G840" s="29"/>
      <c r="H840" s="19"/>
      <c r="I840" s="30"/>
    </row>
    <row r="841" spans="4:9" ht="15.75" customHeight="1">
      <c r="D841" s="25"/>
      <c r="G841" s="29"/>
      <c r="H841" s="19"/>
      <c r="I841" s="30"/>
    </row>
    <row r="842" spans="4:9" ht="15.75" customHeight="1">
      <c r="D842" s="25"/>
      <c r="G842" s="29"/>
      <c r="H842" s="19"/>
      <c r="I842" s="30"/>
    </row>
    <row r="843" spans="4:9" ht="15.75" customHeight="1">
      <c r="D843" s="25"/>
      <c r="G843" s="29"/>
      <c r="H843" s="19"/>
      <c r="I843" s="30"/>
    </row>
    <row r="844" spans="4:9" ht="15.75" customHeight="1">
      <c r="D844" s="25"/>
      <c r="G844" s="29"/>
      <c r="H844" s="19"/>
      <c r="I844" s="30"/>
    </row>
    <row r="845" spans="4:9" ht="15.75" customHeight="1">
      <c r="D845" s="25"/>
      <c r="G845" s="29"/>
      <c r="H845" s="19"/>
      <c r="I845" s="30"/>
    </row>
    <row r="846" spans="4:9" ht="15.75" customHeight="1">
      <c r="D846" s="25"/>
      <c r="G846" s="29"/>
      <c r="H846" s="19"/>
      <c r="I846" s="30"/>
    </row>
    <row r="847" spans="4:9" ht="15.75" customHeight="1">
      <c r="D847" s="25"/>
      <c r="G847" s="29"/>
      <c r="H847" s="19"/>
      <c r="I847" s="30"/>
    </row>
    <row r="848" spans="4:9" ht="15.75" customHeight="1">
      <c r="D848" s="25"/>
      <c r="G848" s="29"/>
      <c r="H848" s="19"/>
      <c r="I848" s="30"/>
    </row>
    <row r="849" spans="4:9" ht="15.75" customHeight="1">
      <c r="D849" s="25"/>
      <c r="G849" s="29"/>
      <c r="H849" s="19"/>
      <c r="I849" s="30"/>
    </row>
    <row r="850" spans="4:9" ht="15.75" customHeight="1">
      <c r="D850" s="25"/>
      <c r="G850" s="29"/>
      <c r="H850" s="19"/>
      <c r="I850" s="30"/>
    </row>
    <row r="851" spans="4:9" ht="15.75" customHeight="1">
      <c r="D851" s="25"/>
      <c r="G851" s="29"/>
      <c r="H851" s="19"/>
      <c r="I851" s="30"/>
    </row>
    <row r="852" spans="4:9" ht="15.75" customHeight="1">
      <c r="D852" s="25"/>
      <c r="G852" s="29"/>
      <c r="H852" s="19"/>
      <c r="I852" s="30"/>
    </row>
    <row r="853" spans="4:9" ht="15.75" customHeight="1">
      <c r="D853" s="25"/>
      <c r="G853" s="29"/>
      <c r="H853" s="19"/>
      <c r="I853" s="30"/>
    </row>
    <row r="854" spans="4:9" ht="15.75" customHeight="1">
      <c r="D854" s="25"/>
      <c r="G854" s="29"/>
      <c r="H854" s="19"/>
      <c r="I854" s="30"/>
    </row>
    <row r="855" spans="4:9" ht="15.75" customHeight="1">
      <c r="D855" s="25"/>
      <c r="G855" s="29"/>
      <c r="H855" s="19"/>
      <c r="I855" s="30"/>
    </row>
    <row r="856" spans="4:9" ht="15.75" customHeight="1">
      <c r="D856" s="25"/>
      <c r="G856" s="29"/>
      <c r="H856" s="19"/>
      <c r="I856" s="30"/>
    </row>
    <row r="857" spans="4:9" ht="15.75" customHeight="1">
      <c r="D857" s="25"/>
      <c r="G857" s="29"/>
      <c r="H857" s="19"/>
      <c r="I857" s="30"/>
    </row>
    <row r="858" spans="4:9" ht="15.75" customHeight="1">
      <c r="D858" s="25"/>
      <c r="G858" s="29"/>
      <c r="H858" s="19"/>
      <c r="I858" s="30"/>
    </row>
    <row r="859" spans="4:9" ht="15.75" customHeight="1">
      <c r="D859" s="25"/>
      <c r="G859" s="29"/>
      <c r="H859" s="19"/>
      <c r="I859" s="30"/>
    </row>
    <row r="860" spans="4:9" ht="15.75" customHeight="1">
      <c r="D860" s="25"/>
      <c r="G860" s="29"/>
      <c r="H860" s="19"/>
      <c r="I860" s="30"/>
    </row>
    <row r="861" spans="4:9" ht="15.75" customHeight="1">
      <c r="D861" s="25"/>
      <c r="G861" s="29"/>
      <c r="H861" s="19"/>
      <c r="I861" s="30"/>
    </row>
    <row r="862" spans="4:9" ht="15.75" customHeight="1">
      <c r="D862" s="25"/>
      <c r="G862" s="29"/>
      <c r="H862" s="19"/>
      <c r="I862" s="30"/>
    </row>
    <row r="863" spans="4:9" ht="15.75" customHeight="1">
      <c r="D863" s="25"/>
      <c r="G863" s="29"/>
      <c r="H863" s="19"/>
      <c r="I863" s="30"/>
    </row>
    <row r="864" spans="4:9" ht="15.75" customHeight="1">
      <c r="D864" s="25"/>
      <c r="G864" s="29"/>
      <c r="H864" s="19"/>
      <c r="I864" s="30"/>
    </row>
    <row r="865" spans="4:9" ht="15.75" customHeight="1">
      <c r="D865" s="25"/>
      <c r="G865" s="29"/>
      <c r="H865" s="19"/>
      <c r="I865" s="30"/>
    </row>
    <row r="866" spans="4:9" ht="15.75" customHeight="1">
      <c r="D866" s="25"/>
      <c r="G866" s="29"/>
      <c r="H866" s="19"/>
      <c r="I866" s="30"/>
    </row>
    <row r="867" spans="4:9" ht="15.75" customHeight="1">
      <c r="D867" s="25"/>
      <c r="G867" s="29"/>
      <c r="H867" s="19"/>
      <c r="I867" s="30"/>
    </row>
    <row r="868" spans="4:9" ht="15.75" customHeight="1">
      <c r="D868" s="25"/>
      <c r="G868" s="29"/>
      <c r="H868" s="19"/>
      <c r="I868" s="30"/>
    </row>
    <row r="869" spans="4:9" ht="15.75" customHeight="1">
      <c r="D869" s="25"/>
      <c r="G869" s="29"/>
      <c r="H869" s="19"/>
      <c r="I869" s="30"/>
    </row>
    <row r="870" spans="4:9" ht="15.75" customHeight="1">
      <c r="D870" s="25"/>
      <c r="G870" s="29"/>
      <c r="H870" s="19"/>
      <c r="I870" s="30"/>
    </row>
    <row r="871" spans="4:9" ht="15.75" customHeight="1">
      <c r="D871" s="25"/>
      <c r="G871" s="29"/>
      <c r="H871" s="19"/>
      <c r="I871" s="30"/>
    </row>
    <row r="872" spans="4:9" ht="15.75" customHeight="1">
      <c r="D872" s="25"/>
      <c r="G872" s="29"/>
      <c r="H872" s="19"/>
      <c r="I872" s="30"/>
    </row>
    <row r="873" spans="4:9" ht="15.75" customHeight="1">
      <c r="D873" s="25"/>
      <c r="G873" s="29"/>
      <c r="H873" s="19"/>
      <c r="I873" s="30"/>
    </row>
    <row r="874" spans="4:9" ht="15.75" customHeight="1">
      <c r="D874" s="25"/>
      <c r="G874" s="29"/>
      <c r="H874" s="19"/>
      <c r="I874" s="30"/>
    </row>
    <row r="875" spans="4:9" ht="15.75" customHeight="1">
      <c r="D875" s="25"/>
      <c r="G875" s="29"/>
      <c r="H875" s="19"/>
      <c r="I875" s="30"/>
    </row>
    <row r="876" spans="4:9" ht="15.75" customHeight="1">
      <c r="D876" s="25"/>
      <c r="G876" s="29"/>
      <c r="H876" s="19"/>
      <c r="I876" s="30"/>
    </row>
    <row r="877" spans="4:9" ht="15.75" customHeight="1">
      <c r="D877" s="25"/>
      <c r="G877" s="29"/>
      <c r="H877" s="19"/>
      <c r="I877" s="30"/>
    </row>
    <row r="878" spans="4:9" ht="15.75" customHeight="1">
      <c r="D878" s="25"/>
      <c r="G878" s="29"/>
      <c r="H878" s="19"/>
      <c r="I878" s="30"/>
    </row>
    <row r="879" spans="4:9" ht="15.75" customHeight="1">
      <c r="D879" s="25"/>
      <c r="G879" s="29"/>
      <c r="H879" s="19"/>
      <c r="I879" s="30"/>
    </row>
    <row r="880" spans="4:9" ht="15.75" customHeight="1">
      <c r="D880" s="25"/>
      <c r="G880" s="29"/>
      <c r="H880" s="19"/>
      <c r="I880" s="30"/>
    </row>
    <row r="881" spans="4:9" ht="15.75" customHeight="1">
      <c r="D881" s="25"/>
      <c r="G881" s="29"/>
      <c r="H881" s="19"/>
      <c r="I881" s="30"/>
    </row>
    <row r="882" spans="4:9" ht="15.75" customHeight="1">
      <c r="D882" s="25"/>
      <c r="G882" s="29"/>
      <c r="H882" s="19"/>
      <c r="I882" s="30"/>
    </row>
    <row r="883" spans="4:9" ht="15.75" customHeight="1">
      <c r="D883" s="25"/>
      <c r="G883" s="29"/>
      <c r="H883" s="19"/>
      <c r="I883" s="30"/>
    </row>
    <row r="884" spans="4:9" ht="15.75" customHeight="1">
      <c r="D884" s="25"/>
      <c r="G884" s="29"/>
      <c r="H884" s="19"/>
      <c r="I884" s="30"/>
    </row>
    <row r="885" spans="4:9" ht="15.75" customHeight="1">
      <c r="D885" s="25"/>
      <c r="G885" s="29"/>
      <c r="H885" s="19"/>
      <c r="I885" s="30"/>
    </row>
    <row r="886" spans="4:9" ht="15.75" customHeight="1">
      <c r="D886" s="25"/>
      <c r="G886" s="29"/>
      <c r="H886" s="19"/>
      <c r="I886" s="30"/>
    </row>
    <row r="887" spans="4:9" ht="15.75" customHeight="1">
      <c r="D887" s="25"/>
      <c r="G887" s="29"/>
      <c r="H887" s="19"/>
      <c r="I887" s="30"/>
    </row>
    <row r="888" spans="4:9" ht="15.75" customHeight="1">
      <c r="D888" s="25"/>
      <c r="G888" s="29"/>
      <c r="H888" s="19"/>
      <c r="I888" s="30"/>
    </row>
    <row r="889" spans="4:9" ht="15.75" customHeight="1">
      <c r="D889" s="25"/>
      <c r="G889" s="29"/>
      <c r="H889" s="19"/>
      <c r="I889" s="30"/>
    </row>
    <row r="890" spans="4:9" ht="15.75" customHeight="1">
      <c r="D890" s="25"/>
      <c r="G890" s="29"/>
      <c r="H890" s="19"/>
      <c r="I890" s="30"/>
    </row>
    <row r="891" spans="4:9" ht="15.75" customHeight="1">
      <c r="D891" s="25"/>
      <c r="G891" s="29"/>
      <c r="H891" s="19"/>
      <c r="I891" s="30"/>
    </row>
    <row r="892" spans="4:9" ht="15.75" customHeight="1">
      <c r="D892" s="25"/>
      <c r="G892" s="29"/>
      <c r="H892" s="19"/>
      <c r="I892" s="30"/>
    </row>
    <row r="893" spans="4:9" ht="15.75" customHeight="1">
      <c r="D893" s="25"/>
      <c r="G893" s="29"/>
      <c r="H893" s="19"/>
      <c r="I893" s="30"/>
    </row>
    <row r="894" spans="4:9" ht="15.75" customHeight="1">
      <c r="D894" s="25"/>
      <c r="G894" s="29"/>
      <c r="H894" s="19"/>
      <c r="I894" s="30"/>
    </row>
    <row r="895" spans="4:9" ht="15.75" customHeight="1">
      <c r="D895" s="25"/>
      <c r="G895" s="29"/>
      <c r="H895" s="19"/>
      <c r="I895" s="30"/>
    </row>
    <row r="896" spans="4:9" ht="15.75" customHeight="1">
      <c r="D896" s="25"/>
      <c r="G896" s="29"/>
      <c r="H896" s="19"/>
      <c r="I896" s="30"/>
    </row>
    <row r="897" spans="4:9" ht="15.75" customHeight="1">
      <c r="D897" s="25"/>
      <c r="G897" s="29"/>
      <c r="H897" s="19"/>
      <c r="I897" s="30"/>
    </row>
    <row r="898" spans="4:9" ht="15.75" customHeight="1">
      <c r="D898" s="25"/>
      <c r="G898" s="29"/>
      <c r="H898" s="19"/>
      <c r="I898" s="30"/>
    </row>
    <row r="899" spans="4:9" ht="15.75" customHeight="1">
      <c r="D899" s="25"/>
      <c r="G899" s="29"/>
      <c r="H899" s="19"/>
      <c r="I899" s="30"/>
    </row>
    <row r="900" spans="4:9" ht="15.75" customHeight="1">
      <c r="D900" s="25"/>
      <c r="G900" s="29"/>
      <c r="H900" s="19"/>
      <c r="I900" s="30"/>
    </row>
    <row r="901" spans="4:9" ht="15.75" customHeight="1">
      <c r="D901" s="25"/>
      <c r="G901" s="29"/>
      <c r="H901" s="19"/>
      <c r="I901" s="30"/>
    </row>
    <row r="902" spans="4:9" ht="15.75" customHeight="1">
      <c r="D902" s="25"/>
      <c r="G902" s="29"/>
      <c r="H902" s="19"/>
      <c r="I902" s="30"/>
    </row>
    <row r="903" spans="4:9" ht="15.75" customHeight="1">
      <c r="D903" s="25"/>
      <c r="G903" s="29"/>
      <c r="H903" s="19"/>
      <c r="I903" s="30"/>
    </row>
    <row r="904" spans="4:9" ht="15.75" customHeight="1">
      <c r="D904" s="25"/>
      <c r="G904" s="29"/>
      <c r="H904" s="19"/>
      <c r="I904" s="30"/>
    </row>
    <row r="905" spans="4:9" ht="15.75" customHeight="1">
      <c r="D905" s="25"/>
      <c r="G905" s="29"/>
      <c r="H905" s="19"/>
      <c r="I905" s="30"/>
    </row>
    <row r="906" spans="4:9" ht="15.75" customHeight="1">
      <c r="D906" s="25"/>
      <c r="G906" s="29"/>
      <c r="H906" s="19"/>
      <c r="I906" s="30"/>
    </row>
    <row r="907" spans="4:9" ht="15.75" customHeight="1">
      <c r="D907" s="25"/>
      <c r="G907" s="29"/>
      <c r="H907" s="19"/>
      <c r="I907" s="30"/>
    </row>
    <row r="908" spans="4:9" ht="15.75" customHeight="1">
      <c r="D908" s="25"/>
      <c r="G908" s="29"/>
      <c r="H908" s="19"/>
      <c r="I908" s="30"/>
    </row>
    <row r="909" spans="4:9" ht="15.75" customHeight="1">
      <c r="D909" s="25"/>
      <c r="G909" s="29"/>
      <c r="H909" s="19"/>
      <c r="I909" s="30"/>
    </row>
    <row r="910" spans="4:9" ht="15.75" customHeight="1">
      <c r="D910" s="25"/>
      <c r="G910" s="29"/>
      <c r="H910" s="19"/>
      <c r="I910" s="30"/>
    </row>
    <row r="911" spans="4:9" ht="15.75" customHeight="1">
      <c r="D911" s="25"/>
      <c r="G911" s="29"/>
      <c r="H911" s="19"/>
      <c r="I911" s="30"/>
    </row>
    <row r="912" spans="4:9" ht="15.75" customHeight="1">
      <c r="D912" s="25"/>
      <c r="G912" s="29"/>
      <c r="H912" s="19"/>
      <c r="I912" s="30"/>
    </row>
    <row r="913" spans="4:9" ht="15.75" customHeight="1">
      <c r="D913" s="25"/>
      <c r="G913" s="29"/>
      <c r="H913" s="19"/>
      <c r="I913" s="30"/>
    </row>
    <row r="914" spans="4:9" ht="15.75" customHeight="1">
      <c r="D914" s="25"/>
      <c r="G914" s="29"/>
      <c r="H914" s="19"/>
      <c r="I914" s="30"/>
    </row>
    <row r="915" spans="4:9" ht="15.75" customHeight="1">
      <c r="D915" s="25"/>
      <c r="G915" s="29"/>
      <c r="H915" s="19"/>
      <c r="I915" s="30"/>
    </row>
    <row r="916" spans="4:9" ht="15.75" customHeight="1">
      <c r="D916" s="25"/>
      <c r="G916" s="29"/>
      <c r="H916" s="19"/>
      <c r="I916" s="30"/>
    </row>
    <row r="917" spans="4:9" ht="15.75" customHeight="1">
      <c r="D917" s="25"/>
      <c r="G917" s="29"/>
      <c r="H917" s="19"/>
      <c r="I917" s="30"/>
    </row>
    <row r="918" spans="4:9" ht="15.75" customHeight="1">
      <c r="D918" s="25"/>
      <c r="G918" s="29"/>
      <c r="H918" s="19"/>
      <c r="I918" s="30"/>
    </row>
    <row r="919" spans="4:9" ht="15.75" customHeight="1">
      <c r="D919" s="25"/>
      <c r="G919" s="29"/>
      <c r="H919" s="19"/>
      <c r="I919" s="30"/>
    </row>
    <row r="920" spans="4:9" ht="15.75" customHeight="1">
      <c r="D920" s="25"/>
      <c r="G920" s="29"/>
      <c r="H920" s="19"/>
      <c r="I920" s="30"/>
    </row>
    <row r="921" spans="4:9" ht="15.75" customHeight="1">
      <c r="D921" s="25"/>
      <c r="G921" s="29"/>
      <c r="H921" s="19"/>
      <c r="I921" s="30"/>
    </row>
    <row r="922" spans="4:9" ht="15.75" customHeight="1">
      <c r="D922" s="25"/>
      <c r="G922" s="29"/>
      <c r="H922" s="19"/>
      <c r="I922" s="30"/>
    </row>
    <row r="923" spans="4:9" ht="15.75" customHeight="1">
      <c r="D923" s="25"/>
      <c r="G923" s="29"/>
      <c r="H923" s="19"/>
      <c r="I923" s="30"/>
    </row>
    <row r="924" spans="4:9" ht="15.75" customHeight="1">
      <c r="D924" s="25"/>
      <c r="G924" s="29"/>
      <c r="H924" s="19"/>
      <c r="I924" s="30"/>
    </row>
    <row r="925" spans="4:9" ht="15.75" customHeight="1">
      <c r="D925" s="25"/>
      <c r="G925" s="29"/>
      <c r="H925" s="19"/>
      <c r="I925" s="30"/>
    </row>
    <row r="926" spans="4:9" ht="15.75" customHeight="1">
      <c r="D926" s="25"/>
      <c r="G926" s="29"/>
      <c r="H926" s="19"/>
      <c r="I926" s="30"/>
    </row>
    <row r="927" spans="4:9" ht="15.75" customHeight="1">
      <c r="D927" s="25"/>
      <c r="G927" s="29"/>
      <c r="H927" s="19"/>
      <c r="I927" s="30"/>
    </row>
    <row r="928" spans="4:9" ht="15.75" customHeight="1">
      <c r="D928" s="25"/>
      <c r="G928" s="29"/>
      <c r="H928" s="19"/>
      <c r="I928" s="30"/>
    </row>
    <row r="929" spans="4:9" ht="15.75" customHeight="1">
      <c r="D929" s="25"/>
      <c r="G929" s="29"/>
      <c r="H929" s="19"/>
      <c r="I929" s="30"/>
    </row>
    <row r="930" spans="4:9" ht="15.75" customHeight="1">
      <c r="D930" s="25"/>
      <c r="G930" s="29"/>
      <c r="H930" s="19"/>
      <c r="I930" s="30"/>
    </row>
    <row r="931" spans="4:9" ht="15.75" customHeight="1">
      <c r="D931" s="25"/>
      <c r="G931" s="29"/>
      <c r="H931" s="19"/>
      <c r="I931" s="30"/>
    </row>
    <row r="932" spans="4:9" ht="15.75" customHeight="1">
      <c r="D932" s="25"/>
      <c r="G932" s="29"/>
      <c r="H932" s="19"/>
      <c r="I932" s="30"/>
    </row>
    <row r="933" spans="4:9" ht="15.75" customHeight="1">
      <c r="D933" s="25"/>
      <c r="G933" s="29"/>
      <c r="H933" s="19"/>
      <c r="I933" s="30"/>
    </row>
    <row r="934" spans="4:9" ht="15.75" customHeight="1">
      <c r="D934" s="25"/>
      <c r="G934" s="29"/>
      <c r="H934" s="19"/>
      <c r="I934" s="30"/>
    </row>
    <row r="935" spans="4:9" ht="15.75" customHeight="1">
      <c r="D935" s="25"/>
      <c r="G935" s="29"/>
      <c r="H935" s="19"/>
      <c r="I935" s="30"/>
    </row>
    <row r="936" spans="4:9" ht="15.75" customHeight="1">
      <c r="D936" s="25"/>
      <c r="G936" s="29"/>
      <c r="H936" s="19"/>
      <c r="I936" s="30"/>
    </row>
    <row r="937" spans="4:9" ht="15.75" customHeight="1">
      <c r="D937" s="25"/>
      <c r="G937" s="29"/>
      <c r="H937" s="19"/>
      <c r="I937" s="30"/>
    </row>
    <row r="938" spans="4:9" ht="15.75" customHeight="1">
      <c r="D938" s="25"/>
      <c r="G938" s="29"/>
      <c r="H938" s="19"/>
      <c r="I938" s="30"/>
    </row>
    <row r="939" spans="4:9" ht="15.75" customHeight="1">
      <c r="D939" s="25"/>
      <c r="G939" s="29"/>
      <c r="H939" s="19"/>
      <c r="I939" s="30"/>
    </row>
    <row r="940" spans="4:9" ht="15.75" customHeight="1">
      <c r="D940" s="25"/>
      <c r="G940" s="29"/>
      <c r="H940" s="19"/>
      <c r="I940" s="30"/>
    </row>
    <row r="941" spans="4:9" ht="15.75" customHeight="1">
      <c r="D941" s="25"/>
      <c r="G941" s="29"/>
      <c r="H941" s="19"/>
      <c r="I941" s="30"/>
    </row>
    <row r="942" spans="4:9" ht="15.75" customHeight="1">
      <c r="D942" s="25"/>
      <c r="G942" s="29"/>
      <c r="H942" s="19"/>
      <c r="I942" s="30"/>
    </row>
    <row r="943" spans="4:9" ht="15.75" customHeight="1">
      <c r="D943" s="25"/>
      <c r="G943" s="29"/>
      <c r="H943" s="19"/>
      <c r="I943" s="30"/>
    </row>
    <row r="944" spans="4:9" ht="15.75" customHeight="1">
      <c r="D944" s="25"/>
      <c r="G944" s="29"/>
      <c r="H944" s="19"/>
      <c r="I944" s="30"/>
    </row>
    <row r="945" spans="4:9" ht="15.75" customHeight="1">
      <c r="D945" s="25"/>
      <c r="G945" s="29"/>
      <c r="H945" s="19"/>
      <c r="I945" s="30"/>
    </row>
    <row r="946" spans="4:9" ht="15.75" customHeight="1">
      <c r="D946" s="25"/>
      <c r="G946" s="29"/>
      <c r="H946" s="19"/>
      <c r="I946" s="30"/>
    </row>
    <row r="947" spans="4:9" ht="15.75" customHeight="1">
      <c r="D947" s="25"/>
      <c r="G947" s="29"/>
      <c r="H947" s="19"/>
      <c r="I947" s="30"/>
    </row>
    <row r="948" spans="4:9" ht="15.75" customHeight="1">
      <c r="D948" s="25"/>
      <c r="G948" s="29"/>
      <c r="H948" s="19"/>
      <c r="I948" s="30"/>
    </row>
    <row r="949" spans="4:9" ht="15.75" customHeight="1">
      <c r="D949" s="25"/>
      <c r="G949" s="29"/>
      <c r="H949" s="19"/>
      <c r="I949" s="30"/>
    </row>
    <row r="950" spans="4:9" ht="15.75" customHeight="1">
      <c r="D950" s="25"/>
      <c r="G950" s="29"/>
      <c r="H950" s="19"/>
      <c r="I950" s="30"/>
    </row>
    <row r="951" spans="4:9" ht="15.75" customHeight="1">
      <c r="D951" s="25"/>
      <c r="G951" s="29"/>
      <c r="H951" s="19"/>
      <c r="I951" s="30"/>
    </row>
    <row r="952" spans="4:9" ht="15.75" customHeight="1">
      <c r="D952" s="25"/>
      <c r="G952" s="29"/>
      <c r="H952" s="19"/>
      <c r="I952" s="30"/>
    </row>
    <row r="953" spans="4:9" ht="15.75" customHeight="1">
      <c r="D953" s="25"/>
      <c r="G953" s="29"/>
      <c r="H953" s="19"/>
      <c r="I953" s="30"/>
    </row>
    <row r="954" spans="4:9" ht="15.75" customHeight="1">
      <c r="D954" s="25"/>
      <c r="G954" s="29"/>
      <c r="H954" s="19"/>
      <c r="I954" s="30"/>
    </row>
    <row r="955" spans="4:9" ht="15.75" customHeight="1">
      <c r="D955" s="25"/>
      <c r="G955" s="29"/>
      <c r="H955" s="19"/>
      <c r="I955" s="30"/>
    </row>
    <row r="956" spans="4:9" ht="15.75" customHeight="1">
      <c r="D956" s="25"/>
      <c r="G956" s="29"/>
      <c r="H956" s="19"/>
      <c r="I956" s="30"/>
    </row>
    <row r="957" spans="4:9" ht="15.75" customHeight="1">
      <c r="D957" s="25"/>
      <c r="G957" s="29"/>
      <c r="H957" s="19"/>
      <c r="I957" s="30"/>
    </row>
    <row r="958" spans="4:9" ht="15.75" customHeight="1">
      <c r="D958" s="25"/>
      <c r="G958" s="29"/>
      <c r="H958" s="19"/>
      <c r="I958" s="30"/>
    </row>
    <row r="959" spans="4:9" ht="15.75" customHeight="1">
      <c r="D959" s="25"/>
      <c r="G959" s="29"/>
      <c r="H959" s="19"/>
      <c r="I959" s="30"/>
    </row>
    <row r="960" spans="4:9" ht="15.75" customHeight="1">
      <c r="D960" s="25"/>
      <c r="G960" s="29"/>
      <c r="H960" s="19"/>
      <c r="I960" s="30"/>
    </row>
    <row r="961" spans="4:9" ht="15.75" customHeight="1">
      <c r="D961" s="25"/>
      <c r="G961" s="29"/>
      <c r="H961" s="19"/>
      <c r="I961" s="30"/>
    </row>
    <row r="962" spans="4:9" ht="15.75" customHeight="1">
      <c r="D962" s="25"/>
      <c r="G962" s="29"/>
      <c r="H962" s="19"/>
      <c r="I962" s="30"/>
    </row>
    <row r="963" spans="4:9" ht="15.75" customHeight="1">
      <c r="D963" s="25"/>
      <c r="G963" s="29"/>
      <c r="H963" s="19"/>
      <c r="I963" s="30"/>
    </row>
    <row r="964" spans="4:9" ht="15.75" customHeight="1">
      <c r="D964" s="25"/>
      <c r="G964" s="29"/>
      <c r="H964" s="19"/>
      <c r="I964" s="30"/>
    </row>
    <row r="965" spans="4:9" ht="15.75" customHeight="1">
      <c r="D965" s="25"/>
      <c r="G965" s="29"/>
      <c r="H965" s="19"/>
      <c r="I965" s="30"/>
    </row>
    <row r="966" spans="4:9" ht="15.75" customHeight="1">
      <c r="D966" s="25"/>
      <c r="G966" s="29"/>
      <c r="H966" s="19"/>
      <c r="I966" s="30"/>
    </row>
    <row r="967" spans="4:9" ht="15.75" customHeight="1">
      <c r="D967" s="25"/>
      <c r="G967" s="29"/>
      <c r="H967" s="19"/>
      <c r="I967" s="30"/>
    </row>
    <row r="968" spans="4:9" ht="15.75" customHeight="1">
      <c r="D968" s="25"/>
      <c r="G968" s="29"/>
      <c r="H968" s="19"/>
      <c r="I968" s="30"/>
    </row>
    <row r="969" spans="4:9" ht="15.75" customHeight="1">
      <c r="D969" s="25"/>
      <c r="G969" s="29"/>
      <c r="H969" s="19"/>
      <c r="I969" s="30"/>
    </row>
    <row r="970" spans="4:9" ht="15.75" customHeight="1">
      <c r="D970" s="25"/>
      <c r="G970" s="29"/>
      <c r="H970" s="19"/>
      <c r="I970" s="30"/>
    </row>
    <row r="971" spans="4:9" ht="15.75" customHeight="1">
      <c r="D971" s="25"/>
      <c r="G971" s="29"/>
      <c r="H971" s="19"/>
      <c r="I971" s="30"/>
    </row>
    <row r="972" spans="4:9" ht="15.75" customHeight="1">
      <c r="D972" s="25"/>
      <c r="G972" s="29"/>
      <c r="H972" s="19"/>
      <c r="I972" s="30"/>
    </row>
    <row r="973" spans="4:9" ht="15.75" customHeight="1">
      <c r="D973" s="25"/>
      <c r="G973" s="29"/>
      <c r="H973" s="19"/>
      <c r="I973" s="30"/>
    </row>
    <row r="974" spans="4:9" ht="15.75" customHeight="1">
      <c r="D974" s="25"/>
      <c r="G974" s="29"/>
      <c r="H974" s="19"/>
      <c r="I974" s="30"/>
    </row>
    <row r="975" spans="4:9" ht="15.75" customHeight="1">
      <c r="D975" s="25"/>
      <c r="G975" s="29"/>
      <c r="H975" s="19"/>
      <c r="I975" s="30"/>
    </row>
    <row r="976" spans="4:9" ht="15.75" customHeight="1">
      <c r="D976" s="25"/>
      <c r="G976" s="29"/>
      <c r="H976" s="19"/>
      <c r="I976" s="30"/>
    </row>
    <row r="977" spans="4:9" ht="15.75" customHeight="1">
      <c r="D977" s="25"/>
      <c r="G977" s="29"/>
      <c r="H977" s="19"/>
      <c r="I977" s="30"/>
    </row>
    <row r="978" spans="4:9" ht="15.75" customHeight="1">
      <c r="D978" s="25"/>
      <c r="G978" s="29"/>
      <c r="H978" s="19"/>
      <c r="I978" s="30"/>
    </row>
    <row r="979" spans="4:9" ht="15.75" customHeight="1">
      <c r="D979" s="25"/>
      <c r="G979" s="29"/>
      <c r="H979" s="19"/>
      <c r="I979" s="30"/>
    </row>
    <row r="980" spans="4:9" ht="15.75" customHeight="1">
      <c r="D980" s="25"/>
      <c r="G980" s="29"/>
      <c r="H980" s="19"/>
      <c r="I980" s="30"/>
    </row>
    <row r="981" spans="4:9" ht="15.75" customHeight="1">
      <c r="D981" s="25"/>
      <c r="G981" s="29"/>
      <c r="H981" s="19"/>
      <c r="I981" s="30"/>
    </row>
    <row r="982" spans="4:9" ht="15.75" customHeight="1">
      <c r="D982" s="25"/>
      <c r="G982" s="29"/>
      <c r="H982" s="19"/>
      <c r="I982" s="30"/>
    </row>
    <row r="983" spans="4:9" ht="15.75" customHeight="1">
      <c r="D983" s="25"/>
      <c r="G983" s="29"/>
      <c r="H983" s="19"/>
      <c r="I983" s="30"/>
    </row>
    <row r="984" spans="4:9" ht="15.75" customHeight="1">
      <c r="D984" s="25"/>
      <c r="G984" s="29"/>
      <c r="H984" s="19"/>
      <c r="I984" s="30"/>
    </row>
    <row r="985" spans="4:9" ht="15.75" customHeight="1">
      <c r="D985" s="25"/>
      <c r="G985" s="29"/>
      <c r="H985" s="19"/>
      <c r="I985" s="30"/>
    </row>
    <row r="986" spans="4:9" ht="15.75" customHeight="1">
      <c r="D986" s="25"/>
      <c r="G986" s="29"/>
      <c r="H986" s="19"/>
      <c r="I986" s="30"/>
    </row>
    <row r="987" spans="4:9" ht="15.75" customHeight="1">
      <c r="D987" s="25"/>
      <c r="G987" s="29"/>
      <c r="H987" s="19"/>
      <c r="I987" s="30"/>
    </row>
    <row r="988" spans="4:9" ht="15.75" customHeight="1">
      <c r="D988" s="25"/>
      <c r="G988" s="29"/>
      <c r="H988" s="19"/>
      <c r="I988" s="30"/>
    </row>
    <row r="989" spans="4:9" ht="15.75" customHeight="1">
      <c r="D989" s="25"/>
      <c r="G989" s="29"/>
      <c r="H989" s="19"/>
      <c r="I989" s="30"/>
    </row>
    <row r="990" spans="4:9" ht="15.75" customHeight="1">
      <c r="D990" s="25"/>
      <c r="G990" s="29"/>
      <c r="H990" s="19"/>
      <c r="I990" s="30"/>
    </row>
    <row r="991" spans="4:9" ht="15.75" customHeight="1">
      <c r="D991" s="25"/>
      <c r="G991" s="29"/>
      <c r="H991" s="19"/>
      <c r="I991" s="30"/>
    </row>
    <row r="992" spans="4:9" ht="15.75" customHeight="1">
      <c r="D992" s="25"/>
      <c r="G992" s="29"/>
      <c r="H992" s="19"/>
      <c r="I992" s="30"/>
    </row>
    <row r="993" spans="4:9" ht="15.75" customHeight="1">
      <c r="D993" s="25"/>
      <c r="G993" s="29"/>
      <c r="H993" s="19"/>
      <c r="I993" s="30"/>
    </row>
    <row r="994" spans="4:9" ht="15.75" customHeight="1">
      <c r="D994" s="25"/>
      <c r="G994" s="29"/>
      <c r="H994" s="19"/>
      <c r="I994" s="30"/>
    </row>
    <row r="995" spans="4:9" ht="15.75" customHeight="1">
      <c r="D995" s="25"/>
      <c r="G995" s="29"/>
      <c r="H995" s="19"/>
      <c r="I995" s="30"/>
    </row>
    <row r="996" spans="4:9" ht="15.75" customHeight="1">
      <c r="D996" s="25"/>
      <c r="G996" s="29"/>
      <c r="H996" s="19"/>
      <c r="I996" s="30"/>
    </row>
    <row r="997" spans="4:9" ht="15.75" customHeight="1">
      <c r="D997" s="25"/>
      <c r="G997" s="29"/>
      <c r="H997" s="19"/>
      <c r="I997" s="30"/>
    </row>
    <row r="998" spans="4:9" ht="15.75" customHeight="1">
      <c r="D998" s="25"/>
      <c r="G998" s="29"/>
      <c r="H998" s="19"/>
      <c r="I998" s="30"/>
    </row>
    <row r="999" spans="4:9" ht="15.75" customHeight="1">
      <c r="D999" s="25"/>
      <c r="G999" s="29"/>
      <c r="H999" s="19"/>
      <c r="I999" s="30"/>
    </row>
    <row r="1000" spans="4:9" ht="15.75" customHeight="1">
      <c r="D1000" s="25"/>
      <c r="G1000" s="29"/>
      <c r="H1000" s="19"/>
      <c r="I1000" s="30"/>
    </row>
    <row r="1001" spans="4:9" ht="15.75" customHeight="1">
      <c r="D1001" s="25"/>
      <c r="G1001" s="29"/>
      <c r="H1001" s="19"/>
      <c r="I1001" s="30"/>
    </row>
    <row r="1002" spans="4:9" ht="15.75" customHeight="1">
      <c r="D1002" s="25"/>
      <c r="G1002" s="29"/>
      <c r="H1002" s="19"/>
      <c r="I1002" s="30"/>
    </row>
    <row r="1003" spans="4:9" ht="15.75" customHeight="1">
      <c r="D1003" s="25"/>
      <c r="G1003" s="29"/>
      <c r="H1003" s="19"/>
      <c r="I1003" s="30"/>
    </row>
  </sheetData>
  <mergeCells count="1">
    <mergeCell ref="C1:E1"/>
  </mergeCells>
  <phoneticPr fontId="7" type="noConversion"/>
  <hyperlinks>
    <hyperlink ref="G28" r:id="rId1" display="r5245"/>
    <hyperlink ref="F52" r:id="rId2" display="Trig tables"/>
    <hyperlink ref="G39" r:id="rId3" display="r6962"/>
    <hyperlink ref="G29" r:id="rId4" display="r7642"/>
    <hyperlink ref="I77" r:id="rId5" display="r8625"/>
    <hyperlink ref="D41" r:id="rId6" display="Change one thing"/>
    <hyperlink ref="D9" r:id="rId7" display="Index issues"/>
    <hyperlink ref="E9" r:id="rId8" display="Powerful quadratics"/>
    <hyperlink ref="D10" r:id="rId9" display="Ab-surd!"/>
    <hyperlink ref="E10" r:id="rId10" display="Divide and conquer"/>
    <hyperlink ref="F10" r:id="rId11" display="Scary sum"/>
    <hyperlink ref="D11" r:id="rId12" display="Discriminating"/>
    <hyperlink ref="E11" r:id="rId13" display="Name that graph"/>
    <hyperlink ref="F11" r:id="rId14" display="Pick a card"/>
    <hyperlink ref="D12" r:id="rId15" display="Near miss"/>
    <hyperlink ref="E12" r:id="rId16" display="Two-way algebra"/>
    <hyperlink ref="D13" r:id="rId17" display="Inequalities for some occasions"/>
    <hyperlink ref="E13" r:id="rId18" display="Two-way algebra"/>
    <hyperlink ref="D14" r:id="rId19" display="Inequality sets"/>
    <hyperlink ref="D15" r:id="rId20" display="Function builder I"/>
    <hyperlink ref="D16" r:id="rId21" display="Divide it up"/>
    <hyperlink ref="E16" r:id="rId22" display="Function builder II"/>
    <hyperlink ref="D17" r:id="rId23" display="What relation are you?"/>
    <hyperlink ref="D18" r:id="rId24" display="Domain and range dominoes"/>
    <hyperlink ref="D19" r:id="rId25" display="Can you find... cubic edition"/>
    <hyperlink ref="D20" r:id="rId26" display="Absolutely!"/>
    <hyperlink ref="D21" r:id="rId27" display="Translating or not?"/>
    <hyperlink ref="D23" r:id="rId28" display="Picture the process I"/>
    <hyperlink ref="E23" r:id="rId29" display="The equation of a straight line"/>
    <hyperlink ref="D24" r:id="rId30" display="Compose"/>
    <hyperlink ref="D25" r:id="rId31" display="Composing gets me nowhere"/>
    <hyperlink ref="D26" r:id="rId32" display="Name that graph again"/>
    <hyperlink ref="E26" r:id="rId33" display="It's a matter of perspective"/>
    <hyperlink ref="D27" r:id="rId34" display="Transformers"/>
    <hyperlink ref="E27" r:id="rId35" display="Order! Order!"/>
    <hyperlink ref="D28" r:id="rId36" display="Frightening function"/>
    <hyperlink ref="D29" r:id="rId37" display="Keep your distance"/>
    <hyperlink ref="E29" r:id="rId38" display="Picture the process I"/>
    <hyperlink ref="F29" r:id="rId39" display="Picture the process II"/>
    <hyperlink ref="G35" r:id="rId40" display="r5754"/>
    <hyperlink ref="E89" r:id="rId41" display="Integral sorting"/>
    <hyperlink ref="G38" r:id="rId42" display="r7436"/>
  </hyperlinks>
  <pageMargins left="0.75000000000000011" right="0.75000000000000011" top="0.79000000000000015" bottom="0.79000000000000015" header="0.5" footer="0.5"/>
  <pageSetup paperSize="9" scale="65" fitToHeight="3" orientation="landscape" horizontalDpi="4294967292" verticalDpi="4294967292"/>
  <headerFooter>
    <oddHeader>&amp;C&amp;K000000Underground Mathematics resources and the new A level specification</oddHeader>
    <oddFooter>&amp;L&amp;K000000Page &amp;P&amp;C&amp;K000000https://undergroundmathematics.org&amp;R&amp;K000000v2, 14/07/17</oddFooter>
  </headerFooter>
  <drawing r:id="rId43"/>
  <extLst>
    <ext xmlns:mx="http://schemas.microsoft.com/office/mac/excel/2008/main" uri="{64002731-A6B0-56B0-2670-7721B7C09600}">
      <mx:PLV Mode="0" OnePage="0" WScale="6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7" sqref="A17"/>
    </sheetView>
  </sheetViews>
  <sheetFormatPr baseColWidth="10" defaultColWidth="14.5" defaultRowHeight="15.75" customHeight="1" x14ac:dyDescent="0"/>
  <cols>
    <col min="1" max="1" width="127.33203125" customWidth="1"/>
  </cols>
  <sheetData>
    <row r="1" spans="1:1" ht="15.75" customHeight="1">
      <c r="A1" s="6" t="s">
        <v>1</v>
      </c>
    </row>
    <row r="2" spans="1:1" ht="15.75" customHeight="1">
      <c r="A2" s="6" t="s">
        <v>4</v>
      </c>
    </row>
    <row r="3" spans="1:1" ht="15.75" customHeight="1">
      <c r="A3" s="4" t="s">
        <v>5</v>
      </c>
    </row>
    <row r="4" spans="1:1" ht="15.75" customHeight="1">
      <c r="A4" s="6" t="s">
        <v>223</v>
      </c>
    </row>
    <row r="5" spans="1:1" ht="15.75" customHeight="1">
      <c r="A5" s="57"/>
    </row>
    <row r="6" spans="1:1" ht="15.75" customHeight="1">
      <c r="A6" s="6" t="s">
        <v>7</v>
      </c>
    </row>
    <row r="7" spans="1:1" ht="15.75" customHeight="1">
      <c r="A7" s="6" t="s">
        <v>8</v>
      </c>
    </row>
    <row r="8" spans="1:1" ht="15.75" customHeight="1">
      <c r="A8" s="6"/>
    </row>
    <row r="9" spans="1:1" ht="15.75" customHeight="1">
      <c r="A9" s="6" t="s">
        <v>9</v>
      </c>
    </row>
    <row r="10" spans="1:1" ht="15.75" customHeight="1">
      <c r="A10" s="6" t="s">
        <v>10</v>
      </c>
    </row>
    <row r="11" spans="1:1" ht="15.75" customHeight="1">
      <c r="A11" s="6"/>
    </row>
    <row r="12" spans="1:1" ht="15.75" customHeight="1">
      <c r="A12" s="40" t="s">
        <v>227</v>
      </c>
    </row>
    <row r="13" spans="1:1" ht="15.75" customHeight="1">
      <c r="A13" s="8" t="s">
        <v>228</v>
      </c>
    </row>
    <row r="14" spans="1:1" ht="15.75" customHeight="1">
      <c r="A14" s="60" t="s">
        <v>229</v>
      </c>
    </row>
    <row r="15" spans="1:1" ht="15.75" customHeight="1">
      <c r="A15" s="61"/>
    </row>
    <row r="16" spans="1:1" ht="15.75" customHeight="1">
      <c r="A16" s="10">
        <v>42979</v>
      </c>
    </row>
  </sheetData>
  <hyperlinks>
    <hyperlink ref="A3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Notes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Underground Mathematics resources and the new (2017) A level spec</dc:title>
  <dc:subject/>
  <dc:creator>Underground Mathematics</dc:creator>
  <cp:keywords/>
  <dc:description/>
  <cp:lastModifiedBy>Paul Brown</cp:lastModifiedBy>
  <cp:lastPrinted>2017-09-28T12:25:25Z</cp:lastPrinted>
  <dcterms:created xsi:type="dcterms:W3CDTF">2017-07-13T14:47:07Z</dcterms:created>
  <dcterms:modified xsi:type="dcterms:W3CDTF">2017-09-28T12:25:44Z</dcterms:modified>
  <cp:category/>
</cp:coreProperties>
</file>