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Analysis" sheetId="1" state="visible" r:id="rId3"/>
    <sheet name="2000" sheetId="2" state="visible" r:id="rId4"/>
    <sheet name="2004" sheetId="3" state="visible" r:id="rId5"/>
    <sheet name="2008" sheetId="4" state="visible" r:id="rId6"/>
    <sheet name="2012" sheetId="5" state="visible" r:id="rId7"/>
    <sheet name="2016" sheetId="6" state="visible" r:id="rId8"/>
    <sheet name="2020" sheetId="7" state="visible" r:id="rId9"/>
    <sheet name="2024" sheetId="8" state="visible" r:id="rId10"/>
    <sheet name="Histograms" sheetId="9" state="visible" r:id="rId11"/>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<sst xmlns="http://schemas.openxmlformats.org/spreadsheetml/2006/main" count="1048" uniqueCount="488">
  <si>
    <t xml:space="preserve">Presidential Elections in the United States of America in 2004CE and 2020CE</t>
  </si>
  <si>
    <t xml:space="preserve">1. Data</t>
  </si>
  <si>
    <t xml:space="preserve">1.1 Sources</t>
  </si>
  <si>
    <t xml:space="preserve">[1] https://www.presidency.ucsb.edu/statistics/elections/2000,through /2020, retrieved December 13, 2024.</t>
  </si>
  <si>
    <t xml:space="preserve">[2] CNN News, https://www.cnn.com/election/2024</t>
  </si>
  <si>
    <t xml:space="preserve">[3] https://www.worldometers.info/world-population/us-population/</t>
  </si>
  <si>
    <t xml:space="preserve">1.2 Time-series Math Definitions</t>
  </si>
  <si>
    <t xml:space="preserve">D(1) V(i)</t>
  </si>
  <si>
    <t xml:space="preserve">V(i) - V(i-1)</t>
  </si>
  <si>
    <t xml:space="preserve">backward first difference</t>
  </si>
  <si>
    <t xml:space="preserve">D(1,2) V(i)</t>
  </si>
  <si>
    <t xml:space="preserve">0.5*(V(i+1) - V(i-1))</t>
  </si>
  <si>
    <t xml:space="preserve">symmetric first difference</t>
  </si>
  <si>
    <t xml:space="preserve">D(2) V(i)</t>
  </si>
  <si>
    <t xml:space="preserve">V(i+1) + V(i-1)-2 * V(i)</t>
  </si>
  <si>
    <t xml:space="preserve">centered second difference as a measure of novelty</t>
  </si>
  <si>
    <r>
      <rPr>
        <b val="true"/>
        <sz val="10"/>
        <color rgb="FFC9211E"/>
        <rFont val="Arial"/>
        <family val="2"/>
        <charset val="1"/>
      </rPr>
      <t xml:space="preserve">Heuristic definition of excess: Expected number of voters in turbulent intermediate years is estimated using linear model
stretching between end-points. The excess E measures deviation of actual voter count from expected voter count, or E</t>
    </r>
    <r>
      <rPr>
        <b val="true"/>
        <i val="true"/>
        <sz val="10"/>
        <color rgb="FFC9211E"/>
        <rFont val="Arial"/>
        <family val="2"/>
        <charset val="1"/>
      </rPr>
      <t xml:space="preserve">=-0.5*D(2)</t>
    </r>
    <r>
      <rPr>
        <b val="true"/>
        <sz val="10"/>
        <color rgb="FFC9211E"/>
        <rFont val="Arial"/>
        <family val="2"/>
        <charset val="1"/>
      </rPr>
      <t xml:space="preserve">.</t>
    </r>
  </si>
  <si>
    <t xml:space="preserve">Ambiguity: There are two competing linear models, time-series (TS), and Voter-vs-Census (C-weighted). For computaional
simplicity we choose TS one, as that does not require per-state census data. We may choose to use ratio VC/TS as  multiplication
(correction) factor to adjust per-state excess.</t>
  </si>
  <si>
    <t xml:space="preserve">1.3 Census data for Election Years</t>
  </si>
  <si>
    <t xml:space="preserve">Census
Population</t>
  </si>
  <si>
    <t xml:space="preserve">Yearly
Growth Rate</t>
  </si>
  <si>
    <t xml:space="preserve">Regression Estimator</t>
  </si>
  <si>
    <t xml:space="preserve">Year</t>
  </si>
  <si>
    <t xml:space="preserve">Population</t>
  </si>
  <si>
    <t xml:space="preserve">1.4 Voter vs Census Curve</t>
  </si>
  <si>
    <t xml:space="preserve">Voters</t>
  </si>
  <si>
    <t xml:space="preserve">Census</t>
  </si>
  <si>
    <t xml:space="preserve">Two-Term
Growth Rate DV/DC</t>
  </si>
  <si>
    <t xml:space="preserve">Count</t>
  </si>
  <si>
    <t xml:space="preserve">D(1)</t>
  </si>
  <si>
    <t xml:space="preserve">D(1,2)</t>
  </si>
  <si>
    <t xml:space="preserve">Excess / 0.5*D(2)</t>
  </si>
  <si>
    <t xml:space="preserve">DV/DV = </t>
  </si>
  <si>
    <t xml:space="preserve">DC/DC =</t>
  </si>
  <si>
    <t xml:space="preserve">Expected voters in 2024</t>
  </si>
  <si>
    <t xml:space="preserve">Voters vs Census (VC) Curve:All Data Series</t>
  </si>
  <si>
    <t xml:space="preserve">Raw Data</t>
  </si>
  <si>
    <t xml:space="preserve">Time-series Corrected</t>
  </si>
  <si>
    <t xml:space="preserve">VC-corrected</t>
  </si>
  <si>
    <t xml:space="preserve">Error</t>
  </si>
  <si>
    <t xml:space="preserve">C - C(2000)</t>
  </si>
  <si>
    <t xml:space="preserve">V-V(2000)</t>
  </si>
  <si>
    <t xml:space="preserve">Label</t>
  </si>
  <si>
    <t xml:space="preserve">C-C(2000)</t>
  </si>
  <si>
    <t xml:space="preserve">Estimate (TS-VC)</t>
  </si>
  <si>
    <t xml:space="preserve">[TS] Novelty</t>
  </si>
  <si>
    <t xml:space="preserve">Comment</t>
  </si>
  <si>
    <t xml:space="preserve">2000CE</t>
  </si>
  <si>
    <t xml:space="preserve">2004CE</t>
  </si>
  <si>
    <t xml:space="preserve">TS is under-estimate</t>
  </si>
  <si>
    <t xml:space="preserve">2008CE</t>
  </si>
  <si>
    <t xml:space="preserve">2012CE</t>
  </si>
  <si>
    <t xml:space="preserve">2016CE</t>
  </si>
  <si>
    <t xml:space="preserve">2020CE</t>
  </si>
  <si>
    <t xml:space="preserve">TS is over-estimate</t>
  </si>
  <si>
    <t xml:space="preserve">2024CE</t>
  </si>
  <si>
    <r>
      <rPr>
        <b val="true"/>
        <sz val="10"/>
        <rFont val="Arial"/>
        <family val="2"/>
        <charset val="1"/>
      </rPr>
      <t xml:space="preserve">Conclusions: </t>
    </r>
    <r>
      <rPr>
        <sz val="10"/>
        <rFont val="Arial"/>
        <family val="2"/>
        <charset val="1"/>
      </rPr>
      <t xml:space="preserve">There are three regimes from V-C curve: 
</t>
    </r>
    <r>
      <rPr>
        <b val="true"/>
        <sz val="10"/>
        <rFont val="Arial"/>
        <family val="2"/>
        <charset val="1"/>
      </rPr>
      <t xml:space="preserve">2004CE-2008CE</t>
    </r>
    <r>
      <rPr>
        <sz val="10"/>
        <rFont val="Arial"/>
        <family val="2"/>
        <charset val="1"/>
      </rPr>
      <t xml:space="preserve">, turbulent regime, Bush-I and Bush II (pts 1,2,3 in  lot above)
</t>
    </r>
    <r>
      <rPr>
        <b val="true"/>
        <sz val="10"/>
        <rFont val="Arial"/>
        <family val="2"/>
        <charset val="1"/>
      </rPr>
      <t xml:space="preserve">2008CE-2016CE</t>
    </r>
    <r>
      <rPr>
        <sz val="10"/>
        <rFont val="Arial"/>
        <family val="2"/>
        <charset val="1"/>
      </rPr>
      <t xml:space="preserve"> steady regime, Obama-I and Obama-II (points labeled 3,4,5 in plot above)
</t>
    </r>
    <r>
      <rPr>
        <b val="true"/>
        <sz val="10"/>
        <rFont val="Arial"/>
        <family val="2"/>
        <charset val="1"/>
      </rPr>
      <t xml:space="preserve">2016CE-2024CE</t>
    </r>
    <r>
      <rPr>
        <sz val="10"/>
        <rFont val="Arial"/>
        <family val="2"/>
        <charset val="1"/>
      </rPr>
      <t xml:space="preserve"> turbulent regime, Trump-I and Biden (points labeled 5,6,7 in plot above)</t>
    </r>
  </si>
  <si>
    <r>
      <rPr>
        <b val="true"/>
        <sz val="10"/>
        <rFont val="Arial"/>
        <family val="2"/>
        <charset val="1"/>
      </rPr>
      <t xml:space="preserve">Conclusions, cont'd: </t>
    </r>
    <r>
      <rPr>
        <sz val="10"/>
        <rFont val="Arial"/>
        <family val="2"/>
        <charset val="1"/>
      </rPr>
      <t xml:space="preserve">For purpose of this report we focus on intermediate points (2004CE and 2020CE) of turbulent regimes. We are interested
in trends in voter increase vs. population increase.</t>
    </r>
  </si>
  <si>
    <t xml:space="preserve">2. Electoral College Novel Behavior in 2004CE and 2020CE - Federal</t>
  </si>
  <si>
    <t xml:space="preserve">2.1 Time-series (TS) Excess</t>
  </si>
  <si>
    <t xml:space="preserve">Novelty / 0.5*D(2)</t>
  </si>
  <si>
    <r>
      <rPr>
        <b val="true"/>
        <sz val="10"/>
        <rFont val="Arial"/>
        <family val="2"/>
        <charset val="1"/>
      </rPr>
      <t xml:space="preserve">Note: </t>
    </r>
    <r>
      <rPr>
        <sz val="10"/>
        <rFont val="Arial"/>
        <family val="2"/>
        <charset val="1"/>
      </rPr>
      <t xml:space="preserve">This is our primary method for finding voters excess in election years that will be used for remaining of this report.</t>
    </r>
  </si>
  <si>
    <t xml:space="preserve">2.2 C-weighted (C) Excess</t>
  </si>
  <si>
    <t xml:space="preserve">VC Curve: VC-Corrected (VCC) Data Series</t>
  </si>
  <si>
    <t xml:space="preserve">Census  (M)</t>
  </si>
  <si>
    <t xml:space="preserve">Voters (M)</t>
  </si>
  <si>
    <t xml:space="preserve">Excess / D(2)</t>
  </si>
  <si>
    <t xml:space="preserve">VCC: 2004CE</t>
  </si>
  <si>
    <t xml:space="preserve">VCC: 2020CE</t>
  </si>
  <si>
    <r>
      <rPr>
        <b val="true"/>
        <sz val="10"/>
        <rFont val="Arial"/>
        <family val="2"/>
        <charset val="1"/>
      </rPr>
      <t xml:space="preserve">Note: </t>
    </r>
    <r>
      <rPr>
        <sz val="10"/>
        <rFont val="Arial"/>
        <family val="2"/>
        <charset val="1"/>
      </rPr>
      <t xml:space="preserve">We can use ratio of TS-to-C to estimate how much over/under valued TS value is. E.g., for 2004CE, this fudge factor is F=4.8/4=1.2; while for 2020CE, F=11.4/13.6=0.84.
In TS estimates below, thus one could multiply final results with fudge factor to estimate C-correction to the values.</t>
    </r>
  </si>
  <si>
    <t xml:space="preserve">3. Electoral College Novel Behavior - Per State - in 2004CE and 2020CE</t>
  </si>
  <si>
    <t xml:space="preserve">3.1 Excess Outliers Types</t>
  </si>
  <si>
    <t xml:space="preserve">Definitions of Types of Novelty Outliers</t>
  </si>
  <si>
    <t xml:space="preserve">novelty</t>
  </si>
  <si>
    <t xml:space="preserve">If outlier excess is subtracted from state winner democrat, republican wins the state</t>
  </si>
  <si>
    <t xml:space="preserve">anti-novelty</t>
  </si>
  <si>
    <t xml:space="preserve">If outlier excess is subtracted from state winner republican, democrat wins the state</t>
  </si>
  <si>
    <t xml:space="preserve">diffuse</t>
  </si>
  <si>
    <t xml:space="preserve">If outlier excess is subtracted from state winner, winner of state does not change</t>
  </si>
  <si>
    <t xml:space="preserve">3.2 Election Year 2004</t>
  </si>
  <si>
    <t xml:space="preserve">(Enter value to recalculate outlier types) ----------&gt;&gt;&gt; Outlier Threshold </t>
  </si>
  <si>
    <t xml:space="preserve">Excess Outlier Types (see Sec. 3.1)</t>
  </si>
  <si>
    <t xml:space="preserve">OUTLIER EXCESS DESIGNATOR -&gt;</t>
  </si>
  <si>
    <t xml:space="preserve">Election Year Totals</t>
  </si>
  <si>
    <t xml:space="preserve">2004 - Excess</t>
  </si>
  <si>
    <t xml:space="preserve">Is it
novelty?</t>
  </si>
  <si>
    <t xml:space="preserve">Is it
anti-novelty?</t>
  </si>
  <si>
    <t xml:space="preserve">Is it diffuse - either democrat or republican?</t>
  </si>
  <si>
    <t xml:space="preserve">State</t>
  </si>
  <si>
    <t xml:space="preserve">0.5*D(2)</t>
  </si>
  <si>
    <t xml:space="preserve">Outliers</t>
  </si>
  <si>
    <t xml:space="preserve">Regular</t>
  </si>
  <si>
    <t xml:space="preserve">Republican (R)</t>
  </si>
  <si>
    <t xml:space="preserve">Democrat (D)</t>
  </si>
  <si>
    <t xml:space="preserve">D - R</t>
  </si>
  <si>
    <t xml:space="preserve">Totals -&gt;</t>
  </si>
  <si>
    <t xml:space="preserve">Targetedness -&gt;</t>
  </si>
  <si>
    <t xml:space="preserve">Outlier measure (O-AVG)/STDEV-&gt;</t>
  </si>
  <si>
    <t xml:space="preserve">&lt;- Probability of occurence if underlying distribution is normal</t>
  </si>
  <si>
    <t xml:space="preserve">Threshold measure (T-AVG)/STDEV-&gt;</t>
  </si>
  <si>
    <t xml:space="preserve">&lt;- Probability of occurence of novelty below chosen threshold</t>
  </si>
  <si>
    <r>
      <rPr>
        <b val="true"/>
        <sz val="10"/>
        <rFont val="Arial"/>
        <family val="2"/>
        <charset val="1"/>
      </rPr>
      <t xml:space="preserve">Conclusion: </t>
    </r>
    <r>
      <rPr>
        <sz val="10"/>
        <rFont val="Arial"/>
        <family val="2"/>
        <charset val="1"/>
      </rPr>
      <t xml:space="preserve">In 2004 election, threshold for excess outlier is around 0.3M, and it clearly separates two states, Florida and Ohio, from rest of federated states.
Both states went to Republicans, and official outcome of election was Republican victory 286 to 242. Both outliers are of “anti-novelty” type.</t>
    </r>
  </si>
  <si>
    <r>
      <rPr>
        <b val="true"/>
        <sz val="10"/>
        <rFont val="Arial"/>
        <family val="2"/>
        <charset val="1"/>
      </rPr>
      <t xml:space="preserve">Speculation</t>
    </r>
    <r>
      <rPr>
        <sz val="10"/>
        <rFont val="Arial"/>
        <family val="2"/>
        <charset val="1"/>
      </rPr>
      <t xml:space="preserve">: Were this true voter injection, in its absence Democrat challanger would have won national election over incumbent Republican.</t>
    </r>
  </si>
  <si>
    <t xml:space="preserve">3.3 Election Year 2020</t>
  </si>
  <si>
    <t xml:space="preserve">2020 - Excess</t>
  </si>
  <si>
    <r>
      <rPr>
        <b val="true"/>
        <sz val="10"/>
        <rFont val="Arial"/>
        <family val="2"/>
        <charset val="1"/>
      </rPr>
      <t xml:space="preserve">Conclusion: </t>
    </r>
    <r>
      <rPr>
        <sz val="10"/>
        <rFont val="Arial"/>
        <family val="2"/>
        <charset val="1"/>
      </rPr>
      <t xml:space="preserve">In 2020 elections, there were three types of outliers, novelty, anti-novelty and diffuse. Most interestingly, excess outliers appear in battle-ground states (Arizona, Georiga, Michigan and Pennsylvania), and anti-novelty outliers appear in apparently-republican states (Florida, North Carolina, and Texas). Less interesting is that diffuse outliers are states with strong single-party majority (R: Ohio; D: California, Illinois, New Jersey, New York and Washington).</t>
    </r>
  </si>
  <si>
    <r>
      <rPr>
        <b val="true"/>
        <sz val="10"/>
        <rFont val="Arial"/>
        <family val="2"/>
        <charset val="1"/>
      </rPr>
      <t xml:space="preserve">Speculation:</t>
    </r>
    <r>
      <rPr>
        <sz val="10"/>
        <rFont val="Arial"/>
        <family val="2"/>
        <charset val="1"/>
      </rPr>
      <t xml:space="preserve"> This analysis was primarlly motivated by republican reaction to 2020 elections: they fought it in legal and illegal ways. Author surmises that 
republican behavior in last four year is consistent with republicans injecting massive number of votes in 2020 in battle-ground states (novelty is in fact failed anti-novelty), to try to win these states for Trump; and in apparently republican states to prevent republican defeat, not just of Trump, but also of FL/DeSantis and TX/Abbot.</t>
    </r>
  </si>
  <si>
    <t xml:space="preserve">Total</t>
  </si>
  <si>
    <t xml:space="preserve">State </t>
  </si>
  <si>
    <t xml:space="preserve">Electoral
Votes</t>
  </si>
  <si>
    <t xml:space="preserve">State Total</t>
  </si>
  <si>
    <t xml:space="preserve">Republican</t>
  </si>
  <si>
    <t xml:space="preserve">Democrat</t>
  </si>
  <si>
    <t xml:space="preserve">Other</t>
  </si>
  <si>
    <t xml:space="preserve">Vote Count</t>
  </si>
  <si>
    <t xml:space="preserve">Percentage</t>
  </si>
  <si>
    <t xml:space="preserve">Electoral Votes</t>
  </si>
  <si>
    <t xml:space="preserve">Alabama</t>
  </si>
  <si>
    <t xml:space="preserve">Alaska</t>
  </si>
  <si>
    <t xml:space="preserve">Arizona</t>
  </si>
  <si>
    <t xml:space="preserve">Arkansas</t>
  </si>
  <si>
    <t xml:space="preserve">California</t>
  </si>
  <si>
    <t xml:space="preserve">Colorado</t>
  </si>
  <si>
    <t xml:space="preserve">Connecticut</t>
  </si>
  <si>
    <t xml:space="preserve">Delaware</t>
  </si>
  <si>
    <t xml:space="preserve">Dist. of Col.*</t>
  </si>
  <si>
    <t xml:space="preserve">2*</t>
  </si>
  <si>
    <t xml:space="preserve">Florida</t>
  </si>
  <si>
    <t xml:space="preserve">Georgia</t>
  </si>
  <si>
    <t xml:space="preserve">Hawaii</t>
  </si>
  <si>
    <t xml:space="preserve">Idaho</t>
  </si>
  <si>
    <t xml:space="preserve">Illinois</t>
  </si>
  <si>
    <t xml:space="preserve">Indiana</t>
  </si>
  <si>
    <t xml:space="preserve">Iowa</t>
  </si>
  <si>
    <t xml:space="preserve">Kansas</t>
  </si>
  <si>
    <t xml:space="preserve">Kentucky</t>
  </si>
  <si>
    <t xml:space="preserve">Louisiana</t>
  </si>
  <si>
    <t xml:space="preserve">Maine</t>
  </si>
  <si>
    <t xml:space="preserve">Maryland</t>
  </si>
  <si>
    <t xml:space="preserve">Massachusetts</t>
  </si>
  <si>
    <t xml:space="preserve">Michigan</t>
  </si>
  <si>
    <t xml:space="preserve">Minnesota</t>
  </si>
  <si>
    <t xml:space="preserve">Mississippi</t>
  </si>
  <si>
    <t xml:space="preserve">Missouri</t>
  </si>
  <si>
    <t xml:space="preserve">Montana</t>
  </si>
  <si>
    <t xml:space="preserve">Nebraska</t>
  </si>
  <si>
    <t xml:space="preserve">Nevada</t>
  </si>
  <si>
    <t xml:space="preserve">New Hampshire</t>
  </si>
  <si>
    <t xml:space="preserve">New Jersey</t>
  </si>
  <si>
    <t xml:space="preserve">New Mexico</t>
  </si>
  <si>
    <t xml:space="preserve">New York</t>
  </si>
  <si>
    <t xml:space="preserve">North Carolina</t>
  </si>
  <si>
    <t xml:space="preserve">North Dakota</t>
  </si>
  <si>
    <t xml:space="preserve">Ohio</t>
  </si>
  <si>
    <t xml:space="preserve">Oklahoma</t>
  </si>
  <si>
    <t xml:space="preserve">Oregon</t>
  </si>
  <si>
    <t xml:space="preserve">Pennsylvania</t>
  </si>
  <si>
    <t xml:space="preserve">Rhode Island</t>
  </si>
  <si>
    <t xml:space="preserve">South Carolina</t>
  </si>
  <si>
    <t xml:space="preserve">South Dakota</t>
  </si>
  <si>
    <t xml:space="preserve">Tennessee</t>
  </si>
  <si>
    <t xml:space="preserve">Texas</t>
  </si>
  <si>
    <t xml:space="preserve">Utah</t>
  </si>
  <si>
    <t xml:space="preserve">Vermont</t>
  </si>
  <si>
    <t xml:space="preserve">Virginia</t>
  </si>
  <si>
    <t xml:space="preserve">Washington</t>
  </si>
  <si>
    <t xml:space="preserve">West Virginia</t>
  </si>
  <si>
    <t xml:space="preserve">Wisconsin</t>
  </si>
  <si>
    <t xml:space="preserve">Wyoming</t>
  </si>
  <si>
    <t xml:space="preserve">Novelty
Analysis</t>
  </si>
  <si>
    <t xml:space="preserve">Novelty
Effect</t>
  </si>
  <si>
    <t xml:space="preserve">Anti-novelty
Analysis</t>
  </si>
  <si>
    <t xml:space="preserve">Anti-novelty
Effect</t>
  </si>
  <si>
    <t xml:space="preserve">Dist. of Col.</t>
  </si>
  <si>
    <t xml:space="preserve">Minnesota*</t>
  </si>
  <si>
    <t xml:space="preserve">Official Count of Electoral votes -&gt;</t>
  </si>
  <si>
    <t xml:space="preserve">[Hypothesis: R cheated]  Republican ANTI-NOVELTY removed -&gt;</t>
  </si>
  <si>
    <t xml:space="preserve">38.7%</t>
  </si>
  <si>
    <t xml:space="preserve">60.3%</t>
  </si>
  <si>
    <t xml:space="preserve">37.9%</t>
  </si>
  <si>
    <t xml:space="preserve">59.4%</t>
  </si>
  <si>
    <t xml:space="preserve">45.1%</t>
  </si>
  <si>
    <t xml:space="preserve">53.6%</t>
  </si>
  <si>
    <t xml:space="preserve">38.9%</t>
  </si>
  <si>
    <t xml:space="preserve">58.7%</t>
  </si>
  <si>
    <t xml:space="preserve">61.0%</t>
  </si>
  <si>
    <t xml:space="preserve">37.0%</t>
  </si>
  <si>
    <t xml:space="preserve">53.7%</t>
  </si>
  <si>
    <t xml:space="preserve">44.7%</t>
  </si>
  <si>
    <t xml:space="preserve">60.6%</t>
  </si>
  <si>
    <t xml:space="preserve">38.2%</t>
  </si>
  <si>
    <t xml:space="preserve">61.9%</t>
  </si>
  <si>
    <t xml:space="preserve">36.9%</t>
  </si>
  <si>
    <t xml:space="preserve">92.5%</t>
  </si>
  <si>
    <t xml:space="preserve">6.5%</t>
  </si>
  <si>
    <t xml:space="preserve">51.0%</t>
  </si>
  <si>
    <t xml:space="preserve">48.2%</t>
  </si>
  <si>
    <t xml:space="preserve">47.0%</t>
  </si>
  <si>
    <t xml:space="preserve">52.2%</t>
  </si>
  <si>
    <t xml:space="preserve">71.8%</t>
  </si>
  <si>
    <t xml:space="preserve">26.6%</t>
  </si>
  <si>
    <t xml:space="preserve">36.1%</t>
  </si>
  <si>
    <t xml:space="preserve">61.5%</t>
  </si>
  <si>
    <t xml:space="preserve">36.8%</t>
  </si>
  <si>
    <t xml:space="preserve">49.9%</t>
  </si>
  <si>
    <t xml:space="preserve">48.9%</t>
  </si>
  <si>
    <t xml:space="preserve">44.2%</t>
  </si>
  <si>
    <t xml:space="preserve">41.7%</t>
  </si>
  <si>
    <t xml:space="preserve">56.6%</t>
  </si>
  <si>
    <t xml:space="preserve">41.2%</t>
  </si>
  <si>
    <t xml:space="preserve">57.4%</t>
  </si>
  <si>
    <t xml:space="preserve">39.9%</t>
  </si>
  <si>
    <t xml:space="preserve">58.6%</t>
  </si>
  <si>
    <t xml:space="preserve">57.7%</t>
  </si>
  <si>
    <t xml:space="preserve">40.4%</t>
  </si>
  <si>
    <t xml:space="preserve">36.5%</t>
  </si>
  <si>
    <t xml:space="preserve">61.8%</t>
  </si>
  <si>
    <t xml:space="preserve">36.0%</t>
  </si>
  <si>
    <t xml:space="preserve">41.0%</t>
  </si>
  <si>
    <t xml:space="preserve">54.1%</t>
  </si>
  <si>
    <t xml:space="preserve">43.8%</t>
  </si>
  <si>
    <t xml:space="preserve">43.0%</t>
  </si>
  <si>
    <t xml:space="preserve">56.2%</t>
  </si>
  <si>
    <t xml:space="preserve">49.3%</t>
  </si>
  <si>
    <t xml:space="preserve">49.4%</t>
  </si>
  <si>
    <t xml:space="preserve">47.3%</t>
  </si>
  <si>
    <t xml:space="preserve">49.5%</t>
  </si>
  <si>
    <t xml:space="preserve">41.6%</t>
  </si>
  <si>
    <t xml:space="preserve">56.5%</t>
  </si>
  <si>
    <t xml:space="preserve">55.1%</t>
  </si>
  <si>
    <t xml:space="preserve">42.7%</t>
  </si>
  <si>
    <t xml:space="preserve">54.4%</t>
  </si>
  <si>
    <t xml:space="preserve">57.3%</t>
  </si>
  <si>
    <t xml:space="preserve">56.9%</t>
  </si>
  <si>
    <t xml:space="preserve">41.8%</t>
  </si>
  <si>
    <t xml:space="preserve">62.8%</t>
  </si>
  <si>
    <t xml:space="preserve">49.7%</t>
  </si>
  <si>
    <t xml:space="preserve">44.6%</t>
  </si>
  <si>
    <t xml:space="preserve">53.3%</t>
  </si>
  <si>
    <t xml:space="preserve">51.5%</t>
  </si>
  <si>
    <t xml:space="preserve">46.9%</t>
  </si>
  <si>
    <t xml:space="preserve">34.4%</t>
  </si>
  <si>
    <t xml:space="preserve">65.6%</t>
  </si>
  <si>
    <t xml:space="preserve">56.7%</t>
  </si>
  <si>
    <t xml:space="preserve">54.3%</t>
  </si>
  <si>
    <t xml:space="preserve">44.0%</t>
  </si>
  <si>
    <t xml:space="preserve">63.1%</t>
  </si>
  <si>
    <t xml:space="preserve">35.2%</t>
  </si>
  <si>
    <t xml:space="preserve">44.9%</t>
  </si>
  <si>
    <t xml:space="preserve">53.9%</t>
  </si>
  <si>
    <t xml:space="preserve">53.2%</t>
  </si>
  <si>
    <t xml:space="preserve">43.7%</t>
  </si>
  <si>
    <t xml:space="preserve">55.5%</t>
  </si>
  <si>
    <t xml:space="preserve">62.6%</t>
  </si>
  <si>
    <t xml:space="preserve">67.5%</t>
  </si>
  <si>
    <t xml:space="preserve">30.4%</t>
  </si>
  <si>
    <t xml:space="preserve">52.6%</t>
  </si>
  <si>
    <t xml:space="preserve">46.3%</t>
  </si>
  <si>
    <t xml:space="preserve">40.5%</t>
  </si>
  <si>
    <t xml:space="preserve">42.6%</t>
  </si>
  <si>
    <t xml:space="preserve">55.7%</t>
  </si>
  <si>
    <t xml:space="preserve">42.3%</t>
  </si>
  <si>
    <t xml:space="preserve">32.4%</t>
  </si>
  <si>
    <t xml:space="preserve">64.4%</t>
  </si>
  <si>
    <t xml:space="preserve">38.4%</t>
  </si>
  <si>
    <t xml:space="preserve">60.5%</t>
  </si>
  <si>
    <t xml:space="preserve">40.8%</t>
  </si>
  <si>
    <t xml:space="preserve">54.8%</t>
  </si>
  <si>
    <t xml:space="preserve">60.2%</t>
  </si>
  <si>
    <t xml:space="preserve">37.1%</t>
  </si>
  <si>
    <t xml:space="preserve">46.1%</t>
  </si>
  <si>
    <t xml:space="preserve">58.1%</t>
  </si>
  <si>
    <t xml:space="preserve">40.7%</t>
  </si>
  <si>
    <t xml:space="preserve">40.0%</t>
  </si>
  <si>
    <t xml:space="preserve">90.9%</t>
  </si>
  <si>
    <t xml:space="preserve">7.3%</t>
  </si>
  <si>
    <t xml:space="preserve">50.0%</t>
  </si>
  <si>
    <t xml:space="preserve">49.1%</t>
  </si>
  <si>
    <t xml:space="preserve">45.5%</t>
  </si>
  <si>
    <t xml:space="preserve">70.5%</t>
  </si>
  <si>
    <t xml:space="preserve">27.8%</t>
  </si>
  <si>
    <t xml:space="preserve">32.6%</t>
  </si>
  <si>
    <t xml:space="preserve">64.5%</t>
  </si>
  <si>
    <t xml:space="preserve">57.6%</t>
  </si>
  <si>
    <t xml:space="preserve">43.9%</t>
  </si>
  <si>
    <t xml:space="preserve">52.0%</t>
  </si>
  <si>
    <t xml:space="preserve">46.2%</t>
  </si>
  <si>
    <t xml:space="preserve">38.0%</t>
  </si>
  <si>
    <t xml:space="preserve">59.7%</t>
  </si>
  <si>
    <t xml:space="preserve">37.8%</t>
  </si>
  <si>
    <t xml:space="preserve">40.6%</t>
  </si>
  <si>
    <t xml:space="preserve">57.8%</t>
  </si>
  <si>
    <t xml:space="preserve">56.3%</t>
  </si>
  <si>
    <t xml:space="preserve">62.0%</t>
  </si>
  <si>
    <t xml:space="preserve">35.9%</t>
  </si>
  <si>
    <t xml:space="preserve">60.7%</t>
  </si>
  <si>
    <t xml:space="preserve">37.5%</t>
  </si>
  <si>
    <t xml:space="preserve">54.2%</t>
  </si>
  <si>
    <t xml:space="preserve">52.7%</t>
  </si>
  <si>
    <t xml:space="preserve">45.0%</t>
  </si>
  <si>
    <t xml:space="preserve">55.3%</t>
  </si>
  <si>
    <t xml:space="preserve">44.4%</t>
  </si>
  <si>
    <t xml:space="preserve">53.8%</t>
  </si>
  <si>
    <t xml:space="preserve">55.4%</t>
  </si>
  <si>
    <t xml:space="preserve">59.8%</t>
  </si>
  <si>
    <t xml:space="preserve">52.4%</t>
  </si>
  <si>
    <t xml:space="preserve">45.7%</t>
  </si>
  <si>
    <t xml:space="preserve">46.5%</t>
  </si>
  <si>
    <t xml:space="preserve">58.3%</t>
  </si>
  <si>
    <t xml:space="preserve">53.0%</t>
  </si>
  <si>
    <t xml:space="preserve">42.8%</t>
  </si>
  <si>
    <t xml:space="preserve">63.4%</t>
  </si>
  <si>
    <t xml:space="preserve">48.4%</t>
  </si>
  <si>
    <t xml:space="preserve">50.4%</t>
  </si>
  <si>
    <t xml:space="preserve">50.7%</t>
  </si>
  <si>
    <t xml:space="preserve">47.7%</t>
  </si>
  <si>
    <t xml:space="preserve">33.2%</t>
  </si>
  <si>
    <t xml:space="preserve">66.8%</t>
  </si>
  <si>
    <t xml:space="preserve">42.1%</t>
  </si>
  <si>
    <t xml:space="preserve">52.1%</t>
  </si>
  <si>
    <t xml:space="preserve">46.7%</t>
  </si>
  <si>
    <t xml:space="preserve">62.7%</t>
  </si>
  <si>
    <t xml:space="preserve">44.1%</t>
  </si>
  <si>
    <t xml:space="preserve">54.6%</t>
  </si>
  <si>
    <t xml:space="preserve">57.9%</t>
  </si>
  <si>
    <t xml:space="preserve">39.1%</t>
  </si>
  <si>
    <t xml:space="preserve">59.5%</t>
  </si>
  <si>
    <t xml:space="preserve">41.4%</t>
  </si>
  <si>
    <t xml:space="preserve">57.2%</t>
  </si>
  <si>
    <t xml:space="preserve">24.7%</t>
  </si>
  <si>
    <t xml:space="preserve">72.8%</t>
  </si>
  <si>
    <t xml:space="preserve">66.6%</t>
  </si>
  <si>
    <t xml:space="preserve">31.0%</t>
  </si>
  <si>
    <t xml:space="preserve">51.2%</t>
  </si>
  <si>
    <t xml:space="preserve">41.3%</t>
  </si>
  <si>
    <t xml:space="preserve">35.5%</t>
  </si>
  <si>
    <t xml:space="preserve">62.3%</t>
  </si>
  <si>
    <t xml:space="preserve">52.9%</t>
  </si>
  <si>
    <t xml:space="preserve">46.0%</t>
  </si>
  <si>
    <t xml:space="preserve">68.6%</t>
  </si>
  <si>
    <t xml:space="preserve">62.1%</t>
  </si>
  <si>
    <t xml:space="preserve">2.1%</t>
  </si>
  <si>
    <t xml:space="preserve">36.6%</t>
  </si>
  <si>
    <t xml:space="preserve">51.3%</t>
  </si>
  <si>
    <t xml:space="preserve">5.9%</t>
  </si>
  <si>
    <t xml:space="preserve">48.7%</t>
  </si>
  <si>
    <t xml:space="preserve">4.1%</t>
  </si>
  <si>
    <t xml:space="preserve">33.7%</t>
  </si>
  <si>
    <t xml:space="preserve">2.6%</t>
  </si>
  <si>
    <t xml:space="preserve">61.7%</t>
  </si>
  <si>
    <t xml:space="preserve">31.6%</t>
  </si>
  <si>
    <t xml:space="preserve">3.4%</t>
  </si>
  <si>
    <t xml:space="preserve">43.3%</t>
  </si>
  <si>
    <t xml:space="preserve">5.2%</t>
  </si>
  <si>
    <t xml:space="preserve">40.9%</t>
  </si>
  <si>
    <t xml:space="preserve">3.0%</t>
  </si>
  <si>
    <t xml:space="preserve">53.4%</t>
  </si>
  <si>
    <t xml:space="preserve">41.9%</t>
  </si>
  <si>
    <t xml:space="preserve">3.3%</t>
  </si>
  <si>
    <t xml:space="preserve">1.6%</t>
  </si>
  <si>
    <t xml:space="preserve">47.8%</t>
  </si>
  <si>
    <t xml:space="preserve">49.0%</t>
  </si>
  <si>
    <t xml:space="preserve">2.2%</t>
  </si>
  <si>
    <t xml:space="preserve">45.9%</t>
  </si>
  <si>
    <t xml:space="preserve">3.1%</t>
  </si>
  <si>
    <t xml:space="preserve">62.2%</t>
  </si>
  <si>
    <t xml:space="preserve">30.0%</t>
  </si>
  <si>
    <t xml:space="preserve">3.7%</t>
  </si>
  <si>
    <t xml:space="preserve">27.5%</t>
  </si>
  <si>
    <t xml:space="preserve">59.3%</t>
  </si>
  <si>
    <t xml:space="preserve">55.8%</t>
  </si>
  <si>
    <t xml:space="preserve">38.8%</t>
  </si>
  <si>
    <t xml:space="preserve">3.8%</t>
  </si>
  <si>
    <t xml:space="preserve">4.9%</t>
  </si>
  <si>
    <t xml:space="preserve">51.1%</t>
  </si>
  <si>
    <t xml:space="preserve">4.7%</t>
  </si>
  <si>
    <t xml:space="preserve">32.7%</t>
  </si>
  <si>
    <t xml:space="preserve">62.5%</t>
  </si>
  <si>
    <t xml:space="preserve">2.8%</t>
  </si>
  <si>
    <t xml:space="preserve">1.9%</t>
  </si>
  <si>
    <t xml:space="preserve">5.1%</t>
  </si>
  <si>
    <t xml:space="preserve">33.9%</t>
  </si>
  <si>
    <t xml:space="preserve">2.9%</t>
  </si>
  <si>
    <t xml:space="preserve">60.0%</t>
  </si>
  <si>
    <t xml:space="preserve">32.8%</t>
  </si>
  <si>
    <t xml:space="preserve">4.2%</t>
  </si>
  <si>
    <t xml:space="preserve">47.5%</t>
  </si>
  <si>
    <t xml:space="preserve">3.6%</t>
  </si>
  <si>
    <t xml:space="preserve">46.4%</t>
  </si>
  <si>
    <t xml:space="preserve">40.1%</t>
  </si>
  <si>
    <t xml:space="preserve">1.2%</t>
  </si>
  <si>
    <t xml:space="preserve">38.1%</t>
  </si>
  <si>
    <t xml:space="preserve">56.8%</t>
  </si>
  <si>
    <t xml:space="preserve">3.5%</t>
  </si>
  <si>
    <t xml:space="preserve">5.7%</t>
  </si>
  <si>
    <t xml:space="preserve">4.6%</t>
  </si>
  <si>
    <t xml:space="preserve">47.9%</t>
  </si>
  <si>
    <t xml:space="preserve">46.8%</t>
  </si>
  <si>
    <t xml:space="preserve">48.3%</t>
  </si>
  <si>
    <t xml:space="preserve">9.3%</t>
  </si>
  <si>
    <t xml:space="preserve">58.9%</t>
  </si>
  <si>
    <t xml:space="preserve">2.3%</t>
  </si>
  <si>
    <t xml:space="preserve">49.8%</t>
  </si>
  <si>
    <t xml:space="preserve">2.7%</t>
  </si>
  <si>
    <t xml:space="preserve">27.2%</t>
  </si>
  <si>
    <t xml:space="preserve">63.0%</t>
  </si>
  <si>
    <t xml:space="preserve">6.2%</t>
  </si>
  <si>
    <t xml:space="preserve">43.6%</t>
  </si>
  <si>
    <t xml:space="preserve">51.7%</t>
  </si>
  <si>
    <t xml:space="preserve">3.2%</t>
  </si>
  <si>
    <t xml:space="preserve">28.9%</t>
  </si>
  <si>
    <t xml:space="preserve">65.3%</t>
  </si>
  <si>
    <t xml:space="preserve">50.1%</t>
  </si>
  <si>
    <t xml:space="preserve">48.6%</t>
  </si>
  <si>
    <t xml:space="preserve">2.4%</t>
  </si>
  <si>
    <t xml:space="preserve">54.9%</t>
  </si>
  <si>
    <t xml:space="preserve">31.7%</t>
  </si>
  <si>
    <t xml:space="preserve">5.6%</t>
  </si>
  <si>
    <t xml:space="preserve">34.7%</t>
  </si>
  <si>
    <t xml:space="preserve">43.2%</t>
  </si>
  <si>
    <t xml:space="preserve">30.3%</t>
  </si>
  <si>
    <t xml:space="preserve">5.0%</t>
  </si>
  <si>
    <t xml:space="preserve">26.5%</t>
  </si>
  <si>
    <t xml:space="preserve">47.2%</t>
  </si>
  <si>
    <t xml:space="preserve">21.9%</t>
  </si>
  <si>
    <t xml:space="preserve">68.2%</t>
  </si>
  <si>
    <t xml:space="preserve"> </t>
  </si>
  <si>
    <t xml:space="preserve">Anti-novelty 
Effect</t>
  </si>
  <si>
    <t xml:space="preserve">1.40%</t>
  </si>
  <si>
    <t xml:space="preserve">4.39%</t>
  </si>
  <si>
    <t xml:space="preserve">1.58%</t>
  </si>
  <si>
    <t xml:space="preserve">2.83%</t>
  </si>
  <si>
    <t xml:space="preserve">2.20%</t>
  </si>
  <si>
    <t xml:space="preserve">2.70%</t>
  </si>
  <si>
    <t xml:space="preserve">1.55%</t>
  </si>
  <si>
    <t xml:space="preserve">1.42%</t>
  </si>
  <si>
    <t xml:space="preserve">2.45%</t>
  </si>
  <si>
    <t xml:space="preserve">0.92%</t>
  </si>
  <si>
    <t xml:space="preserve">1.25%</t>
  </si>
  <si>
    <t xml:space="preserve">2.00%</t>
  </si>
  <si>
    <t xml:space="preserve">3.10%</t>
  </si>
  <si>
    <t xml:space="preserve">1.90%</t>
  </si>
  <si>
    <t xml:space="preserve">2.02%</t>
  </si>
  <si>
    <t xml:space="preserve">2.23%</t>
  </si>
  <si>
    <t xml:space="preserve">1.76%</t>
  </si>
  <si>
    <t xml:space="preserve">1.69%</t>
  </si>
  <si>
    <t xml:space="preserve">2.89%</t>
  </si>
  <si>
    <t xml:space="preserve">2.49%</t>
  </si>
  <si>
    <t xml:space="preserve">2.26%</t>
  </si>
  <si>
    <t xml:space="preserve">1.54%</t>
  </si>
  <si>
    <t xml:space="preserve">2.32%</t>
  </si>
  <si>
    <t xml:space="preserve">1.34%</t>
  </si>
  <si>
    <t xml:space="preserve">1.79%</t>
  </si>
  <si>
    <t xml:space="preserve">2.53%</t>
  </si>
  <si>
    <t xml:space="preserve">2.13%</t>
  </si>
  <si>
    <t xml:space="preserve">2.28%</t>
  </si>
  <si>
    <t xml:space="preserve">1.94%</t>
  </si>
  <si>
    <t xml:space="preserve">1.27%</t>
  </si>
  <si>
    <t xml:space="preserve">2.21%</t>
  </si>
  <si>
    <t xml:space="preserve">1.39%</t>
  </si>
  <si>
    <t xml:space="preserve">1.48%</t>
  </si>
  <si>
    <t xml:space="preserve">3.13%</t>
  </si>
  <si>
    <t xml:space="preserve">1.49%</t>
  </si>
  <si>
    <t xml:space="preserve">2.34%</t>
  </si>
  <si>
    <t xml:space="preserve">3.18%</t>
  </si>
  <si>
    <t xml:space="preserve">1.15%</t>
  </si>
  <si>
    <t xml:space="preserve">1.46%</t>
  </si>
  <si>
    <t xml:space="preserve">2.63%</t>
  </si>
  <si>
    <t xml:space="preserve">1.89%</t>
  </si>
  <si>
    <t xml:space="preserve">4.22%</t>
  </si>
  <si>
    <t xml:space="preserve">3.24%</t>
  </si>
  <si>
    <t xml:space="preserve">3.26%</t>
  </si>
  <si>
    <t xml:space="preserve">1.67%</t>
  </si>
  <si>
    <t xml:space="preserve">1.73%</t>
  </si>
  <si>
    <t xml:space="preserve">3.51%</t>
  </si>
  <si>
    <t xml:space="preserve">Total Electoral Votes -&gt;</t>
  </si>
  <si>
    <t xml:space="preserve">Biden wins, Trump comes back</t>
  </si>
  <si>
    <t xml:space="preserve">[Hypothesis: D cheated] Democrat NOVELTY removed -&gt;</t>
  </si>
  <si>
    <t xml:space="preserve">Trump wins</t>
  </si>
  <si>
    <t xml:space="preserve">[Hypothesis: R cheated] Republican NOVELTY failed -&gt;</t>
  </si>
  <si>
    <t xml:space="preserve">[Hypothesis: R cheated] Republican ANTI-NOVELTY removed -&gt;</t>
  </si>
  <si>
    <t xml:space="preserve">Biden wins, Trump never returns</t>
  </si>
  <si>
    <t xml:space="preserve">Rescale</t>
  </si>
  <si>
    <t xml:space="preserve">1-Shift Down</t>
  </si>
  <si>
    <t xml:space="preserve">DELTA
2020CE-2004CE</t>
  </si>
  <si>
    <t xml:space="preserve">BIN</t>
  </si>
  <si>
    <t xml:space="preserve">Approximately
Equal</t>
  </si>
  <si>
    <t xml:space="preserve">Outlers</t>
  </si>
</sst>
</file>

<file path=xl/styles.xml><?xml version="1.0" encoding="utf-8"?>
<styleSheet xmlns="http://schemas.openxmlformats.org/spreadsheetml/2006/main">
  <numFmts count="17">
    <numFmt numFmtId="164" formatCode="General"/>
    <numFmt numFmtId="165" formatCode="0.00"/>
    <numFmt numFmtId="166" formatCode="#,##0"/>
    <numFmt numFmtId="167" formatCode="#,###.00"/>
    <numFmt numFmtId="168" formatCode="#,###"/>
    <numFmt numFmtId="169" formatCode="#,##0.00"/>
    <numFmt numFmtId="170" formatCode="#,###.0"/>
    <numFmt numFmtId="171" formatCode="0"/>
    <numFmt numFmtId="172" formatCode="#,##0.0"/>
    <numFmt numFmtId="173" formatCode="0.0"/>
    <numFmt numFmtId="174" formatCode="#,##0.000"/>
    <numFmt numFmtId="175" formatCode="0.000"/>
    <numFmt numFmtId="176" formatCode="0.00E+00"/>
    <numFmt numFmtId="177" formatCode="0.000000"/>
    <numFmt numFmtId="178" formatCode="General"/>
    <numFmt numFmtId="179" formatCode="@"/>
    <numFmt numFmtId="180" formatCode="0.0%"/>
  </numFmts>
  <fonts count="21">
    <font>
      <sz val="10"/>
      <name val="Arial"/>
      <family val="2"/>
      <charset val="1"/>
    </font>
    <font>
      <sz val="10"/>
      <name val="Arial"/>
      <family val="0"/>
    </font>
    <font>
      <sz val="10"/>
      <name val="Arial"/>
      <family val="0"/>
    </font>
    <font>
      <sz val="10"/>
      <name val="Arial"/>
      <family val="0"/>
    </font>
    <font>
      <b val="true"/>
      <sz val="12"/>
      <name val="Arial"/>
      <family val="2"/>
      <charset val="1"/>
    </font>
    <font>
      <sz val="10"/>
      <color rgb="FFC9211E"/>
      <name val="Arial"/>
      <family val="2"/>
      <charset val="1"/>
    </font>
    <font>
      <b val="true"/>
      <sz val="10"/>
      <color rgb="FFC9211E"/>
      <name val="Arial"/>
      <family val="2"/>
      <charset val="1"/>
    </font>
    <font>
      <b val="true"/>
      <i val="true"/>
      <sz val="10"/>
      <color rgb="FFC9211E"/>
      <name val="Arial"/>
      <family val="2"/>
      <charset val="1"/>
    </font>
    <font>
      <b val="true"/>
      <sz val="10"/>
      <name val="Arial"/>
      <family val="2"/>
      <charset val="1"/>
    </font>
    <font>
      <sz val="12"/>
      <name val="Arial"/>
      <family val="2"/>
      <charset val="1"/>
    </font>
    <font>
      <b val="true"/>
      <i val="true"/>
      <sz val="10"/>
      <name val="Arial"/>
      <family val="2"/>
      <charset val="1"/>
    </font>
    <font>
      <i val="true"/>
      <sz val="10"/>
      <name val="Arial"/>
      <family val="2"/>
      <charset val="1"/>
    </font>
    <font>
      <b val="true"/>
      <i val="true"/>
      <sz val="10"/>
      <color rgb="FFF0F8FF"/>
      <name val="Arial"/>
      <family val="2"/>
      <charset val="1"/>
    </font>
    <font>
      <b val="true"/>
      <sz val="10"/>
      <color rgb="FFF0F8FF"/>
      <name val="Arial"/>
      <family val="2"/>
      <charset val="1"/>
    </font>
    <font>
      <sz val="13"/>
      <color rgb="FF000000"/>
      <name val="Arial"/>
      <family val="2"/>
    </font>
    <font>
      <sz val="10"/>
      <color rgb="FF000000"/>
      <name val="Arial"/>
      <family val="2"/>
    </font>
    <font>
      <sz val="12"/>
      <color rgb="FF000000"/>
      <name val="Arial"/>
      <family val="2"/>
    </font>
    <font>
      <b val="true"/>
      <sz val="10"/>
      <name val="Times New Roman"/>
      <family val="1"/>
      <charset val="1"/>
    </font>
    <font>
      <sz val="10"/>
      <name val="Times New Roman"/>
      <family val="1"/>
      <charset val="1"/>
    </font>
    <font>
      <b val="true"/>
      <sz val="10"/>
      <color rgb="FFFFF8DC"/>
      <name val="Times New Roman"/>
      <family val="1"/>
      <charset val="1"/>
    </font>
    <font>
      <sz val="10"/>
      <color rgb="FF1A1A1A"/>
      <name val="Times New Roman"/>
      <family val="1"/>
      <charset val="1"/>
    </font>
  </fonts>
  <fills count="16">
    <fill>
      <patternFill patternType="none"/>
    </fill>
    <fill>
      <patternFill patternType="gray125"/>
    </fill>
    <fill>
      <patternFill patternType="solid">
        <fgColor rgb="FFEEDFCC"/>
        <bgColor rgb="FFDDDDDD"/>
      </patternFill>
    </fill>
    <fill>
      <patternFill patternType="solid">
        <fgColor rgb="FFCDC0B0"/>
        <bgColor rgb="FFC1CDCD"/>
      </patternFill>
    </fill>
    <fill>
      <patternFill patternType="solid">
        <fgColor rgb="FFEEEE00"/>
        <bgColor rgb="FFFFFF00"/>
      </patternFill>
    </fill>
    <fill>
      <patternFill patternType="solid">
        <fgColor rgb="FFFFFF00"/>
        <bgColor rgb="FFEEEE00"/>
      </patternFill>
    </fill>
    <fill>
      <patternFill patternType="solid">
        <fgColor rgb="FFC1CDCD"/>
        <bgColor rgb="FFCDC0B0"/>
      </patternFill>
    </fill>
    <fill>
      <patternFill patternType="solid">
        <fgColor rgb="FF8B8878"/>
        <bgColor rgb="FF666699"/>
      </patternFill>
    </fill>
    <fill>
      <patternFill patternType="solid">
        <fgColor rgb="FFE0EEEE"/>
        <bgColor rgb="FFF0F8FF"/>
      </patternFill>
    </fill>
    <fill>
      <patternFill patternType="solid">
        <fgColor rgb="FFEEC591"/>
        <bgColor rgb="FFCDC0B0"/>
      </patternFill>
    </fill>
    <fill>
      <patternFill patternType="solid">
        <fgColor rgb="FFF0FFFF"/>
        <bgColor rgb="FFF0F8FF"/>
      </patternFill>
    </fill>
    <fill>
      <patternFill patternType="solid">
        <fgColor rgb="FFFF4040"/>
        <bgColor rgb="FFFF420E"/>
      </patternFill>
    </fill>
    <fill>
      <patternFill patternType="solid">
        <fgColor rgb="FF2F4F4F"/>
        <bgColor rgb="FF004586"/>
      </patternFill>
    </fill>
    <fill>
      <patternFill patternType="solid">
        <fgColor rgb="FFFF420E"/>
        <bgColor rgb="FFFF4040"/>
      </patternFill>
    </fill>
    <fill>
      <patternFill patternType="solid">
        <fgColor rgb="FF0000FF"/>
        <bgColor rgb="FF0000FF"/>
      </patternFill>
    </fill>
    <fill>
      <patternFill patternType="solid">
        <fgColor rgb="FFF7FAFD"/>
        <bgColor rgb="FFF0F8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tru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tru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center" vertical="center" textRotation="0" wrapText="true" indent="0" shrinkToFit="false"/>
      <protection locked="true" hidden="false"/>
    </xf>
    <xf numFmtId="164" fontId="8" fillId="3" borderId="0" xfId="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7" fontId="0" fillId="0" borderId="0" xfId="0" applyFont="false" applyBorder="false" applyAlignment="true" applyProtection="true">
      <alignment horizontal="center" vertical="bottom" textRotation="0" wrapText="false" indent="0" shrinkToFit="false"/>
      <protection locked="tru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9" fontId="0" fillId="0" borderId="0" xfId="0" applyFont="true" applyBorder="fals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true">
      <alignment horizontal="center" vertical="bottom" textRotation="0" wrapText="false" indent="0" shrinkToFit="false"/>
      <protection locked="true" hidden="false"/>
    </xf>
    <xf numFmtId="169" fontId="0" fillId="0" borderId="0" xfId="0" applyFont="false" applyBorder="false" applyAlignment="true" applyProtection="true">
      <alignment horizontal="center" vertical="bottom" textRotation="0" wrapText="false" indent="0" shrinkToFit="false"/>
      <protection locked="true" hidden="false"/>
    </xf>
    <xf numFmtId="167" fontId="10"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right" vertical="bottom" textRotation="0" wrapText="false" indent="0" shrinkToFit="false"/>
      <protection locked="true" hidden="false"/>
    </xf>
    <xf numFmtId="165" fontId="10" fillId="0" borderId="0" xfId="0" applyFont="true" applyBorder="false" applyAlignment="true" applyProtection="true">
      <alignment horizontal="center" vertical="bottom" textRotation="0" wrapText="false" indent="0" shrinkToFit="false"/>
      <protection locked="true" hidden="false"/>
    </xf>
    <xf numFmtId="171" fontId="10"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8" fillId="3" borderId="0" xfId="0" applyFont="true" applyBorder="false" applyAlignment="true" applyProtection="true">
      <alignment horizontal="center" vertical="bottom" textRotation="0" wrapText="false" indent="0" shrinkToFit="false"/>
      <protection locked="true" hidden="false"/>
    </xf>
    <xf numFmtId="172" fontId="0" fillId="0" borderId="0" xfId="0" applyFont="false" applyBorder="false" applyAlignment="true" applyProtection="true">
      <alignment horizontal="center" vertical="bottom" textRotation="0" wrapText="false" indent="0" shrinkToFit="false"/>
      <protection locked="true" hidden="false"/>
    </xf>
    <xf numFmtId="172" fontId="0" fillId="0" borderId="0" xfId="0" applyFont="true" applyBorder="false" applyAlignment="true" applyProtection="true">
      <alignment horizontal="center" vertical="bottom" textRotation="0" wrapText="false" indent="0" shrinkToFit="false"/>
      <protection locked="true" hidden="false"/>
    </xf>
    <xf numFmtId="173" fontId="0" fillId="0" borderId="0" xfId="0" applyFont="fals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tru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xf numFmtId="164" fontId="8" fillId="4" borderId="0" xfId="0" applyFont="true" applyBorder="true" applyAlignment="true" applyProtection="true">
      <alignment horizontal="center" vertical="center" textRotation="0" wrapText="false" indent="0" shrinkToFit="false"/>
      <protection locked="true" hidden="false"/>
    </xf>
    <xf numFmtId="164" fontId="10" fillId="5" borderId="0" xfId="0" applyFont="true" applyBorder="false" applyAlignment="true" applyProtection="true">
      <alignment horizontal="center" vertical="bottom" textRotation="0" wrapText="false" indent="0" shrinkToFit="false"/>
      <protection locked="true" hidden="false"/>
    </xf>
    <xf numFmtId="164" fontId="8" fillId="4" borderId="0" xfId="0" applyFont="true" applyBorder="true" applyAlignment="true" applyProtection="true">
      <alignment horizontal="right" vertical="center" textRotation="0" wrapText="false" indent="0" shrinkToFit="false"/>
      <protection locked="true" hidden="false"/>
    </xf>
    <xf numFmtId="164" fontId="0" fillId="4"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8" fillId="7" borderId="0" xfId="0" applyFont="true" applyBorder="true" applyAlignment="true" applyProtection="true">
      <alignment horizontal="center" vertical="center" textRotation="0" wrapText="false" indent="0" shrinkToFit="false"/>
      <protection locked="true" hidden="false"/>
    </xf>
    <xf numFmtId="164" fontId="8" fillId="6" borderId="0" xfId="0" applyFont="true" applyBorder="true" applyAlignment="true" applyProtection="true">
      <alignment horizontal="center" vertical="center" textRotation="0" wrapText="false" indent="0" shrinkToFit="false"/>
      <protection locked="true" hidden="false"/>
    </xf>
    <xf numFmtId="164" fontId="8" fillId="6" borderId="0" xfId="0" applyFont="true" applyBorder="false" applyAlignment="true" applyProtection="true">
      <alignment horizontal="center" vertical="bottom" textRotation="0" wrapText="false" indent="0" shrinkToFit="false"/>
      <protection locked="true" hidden="false"/>
    </xf>
    <xf numFmtId="164" fontId="8" fillId="8" borderId="0" xfId="0" applyFont="true" applyBorder="false" applyAlignment="true" applyProtection="true">
      <alignment horizontal="center" vertical="bottom" textRotation="0" wrapText="false" indent="0" shrinkToFit="false"/>
      <protection locked="true" hidden="false"/>
    </xf>
    <xf numFmtId="174" fontId="0" fillId="0" borderId="0" xfId="0" applyFont="false" applyBorder="false" applyAlignment="true" applyProtection="true">
      <alignment horizontal="center" vertical="bottom" textRotation="0" wrapText="false" indent="0" shrinkToFit="false"/>
      <protection locked="true" hidden="false"/>
    </xf>
    <xf numFmtId="175" fontId="0" fillId="9" borderId="0" xfId="0" applyFont="false" applyBorder="false" applyAlignment="true" applyProtection="true">
      <alignment horizontal="center" vertical="bottom" textRotation="0" wrapText="false" indent="0" shrinkToFit="false"/>
      <protection locked="true" hidden="false"/>
    </xf>
    <xf numFmtId="175" fontId="0" fillId="0" borderId="0" xfId="0" applyFont="false" applyBorder="false" applyAlignment="true" applyProtection="true">
      <alignment horizontal="center" vertical="bottom" textRotation="0" wrapText="false" indent="0" shrinkToFit="false"/>
      <protection locked="true" hidden="false"/>
    </xf>
    <xf numFmtId="175" fontId="0" fillId="10" borderId="0" xfId="0" applyFont="false" applyBorder="false" applyAlignment="true" applyProtection="true">
      <alignment horizontal="center" vertical="bottom" textRotation="0" wrapText="false" indent="0" shrinkToFit="false"/>
      <protection locked="true" hidden="false"/>
    </xf>
    <xf numFmtId="175" fontId="10" fillId="9" borderId="0" xfId="0" applyFont="true" applyBorder="false" applyAlignment="true" applyProtection="true">
      <alignment horizontal="center" vertical="bottom" textRotation="0" wrapText="false" indent="0" shrinkToFit="false"/>
      <protection locked="true" hidden="false"/>
    </xf>
    <xf numFmtId="175" fontId="10" fillId="0" borderId="0" xfId="0" applyFont="true" applyBorder="false" applyAlignment="true" applyProtection="true">
      <alignment horizontal="center" vertical="bottom" textRotation="0" wrapText="false" indent="0" shrinkToFit="false"/>
      <protection locked="true" hidden="false"/>
    </xf>
    <xf numFmtId="175" fontId="12" fillId="11" borderId="0" xfId="0" applyFont="true" applyBorder="false" applyAlignment="true" applyProtection="true">
      <alignment horizontal="center" vertical="bottom" textRotation="0" wrapText="false" indent="0" shrinkToFit="false"/>
      <protection locked="true" hidden="false"/>
    </xf>
    <xf numFmtId="175" fontId="13" fillId="11" borderId="0" xfId="0" applyFont="true" applyBorder="false" applyAlignment="true" applyProtection="true">
      <alignment horizontal="center" vertical="bottom" textRotation="0" wrapText="false" indent="0" shrinkToFit="false"/>
      <protection locked="true" hidden="false"/>
    </xf>
    <xf numFmtId="175" fontId="13" fillId="12" borderId="0" xfId="0" applyFont="true" applyBorder="false" applyAlignment="true" applyProtection="true">
      <alignment horizontal="center" vertical="bottom" textRotation="0" wrapText="false" indent="0" shrinkToFit="false"/>
      <protection locked="true" hidden="false"/>
    </xf>
    <xf numFmtId="173" fontId="10" fillId="0" borderId="0" xfId="0" applyFont="true" applyBorder="false" applyAlignment="true" applyProtection="true">
      <alignment horizontal="center" vertical="bottom" textRotation="0" wrapText="false" indent="0" shrinkToFit="false"/>
      <protection locked="true" hidden="false"/>
    </xf>
    <xf numFmtId="176" fontId="10" fillId="0" borderId="0" xfId="0" applyFont="true" applyBorder="false" applyAlignment="true" applyProtection="true">
      <alignment horizontal="center" vertical="bottom" textRotation="0" wrapText="false" indent="0" shrinkToFit="false"/>
      <protection locked="true" hidden="false"/>
    </xf>
    <xf numFmtId="177" fontId="8"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left" vertical="center" textRotation="0" wrapText="true" indent="0" shrinkToFit="false"/>
      <protection locked="true" hidden="false"/>
    </xf>
    <xf numFmtId="164" fontId="0" fillId="6" borderId="0" xfId="0" applyFont="false" applyBorder="false" applyAlignment="true" applyProtection="true">
      <alignment horizontal="center"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center"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8" fontId="18" fillId="0" borderId="0" xfId="0" applyFont="true" applyBorder="false" applyAlignment="true" applyProtection="true">
      <alignment horizontal="general" vertical="bottom" textRotation="0" wrapText="false" indent="0" shrinkToFit="false"/>
      <protection locked="true" hidden="false"/>
    </xf>
    <xf numFmtId="166" fontId="18"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center" vertical="center" textRotation="0" wrapText="true" indent="0" shrinkToFit="false"/>
      <protection locked="true" hidden="false"/>
    </xf>
    <xf numFmtId="164" fontId="19" fillId="13" borderId="0" xfId="0" applyFont="true" applyBorder="true" applyAlignment="true" applyProtection="true">
      <alignment horizontal="center" vertical="center" textRotation="0" wrapText="true" indent="0" shrinkToFit="false"/>
      <protection locked="true" hidden="false"/>
    </xf>
    <xf numFmtId="164" fontId="17" fillId="14" borderId="0" xfId="0" applyFont="true" applyBorder="true" applyAlignment="true" applyProtection="true">
      <alignment horizontal="center" vertical="center" textRotation="0" wrapText="true" indent="0" shrinkToFit="false"/>
      <protection locked="true" hidden="false"/>
    </xf>
    <xf numFmtId="164" fontId="19" fillId="13" borderId="0" xfId="0" applyFont="true" applyBorder="false" applyAlignment="true" applyProtection="true">
      <alignment horizontal="center" vertical="center" textRotation="0" wrapText="true" indent="0" shrinkToFit="false"/>
      <protection locked="true" hidden="false"/>
    </xf>
    <xf numFmtId="164" fontId="19" fillId="13" borderId="0" xfId="0" applyFont="true" applyBorder="false" applyAlignment="true" applyProtection="true">
      <alignment horizontal="center" vertical="bottom" textRotation="0" wrapText="true" indent="0" shrinkToFit="false"/>
      <protection locked="true" hidden="false"/>
    </xf>
    <xf numFmtId="164" fontId="17" fillId="14" borderId="0" xfId="0" applyFont="true" applyBorder="false" applyAlignment="true" applyProtection="true">
      <alignment horizontal="center" vertical="center" textRotation="0" wrapText="true" indent="0" shrinkToFit="false"/>
      <protection locked="true" hidden="false"/>
    </xf>
    <xf numFmtId="164" fontId="17" fillId="14" borderId="0" xfId="0" applyFont="true" applyBorder="false" applyAlignment="true" applyProtection="true">
      <alignment horizontal="center" vertical="bottom" textRotation="0" wrapText="true" indent="0" shrinkToFit="false"/>
      <protection locked="true" hidden="false"/>
    </xf>
    <xf numFmtId="164" fontId="17" fillId="0" borderId="0" xfId="0" applyFont="true" applyBorder="false" applyAlignment="true" applyProtection="true">
      <alignment horizontal="center" vertical="center" textRotation="0" wrapText="true" indent="0" shrinkToFit="false"/>
      <protection locked="true" hidden="false"/>
    </xf>
    <xf numFmtId="164" fontId="17" fillId="0" borderId="0" xfId="0" applyFont="true" applyBorder="false" applyAlignment="true" applyProtection="true">
      <alignment horizontal="center" vertical="bottom" textRotation="0" wrapText="true" indent="0" shrinkToFit="false"/>
      <protection locked="true" hidden="false"/>
    </xf>
    <xf numFmtId="164" fontId="18" fillId="0" borderId="0" xfId="0" applyFont="true" applyBorder="false" applyAlignment="true" applyProtection="true">
      <alignment horizontal="center" vertical="bottom" textRotation="0" wrapText="true" indent="0" shrinkToFit="false"/>
      <protection locked="true" hidden="false"/>
    </xf>
    <xf numFmtId="166" fontId="18" fillId="0" borderId="0" xfId="0" applyFont="true" applyBorder="false" applyAlignment="true" applyProtection="true">
      <alignment horizontal="center" vertical="bottom" textRotation="0" wrapText="false" indent="0" shrinkToFit="false"/>
      <protection locked="true" hidden="false"/>
    </xf>
    <xf numFmtId="168" fontId="18" fillId="0" borderId="0" xfId="0" applyFont="true" applyBorder="false" applyAlignment="true" applyProtection="true">
      <alignment horizontal="center"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73" fontId="1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78" fontId="10" fillId="0" borderId="0" xfId="0" applyFont="true" applyBorder="false" applyAlignment="true" applyProtection="true">
      <alignment horizontal="center" vertical="bottom" textRotation="0" wrapText="false" indent="0" shrinkToFit="false"/>
      <protection locked="true" hidden="false"/>
    </xf>
    <xf numFmtId="178" fontId="12" fillId="11" borderId="0" xfId="0" applyFont="true" applyBorder="false" applyAlignment="true" applyProtection="true">
      <alignment horizontal="center" vertical="bottom" textRotation="0" wrapText="false" indent="0" shrinkToFit="false"/>
      <protection locked="true" hidden="false"/>
    </xf>
    <xf numFmtId="178" fontId="12" fillId="14" borderId="0" xfId="0" applyFont="true" applyBorder="false" applyAlignment="true" applyProtection="true">
      <alignment horizontal="center" vertical="bottom" textRotation="0" wrapText="false" indent="0" shrinkToFit="false"/>
      <protection locked="true" hidden="false"/>
    </xf>
    <xf numFmtId="179" fontId="18" fillId="0" borderId="0" xfId="0" applyFont="true" applyBorder="false" applyAlignment="true" applyProtection="true">
      <alignment horizontal="general" vertical="bottom" textRotation="0" wrapText="false" indent="0" shrinkToFit="false"/>
      <protection locked="true" hidden="false"/>
    </xf>
    <xf numFmtId="179" fontId="18" fillId="0" borderId="0" xfId="0" applyFont="true" applyBorder="false" applyAlignment="true" applyProtection="true">
      <alignment horizontal="center" vertical="bottom" textRotation="0" wrapText="true" indent="0" shrinkToFit="false"/>
      <protection locked="true" hidden="false"/>
    </xf>
    <xf numFmtId="166" fontId="20" fillId="0" borderId="0" xfId="0" applyFont="true" applyBorder="false" applyAlignment="true" applyProtection="true">
      <alignment horizontal="center" vertical="bottom" textRotation="0" wrapText="false" indent="0" shrinkToFit="false"/>
      <protection locked="true" hidden="false"/>
    </xf>
    <xf numFmtId="166" fontId="20" fillId="15" borderId="0" xfId="0" applyFont="true" applyBorder="false" applyAlignment="true" applyProtection="true">
      <alignment horizontal="center" vertical="bottom" textRotation="0" wrapText="true" indent="0" shrinkToFit="false"/>
      <protection locked="true" hidden="false"/>
    </xf>
    <xf numFmtId="179" fontId="18" fillId="15" borderId="0" xfId="0" applyFont="true" applyBorder="false" applyAlignment="true" applyProtection="true">
      <alignment horizontal="center" vertical="bottom" textRotation="0" wrapText="tru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80" fontId="0" fillId="0" borderId="0" xfId="0" applyFont="fals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bottom" textRotation="0" wrapText="true" indent="0" shrinkToFit="false"/>
      <protection locked="true" hidden="false"/>
    </xf>
    <xf numFmtId="180" fontId="0" fillId="0" borderId="0" xfId="0" applyFont="true" applyBorder="false" applyAlignment="true" applyProtection="true">
      <alignment horizontal="center" vertical="bottom" textRotation="0" wrapText="false" indent="0" shrinkToFit="false"/>
      <protection locked="true" hidden="false"/>
    </xf>
    <xf numFmtId="179"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78" fontId="1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7FAFD"/>
      <rgbColor rgb="FFFF4040"/>
      <rgbColor rgb="FF00FF00"/>
      <rgbColor rgb="FF0000FF"/>
      <rgbColor rgb="FFFFFF00"/>
      <rgbColor rgb="FFFF00FF"/>
      <rgbColor rgb="FF00FFFF"/>
      <rgbColor rgb="FF800000"/>
      <rgbColor rgb="FF008000"/>
      <rgbColor rgb="FF000080"/>
      <rgbColor rgb="FF808000"/>
      <rgbColor rgb="FF800080"/>
      <rgbColor rgb="FF008080"/>
      <rgbColor rgb="FFCDC0B0"/>
      <rgbColor rgb="FF8B8878"/>
      <rgbColor rgb="FF9999FF"/>
      <rgbColor rgb="FF993366"/>
      <rgbColor rgb="FFFFF8DC"/>
      <rgbColor rgb="FFE0EEEE"/>
      <rgbColor rgb="FF660066"/>
      <rgbColor rgb="FFFF8080"/>
      <rgbColor rgb="FF0066CC"/>
      <rgbColor rgb="FFC1CDCD"/>
      <rgbColor rgb="FF000080"/>
      <rgbColor rgb="FFFF00FF"/>
      <rgbColor rgb="FFEEEE00"/>
      <rgbColor rgb="FF00FFFF"/>
      <rgbColor rgb="FF800080"/>
      <rgbColor rgb="FF800000"/>
      <rgbColor rgb="FF008080"/>
      <rgbColor rgb="FF0000FF"/>
      <rgbColor rgb="FF00CCFF"/>
      <rgbColor rgb="FFF0FFFF"/>
      <rgbColor rgb="FFF0F8FF"/>
      <rgbColor rgb="FFEEDFCC"/>
      <rgbColor rgb="FFDDDDDD"/>
      <rgbColor rgb="FFFF99CC"/>
      <rgbColor rgb="FFCC99FF"/>
      <rgbColor rgb="FFEEC591"/>
      <rgbColor rgb="FF3366FF"/>
      <rgbColor rgb="FF33CCCC"/>
      <rgbColor rgb="FF99CC00"/>
      <rgbColor rgb="FFFFD320"/>
      <rgbColor rgb="FFFF9900"/>
      <rgbColor rgb="FFFF420E"/>
      <rgbColor rgb="FF666699"/>
      <rgbColor rgb="FFB3B3B3"/>
      <rgbColor rgb="FF004586"/>
      <rgbColor rgb="FF339966"/>
      <rgbColor rgb="FF003300"/>
      <rgbColor rgb="FF1A1A1A"/>
      <rgbColor rgb="FFC9211E"/>
      <rgbColor rgb="FF993366"/>
      <rgbColor rgb="FF333399"/>
      <rgbColor rgb="FF2F4F4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300" spc="-1" strike="noStrike">
                <a:solidFill>
                  <a:srgbClr val="000000"/>
                </a:solidFill>
                <a:latin typeface="Arial"/>
                <a:ea typeface="DejaVu Sans"/>
              </a:defRPr>
            </a:pPr>
            <a:r>
              <a:rPr b="0" lang="en-US" sz="1300" spc="-1" strike="noStrike">
                <a:solidFill>
                  <a:srgbClr val="000000"/>
                </a:solidFill>
                <a:latin typeface="Arial"/>
                <a:ea typeface="DejaVu Sans"/>
              </a:rPr>
              <a:t>Voter vs Census Curve for 2000CE - 2024CE</a:t>
            </a:r>
          </a:p>
        </c:rich>
      </c:tx>
      <c:overlay val="0"/>
      <c:spPr>
        <a:noFill/>
        <a:ln w="0">
          <a:noFill/>
        </a:ln>
      </c:spPr>
    </c:title>
    <c:autoTitleDeleted val="0"/>
    <c:plotArea>
      <c:layout>
        <c:manualLayout>
          <c:layoutTarget val="inner"/>
          <c:xMode val="edge"/>
          <c:yMode val="edge"/>
          <c:x val="0.152558501665297"/>
          <c:y val="0.142928828301413"/>
          <c:w val="0.633288637051776"/>
          <c:h val="0.700008363301832"/>
        </c:manualLayout>
      </c:layout>
      <c:scatterChart>
        <c:scatterStyle val="lineMarker"/>
        <c:varyColors val="0"/>
        <c:ser>
          <c:idx val="0"/>
          <c:order val="0"/>
          <c:tx>
            <c:strRef>
              <c:f>Analysis!$B$46:$B$46</c:f>
              <c:strCache>
                <c:ptCount val="1"/>
                <c:pt idx="0">
                  <c:v>Raw Data</c:v>
                </c:pt>
              </c:strCache>
            </c:strRef>
          </c:tx>
          <c:spPr>
            <a:solidFill>
              <a:srgbClr val="004586"/>
            </a:solidFill>
            <a:ln w="28800">
              <a:noFill/>
            </a:ln>
          </c:spPr>
          <c:marker>
            <c:symbol val="square"/>
            <c:size val="8"/>
            <c:spPr>
              <a:solidFill>
                <a:srgbClr val="004586"/>
              </a:solidFill>
            </c:spPr>
          </c:marker>
          <c:dLbls>
            <c:txPr>
              <a:bodyPr wrap="none"/>
              <a:lstStyle/>
              <a:p>
                <a:pPr>
                  <a:defRPr b="0" sz="1000" spc="-1" strike="noStrike">
                    <a:solidFill>
                      <a:srgbClr val="000000"/>
                    </a:solidFill>
                    <a:latin typeface="Arial"/>
                    <a:ea typeface="DejaVu Sans"/>
                  </a:defRPr>
                </a:pPr>
              </a:p>
            </c:txPr>
            <c:dLblPos val="r"/>
            <c:showLegendKey val="0"/>
            <c:showVal val="0"/>
            <c:showCatName val="1"/>
            <c:showSerName val="0"/>
            <c:showPercent val="0"/>
            <c:separator> </c:separator>
            <c:showLeaderLines val="0"/>
            <c:extLst>
              <c:ext xmlns:c15="http://schemas.microsoft.com/office/drawing/2012/chart" uri="{CE6537A1-D6FC-4f65-9D91-7224C49458BB}">
                <c15:showLeaderLines val="0"/>
              </c:ext>
            </c:extLst>
          </c:dLbls>
          <c:xVal>
            <c:numRef>
              <c:f>Analysis!$A$48:$A$54</c:f>
              <c:numCache>
                <c:formatCode>General</c:formatCode>
                <c:ptCount val="7"/>
                <c:pt idx="0">
                  <c:v>0</c:v>
                </c:pt>
                <c:pt idx="1">
                  <c:v>10.515869</c:v>
                </c:pt>
                <c:pt idx="2">
                  <c:v>22.515869</c:v>
                </c:pt>
                <c:pt idx="3">
                  <c:v>35.515869</c:v>
                </c:pt>
                <c:pt idx="4">
                  <c:v>47.515869</c:v>
                </c:pt>
                <c:pt idx="5">
                  <c:v>57.952028</c:v>
                </c:pt>
                <c:pt idx="6">
                  <c:v>63.94244</c:v>
                </c:pt>
              </c:numCache>
            </c:numRef>
          </c:xVal>
          <c:yVal>
            <c:numRef>
              <c:f>Analysis!$B$48:$B$54</c:f>
              <c:numCache>
                <c:formatCode>General</c:formatCode>
                <c:ptCount val="7"/>
                <c:pt idx="0">
                  <c:v>0</c:v>
                </c:pt>
                <c:pt idx="1">
                  <c:v>16.898718</c:v>
                </c:pt>
                <c:pt idx="2">
                  <c:v>25.88148</c:v>
                </c:pt>
                <c:pt idx="3">
                  <c:v>23.671035</c:v>
                </c:pt>
                <c:pt idx="4">
                  <c:v>30.985069</c:v>
                </c:pt>
                <c:pt idx="5">
                  <c:v>52.979807</c:v>
                </c:pt>
                <c:pt idx="6">
                  <c:v>47.729029</c:v>
                </c:pt>
              </c:numCache>
            </c:numRef>
          </c:yVal>
          <c:smooth val="0"/>
        </c:ser>
        <c:ser>
          <c:idx val="1"/>
          <c:order val="1"/>
          <c:tx>
            <c:strRef>
              <c:f>Analysis!$D$46:$D$46</c:f>
              <c:strCache>
                <c:ptCount val="1"/>
                <c:pt idx="0">
                  <c:v>Time-series Corrected</c:v>
                </c:pt>
              </c:strCache>
            </c:strRef>
          </c:tx>
          <c:spPr>
            <a:solidFill>
              <a:srgbClr val="ffd320"/>
            </a:solidFill>
            <a:ln w="28800">
              <a:noFill/>
            </a:ln>
          </c:spPr>
          <c:marker>
            <c:symbol val="triangle"/>
            <c:size val="8"/>
            <c:spPr>
              <a:solidFill>
                <a:srgbClr val="ffd320"/>
              </a:solidFill>
            </c:spPr>
          </c:marker>
          <c:dLbls>
            <c:txPr>
              <a:bodyPr wrap="none"/>
              <a:lstStyle/>
              <a:p>
                <a:pPr>
                  <a:defRPr b="0" sz="1000" spc="-1" strike="noStrike">
                    <a:solidFill>
                      <a:srgbClr val="000000"/>
                    </a:solidFill>
                    <a:latin typeface="Arial"/>
                    <a:ea typeface="DejaVu Sans"/>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Analysis!$D$48:$D$54</c:f>
              <c:numCache>
                <c:formatCode>General</c:formatCode>
                <c:ptCount val="7"/>
                <c:pt idx="1">
                  <c:v>10.515869</c:v>
                </c:pt>
                <c:pt idx="5">
                  <c:v>57.952028</c:v>
                </c:pt>
              </c:numCache>
            </c:numRef>
          </c:xVal>
          <c:yVal>
            <c:numRef>
              <c:f>Analysis!$E$48:$E$54</c:f>
              <c:numCache>
                <c:formatCode>General</c:formatCode>
                <c:ptCount val="7"/>
                <c:pt idx="1">
                  <c:v>12.94074</c:v>
                </c:pt>
                <c:pt idx="5">
                  <c:v>39.357049</c:v>
                </c:pt>
              </c:numCache>
            </c:numRef>
          </c:yVal>
          <c:smooth val="0"/>
        </c:ser>
        <c:ser>
          <c:idx val="2"/>
          <c:order val="2"/>
          <c:tx>
            <c:strRef>
              <c:f>Analysis!$G$106:$G$106</c:f>
              <c:strCache>
                <c:ptCount val="1"/>
                <c:pt idx="0">
                  <c:v>VC-corrected</c:v>
                </c:pt>
              </c:strCache>
            </c:strRef>
          </c:tx>
          <c:spPr>
            <a:solidFill>
              <a:srgbClr val="ff420e"/>
            </a:solidFill>
            <a:ln w="28800">
              <a:noFill/>
            </a:ln>
          </c:spPr>
          <c:marker>
            <c:symbol val="diamond"/>
            <c:size val="8"/>
            <c:spPr>
              <a:solidFill>
                <a:srgbClr val="ff420e"/>
              </a:solidFill>
            </c:spPr>
          </c:marker>
          <c:dLbls>
            <c:txPr>
              <a:bodyPr rot="2700000" wrap="none"/>
              <a:lstStyle/>
              <a:p>
                <a:pPr>
                  <a:defRPr b="0" sz="1000" spc="-1" strike="noStrike">
                    <a:solidFill>
                      <a:srgbClr val="000000"/>
                    </a:solidFill>
                    <a:latin typeface="Arial"/>
                    <a:ea typeface="DejaVu Sans"/>
                  </a:defRPr>
                </a:pPr>
              </a:p>
            </c:txPr>
            <c:dLblPos val="b"/>
            <c:showLegendKey val="0"/>
            <c:showVal val="0"/>
            <c:showCatName val="1"/>
            <c:showSerName val="0"/>
            <c:showPercent val="0"/>
            <c:separator> </c:separator>
            <c:showLeaderLines val="1"/>
            <c:extLst>
              <c:ext xmlns:c15="http://schemas.microsoft.com/office/drawing/2012/chart" uri="{CE6537A1-D6FC-4f65-9D91-7224C49458BB}">
                <c15:showLeaderLines val="1"/>
              </c:ext>
            </c:extLst>
          </c:dLbls>
          <c:xVal>
            <c:numRef>
              <c:f>Analysis!$G$108:$G$114</c:f>
              <c:numCache>
                <c:formatCode>General</c:formatCode>
                <c:ptCount val="7"/>
                <c:pt idx="1">
                  <c:v>10.515869</c:v>
                </c:pt>
                <c:pt idx="5">
                  <c:v>57.952028</c:v>
                </c:pt>
              </c:numCache>
            </c:numRef>
          </c:xVal>
          <c:yVal>
            <c:numRef>
              <c:f>Analysis!$H$108:$H$114</c:f>
              <c:numCache>
                <c:formatCode>General</c:formatCode>
                <c:ptCount val="7"/>
                <c:pt idx="1">
                  <c:v>12.0877525626979</c:v>
                </c:pt>
                <c:pt idx="5">
                  <c:v>41.6228721574356</c:v>
                </c:pt>
              </c:numCache>
            </c:numRef>
          </c:yVal>
          <c:smooth val="0"/>
        </c:ser>
        <c:axId val="19207048"/>
        <c:axId val="26523357"/>
      </c:scatterChart>
      <c:valAx>
        <c:axId val="19207048"/>
        <c:scaling>
          <c:orientation val="minMax"/>
          <c:max val="65"/>
          <c:min val="0"/>
        </c:scaling>
        <c:delete val="0"/>
        <c:axPos val="b"/>
        <c:majorGridlines>
          <c:spPr>
            <a:ln w="0">
              <a:solidFill>
                <a:srgbClr val="b3b3b3"/>
              </a:solidFill>
            </a:ln>
          </c:spPr>
        </c:majorGridlines>
        <c:minorGridlines>
          <c:spPr>
            <a:ln w="0">
              <a:solidFill>
                <a:srgbClr val="dddddd"/>
              </a:solidFill>
            </a:ln>
          </c:spPr>
        </c:minorGridlines>
        <c:title>
          <c:tx>
            <c:rich>
              <a:bodyPr rot="0"/>
              <a:lstStyle/>
              <a:p>
                <a:pPr>
                  <a:defRPr b="0" lang="en-US" sz="1200" spc="-1" strike="noStrike">
                    <a:solidFill>
                      <a:srgbClr val="000000"/>
                    </a:solidFill>
                    <a:latin typeface="Arial"/>
                    <a:ea typeface="DejaVu Sans"/>
                  </a:defRPr>
                </a:pPr>
                <a:r>
                  <a:rPr b="0" lang="en-US" sz="1200" spc="-1" strike="noStrike">
                    <a:solidFill>
                      <a:srgbClr val="000000"/>
                    </a:solidFill>
                    <a:latin typeface="Arial"/>
                    <a:ea typeface="DejaVu Sans"/>
                  </a:rPr>
                  <a:t>Increase in Population since 2000CE (Millions)</a:t>
                </a:r>
              </a:p>
            </c:rich>
          </c:tx>
          <c:overlay val="0"/>
          <c:spPr>
            <a:noFill/>
            <a:ln w="0">
              <a:noFill/>
            </a:ln>
          </c:spPr>
        </c:title>
        <c:numFmt formatCode="#,###" sourceLinked="0"/>
        <c:majorTickMark val="out"/>
        <c:minorTickMark val="none"/>
        <c:tickLblPos val="nextTo"/>
        <c:spPr>
          <a:ln w="0">
            <a:solidFill>
              <a:srgbClr val="b3b3b3"/>
            </a:solidFill>
          </a:ln>
        </c:spPr>
        <c:txPr>
          <a:bodyPr/>
          <a:lstStyle/>
          <a:p>
            <a:pPr>
              <a:defRPr b="0" sz="1000" spc="-1" strike="noStrike">
                <a:solidFill>
                  <a:srgbClr val="000000"/>
                </a:solidFill>
                <a:latin typeface="Arial"/>
                <a:ea typeface="DejaVu Sans"/>
              </a:defRPr>
            </a:pPr>
          </a:p>
        </c:txPr>
        <c:crossAx val="26523357"/>
        <c:crossesAt val="0"/>
        <c:crossBetween val="midCat"/>
        <c:majorUnit val="10"/>
      </c:valAx>
      <c:valAx>
        <c:axId val="26523357"/>
        <c:scaling>
          <c:orientation val="minMax"/>
          <c:max val="60"/>
          <c:min val="0"/>
        </c:scaling>
        <c:delete val="0"/>
        <c:axPos val="l"/>
        <c:majorGridlines>
          <c:spPr>
            <a:ln w="0">
              <a:solidFill>
                <a:srgbClr val="b3b3b3"/>
              </a:solidFill>
            </a:ln>
          </c:spPr>
        </c:majorGridlines>
        <c:minorGridlines>
          <c:spPr>
            <a:ln w="0">
              <a:solidFill>
                <a:srgbClr val="dddddd"/>
              </a:solidFill>
            </a:ln>
          </c:spPr>
        </c:minorGridlines>
        <c:title>
          <c:tx>
            <c:rich>
              <a:bodyPr rot="-5400000"/>
              <a:lstStyle/>
              <a:p>
                <a:pPr>
                  <a:defRPr b="0" lang="en-US" sz="1200" spc="-1" strike="noStrike">
                    <a:solidFill>
                      <a:srgbClr val="000000"/>
                    </a:solidFill>
                    <a:latin typeface="Arial"/>
                    <a:ea typeface="DejaVu Sans"/>
                  </a:defRPr>
                </a:pPr>
                <a:r>
                  <a:rPr b="0" lang="en-US" sz="1200" spc="-1" strike="noStrike">
                    <a:solidFill>
                      <a:srgbClr val="000000"/>
                    </a:solidFill>
                    <a:latin typeface="Arial"/>
                    <a:ea typeface="DejaVu Sans"/>
                  </a:rPr>
                  <a:t>Increase in Vote Count since 2000CE (Millions)</a:t>
                </a:r>
              </a:p>
            </c:rich>
          </c:tx>
          <c:layout>
            <c:manualLayout>
              <c:xMode val="edge"/>
              <c:yMode val="edge"/>
              <c:x val="0.0608157792292054"/>
              <c:y val="0.13648908589111"/>
            </c:manualLayout>
          </c:layout>
          <c:overlay val="0"/>
          <c:spPr>
            <a:noFill/>
            <a:ln w="0">
              <a:noFill/>
            </a:ln>
          </c:spPr>
        </c:title>
        <c:numFmt formatCode="#,###" sourceLinked="0"/>
        <c:majorTickMark val="out"/>
        <c:minorTickMark val="none"/>
        <c:tickLblPos val="nextTo"/>
        <c:spPr>
          <a:ln w="0">
            <a:solidFill>
              <a:srgbClr val="b3b3b3"/>
            </a:solidFill>
          </a:ln>
        </c:spPr>
        <c:txPr>
          <a:bodyPr/>
          <a:lstStyle/>
          <a:p>
            <a:pPr>
              <a:defRPr b="0" sz="1000" spc="-1" strike="noStrike">
                <a:solidFill>
                  <a:srgbClr val="000000"/>
                </a:solidFill>
                <a:latin typeface="Arial"/>
                <a:ea typeface="DejaVu Sans"/>
              </a:defRPr>
            </a:pPr>
          </a:p>
        </c:txPr>
        <c:crossAx val="19207048"/>
        <c:crossesAt val="0"/>
        <c:crossBetween val="midCat"/>
        <c:majorUnit val="10"/>
      </c:valAx>
      <c:spPr>
        <a:noFill/>
        <a:ln w="0">
          <a:solidFill>
            <a:srgbClr val="b3b3b3"/>
          </a:solidFill>
        </a:ln>
      </c:spPr>
    </c:plotArea>
    <c:legend>
      <c:legendPos val="r"/>
      <c:overlay val="0"/>
      <c:spPr>
        <a:noFill/>
        <a:ln w="0">
          <a:noFill/>
        </a:ln>
      </c:spPr>
      <c:txPr>
        <a:bodyPr/>
        <a:lstStyle/>
        <a:p>
          <a:pPr>
            <a:defRPr b="0" sz="1000" spc="-1" strike="noStrike">
              <a:solidFill>
                <a:srgbClr val="000000"/>
              </a:solidFill>
              <a:latin typeface="Arial"/>
              <a:ea typeface="DejaVu Sans"/>
            </a:defRPr>
          </a:pPr>
        </a:p>
      </c:txPr>
    </c:legend>
    <c:plotVisOnly val="1"/>
    <c:dispBlanksAs val="span"/>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104400</xdr:colOff>
      <xdr:row>55</xdr:row>
      <xdr:rowOff>47880</xdr:rowOff>
    </xdr:from>
    <xdr:to>
      <xdr:col>7</xdr:col>
      <xdr:colOff>623520</xdr:colOff>
      <xdr:row>81</xdr:row>
      <xdr:rowOff>141840</xdr:rowOff>
    </xdr:to>
    <xdr:graphicFrame>
      <xdr:nvGraphicFramePr>
        <xdr:cNvPr id="0" name="Chart 1"/>
        <xdr:cNvGraphicFramePr/>
      </xdr:nvGraphicFramePr>
      <xdr:xfrm>
        <a:off x="104400" y="9363240"/>
        <a:ext cx="8322480" cy="4304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54"/>
  <sheetViews>
    <sheetView showFormulas="false" showGridLines="true" showRowColHeaders="true" showZeros="true" rightToLeft="false" tabSelected="false" showOutlineSymbols="true" defaultGridColor="true" view="normal" topLeftCell="A190" colorId="64" zoomScale="100" zoomScaleNormal="100" zoomScalePageLayoutView="100" workbookViewId="0">
      <selection pane="topLeft" activeCell="A139" activeCellId="0" sqref="A139"/>
    </sheetView>
  </sheetViews>
  <sheetFormatPr defaultColWidth="11.5703125" defaultRowHeight="12.75" zeroHeight="false" outlineLevelRow="0" outlineLevelCol="0"/>
  <cols>
    <col collapsed="false" customWidth="true" hidden="false" outlineLevel="0" max="1" min="1" style="1" width="16.14"/>
    <col collapsed="false" customWidth="true" hidden="false" outlineLevel="0" max="2" min="2" style="1" width="20.71"/>
    <col collapsed="false" customWidth="true" hidden="false" outlineLevel="0" max="3" min="3" style="1" width="13.86"/>
    <col collapsed="false" customWidth="true" hidden="false" outlineLevel="0" max="5" min="4" style="1" width="16.14"/>
    <col collapsed="false" customWidth="true" hidden="false" outlineLevel="0" max="7" min="6" style="1" width="13.86"/>
    <col collapsed="false" customWidth="true" hidden="false" outlineLevel="0" max="8" min="8" style="1" width="16.14"/>
    <col collapsed="false" customWidth="true" hidden="false" outlineLevel="0" max="10" min="9" style="1" width="18.42"/>
    <col collapsed="false" customWidth="true" hidden="false" outlineLevel="0" max="11" min="11" style="1" width="13.86"/>
    <col collapsed="false" customWidth="true" hidden="false" outlineLevel="0" max="12" min="12" style="1" width="23"/>
    <col collapsed="false" customWidth="true" hidden="false" outlineLevel="0" max="13" min="13" style="1" width="23.03"/>
    <col collapsed="false" customWidth="true" hidden="false" outlineLevel="0" max="14" min="14" style="1" width="13.87"/>
  </cols>
  <sheetData>
    <row r="1" customFormat="false" ht="15.75" hidden="false" customHeight="false" outlineLevel="0" collapsed="false">
      <c r="A1" s="2" t="s">
        <v>0</v>
      </c>
      <c r="B1" s="2"/>
      <c r="C1" s="2"/>
      <c r="D1" s="2"/>
      <c r="E1" s="2"/>
      <c r="F1" s="2"/>
      <c r="G1" s="2"/>
      <c r="H1" s="3"/>
      <c r="I1" s="3"/>
      <c r="J1" s="3"/>
      <c r="K1" s="3"/>
      <c r="L1" s="3"/>
    </row>
    <row r="2" customFormat="false" ht="15.75" hidden="false" customHeight="false" outlineLevel="0" collapsed="false">
      <c r="A2" s="4"/>
      <c r="B2" s="3"/>
      <c r="C2" s="3"/>
      <c r="D2" s="3"/>
      <c r="E2" s="3"/>
      <c r="F2" s="3"/>
      <c r="G2" s="3"/>
      <c r="H2" s="3"/>
      <c r="I2" s="3"/>
      <c r="J2" s="3"/>
      <c r="K2" s="3"/>
      <c r="L2" s="3"/>
    </row>
    <row r="3" customFormat="false" ht="15.75" hidden="false" customHeight="false" outlineLevel="0" collapsed="false">
      <c r="A3" s="5" t="s">
        <v>1</v>
      </c>
      <c r="B3" s="3"/>
      <c r="C3" s="3"/>
      <c r="D3" s="3"/>
      <c r="E3" s="3"/>
      <c r="F3" s="3"/>
      <c r="G3" s="3"/>
      <c r="H3" s="3"/>
      <c r="I3" s="3"/>
      <c r="J3" s="3"/>
      <c r="K3" s="3"/>
      <c r="L3" s="3"/>
    </row>
    <row r="4" customFormat="false" ht="15.75" hidden="false" customHeight="false" outlineLevel="0" collapsed="false">
      <c r="A4" s="4"/>
      <c r="B4" s="3"/>
      <c r="C4" s="3"/>
      <c r="D4" s="3"/>
      <c r="E4" s="3"/>
      <c r="F4" s="3"/>
      <c r="G4" s="3"/>
      <c r="H4" s="3"/>
      <c r="I4" s="3"/>
      <c r="J4" s="3"/>
      <c r="K4" s="3"/>
      <c r="L4" s="3"/>
    </row>
    <row r="5" customFormat="false" ht="15.75" hidden="false" customHeight="false" outlineLevel="0" collapsed="false">
      <c r="A5" s="5" t="s">
        <v>2</v>
      </c>
    </row>
    <row r="6" customFormat="false" ht="12.75" hidden="false" customHeight="false" outlineLevel="0" collapsed="false">
      <c r="A6" s="3" t="s">
        <v>3</v>
      </c>
      <c r="B6" s="3"/>
      <c r="C6" s="3"/>
      <c r="D6" s="3"/>
      <c r="E6" s="3"/>
      <c r="F6" s="3"/>
      <c r="G6" s="3"/>
      <c r="H6" s="3"/>
      <c r="I6" s="3"/>
      <c r="J6" s="3"/>
      <c r="K6" s="3"/>
    </row>
    <row r="7" customFormat="false" ht="12.75" hidden="false" customHeight="false" outlineLevel="0" collapsed="false">
      <c r="A7" s="3" t="s">
        <v>4</v>
      </c>
      <c r="B7" s="3"/>
      <c r="C7" s="3"/>
      <c r="D7" s="3"/>
      <c r="E7" s="3"/>
      <c r="F7" s="3"/>
      <c r="G7" s="3"/>
      <c r="H7" s="3"/>
      <c r="I7" s="3"/>
      <c r="J7" s="3"/>
      <c r="K7" s="3"/>
    </row>
    <row r="8" customFormat="false" ht="12.75" hidden="false" customHeight="false" outlineLevel="0" collapsed="false">
      <c r="A8" s="3" t="s">
        <v>5</v>
      </c>
      <c r="B8" s="3"/>
      <c r="C8" s="3"/>
      <c r="D8" s="3"/>
      <c r="E8" s="3"/>
      <c r="F8" s="3"/>
      <c r="G8" s="3"/>
      <c r="H8" s="3"/>
      <c r="I8" s="3"/>
      <c r="J8" s="3"/>
      <c r="K8" s="3"/>
    </row>
    <row r="9" customFormat="false" ht="15.75" hidden="false" customHeight="false" outlineLevel="0" collapsed="false">
      <c r="A9" s="5"/>
    </row>
    <row r="10" customFormat="false" ht="15.75" hidden="false" customHeight="false" outlineLevel="0" collapsed="false">
      <c r="A10" s="5" t="s">
        <v>6</v>
      </c>
    </row>
    <row r="11" customFormat="false" ht="12.75" hidden="false" customHeight="false" outlineLevel="0" collapsed="false">
      <c r="A11" s="6" t="s">
        <v>7</v>
      </c>
      <c r="B11" s="6" t="s">
        <v>8</v>
      </c>
      <c r="C11" s="7" t="s">
        <v>9</v>
      </c>
      <c r="D11" s="7"/>
      <c r="E11" s="7"/>
      <c r="F11" s="7"/>
    </row>
    <row r="12" customFormat="false" ht="12.75" hidden="false" customHeight="false" outlineLevel="0" collapsed="false">
      <c r="A12" s="6" t="s">
        <v>10</v>
      </c>
      <c r="B12" s="6" t="s">
        <v>11</v>
      </c>
      <c r="C12" s="7" t="s">
        <v>12</v>
      </c>
      <c r="D12" s="7"/>
      <c r="E12" s="7"/>
      <c r="F12" s="7"/>
    </row>
    <row r="13" customFormat="false" ht="12.75" hidden="false" customHeight="false" outlineLevel="0" collapsed="false">
      <c r="A13" s="8" t="s">
        <v>13</v>
      </c>
      <c r="B13" s="8" t="s">
        <v>14</v>
      </c>
      <c r="C13" s="9" t="s">
        <v>15</v>
      </c>
      <c r="D13" s="9"/>
      <c r="E13" s="9"/>
      <c r="F13" s="9"/>
    </row>
    <row r="14" customFormat="false" ht="12.75" hidden="false" customHeight="true" outlineLevel="0" collapsed="false">
      <c r="A14" s="10" t="s">
        <v>16</v>
      </c>
      <c r="B14" s="10"/>
      <c r="C14" s="10"/>
      <c r="D14" s="10"/>
      <c r="E14" s="10"/>
      <c r="F14" s="10"/>
      <c r="G14" s="10"/>
    </row>
    <row r="15" customFormat="false" ht="12.75" hidden="false" customHeight="false" outlineLevel="0" collapsed="false">
      <c r="A15" s="10"/>
      <c r="B15" s="10"/>
      <c r="C15" s="10"/>
      <c r="D15" s="10"/>
      <c r="E15" s="10"/>
      <c r="F15" s="10"/>
      <c r="G15" s="10"/>
    </row>
    <row r="16" customFormat="false" ht="12.75" hidden="false" customHeight="true" outlineLevel="0" collapsed="false">
      <c r="A16" s="10" t="s">
        <v>17</v>
      </c>
      <c r="B16" s="10"/>
      <c r="C16" s="10"/>
      <c r="D16" s="10"/>
      <c r="E16" s="10"/>
      <c r="F16" s="10"/>
      <c r="G16" s="10"/>
    </row>
    <row r="17" customFormat="false" ht="12.75" hidden="false" customHeight="false" outlineLevel="0" collapsed="false">
      <c r="A17" s="10"/>
      <c r="B17" s="10"/>
      <c r="C17" s="10"/>
      <c r="D17" s="10"/>
      <c r="E17" s="10"/>
      <c r="F17" s="10"/>
      <c r="G17" s="10"/>
    </row>
    <row r="18" customFormat="false" ht="12.75" hidden="false" customHeight="false" outlineLevel="0" collapsed="false">
      <c r="A18" s="10"/>
      <c r="B18" s="10"/>
      <c r="C18" s="10"/>
      <c r="D18" s="10"/>
      <c r="E18" s="10"/>
      <c r="F18" s="10"/>
      <c r="G18" s="10"/>
    </row>
    <row r="19" customFormat="false" ht="15.75" hidden="false" customHeight="false" outlineLevel="0" collapsed="false">
      <c r="A19" s="5"/>
    </row>
    <row r="20" customFormat="false" ht="15.75" hidden="false" customHeight="false" outlineLevel="0" collapsed="false">
      <c r="A20" s="5" t="s">
        <v>18</v>
      </c>
    </row>
    <row r="21" customFormat="false" ht="12.75" hidden="false" customHeight="true" outlineLevel="0" collapsed="false">
      <c r="A21" s="6"/>
      <c r="B21" s="11" t="s">
        <v>19</v>
      </c>
      <c r="C21" s="11" t="s">
        <v>20</v>
      </c>
      <c r="D21" s="12" t="s">
        <v>21</v>
      </c>
      <c r="E21" s="12"/>
      <c r="F21" s="12"/>
    </row>
    <row r="22" customFormat="false" ht="12.75" hidden="false" customHeight="false" outlineLevel="0" collapsed="false">
      <c r="A22" s="13" t="s">
        <v>22</v>
      </c>
      <c r="B22" s="11"/>
      <c r="C22" s="11"/>
      <c r="D22" s="14" t="s">
        <v>22</v>
      </c>
      <c r="E22" s="14" t="s">
        <v>23</v>
      </c>
    </row>
    <row r="23" customFormat="false" ht="12.75" hidden="false" customHeight="false" outlineLevel="0" collapsed="false">
      <c r="A23" s="6" t="n">
        <v>2024</v>
      </c>
      <c r="B23" s="15" t="n">
        <v>345.426571</v>
      </c>
      <c r="D23" s="16"/>
      <c r="E23" s="16"/>
    </row>
    <row r="24" customFormat="false" ht="12.75" hidden="false" customHeight="false" outlineLevel="0" collapsed="false">
      <c r="A24" s="6" t="n">
        <v>2023</v>
      </c>
      <c r="B24" s="15" t="n">
        <v>343.477335</v>
      </c>
      <c r="C24" s="17" t="n">
        <f aca="false">(B23-B24)/(A23-A24)</f>
        <v>1.94923600000004</v>
      </c>
      <c r="D24" s="16"/>
      <c r="E24" s="16"/>
    </row>
    <row r="25" customFormat="false" ht="12.75" hidden="false" customHeight="false" outlineLevel="0" collapsed="false">
      <c r="A25" s="6" t="n">
        <v>2022</v>
      </c>
      <c r="B25" s="15" t="n">
        <v>341.534046</v>
      </c>
      <c r="C25" s="17" t="n">
        <f aca="false">(B24-B25)/(A24-A25)</f>
        <v>1.94328899999999</v>
      </c>
      <c r="D25" s="16"/>
      <c r="E25" s="16"/>
    </row>
    <row r="26" customFormat="false" ht="12.75" hidden="false" customHeight="false" outlineLevel="0" collapsed="false">
      <c r="A26" s="6" t="n">
        <v>2020</v>
      </c>
      <c r="B26" s="15" t="n">
        <v>339.436159</v>
      </c>
      <c r="C26" s="17" t="n">
        <f aca="false">(B25-B26)/(A25-A26)</f>
        <v>1.04894350000001</v>
      </c>
      <c r="D26" s="16"/>
      <c r="E26" s="16"/>
    </row>
    <row r="27" customFormat="false" ht="12.75" hidden="false" customHeight="false" outlineLevel="0" collapsed="false">
      <c r="A27" s="6" t="n">
        <v>2015</v>
      </c>
      <c r="B27" s="15" t="n">
        <v>326.126497</v>
      </c>
      <c r="C27" s="17" t="n">
        <f aca="false">(B26-B27)/(A26-A27)</f>
        <v>2.6619324</v>
      </c>
      <c r="D27" s="6" t="n">
        <v>2016</v>
      </c>
      <c r="E27" s="18" t="n">
        <f aca="false">B27+C27*(D27-A27)</f>
        <v>328.7884294</v>
      </c>
    </row>
    <row r="28" customFormat="false" ht="12.75" hidden="false" customHeight="false" outlineLevel="0" collapsed="false">
      <c r="A28" s="6" t="n">
        <v>2010</v>
      </c>
      <c r="B28" s="15" t="n">
        <v>311.06279</v>
      </c>
      <c r="C28" s="17" t="n">
        <f aca="false">(B27-B28)/(A27-A28)</f>
        <v>3.01274139999999</v>
      </c>
      <c r="D28" s="6" t="n">
        <v>2012</v>
      </c>
      <c r="E28" s="18" t="n">
        <f aca="false">B28+C28*(D28-A28)</f>
        <v>317.0882728</v>
      </c>
    </row>
    <row r="29" customFormat="false" ht="12.75" hidden="false" customHeight="false" outlineLevel="0" collapsed="false">
      <c r="A29" s="6" t="n">
        <v>2005</v>
      </c>
      <c r="B29" s="15" t="n">
        <v>295.716664</v>
      </c>
      <c r="C29" s="17" t="n">
        <f aca="false">(B28-B29)/(A28-A29)</f>
        <v>3.06922520000001</v>
      </c>
      <c r="D29" s="6" t="n">
        <v>2008</v>
      </c>
      <c r="E29" s="18" t="n">
        <f aca="false">B29+C29*(D29-A29)</f>
        <v>304.9243396</v>
      </c>
    </row>
    <row r="30" customFormat="false" ht="12.75" hidden="false" customHeight="false" outlineLevel="0" collapsed="false">
      <c r="A30" s="6" t="n">
        <v>2000</v>
      </c>
      <c r="B30" s="15" t="n">
        <v>281.484131</v>
      </c>
      <c r="C30" s="17" t="n">
        <f aca="false">(B29-B30)/(A29-A30)</f>
        <v>2.8465066</v>
      </c>
      <c r="D30" s="6" t="n">
        <v>2004</v>
      </c>
      <c r="E30" s="18" t="n">
        <f aca="false">B30+C30*(D30-A30)</f>
        <v>292.8701574</v>
      </c>
    </row>
    <row r="31" customFormat="false" ht="15" hidden="false" customHeight="false" outlineLevel="0" collapsed="false">
      <c r="A31" s="19"/>
    </row>
    <row r="32" customFormat="false" ht="15.75" hidden="false" customHeight="false" outlineLevel="0" collapsed="false">
      <c r="A32" s="5" t="s">
        <v>24</v>
      </c>
    </row>
    <row r="33" customFormat="false" ht="12.75" hidden="false" customHeight="true" outlineLevel="0" collapsed="false">
      <c r="B33" s="20" t="s">
        <v>25</v>
      </c>
      <c r="C33" s="20"/>
      <c r="D33" s="20"/>
      <c r="E33" s="20"/>
      <c r="F33" s="21" t="s">
        <v>26</v>
      </c>
      <c r="G33" s="21"/>
      <c r="H33" s="21"/>
      <c r="I33" s="11" t="s">
        <v>27</v>
      </c>
    </row>
    <row r="34" customFormat="false" ht="12.75" hidden="false" customHeight="false" outlineLevel="0" collapsed="false">
      <c r="A34" s="13" t="s">
        <v>22</v>
      </c>
      <c r="B34" s="11" t="s">
        <v>28</v>
      </c>
      <c r="C34" s="22" t="s">
        <v>29</v>
      </c>
      <c r="D34" s="22" t="s">
        <v>30</v>
      </c>
      <c r="E34" s="22" t="s">
        <v>31</v>
      </c>
      <c r="F34" s="11" t="s">
        <v>28</v>
      </c>
      <c r="G34" s="13" t="s">
        <v>29</v>
      </c>
      <c r="H34" s="13" t="s">
        <v>30</v>
      </c>
      <c r="I34" s="11"/>
    </row>
    <row r="35" customFormat="false" ht="12.75" hidden="false" customHeight="false" outlineLevel="0" collapsed="false">
      <c r="A35" s="6" t="n">
        <f aca="false">'2000'!B1</f>
        <v>2000</v>
      </c>
      <c r="B35" s="23" t="n">
        <f aca="false">'2000'!B2/1000000</f>
        <v>105.396627</v>
      </c>
      <c r="D35" s="24" t="n">
        <f aca="false">B36-B35</f>
        <v>16.898718</v>
      </c>
      <c r="E35" s="24"/>
      <c r="F35" s="25" t="n">
        <f aca="false">281.484131</f>
        <v>281.484131</v>
      </c>
      <c r="H35" s="24" t="n">
        <f aca="false">F36-F35</f>
        <v>10.515869</v>
      </c>
      <c r="I35" s="24"/>
    </row>
    <row r="36" customFormat="false" ht="12.75" hidden="false" customHeight="false" outlineLevel="0" collapsed="false">
      <c r="A36" s="6" t="n">
        <f aca="false">'2004'!B1</f>
        <v>2004</v>
      </c>
      <c r="B36" s="23" t="n">
        <f aca="false">'2004'!B2/1000000</f>
        <v>122.295345</v>
      </c>
      <c r="C36" s="24" t="n">
        <f aca="false">B36-B35</f>
        <v>16.898718</v>
      </c>
      <c r="D36" s="24" t="n">
        <f aca="false">0.5*(B37-B35)</f>
        <v>12.94074</v>
      </c>
      <c r="E36" s="26" t="n">
        <f aca="false">-0.5*(B35+B37-2*B36)</f>
        <v>3.957978</v>
      </c>
      <c r="F36" s="27" t="n">
        <v>292</v>
      </c>
      <c r="G36" s="24" t="n">
        <f aca="false">F36-F35</f>
        <v>10.515869</v>
      </c>
      <c r="H36" s="24" t="n">
        <f aca="false">0.5*(F37-F35)</f>
        <v>11.2579345</v>
      </c>
      <c r="I36" s="24"/>
    </row>
    <row r="37" customFormat="false" ht="12.75" hidden="false" customHeight="false" outlineLevel="0" collapsed="false">
      <c r="A37" s="6" t="n">
        <f aca="false">'2008'!B1</f>
        <v>2008</v>
      </c>
      <c r="B37" s="23" t="n">
        <f aca="false">'2008'!B2/1000000</f>
        <v>131.278107</v>
      </c>
      <c r="C37" s="24" t="n">
        <f aca="false">B37-B36</f>
        <v>8.98276200000001</v>
      </c>
      <c r="D37" s="24" t="n">
        <f aca="false">0.5*(B38-B36)</f>
        <v>3.38615850000001</v>
      </c>
      <c r="E37" s="24"/>
      <c r="F37" s="27" t="n">
        <v>304</v>
      </c>
      <c r="G37" s="24" t="n">
        <f aca="false">F37-F36</f>
        <v>12</v>
      </c>
      <c r="H37" s="24" t="n">
        <f aca="false">0.5*(F38-F36)</f>
        <v>12.5</v>
      </c>
      <c r="I37" s="28" t="n">
        <f aca="false">(B37-B35)/(F37-F35)</f>
        <v>1.14947728644184</v>
      </c>
    </row>
    <row r="38" customFormat="false" ht="12.75" hidden="false" customHeight="false" outlineLevel="0" collapsed="false">
      <c r="A38" s="6" t="n">
        <f aca="false">'2012'!B1</f>
        <v>2012</v>
      </c>
      <c r="B38" s="23" t="n">
        <f aca="false">'2012'!B2/1000000</f>
        <v>129.067662</v>
      </c>
      <c r="C38" s="24" t="n">
        <f aca="false">B38-B37</f>
        <v>-2.21044499999999</v>
      </c>
      <c r="D38" s="24" t="n">
        <f aca="false">0.5*(B39-B37)</f>
        <v>2.5517945</v>
      </c>
      <c r="E38" s="24"/>
      <c r="F38" s="27" t="n">
        <v>317</v>
      </c>
      <c r="G38" s="24" t="n">
        <f aca="false">F38-F37</f>
        <v>13</v>
      </c>
      <c r="H38" s="24" t="n">
        <f aca="false">0.5*(F39-F37)</f>
        <v>12.5</v>
      </c>
      <c r="I38" s="24"/>
    </row>
    <row r="39" customFormat="false" ht="12.75" hidden="false" customHeight="false" outlineLevel="0" collapsed="false">
      <c r="A39" s="6" t="n">
        <f aca="false">'2016'!B1</f>
        <v>2016</v>
      </c>
      <c r="B39" s="23" t="n">
        <f aca="false">'2016'!B2/1000000</f>
        <v>136.381696</v>
      </c>
      <c r="C39" s="24" t="n">
        <f aca="false">B39-B38</f>
        <v>7.31403399999999</v>
      </c>
      <c r="D39" s="24" t="n">
        <f aca="false">0.5*(B40-B38)</f>
        <v>14.654386</v>
      </c>
      <c r="E39" s="24"/>
      <c r="F39" s="27" t="n">
        <v>329</v>
      </c>
      <c r="G39" s="24" t="n">
        <f aca="false">F39-F38</f>
        <v>12</v>
      </c>
      <c r="H39" s="24" t="n">
        <f aca="false">0.5*(F40-F38)</f>
        <v>11.2180795</v>
      </c>
      <c r="I39" s="24"/>
    </row>
    <row r="40" customFormat="false" ht="12.75" hidden="false" customHeight="false" outlineLevel="0" collapsed="false">
      <c r="A40" s="6" t="n">
        <f aca="false">'2020'!B1</f>
        <v>2020</v>
      </c>
      <c r="B40" s="23" t="n">
        <f aca="false">'2020'!B2/1000000</f>
        <v>158.376434</v>
      </c>
      <c r="C40" s="24" t="n">
        <f aca="false">B40-B39</f>
        <v>21.994738</v>
      </c>
      <c r="D40" s="24" t="n">
        <f aca="false">0.5*(B41-B39)</f>
        <v>8.37197999999999</v>
      </c>
      <c r="E40" s="26" t="n">
        <f aca="false">-0.5*(B39+B41-2*B40)</f>
        <v>13.622758</v>
      </c>
      <c r="F40" s="25" t="n">
        <v>339.436159</v>
      </c>
      <c r="G40" s="24" t="n">
        <f aca="false">F40-F39</f>
        <v>10.436159</v>
      </c>
      <c r="H40" s="24" t="n">
        <f aca="false">0.5*(F41-F39)</f>
        <v>8.21328550000001</v>
      </c>
      <c r="I40" s="24"/>
    </row>
    <row r="41" customFormat="false" ht="12.75" hidden="false" customHeight="false" outlineLevel="0" collapsed="false">
      <c r="A41" s="6" t="n">
        <v>2024</v>
      </c>
      <c r="B41" s="23" t="n">
        <f aca="false">'2024'!B2/1000000</f>
        <v>153.125656</v>
      </c>
      <c r="C41" s="24" t="n">
        <f aca="false">B41-B40</f>
        <v>-5.250778</v>
      </c>
      <c r="D41" s="24" t="n">
        <f aca="false">B41-B40</f>
        <v>-5.250778</v>
      </c>
      <c r="E41" s="24"/>
      <c r="F41" s="25" t="n">
        <v>345.426571</v>
      </c>
      <c r="G41" s="24" t="n">
        <f aca="false">F41-F40</f>
        <v>5.99041200000005</v>
      </c>
      <c r="H41" s="24" t="n">
        <f aca="false">F41-F40</f>
        <v>5.99041200000005</v>
      </c>
      <c r="I41" s="28" t="n">
        <f aca="false">(B41-B39)/(F41-F39)</f>
        <v>1.01932168314373</v>
      </c>
    </row>
    <row r="42" customFormat="false" ht="12.75" hidden="false" customHeight="false" outlineLevel="0" collapsed="false">
      <c r="A42" s="29" t="s">
        <v>32</v>
      </c>
      <c r="B42" s="30" t="n">
        <f aca="false">(B41-B39)/(B37-B35)</f>
        <v>0.646947547049086</v>
      </c>
      <c r="C42" s="24"/>
      <c r="D42" s="24"/>
      <c r="E42" s="29" t="s">
        <v>33</v>
      </c>
      <c r="F42" s="30" t="n">
        <f aca="false">(F41-F39)/(F37-F35)</f>
        <v>0.72955527499294</v>
      </c>
      <c r="H42" s="29" t="s">
        <v>34</v>
      </c>
      <c r="I42" s="31" t="n">
        <f aca="false">B39+I37*(F41-F39)</f>
        <v>155.263666258624</v>
      </c>
    </row>
    <row r="43" customFormat="false" ht="12.75" hidden="false" customHeight="false" outlineLevel="0" collapsed="false">
      <c r="A43" s="16"/>
    </row>
    <row r="44" customFormat="false" ht="12.75" hidden="false" customHeight="false" outlineLevel="0" collapsed="false">
      <c r="A44" s="16"/>
    </row>
    <row r="45" customFormat="false" ht="12.75" hidden="false" customHeight="false" outlineLevel="0" collapsed="false">
      <c r="A45" s="32" t="s">
        <v>35</v>
      </c>
      <c r="B45" s="32"/>
      <c r="C45" s="32"/>
    </row>
    <row r="46" customFormat="false" ht="12.75" hidden="false" customHeight="true" outlineLevel="0" collapsed="false">
      <c r="A46" s="33"/>
      <c r="B46" s="34" t="s">
        <v>36</v>
      </c>
      <c r="C46" s="33"/>
      <c r="D46" s="20" t="s">
        <v>37</v>
      </c>
      <c r="E46" s="20"/>
      <c r="F46" s="21" t="s">
        <v>38</v>
      </c>
      <c r="G46" s="21"/>
      <c r="H46" s="20" t="s">
        <v>39</v>
      </c>
      <c r="I46" s="20"/>
      <c r="J46" s="20"/>
    </row>
    <row r="47" customFormat="false" ht="12.75" hidden="false" customHeight="false" outlineLevel="0" collapsed="false">
      <c r="A47" s="34" t="s">
        <v>40</v>
      </c>
      <c r="B47" s="34" t="s">
        <v>41</v>
      </c>
      <c r="C47" s="34" t="s">
        <v>42</v>
      </c>
      <c r="D47" s="20" t="s">
        <v>43</v>
      </c>
      <c r="E47" s="20" t="s">
        <v>41</v>
      </c>
      <c r="F47" s="21" t="s">
        <v>43</v>
      </c>
      <c r="G47" s="21" t="s">
        <v>41</v>
      </c>
      <c r="H47" s="20" t="s">
        <v>44</v>
      </c>
      <c r="I47" s="20" t="s">
        <v>45</v>
      </c>
      <c r="J47" s="20" t="s">
        <v>46</v>
      </c>
    </row>
    <row r="48" customFormat="false" ht="12.75" hidden="false" customHeight="false" outlineLevel="0" collapsed="false">
      <c r="A48" s="35" t="n">
        <f aca="false">(F35-$F$35)</f>
        <v>0</v>
      </c>
      <c r="B48" s="36" t="n">
        <f aca="false">(B35-$B$35)</f>
        <v>0</v>
      </c>
      <c r="C48" s="6" t="s">
        <v>47</v>
      </c>
      <c r="D48" s="6"/>
      <c r="E48" s="37"/>
      <c r="F48" s="6"/>
      <c r="G48" s="37"/>
      <c r="I48" s="6"/>
      <c r="J48" s="6"/>
    </row>
    <row r="49" customFormat="false" ht="12.75" hidden="false" customHeight="false" outlineLevel="0" collapsed="false">
      <c r="A49" s="35" t="n">
        <f aca="false">(F36-$F$35)</f>
        <v>10.515869</v>
      </c>
      <c r="B49" s="36" t="n">
        <f aca="false">(B36-$B$35)</f>
        <v>16.898718</v>
      </c>
      <c r="C49" s="6" t="s">
        <v>48</v>
      </c>
      <c r="D49" s="35" t="n">
        <f aca="false">A49</f>
        <v>10.515869</v>
      </c>
      <c r="E49" s="37" t="n">
        <f aca="false">0.5*(B48+B50)</f>
        <v>12.94074</v>
      </c>
      <c r="F49" s="35" t="n">
        <f aca="false">A49</f>
        <v>10.515869</v>
      </c>
      <c r="G49" s="37" t="n">
        <f aca="false">H109</f>
        <v>12.0877525626979</v>
      </c>
      <c r="H49" s="37" t="n">
        <f aca="false">G49-E49</f>
        <v>-0.852987437302105</v>
      </c>
      <c r="I49" s="38" t="n">
        <f aca="false">E36</f>
        <v>3.957978</v>
      </c>
      <c r="J49" s="6" t="s">
        <v>49</v>
      </c>
    </row>
    <row r="50" customFormat="false" ht="12.75" hidden="false" customHeight="false" outlineLevel="0" collapsed="false">
      <c r="A50" s="35" t="n">
        <f aca="false">(F37-$F$35)</f>
        <v>22.515869</v>
      </c>
      <c r="B50" s="36" t="n">
        <f aca="false">(B37-$B$35)</f>
        <v>25.88148</v>
      </c>
      <c r="C50" s="6" t="s">
        <v>50</v>
      </c>
      <c r="D50" s="6"/>
      <c r="E50" s="37"/>
      <c r="F50" s="6"/>
      <c r="G50" s="37"/>
      <c r="I50" s="6"/>
      <c r="J50" s="6"/>
    </row>
    <row r="51" customFormat="false" ht="12.75" hidden="false" customHeight="false" outlineLevel="0" collapsed="false">
      <c r="A51" s="35" t="n">
        <f aca="false">(F38-$F$35)</f>
        <v>35.515869</v>
      </c>
      <c r="B51" s="36" t="n">
        <f aca="false">(B38-$B$35)</f>
        <v>23.671035</v>
      </c>
      <c r="C51" s="6" t="s">
        <v>51</v>
      </c>
      <c r="D51" s="6"/>
      <c r="E51" s="37"/>
      <c r="F51" s="6"/>
      <c r="G51" s="37"/>
      <c r="I51" s="6"/>
      <c r="J51" s="6"/>
    </row>
    <row r="52" customFormat="false" ht="12.75" hidden="false" customHeight="false" outlineLevel="0" collapsed="false">
      <c r="A52" s="35" t="n">
        <f aca="false">(F39-$F$35)</f>
        <v>47.515869</v>
      </c>
      <c r="B52" s="36" t="n">
        <f aca="false">(B39-$B$35)</f>
        <v>30.985069</v>
      </c>
      <c r="C52" s="6" t="s">
        <v>52</v>
      </c>
      <c r="D52" s="6"/>
      <c r="E52" s="37"/>
      <c r="F52" s="6"/>
      <c r="G52" s="37"/>
      <c r="I52" s="6"/>
      <c r="J52" s="6"/>
    </row>
    <row r="53" customFormat="false" ht="12.75" hidden="false" customHeight="false" outlineLevel="0" collapsed="false">
      <c r="A53" s="35" t="n">
        <f aca="false">(F40-$F$35)</f>
        <v>57.952028</v>
      </c>
      <c r="B53" s="36" t="n">
        <f aca="false">(B40-$B$35)</f>
        <v>52.979807</v>
      </c>
      <c r="C53" s="6" t="s">
        <v>53</v>
      </c>
      <c r="D53" s="35" t="n">
        <f aca="false">A53</f>
        <v>57.952028</v>
      </c>
      <c r="E53" s="37" t="n">
        <f aca="false">0.5*(B52+B54)</f>
        <v>39.357049</v>
      </c>
      <c r="F53" s="35" t="n">
        <f aca="false">A53</f>
        <v>57.952028</v>
      </c>
      <c r="G53" s="37" t="n">
        <f aca="false">H113</f>
        <v>41.6228721574356</v>
      </c>
      <c r="H53" s="37" t="n">
        <f aca="false">G53-E53</f>
        <v>2.26582315743555</v>
      </c>
      <c r="I53" s="38" t="n">
        <f aca="false">E40</f>
        <v>13.622758</v>
      </c>
      <c r="J53" s="6" t="s">
        <v>54</v>
      </c>
    </row>
    <row r="54" customFormat="false" ht="12.75" hidden="false" customHeight="false" outlineLevel="0" collapsed="false">
      <c r="A54" s="35" t="n">
        <f aca="false">(F41-$F$35)</f>
        <v>63.94244</v>
      </c>
      <c r="B54" s="36" t="n">
        <f aca="false">(B41-$B$35)</f>
        <v>47.729029</v>
      </c>
      <c r="C54" s="6" t="s">
        <v>55</v>
      </c>
      <c r="D54" s="6"/>
      <c r="E54" s="37"/>
      <c r="F54" s="6"/>
      <c r="G54" s="37"/>
      <c r="I54" s="6"/>
      <c r="J54" s="6"/>
    </row>
    <row r="55" customFormat="false" ht="12.75" hidden="false" customHeight="false" outlineLevel="0" collapsed="false">
      <c r="A55" s="16"/>
    </row>
    <row r="56" customFormat="false" ht="12.75" hidden="false" customHeight="false" outlineLevel="0" collapsed="false">
      <c r="A56" s="16"/>
    </row>
    <row r="57" customFormat="false" ht="12.75" hidden="false" customHeight="false" outlineLevel="0" collapsed="false">
      <c r="A57" s="16"/>
    </row>
    <row r="58" customFormat="false" ht="12.75" hidden="false" customHeight="false" outlineLevel="0" collapsed="false">
      <c r="A58" s="16"/>
    </row>
    <row r="59" customFormat="false" ht="12.75" hidden="false" customHeight="false" outlineLevel="0" collapsed="false">
      <c r="A59" s="16"/>
    </row>
    <row r="60" customFormat="false" ht="12.75" hidden="false" customHeight="false" outlineLevel="0" collapsed="false">
      <c r="A60" s="16"/>
    </row>
    <row r="61" customFormat="false" ht="12.75" hidden="false" customHeight="false" outlineLevel="0" collapsed="false">
      <c r="A61" s="16"/>
    </row>
    <row r="62" customFormat="false" ht="12.75" hidden="false" customHeight="false" outlineLevel="0" collapsed="false">
      <c r="A62" s="16"/>
    </row>
    <row r="63" customFormat="false" ht="12.75" hidden="false" customHeight="false" outlineLevel="0" collapsed="false">
      <c r="A63" s="16"/>
    </row>
    <row r="64" customFormat="false" ht="12.75" hidden="false" customHeight="false" outlineLevel="0" collapsed="false">
      <c r="A64" s="16"/>
    </row>
    <row r="65" customFormat="false" ht="12.75" hidden="false" customHeight="false" outlineLevel="0" collapsed="false">
      <c r="A65" s="16"/>
    </row>
    <row r="66" customFormat="false" ht="12.75" hidden="false" customHeight="false" outlineLevel="0" collapsed="false">
      <c r="A66" s="16"/>
    </row>
    <row r="67" customFormat="false" ht="12.75" hidden="false" customHeight="false" outlineLevel="0" collapsed="false">
      <c r="A67" s="16"/>
    </row>
    <row r="68" customFormat="false" ht="12.75" hidden="false" customHeight="false" outlineLevel="0" collapsed="false">
      <c r="A68" s="16"/>
    </row>
    <row r="69" customFormat="false" ht="12.75" hidden="false" customHeight="false" outlineLevel="0" collapsed="false">
      <c r="A69" s="16"/>
    </row>
    <row r="70" customFormat="false" ht="12.75" hidden="false" customHeight="false" outlineLevel="0" collapsed="false">
      <c r="A70" s="16"/>
    </row>
    <row r="71" customFormat="false" ht="12.75" hidden="false" customHeight="false" outlineLevel="0" collapsed="false">
      <c r="A71" s="16"/>
    </row>
    <row r="72" customFormat="false" ht="12.75" hidden="false" customHeight="false" outlineLevel="0" collapsed="false">
      <c r="A72" s="16"/>
    </row>
    <row r="73" customFormat="false" ht="12.75" hidden="false" customHeight="false" outlineLevel="0" collapsed="false">
      <c r="A73" s="16"/>
    </row>
    <row r="74" customFormat="false" ht="12.75" hidden="false" customHeight="false" outlineLevel="0" collapsed="false">
      <c r="A74" s="16"/>
    </row>
    <row r="75" customFormat="false" ht="12.75" hidden="false" customHeight="false" outlineLevel="0" collapsed="false">
      <c r="A75" s="16"/>
    </row>
    <row r="76" customFormat="false" ht="12.75" hidden="false" customHeight="false" outlineLevel="0" collapsed="false">
      <c r="A76" s="16"/>
    </row>
    <row r="77" customFormat="false" ht="12.75" hidden="false" customHeight="false" outlineLevel="0" collapsed="false">
      <c r="A77" s="16"/>
    </row>
    <row r="78" customFormat="false" ht="12.75" hidden="false" customHeight="false" outlineLevel="0" collapsed="false">
      <c r="A78" s="16"/>
    </row>
    <row r="79" customFormat="false" ht="12.75" hidden="false" customHeight="false" outlineLevel="0" collapsed="false">
      <c r="A79" s="16"/>
    </row>
    <row r="80" customFormat="false" ht="12.75" hidden="false" customHeight="false" outlineLevel="0" collapsed="false">
      <c r="A80" s="16"/>
    </row>
    <row r="81" customFormat="false" ht="12.75" hidden="false" customHeight="false" outlineLevel="0" collapsed="false">
      <c r="A81" s="16"/>
    </row>
    <row r="82" customFormat="false" ht="12.75" hidden="false" customHeight="false" outlineLevel="0" collapsed="false">
      <c r="A82" s="16"/>
    </row>
    <row r="83" customFormat="false" ht="12.75" hidden="false" customHeight="true" outlineLevel="0" collapsed="false">
      <c r="A83" s="39" t="s">
        <v>56</v>
      </c>
      <c r="B83" s="39"/>
      <c r="C83" s="39"/>
      <c r="D83" s="39"/>
      <c r="E83" s="39"/>
      <c r="F83" s="39"/>
      <c r="G83" s="39"/>
      <c r="H83" s="39"/>
    </row>
    <row r="84" customFormat="false" ht="12.75" hidden="false" customHeight="false" outlineLevel="0" collapsed="false">
      <c r="A84" s="39"/>
      <c r="B84" s="39"/>
      <c r="C84" s="39"/>
      <c r="D84" s="39"/>
      <c r="E84" s="39"/>
      <c r="F84" s="39"/>
      <c r="G84" s="39"/>
      <c r="H84" s="39"/>
    </row>
    <row r="85" customFormat="false" ht="12.75" hidden="false" customHeight="false" outlineLevel="0" collapsed="false">
      <c r="A85" s="39"/>
      <c r="B85" s="39"/>
      <c r="C85" s="39"/>
      <c r="D85" s="39"/>
      <c r="E85" s="39"/>
      <c r="F85" s="39"/>
      <c r="G85" s="39"/>
      <c r="H85" s="39"/>
    </row>
    <row r="86" customFormat="false" ht="12.75" hidden="false" customHeight="false" outlineLevel="0" collapsed="false">
      <c r="A86" s="39"/>
      <c r="B86" s="39"/>
      <c r="C86" s="39"/>
      <c r="D86" s="39"/>
      <c r="E86" s="39"/>
      <c r="F86" s="39"/>
      <c r="G86" s="39"/>
      <c r="H86" s="39"/>
    </row>
    <row r="87" customFormat="false" ht="12.75" hidden="false" customHeight="true" outlineLevel="0" collapsed="false">
      <c r="A87" s="39" t="s">
        <v>57</v>
      </c>
      <c r="B87" s="39"/>
      <c r="C87" s="39"/>
      <c r="D87" s="39"/>
      <c r="E87" s="39"/>
      <c r="F87" s="39"/>
      <c r="G87" s="39"/>
      <c r="H87" s="39"/>
    </row>
    <row r="88" customFormat="false" ht="12.75" hidden="false" customHeight="false" outlineLevel="0" collapsed="false">
      <c r="A88" s="39"/>
      <c r="B88" s="39"/>
      <c r="C88" s="39"/>
      <c r="D88" s="39"/>
      <c r="E88" s="39"/>
      <c r="F88" s="39"/>
      <c r="G88" s="39"/>
      <c r="H88" s="39"/>
    </row>
    <row r="90" customFormat="false" ht="15.75" hidden="false" customHeight="false" outlineLevel="0" collapsed="false">
      <c r="A90" s="5" t="s">
        <v>58</v>
      </c>
    </row>
    <row r="91" customFormat="false" ht="15.75" hidden="false" customHeight="false" outlineLevel="0" collapsed="false">
      <c r="A91" s="5"/>
    </row>
    <row r="92" customFormat="false" ht="15.75" hidden="false" customHeight="false" outlineLevel="0" collapsed="false">
      <c r="A92" s="5" t="s">
        <v>59</v>
      </c>
    </row>
    <row r="93" customFormat="false" ht="12.75" hidden="false" customHeight="true" outlineLevel="0" collapsed="false">
      <c r="C93" s="20" t="s">
        <v>25</v>
      </c>
      <c r="D93" s="20"/>
      <c r="E93" s="20"/>
    </row>
    <row r="94" customFormat="false" ht="12.75" hidden="false" customHeight="false" outlineLevel="0" collapsed="false">
      <c r="B94" s="13" t="s">
        <v>22</v>
      </c>
      <c r="C94" s="11" t="s">
        <v>36</v>
      </c>
      <c r="D94" s="22" t="s">
        <v>29</v>
      </c>
      <c r="E94" s="13" t="s">
        <v>60</v>
      </c>
    </row>
    <row r="95" customFormat="false" ht="12.75" hidden="false" customHeight="false" outlineLevel="0" collapsed="false">
      <c r="B95" s="6" t="n">
        <f aca="false">A35</f>
        <v>2000</v>
      </c>
      <c r="C95" s="26" t="n">
        <f aca="false">B35</f>
        <v>105.396627</v>
      </c>
      <c r="D95" s="40"/>
      <c r="E95" s="23"/>
    </row>
    <row r="96" customFormat="false" ht="12.75" hidden="false" customHeight="false" outlineLevel="0" collapsed="false">
      <c r="B96" s="6" t="n">
        <f aca="false">A36</f>
        <v>2004</v>
      </c>
      <c r="C96" s="26" t="n">
        <f aca="false">B36</f>
        <v>122.295345</v>
      </c>
      <c r="D96" s="37" t="n">
        <f aca="false">C96-C95</f>
        <v>16.898718</v>
      </c>
      <c r="E96" s="26" t="n">
        <f aca="false">-0.5*(C95+C97-2*C96)</f>
        <v>3.957978</v>
      </c>
    </row>
    <row r="97" customFormat="false" ht="12.75" hidden="false" customHeight="false" outlineLevel="0" collapsed="false">
      <c r="B97" s="6" t="n">
        <f aca="false">A37</f>
        <v>2008</v>
      </c>
      <c r="C97" s="26" t="n">
        <f aca="false">B37</f>
        <v>131.278107</v>
      </c>
      <c r="D97" s="37" t="n">
        <f aca="false">C97-C96</f>
        <v>8.98276200000001</v>
      </c>
      <c r="E97" s="23"/>
    </row>
    <row r="98" customFormat="false" ht="12.75" hidden="false" customHeight="false" outlineLevel="0" collapsed="false">
      <c r="B98" s="6" t="n">
        <f aca="false">A38</f>
        <v>2012</v>
      </c>
      <c r="C98" s="26" t="n">
        <f aca="false">B38</f>
        <v>129.067662</v>
      </c>
      <c r="D98" s="37" t="n">
        <f aca="false">C98-C97</f>
        <v>-2.21044499999999</v>
      </c>
      <c r="E98" s="23"/>
    </row>
    <row r="99" customFormat="false" ht="12.75" hidden="false" customHeight="false" outlineLevel="0" collapsed="false">
      <c r="B99" s="6" t="n">
        <f aca="false">A39</f>
        <v>2016</v>
      </c>
      <c r="C99" s="26" t="n">
        <f aca="false">B39</f>
        <v>136.381696</v>
      </c>
      <c r="D99" s="37" t="n">
        <f aca="false">C99-C98</f>
        <v>7.31403399999999</v>
      </c>
      <c r="E99" s="23"/>
    </row>
    <row r="100" customFormat="false" ht="12.75" hidden="false" customHeight="false" outlineLevel="0" collapsed="false">
      <c r="B100" s="6" t="n">
        <f aca="false">A40</f>
        <v>2020</v>
      </c>
      <c r="C100" s="26" t="n">
        <f aca="false">B40</f>
        <v>158.376434</v>
      </c>
      <c r="D100" s="37" t="n">
        <f aca="false">C100-C99</f>
        <v>21.994738</v>
      </c>
      <c r="E100" s="26" t="n">
        <f aca="false">-0.5*(C99+C101-2*C100)</f>
        <v>13.622758</v>
      </c>
    </row>
    <row r="101" customFormat="false" ht="12.75" hidden="false" customHeight="false" outlineLevel="0" collapsed="false">
      <c r="B101" s="6" t="n">
        <f aca="false">A41</f>
        <v>2024</v>
      </c>
      <c r="C101" s="26" t="n">
        <f aca="false">B41</f>
        <v>153.125656</v>
      </c>
      <c r="D101" s="37" t="n">
        <f aca="false">C101-C100</f>
        <v>-5.250778</v>
      </c>
      <c r="E101" s="23"/>
    </row>
    <row r="102" customFormat="false" ht="12.75" hidden="false" customHeight="false" outlineLevel="0" collapsed="false">
      <c r="A102" s="32" t="s">
        <v>61</v>
      </c>
      <c r="B102" s="32"/>
      <c r="C102" s="32"/>
      <c r="D102" s="32"/>
      <c r="E102" s="32"/>
      <c r="F102" s="32"/>
      <c r="G102" s="32"/>
    </row>
    <row r="103" customFormat="false" ht="12.75" hidden="false" customHeight="false" outlineLevel="0" collapsed="false">
      <c r="B103" s="6"/>
      <c r="C103" s="26"/>
      <c r="D103" s="37"/>
      <c r="E103" s="23"/>
    </row>
    <row r="104" customFormat="false" ht="15.75" hidden="false" customHeight="false" outlineLevel="0" collapsed="false">
      <c r="A104" s="5"/>
    </row>
    <row r="105" customFormat="false" ht="15.75" hidden="false" customHeight="false" outlineLevel="0" collapsed="false">
      <c r="A105" s="5" t="s">
        <v>62</v>
      </c>
      <c r="G105" s="32" t="s">
        <v>63</v>
      </c>
      <c r="H105" s="32"/>
      <c r="I105" s="32"/>
    </row>
    <row r="106" customFormat="false" ht="15" hidden="false" customHeight="true" outlineLevel="0" collapsed="false">
      <c r="A106" s="5"/>
      <c r="C106" s="20" t="s">
        <v>36</v>
      </c>
      <c r="D106" s="20"/>
      <c r="E106" s="21" t="s">
        <v>38</v>
      </c>
      <c r="F106" s="21"/>
      <c r="G106" s="20" t="s">
        <v>38</v>
      </c>
      <c r="H106" s="20"/>
      <c r="I106" s="20"/>
    </row>
    <row r="107" customFormat="false" ht="15.75" hidden="false" customHeight="false" outlineLevel="0" collapsed="false">
      <c r="A107" s="5"/>
      <c r="B107" s="13" t="s">
        <v>22</v>
      </c>
      <c r="C107" s="11" t="s">
        <v>64</v>
      </c>
      <c r="D107" s="13" t="s">
        <v>65</v>
      </c>
      <c r="E107" s="11" t="s">
        <v>25</v>
      </c>
      <c r="F107" s="22" t="s">
        <v>66</v>
      </c>
      <c r="G107" s="13" t="s">
        <v>40</v>
      </c>
      <c r="H107" s="13" t="s">
        <v>41</v>
      </c>
      <c r="I107" s="13" t="s">
        <v>42</v>
      </c>
    </row>
    <row r="108" customFormat="false" ht="15.75" hidden="false" customHeight="false" outlineLevel="0" collapsed="false">
      <c r="A108" s="5"/>
      <c r="B108" s="6" t="n">
        <f aca="false">A35</f>
        <v>2000</v>
      </c>
      <c r="C108" s="36" t="n">
        <f aca="false">281.484131</f>
        <v>281.484131</v>
      </c>
      <c r="D108" s="35" t="n">
        <f aca="false">B35</f>
        <v>105.396627</v>
      </c>
    </row>
    <row r="109" customFormat="false" ht="15.75" hidden="false" customHeight="false" outlineLevel="0" collapsed="false">
      <c r="A109" s="5"/>
      <c r="B109" s="6" t="n">
        <f aca="false">A36</f>
        <v>2004</v>
      </c>
      <c r="C109" s="35" t="n">
        <v>292</v>
      </c>
      <c r="D109" s="35" t="n">
        <f aca="false">B36</f>
        <v>122.295345</v>
      </c>
      <c r="E109" s="37" t="n">
        <f aca="false">D108+(D110-D108)/(C110-C108)*(C109-C108)</f>
        <v>117.484379562698</v>
      </c>
      <c r="F109" s="37" t="n">
        <f aca="false">-E109+D109</f>
        <v>4.8109654373021</v>
      </c>
      <c r="G109" s="37" t="n">
        <f aca="false">C109-C$108</f>
        <v>10.515869</v>
      </c>
      <c r="H109" s="37" t="n">
        <f aca="false">E109-D$108</f>
        <v>12.0877525626979</v>
      </c>
      <c r="I109" s="6" t="s">
        <v>67</v>
      </c>
    </row>
    <row r="110" customFormat="false" ht="15.75" hidden="false" customHeight="false" outlineLevel="0" collapsed="false">
      <c r="A110" s="5"/>
      <c r="B110" s="6" t="n">
        <f aca="false">A37</f>
        <v>2008</v>
      </c>
      <c r="C110" s="35" t="n">
        <v>304</v>
      </c>
      <c r="D110" s="35" t="n">
        <f aca="false">B37</f>
        <v>131.278107</v>
      </c>
      <c r="E110" s="40"/>
      <c r="F110" s="40"/>
    </row>
    <row r="111" customFormat="false" ht="15.75" hidden="false" customHeight="false" outlineLevel="0" collapsed="false">
      <c r="A111" s="5"/>
      <c r="B111" s="6" t="n">
        <f aca="false">A38</f>
        <v>2012</v>
      </c>
      <c r="C111" s="35" t="n">
        <v>317</v>
      </c>
      <c r="D111" s="35" t="n">
        <f aca="false">B38</f>
        <v>129.067662</v>
      </c>
      <c r="E111" s="40"/>
      <c r="F111" s="40"/>
    </row>
    <row r="112" customFormat="false" ht="15.75" hidden="false" customHeight="false" outlineLevel="0" collapsed="false">
      <c r="A112" s="5"/>
      <c r="B112" s="6" t="n">
        <f aca="false">A39</f>
        <v>2016</v>
      </c>
      <c r="C112" s="35" t="n">
        <v>329</v>
      </c>
      <c r="D112" s="35" t="n">
        <f aca="false">B39</f>
        <v>136.381696</v>
      </c>
      <c r="E112" s="40"/>
      <c r="F112" s="40"/>
    </row>
    <row r="113" customFormat="false" ht="15.75" hidden="false" customHeight="false" outlineLevel="0" collapsed="false">
      <c r="A113" s="5"/>
      <c r="B113" s="6" t="n">
        <f aca="false">A40</f>
        <v>2020</v>
      </c>
      <c r="C113" s="36" t="n">
        <v>339.436159</v>
      </c>
      <c r="D113" s="35" t="n">
        <f aca="false">B40</f>
        <v>158.376434</v>
      </c>
      <c r="E113" s="37" t="n">
        <f aca="false">D112+(D114-D112)/(C114-C112)*(C113-C112)</f>
        <v>147.019499157436</v>
      </c>
      <c r="F113" s="37" t="n">
        <f aca="false">-E113+D113</f>
        <v>11.3569348425644</v>
      </c>
      <c r="G113" s="37" t="n">
        <f aca="false">C113-C$108</f>
        <v>57.952028</v>
      </c>
      <c r="H113" s="37" t="n">
        <f aca="false">E113-D$108</f>
        <v>41.6228721574356</v>
      </c>
      <c r="I113" s="6" t="s">
        <v>68</v>
      </c>
    </row>
    <row r="114" customFormat="false" ht="15.75" hidden="false" customHeight="false" outlineLevel="0" collapsed="false">
      <c r="A114" s="5"/>
      <c r="B114" s="6" t="n">
        <f aca="false">A41</f>
        <v>2024</v>
      </c>
      <c r="C114" s="36" t="n">
        <v>345.426571</v>
      </c>
      <c r="D114" s="35" t="n">
        <f aca="false">B41</f>
        <v>153.125656</v>
      </c>
      <c r="E114" s="40"/>
      <c r="F114" s="40"/>
    </row>
    <row r="115" customFormat="false" ht="12.75" hidden="false" customHeight="true" outlineLevel="0" collapsed="false">
      <c r="A115" s="39" t="s">
        <v>69</v>
      </c>
      <c r="B115" s="39"/>
      <c r="C115" s="39"/>
      <c r="D115" s="39"/>
      <c r="E115" s="39"/>
      <c r="F115" s="39"/>
      <c r="G115" s="39"/>
      <c r="H115" s="39"/>
      <c r="I115" s="39"/>
    </row>
    <row r="116" customFormat="false" ht="12.75" hidden="false" customHeight="false" outlineLevel="0" collapsed="false">
      <c r="A116" s="39"/>
      <c r="B116" s="39"/>
      <c r="C116" s="39"/>
      <c r="D116" s="39"/>
      <c r="E116" s="39"/>
      <c r="F116" s="39"/>
      <c r="G116" s="39"/>
      <c r="H116" s="39"/>
      <c r="I116" s="39"/>
    </row>
    <row r="118" customFormat="false" ht="15.75" hidden="false" customHeight="false" outlineLevel="0" collapsed="false">
      <c r="A118" s="5" t="s">
        <v>70</v>
      </c>
    </row>
    <row r="119" customFormat="false" ht="15.75" hidden="false" customHeight="false" outlineLevel="0" collapsed="false">
      <c r="A119" s="5"/>
    </row>
    <row r="120" customFormat="false" ht="15.75" hidden="false" customHeight="false" outlineLevel="0" collapsed="false">
      <c r="A120" s="5" t="s">
        <v>71</v>
      </c>
    </row>
    <row r="121" customFormat="false" ht="12.75" hidden="false" customHeight="false" outlineLevel="0" collapsed="false">
      <c r="A121" s="41" t="s">
        <v>72</v>
      </c>
      <c r="B121" s="41"/>
      <c r="C121" s="41"/>
      <c r="D121" s="41"/>
      <c r="E121" s="41"/>
      <c r="F121" s="41"/>
      <c r="G121" s="41"/>
    </row>
    <row r="122" customFormat="false" ht="12.75" hidden="false" customHeight="false" outlineLevel="0" collapsed="false">
      <c r="A122" s="42" t="s">
        <v>73</v>
      </c>
      <c r="B122" s="7" t="s">
        <v>74</v>
      </c>
      <c r="C122" s="7"/>
      <c r="D122" s="7"/>
      <c r="E122" s="7"/>
      <c r="F122" s="7"/>
      <c r="G122" s="7"/>
    </row>
    <row r="123" customFormat="false" ht="12.75" hidden="false" customHeight="false" outlineLevel="0" collapsed="false">
      <c r="A123" s="42" t="s">
        <v>75</v>
      </c>
      <c r="B123" s="7" t="s">
        <v>76</v>
      </c>
      <c r="C123" s="7"/>
      <c r="D123" s="7"/>
      <c r="E123" s="7"/>
      <c r="F123" s="7"/>
      <c r="G123" s="7"/>
    </row>
    <row r="124" customFormat="false" ht="12.75" hidden="false" customHeight="false" outlineLevel="0" collapsed="false">
      <c r="A124" s="42" t="s">
        <v>77</v>
      </c>
      <c r="B124" s="7" t="s">
        <v>78</v>
      </c>
      <c r="C124" s="7"/>
      <c r="D124" s="7"/>
      <c r="E124" s="7"/>
      <c r="F124" s="7"/>
      <c r="G124" s="7"/>
    </row>
    <row r="125" customFormat="false" ht="15.75" hidden="false" customHeight="false" outlineLevel="0" collapsed="false">
      <c r="A125" s="5"/>
    </row>
    <row r="126" customFormat="false" ht="15.75" hidden="false" customHeight="false" outlineLevel="0" collapsed="false">
      <c r="A126" s="5" t="s">
        <v>79</v>
      </c>
    </row>
    <row r="127" customFormat="false" ht="12.75" hidden="false" customHeight="false" outlineLevel="0" collapsed="false">
      <c r="A127" s="43" t="s">
        <v>80</v>
      </c>
      <c r="B127" s="43"/>
      <c r="C127" s="43"/>
      <c r="D127" s="43"/>
      <c r="E127" s="43"/>
      <c r="F127" s="42" t="n">
        <v>0.3</v>
      </c>
      <c r="K127" s="44" t="s">
        <v>81</v>
      </c>
      <c r="L127" s="44"/>
      <c r="M127" s="44"/>
    </row>
    <row r="128" customFormat="false" ht="15" hidden="false" customHeight="true" outlineLevel="0" collapsed="false">
      <c r="B128" s="45"/>
      <c r="J128" s="29" t="s">
        <v>82</v>
      </c>
      <c r="K128" s="46" t="str">
        <f aca="false">$A$122</f>
        <v>novelty</v>
      </c>
      <c r="L128" s="46" t="str">
        <f aca="false">$A$123</f>
        <v>anti-novelty</v>
      </c>
      <c r="M128" s="46" t="str">
        <f aca="false">$A$124</f>
        <v>diffuse</v>
      </c>
    </row>
    <row r="129" customFormat="false" ht="12.75" hidden="false" customHeight="true" outlineLevel="0" collapsed="false">
      <c r="A129" s="47"/>
      <c r="B129" s="48" t="s">
        <v>83</v>
      </c>
      <c r="C129" s="48"/>
      <c r="D129" s="48"/>
      <c r="E129" s="49" t="s">
        <v>84</v>
      </c>
      <c r="F129" s="49"/>
      <c r="G129" s="49"/>
      <c r="H129" s="48" t="n">
        <v>2004</v>
      </c>
      <c r="I129" s="48"/>
      <c r="J129" s="48"/>
      <c r="K129" s="11" t="s">
        <v>85</v>
      </c>
      <c r="L129" s="11" t="s">
        <v>86</v>
      </c>
      <c r="M129" s="11" t="s">
        <v>87</v>
      </c>
    </row>
    <row r="130" customFormat="false" ht="12.75" hidden="false" customHeight="false" outlineLevel="0" collapsed="false">
      <c r="A130" s="50" t="s">
        <v>88</v>
      </c>
      <c r="B130" s="51" t="n">
        <v>2000</v>
      </c>
      <c r="C130" s="50" t="n">
        <v>2004</v>
      </c>
      <c r="D130" s="51" t="n">
        <v>2008</v>
      </c>
      <c r="E130" s="50" t="s">
        <v>89</v>
      </c>
      <c r="F130" s="51" t="s">
        <v>90</v>
      </c>
      <c r="G130" s="50" t="s">
        <v>91</v>
      </c>
      <c r="H130" s="51" t="s">
        <v>92</v>
      </c>
      <c r="I130" s="50" t="s">
        <v>93</v>
      </c>
      <c r="J130" s="51" t="s">
        <v>94</v>
      </c>
      <c r="K130" s="11"/>
      <c r="L130" s="11"/>
      <c r="M130" s="11"/>
    </row>
    <row r="131" customFormat="false" ht="12.75" hidden="false" customHeight="false" outlineLevel="0" collapsed="false">
      <c r="A131" s="6" t="str">
        <f aca="false">'2004'!A6</f>
        <v>Alabama</v>
      </c>
      <c r="B131" s="52" t="n">
        <f aca="false">'2000'!C6/1000000</f>
        <v>1.666272</v>
      </c>
      <c r="C131" s="52" t="n">
        <f aca="false">'2004'!C6/1000000</f>
        <v>1.883449</v>
      </c>
      <c r="D131" s="52" t="n">
        <f aca="false">'2008'!C6/1000000</f>
        <v>2.099819</v>
      </c>
      <c r="E131" s="53" t="n">
        <f aca="false">-0.5*(B131+D131)+C131</f>
        <v>0.000403499999999779</v>
      </c>
      <c r="F131" s="54" t="str">
        <f aca="false">IF(E131&gt;F$127,E131,"")</f>
        <v/>
      </c>
      <c r="G131" s="54" t="n">
        <f aca="false">IF(E131&lt;=F$127,E131,"")</f>
        <v>0.000403499999999779</v>
      </c>
      <c r="H131" s="52" t="n">
        <f aca="false">'2004'!D6/1000000</f>
        <v>1.176394</v>
      </c>
      <c r="I131" s="52" t="n">
        <f aca="false">'2004'!G6/1000000</f>
        <v>0.693933</v>
      </c>
      <c r="J131" s="55" t="n">
        <f aca="false">I131-H131</f>
        <v>-0.482461</v>
      </c>
      <c r="K131" s="6" t="str">
        <f aca="false">IF(ISNUMBER(F131),IF(AND(H131&lt;I131,H131&gt;I131-F131),$K$192,""),"")</f>
        <v/>
      </c>
      <c r="L131" s="6" t="str">
        <f aca="false">IF(ISNUMBER(F131),IF(AND(H131&gt;I131,H131-F131&lt;I131),$L$192,""),"")</f>
        <v/>
      </c>
      <c r="M131" s="6" t="str">
        <f aca="false">IF(AND(ABS(E131)&lt;ABS(H131-I131),ABS(E131)&gt;ABS($F$191)),$M$192,"")</f>
        <v/>
      </c>
    </row>
    <row r="132" customFormat="false" ht="12.75" hidden="false" customHeight="false" outlineLevel="0" collapsed="false">
      <c r="A132" s="6" t="str">
        <f aca="false">'2004'!A7</f>
        <v>Alaska</v>
      </c>
      <c r="B132" s="52" t="n">
        <f aca="false">'2000'!C7/1000000</f>
        <v>0.28556</v>
      </c>
      <c r="C132" s="52" t="n">
        <f aca="false">'2004'!C7/1000000</f>
        <v>0.312598</v>
      </c>
      <c r="D132" s="52" t="n">
        <f aca="false">'2008'!C7/1000000</f>
        <v>0.326197</v>
      </c>
      <c r="E132" s="53" t="n">
        <f aca="false">-0.5*(B132+D132)+C132</f>
        <v>0.00671949999999999</v>
      </c>
      <c r="F132" s="54" t="str">
        <f aca="false">IF(E132&gt;F$127,E132,"")</f>
        <v/>
      </c>
      <c r="G132" s="54" t="n">
        <f aca="false">IF(E132&lt;=F$127,E132,"")</f>
        <v>0.00671949999999999</v>
      </c>
      <c r="H132" s="52" t="n">
        <f aca="false">'2004'!D7/1000000</f>
        <v>0.190889</v>
      </c>
      <c r="I132" s="52" t="n">
        <f aca="false">'2004'!G7/1000000</f>
        <v>0.111025</v>
      </c>
      <c r="J132" s="55" t="n">
        <f aca="false">I132-H132</f>
        <v>-0.079864</v>
      </c>
      <c r="K132" s="6" t="str">
        <f aca="false">IF(ISNUMBER(F132),IF(AND(H132&lt;I132,H132&gt;I132-F132),$K$192,""),"")</f>
        <v/>
      </c>
      <c r="L132" s="6" t="str">
        <f aca="false">IF(ISNUMBER(F132),IF(AND(H132&gt;I132,H132-F132&lt;I132),$L$192,""),"")</f>
        <v/>
      </c>
      <c r="M132" s="6" t="str">
        <f aca="false">IF(AND(ABS(E132)&lt;ABS(H132-I132),ABS(E132)&gt;ABS($F$191)),$M$192,"")</f>
        <v/>
      </c>
    </row>
    <row r="133" customFormat="false" ht="12.75" hidden="false" customHeight="false" outlineLevel="0" collapsed="false">
      <c r="A133" s="6" t="str">
        <f aca="false">'2004'!A8</f>
        <v>Arizona</v>
      </c>
      <c r="B133" s="52" t="n">
        <f aca="false">'2000'!C8/1000000</f>
        <v>1.532016</v>
      </c>
      <c r="C133" s="52" t="n">
        <f aca="false">'2004'!C8/1000000</f>
        <v>2.012585</v>
      </c>
      <c r="D133" s="52" t="n">
        <f aca="false">'2008'!C8/1000000</f>
        <v>2.293475</v>
      </c>
      <c r="E133" s="53" t="n">
        <f aca="false">-0.5*(B133+D133)+C133</f>
        <v>0.0998395000000001</v>
      </c>
      <c r="F133" s="54" t="str">
        <f aca="false">IF(E133&gt;F$127,E133,"")</f>
        <v/>
      </c>
      <c r="G133" s="54" t="n">
        <f aca="false">IF(E133&lt;=F$127,E133,"")</f>
        <v>0.0998395000000001</v>
      </c>
      <c r="H133" s="52" t="n">
        <f aca="false">'2004'!D8/1000000</f>
        <v>1.104294</v>
      </c>
      <c r="I133" s="52" t="n">
        <f aca="false">'2004'!G8/1000000</f>
        <v>0.893524</v>
      </c>
      <c r="J133" s="55" t="n">
        <f aca="false">I133-H133</f>
        <v>-0.21077</v>
      </c>
      <c r="K133" s="6" t="str">
        <f aca="false">IF(ISNUMBER(F133),IF(AND(H133&lt;I133,H133&gt;I133-F133),$K$192,""),"")</f>
        <v/>
      </c>
      <c r="L133" s="6" t="str">
        <f aca="false">IF(ISNUMBER(F133),IF(AND(H133&gt;I133,H133-F133&lt;I133),$L$192,""),"")</f>
        <v/>
      </c>
      <c r="M133" s="6" t="str">
        <f aca="false">IF(AND(ABS(E133)&lt;ABS(H133-I133),ABS(E133)&gt;ABS($F$191)),$M$192,"")</f>
        <v/>
      </c>
    </row>
    <row r="134" customFormat="false" ht="12.75" hidden="false" customHeight="false" outlineLevel="0" collapsed="false">
      <c r="A134" s="6" t="str">
        <f aca="false">'2004'!A9</f>
        <v>Arkansas</v>
      </c>
      <c r="B134" s="52" t="n">
        <f aca="false">'2000'!C9/1000000</f>
        <v>0.921781</v>
      </c>
      <c r="C134" s="52" t="n">
        <f aca="false">'2004'!C9/1000000</f>
        <v>1.054945</v>
      </c>
      <c r="D134" s="52" t="n">
        <f aca="false">'2008'!C9/1000000</f>
        <v>1.086617</v>
      </c>
      <c r="E134" s="53" t="n">
        <f aca="false">-0.5*(B134+D134)+C134</f>
        <v>0.0507460000000002</v>
      </c>
      <c r="F134" s="54" t="str">
        <f aca="false">IF(E134&gt;F$127,E134,"")</f>
        <v/>
      </c>
      <c r="G134" s="54" t="n">
        <f aca="false">IF(E134&lt;=F$127,E134,"")</f>
        <v>0.0507460000000002</v>
      </c>
      <c r="H134" s="52" t="n">
        <f aca="false">'2004'!D9/1000000</f>
        <v>0.572898</v>
      </c>
      <c r="I134" s="52" t="n">
        <f aca="false">'2004'!G9/1000000</f>
        <v>0.469953</v>
      </c>
      <c r="J134" s="55" t="n">
        <f aca="false">I134-H134</f>
        <v>-0.102945</v>
      </c>
      <c r="K134" s="6" t="str">
        <f aca="false">IF(ISNUMBER(F134),IF(AND(H134&lt;I134,H134&gt;I134-F134),$K$192,""),"")</f>
        <v/>
      </c>
      <c r="L134" s="6" t="str">
        <f aca="false">IF(ISNUMBER(F134),IF(AND(H134&gt;I134,H134-F134&lt;I134),$L$192,""),"")</f>
        <v/>
      </c>
      <c r="M134" s="6" t="str">
        <f aca="false">IF(AND(ABS(E134)&lt;ABS(H134-I134),ABS(E134)&gt;ABS($F$191)),$M$192,"")</f>
        <v/>
      </c>
    </row>
    <row r="135" customFormat="false" ht="12.75" hidden="false" customHeight="false" outlineLevel="0" collapsed="false">
      <c r="A135" s="6" t="str">
        <f aca="false">'2004'!A10</f>
        <v>California</v>
      </c>
      <c r="B135" s="52" t="n">
        <f aca="false">'2000'!C10/1000000</f>
        <v>10.965856</v>
      </c>
      <c r="C135" s="52" t="n">
        <f aca="false">'2004'!C10/1000000</f>
        <v>12.421852</v>
      </c>
      <c r="D135" s="52" t="n">
        <f aca="false">'2008'!C10/1000000</f>
        <v>13.5619</v>
      </c>
      <c r="E135" s="53" t="n">
        <f aca="false">-0.5*(B135+D135)+C135</f>
        <v>0.157973999999999</v>
      </c>
      <c r="F135" s="54" t="str">
        <f aca="false">IF(E135&gt;F$127,E135,"")</f>
        <v/>
      </c>
      <c r="G135" s="54" t="n">
        <f aca="false">IF(E135&lt;=F$127,E135,"")</f>
        <v>0.157973999999999</v>
      </c>
      <c r="H135" s="52" t="n">
        <f aca="false">'2004'!D10/1000000</f>
        <v>5.509826</v>
      </c>
      <c r="I135" s="52" t="n">
        <f aca="false">'2004'!G10/1000000</f>
        <v>6.745485</v>
      </c>
      <c r="J135" s="55" t="n">
        <f aca="false">I135-H135</f>
        <v>1.235659</v>
      </c>
      <c r="K135" s="6" t="str">
        <f aca="false">IF(ISNUMBER(F135),IF(AND(H135&lt;I135,H135&gt;I135-F135),$K$192,""),"")</f>
        <v/>
      </c>
      <c r="L135" s="6" t="str">
        <f aca="false">IF(ISNUMBER(F135),IF(AND(H135&gt;I135,H135-F135&lt;I135),$L$192,""),"")</f>
        <v/>
      </c>
      <c r="M135" s="6" t="str">
        <f aca="false">IF(AND(ABS(E135)&lt;ABS(H135-I135),ABS(E135)&gt;ABS($F$191)),$M$192,"")</f>
        <v/>
      </c>
    </row>
    <row r="136" customFormat="false" ht="12.75" hidden="false" customHeight="false" outlineLevel="0" collapsed="false">
      <c r="A136" s="6" t="str">
        <f aca="false">'2004'!A11</f>
        <v>Colorado</v>
      </c>
      <c r="B136" s="52" t="n">
        <f aca="false">'2000'!C11/1000000</f>
        <v>1.741368</v>
      </c>
      <c r="C136" s="52" t="n">
        <f aca="false">'2004'!C11/1000000</f>
        <v>2.13033</v>
      </c>
      <c r="D136" s="52" t="n">
        <f aca="false">'2008'!C11/1000000</f>
        <v>2.401361</v>
      </c>
      <c r="E136" s="53" t="n">
        <f aca="false">-0.5*(B136+D136)+C136</f>
        <v>0.0589654999999998</v>
      </c>
      <c r="F136" s="54" t="str">
        <f aca="false">IF(E136&gt;F$127,E136,"")</f>
        <v/>
      </c>
      <c r="G136" s="54" t="n">
        <f aca="false">IF(E136&lt;=F$127,E136,"")</f>
        <v>0.0589654999999998</v>
      </c>
      <c r="H136" s="52" t="n">
        <f aca="false">'2004'!D11/1000000</f>
        <v>1.101255</v>
      </c>
      <c r="I136" s="52" t="n">
        <f aca="false">'2004'!G11/1000000</f>
        <v>1.001732</v>
      </c>
      <c r="J136" s="55" t="n">
        <f aca="false">I136-H136</f>
        <v>-0.099523</v>
      </c>
      <c r="K136" s="6" t="str">
        <f aca="false">IF(ISNUMBER(F136),IF(AND(H136&lt;I136,H136&gt;I136-F136),$K$192,""),"")</f>
        <v/>
      </c>
      <c r="L136" s="6" t="str">
        <f aca="false">IF(ISNUMBER(F136),IF(AND(H136&gt;I136,H136-F136&lt;I136),$L$192,""),"")</f>
        <v/>
      </c>
      <c r="M136" s="6" t="str">
        <f aca="false">IF(AND(ABS(E136)&lt;ABS(H136-I136),ABS(E136)&gt;ABS($F$191)),$M$192,"")</f>
        <v/>
      </c>
    </row>
    <row r="137" customFormat="false" ht="12.75" hidden="false" customHeight="false" outlineLevel="0" collapsed="false">
      <c r="A137" s="6" t="str">
        <f aca="false">'2004'!A12</f>
        <v>Connecticut</v>
      </c>
      <c r="B137" s="52" t="n">
        <f aca="false">'2000'!C12/1000000</f>
        <v>1.459525</v>
      </c>
      <c r="C137" s="52" t="n">
        <f aca="false">'2004'!C12/1000000</f>
        <v>1.578769</v>
      </c>
      <c r="D137" s="52" t="n">
        <f aca="false">'2008'!C12/1000000</f>
        <v>1.646792</v>
      </c>
      <c r="E137" s="53" t="n">
        <f aca="false">-0.5*(B137+D137)+C137</f>
        <v>0.0256105000000002</v>
      </c>
      <c r="F137" s="54" t="str">
        <f aca="false">IF(E137&gt;F$127,E137,"")</f>
        <v/>
      </c>
      <c r="G137" s="54" t="n">
        <f aca="false">IF(E137&lt;=F$127,E137,"")</f>
        <v>0.0256105000000002</v>
      </c>
      <c r="H137" s="52" t="n">
        <f aca="false">'2004'!D12/1000000</f>
        <v>0.693826</v>
      </c>
      <c r="I137" s="52" t="n">
        <f aca="false">'2004'!G12/1000000</f>
        <v>0.857488</v>
      </c>
      <c r="J137" s="55" t="n">
        <f aca="false">I137-H137</f>
        <v>0.163662</v>
      </c>
      <c r="K137" s="6" t="str">
        <f aca="false">IF(ISNUMBER(F137),IF(AND(H137&lt;I137,H137&gt;I137-F137),$K$192,""),"")</f>
        <v/>
      </c>
      <c r="L137" s="6" t="str">
        <f aca="false">IF(ISNUMBER(F137),IF(AND(H137&gt;I137,H137-F137&lt;I137),$L$192,""),"")</f>
        <v/>
      </c>
      <c r="M137" s="6" t="str">
        <f aca="false">IF(AND(ABS(E137)&lt;ABS(H137-I137),ABS(E137)&gt;ABS($F$191)),$M$192,"")</f>
        <v/>
      </c>
    </row>
    <row r="138" customFormat="false" ht="12.75" hidden="false" customHeight="false" outlineLevel="0" collapsed="false">
      <c r="A138" s="6" t="str">
        <f aca="false">'2004'!A13</f>
        <v>Delaware</v>
      </c>
      <c r="B138" s="52" t="n">
        <f aca="false">'2000'!C13/1000000</f>
        <v>0.327622</v>
      </c>
      <c r="C138" s="52" t="n">
        <f aca="false">'2004'!C13/1000000</f>
        <v>0.37519</v>
      </c>
      <c r="D138" s="52" t="n">
        <f aca="false">'2008'!C13/1000000</f>
        <v>0.412412</v>
      </c>
      <c r="E138" s="53" t="n">
        <f aca="false">-0.5*(B138+D138)+C138</f>
        <v>0.00517299999999998</v>
      </c>
      <c r="F138" s="54" t="str">
        <f aca="false">IF(E138&gt;F$127,E138,"")</f>
        <v/>
      </c>
      <c r="G138" s="54" t="n">
        <f aca="false">IF(E138&lt;=F$127,E138,"")</f>
        <v>0.00517299999999998</v>
      </c>
      <c r="H138" s="52" t="n">
        <f aca="false">'2004'!D13/1000000</f>
        <v>0.17166</v>
      </c>
      <c r="I138" s="52" t="n">
        <f aca="false">'2004'!G13/1000000</f>
        <v>0.200152</v>
      </c>
      <c r="J138" s="55" t="n">
        <f aca="false">I138-H138</f>
        <v>0.028492</v>
      </c>
      <c r="K138" s="6" t="str">
        <f aca="false">IF(ISNUMBER(F138),IF(AND(H138&lt;I138,H138&gt;I138-F138),$K$192,""),"")</f>
        <v/>
      </c>
      <c r="L138" s="6" t="str">
        <f aca="false">IF(ISNUMBER(F138),IF(AND(H138&gt;I138,H138-F138&lt;I138),$L$192,""),"")</f>
        <v/>
      </c>
      <c r="M138" s="6" t="str">
        <f aca="false">IF(AND(ABS(E138)&lt;ABS(H138-I138),ABS(E138)&gt;ABS($F$191)),$M$192,"")</f>
        <v/>
      </c>
    </row>
    <row r="139" customFormat="false" ht="12.75" hidden="false" customHeight="false" outlineLevel="0" collapsed="false">
      <c r="A139" s="6" t="str">
        <f aca="false">'2004'!A14</f>
        <v>Dist. of Col.</v>
      </c>
      <c r="B139" s="52" t="n">
        <f aca="false">'2000'!C14/1000000</f>
        <v>0.201894</v>
      </c>
      <c r="C139" s="52" t="n">
        <f aca="false">'2004'!C14/1000000</f>
        <v>0.227586</v>
      </c>
      <c r="D139" s="52" t="n">
        <f aca="false">'2008'!C14/1000000</f>
        <v>0.265853</v>
      </c>
      <c r="E139" s="53" t="n">
        <f aca="false">-0.5*(B139+D139)+C139</f>
        <v>-0.0062875</v>
      </c>
      <c r="F139" s="54" t="str">
        <f aca="false">IF(E139&gt;F$127,E139,"")</f>
        <v/>
      </c>
      <c r="G139" s="54" t="n">
        <f aca="false">IF(E139&lt;=F$127,E139,"")</f>
        <v>-0.0062875</v>
      </c>
      <c r="H139" s="52" t="n">
        <f aca="false">'2004'!D14/1000000</f>
        <v>0.021256</v>
      </c>
      <c r="I139" s="52" t="n">
        <f aca="false">'2004'!G14/1000000</f>
        <v>0.20297</v>
      </c>
      <c r="J139" s="55" t="n">
        <f aca="false">I139-H139</f>
        <v>0.181714</v>
      </c>
      <c r="K139" s="6" t="str">
        <f aca="false">IF(ISNUMBER(F139),IF(AND(H139&lt;I139,H139&gt;I139-F139),$K$192,""),"")</f>
        <v/>
      </c>
      <c r="L139" s="6" t="str">
        <f aca="false">IF(ISNUMBER(F139),IF(AND(H139&gt;I139,H139-F139&lt;I139),$L$192,""),"")</f>
        <v/>
      </c>
      <c r="M139" s="6" t="str">
        <f aca="false">IF(AND(ABS(E139)&lt;ABS(H139-I139),ABS(E139)&gt;ABS($F$191)),$M$192,"")</f>
        <v/>
      </c>
    </row>
    <row r="140" customFormat="false" ht="12.75" hidden="false" customHeight="false" outlineLevel="0" collapsed="false">
      <c r="A140" s="6" t="str">
        <f aca="false">'2004'!A15</f>
        <v>Florida</v>
      </c>
      <c r="B140" s="52" t="n">
        <f aca="false">'2000'!C15/1000000</f>
        <v>5.96311</v>
      </c>
      <c r="C140" s="52" t="n">
        <f aca="false">'2004'!C15/1000000</f>
        <v>7.60981</v>
      </c>
      <c r="D140" s="52" t="n">
        <f aca="false">'2008'!C15/1000000</f>
        <v>8.390744</v>
      </c>
      <c r="E140" s="53" t="n">
        <f aca="false">-0.5*(B140+D140)+C140</f>
        <v>0.432883</v>
      </c>
      <c r="F140" s="54" t="n">
        <f aca="false">IF(E140&gt;F$127,E140,"")</f>
        <v>0.432883</v>
      </c>
      <c r="G140" s="54" t="str">
        <f aca="false">IF(E140&lt;=F$127,E140,"")</f>
        <v/>
      </c>
      <c r="H140" s="52" t="n">
        <f aca="false">'2004'!D15/1000000</f>
        <v>3.964522</v>
      </c>
      <c r="I140" s="52" t="n">
        <f aca="false">'2004'!G15/1000000</f>
        <v>3.583544</v>
      </c>
      <c r="J140" s="55" t="n">
        <f aca="false">I140-H140</f>
        <v>-0.380978</v>
      </c>
      <c r="K140" s="6" t="str">
        <f aca="false">IF(ISNUMBER(F140),IF(AND(H140&lt;I140,H140&gt;I140-F140),$K$192,""),"")</f>
        <v/>
      </c>
      <c r="L140" s="6" t="str">
        <f aca="false">IF(ISNUMBER(F140),IF(AND(H140&gt;I140,H140-F140&lt;I140),$L$192,""),"")</f>
        <v>anti-novelty</v>
      </c>
      <c r="M140" s="6" t="str">
        <f aca="false">IF(AND(ABS(E140)&lt;ABS(H140-I140),ABS(E140)&gt;ABS($F$191)),$M$192,"")</f>
        <v/>
      </c>
    </row>
    <row r="141" customFormat="false" ht="12.75" hidden="false" customHeight="false" outlineLevel="0" collapsed="false">
      <c r="A141" s="6" t="str">
        <f aca="false">'2004'!A16</f>
        <v>Georgia</v>
      </c>
      <c r="B141" s="52" t="n">
        <f aca="false">'2000'!C16/1000000</f>
        <v>2.596645</v>
      </c>
      <c r="C141" s="52" t="n">
        <f aca="false">'2004'!C16/1000000</f>
        <v>3.301875</v>
      </c>
      <c r="D141" s="52" t="n">
        <f aca="false">'2008'!C16/1000000</f>
        <v>3.92444</v>
      </c>
      <c r="E141" s="53" t="n">
        <f aca="false">-0.5*(B141+D141)+C141</f>
        <v>0.0413324999999998</v>
      </c>
      <c r="F141" s="54" t="str">
        <f aca="false">IF(E141&gt;F$127,E141,"")</f>
        <v/>
      </c>
      <c r="G141" s="54" t="n">
        <f aca="false">IF(E141&lt;=F$127,E141,"")</f>
        <v>0.0413324999999998</v>
      </c>
      <c r="H141" s="52" t="n">
        <f aca="false">'2004'!D16/1000000</f>
        <v>1.914254</v>
      </c>
      <c r="I141" s="52" t="n">
        <f aca="false">'2004'!G16/1000000</f>
        <v>1.366149</v>
      </c>
      <c r="J141" s="55" t="n">
        <f aca="false">I141-H141</f>
        <v>-0.548105</v>
      </c>
      <c r="K141" s="6" t="str">
        <f aca="false">IF(ISNUMBER(F141),IF(AND(H141&lt;I141,H141&gt;I141-F141),$K$192,""),"")</f>
        <v/>
      </c>
      <c r="L141" s="6" t="str">
        <f aca="false">IF(ISNUMBER(F141),IF(AND(H141&gt;I141,H141-F141&lt;I141),$L$192,""),"")</f>
        <v/>
      </c>
      <c r="M141" s="6" t="str">
        <f aca="false">IF(AND(ABS(E141)&lt;ABS(H141-I141),ABS(E141)&gt;ABS($F$191)),$M$192,"")</f>
        <v/>
      </c>
    </row>
    <row r="142" customFormat="false" ht="12.75" hidden="false" customHeight="false" outlineLevel="0" collapsed="false">
      <c r="A142" s="6" t="str">
        <f aca="false">'2004'!A17</f>
        <v>Hawaii</v>
      </c>
      <c r="B142" s="52" t="n">
        <f aca="false">'2000'!C17/1000000</f>
        <v>0.367951</v>
      </c>
      <c r="C142" s="52" t="n">
        <f aca="false">'2004'!C17/1000000</f>
        <v>0.429013</v>
      </c>
      <c r="D142" s="52" t="n">
        <f aca="false">'2008'!C17/1000000</f>
        <v>0.453568</v>
      </c>
      <c r="E142" s="53" t="n">
        <f aca="false">-0.5*(B142+D142)+C142</f>
        <v>0.0182535</v>
      </c>
      <c r="F142" s="54" t="str">
        <f aca="false">IF(E142&gt;F$127,E142,"")</f>
        <v/>
      </c>
      <c r="G142" s="54" t="n">
        <f aca="false">IF(E142&lt;=F$127,E142,"")</f>
        <v>0.0182535</v>
      </c>
      <c r="H142" s="52" t="n">
        <f aca="false">'2004'!D17/1000000</f>
        <v>0.194191</v>
      </c>
      <c r="I142" s="52" t="n">
        <f aca="false">'2004'!G17/1000000</f>
        <v>0.231708</v>
      </c>
      <c r="J142" s="55" t="n">
        <f aca="false">I142-H142</f>
        <v>0.037517</v>
      </c>
      <c r="K142" s="6" t="str">
        <f aca="false">IF(ISNUMBER(F142),IF(AND(H142&lt;I142,H142&gt;I142-F142),$K$192,""),"")</f>
        <v/>
      </c>
      <c r="L142" s="6" t="str">
        <f aca="false">IF(ISNUMBER(F142),IF(AND(H142&gt;I142,H142-F142&lt;I142),$L$192,""),"")</f>
        <v/>
      </c>
      <c r="M142" s="6" t="str">
        <f aca="false">IF(AND(ABS(E142)&lt;ABS(H142-I142),ABS(E142)&gt;ABS($F$191)),$M$192,"")</f>
        <v/>
      </c>
    </row>
    <row r="143" customFormat="false" ht="12.75" hidden="false" customHeight="false" outlineLevel="0" collapsed="false">
      <c r="A143" s="6" t="str">
        <f aca="false">'2004'!A18</f>
        <v>Idaho</v>
      </c>
      <c r="B143" s="52" t="n">
        <f aca="false">'2000'!C18/1000000</f>
        <v>0.501621</v>
      </c>
      <c r="C143" s="52" t="n">
        <f aca="false">'2004'!C18/1000000</f>
        <v>0.598447</v>
      </c>
      <c r="D143" s="52" t="n">
        <f aca="false">'2008'!C18/1000000</f>
        <v>0.655032</v>
      </c>
      <c r="E143" s="53" t="n">
        <f aca="false">-0.5*(B143+D143)+C143</f>
        <v>0.0201205</v>
      </c>
      <c r="F143" s="54" t="str">
        <f aca="false">IF(E143&gt;F$127,E143,"")</f>
        <v/>
      </c>
      <c r="G143" s="54" t="n">
        <f aca="false">IF(E143&lt;=F$127,E143,"")</f>
        <v>0.0201205</v>
      </c>
      <c r="H143" s="52" t="n">
        <f aca="false">'2004'!D18/1000000</f>
        <v>0.409235</v>
      </c>
      <c r="I143" s="52" t="n">
        <f aca="false">'2004'!G18/1000000</f>
        <v>0.181098</v>
      </c>
      <c r="J143" s="55" t="n">
        <f aca="false">I143-H143</f>
        <v>-0.228137</v>
      </c>
      <c r="K143" s="6" t="str">
        <f aca="false">IF(ISNUMBER(F143),IF(AND(H143&lt;I143,H143&gt;I143-F143),$K$192,""),"")</f>
        <v/>
      </c>
      <c r="L143" s="6" t="str">
        <f aca="false">IF(ISNUMBER(F143),IF(AND(H143&gt;I143,H143-F143&lt;I143),$L$192,""),"")</f>
        <v/>
      </c>
      <c r="M143" s="6" t="str">
        <f aca="false">IF(AND(ABS(E143)&lt;ABS(H143-I143),ABS(E143)&gt;ABS($F$191)),$M$192,"")</f>
        <v/>
      </c>
    </row>
    <row r="144" customFormat="false" ht="12.75" hidden="false" customHeight="false" outlineLevel="0" collapsed="false">
      <c r="A144" s="6" t="str">
        <f aca="false">'2004'!A19</f>
        <v>Illinois</v>
      </c>
      <c r="B144" s="52" t="n">
        <f aca="false">'2000'!C19/1000000</f>
        <v>4.742123</v>
      </c>
      <c r="C144" s="52" t="n">
        <f aca="false">'2004'!C19/1000000</f>
        <v>5.274322</v>
      </c>
      <c r="D144" s="52" t="n">
        <f aca="false">'2008'!C19/1000000</f>
        <v>5.523051</v>
      </c>
      <c r="E144" s="53" t="n">
        <f aca="false">-0.5*(B144+D144)+C144</f>
        <v>0.141735</v>
      </c>
      <c r="F144" s="54" t="str">
        <f aca="false">IF(E144&gt;F$127,E144,"")</f>
        <v/>
      </c>
      <c r="G144" s="54" t="n">
        <f aca="false">IF(E144&lt;=F$127,E144,"")</f>
        <v>0.141735</v>
      </c>
      <c r="H144" s="52" t="n">
        <f aca="false">'2004'!D19/1000000</f>
        <v>2.345946</v>
      </c>
      <c r="I144" s="52" t="n">
        <f aca="false">'2004'!G19/1000000</f>
        <v>2.89155</v>
      </c>
      <c r="J144" s="55" t="n">
        <f aca="false">I144-H144</f>
        <v>0.545604</v>
      </c>
      <c r="K144" s="6" t="str">
        <f aca="false">IF(ISNUMBER(F144),IF(AND(H144&lt;I144,H144&gt;I144-F144),$K$192,""),"")</f>
        <v/>
      </c>
      <c r="L144" s="6" t="str">
        <f aca="false">IF(ISNUMBER(F144),IF(AND(H144&gt;I144,H144-F144&lt;I144),$L$192,""),"")</f>
        <v/>
      </c>
      <c r="M144" s="6" t="str">
        <f aca="false">IF(AND(ABS(E144)&lt;ABS(H144-I144),ABS(E144)&gt;ABS($F$191)),$M$192,"")</f>
        <v/>
      </c>
    </row>
    <row r="145" customFormat="false" ht="12.75" hidden="false" customHeight="false" outlineLevel="0" collapsed="false">
      <c r="A145" s="6" t="str">
        <f aca="false">'2004'!A20</f>
        <v>Indiana</v>
      </c>
      <c r="B145" s="52" t="n">
        <f aca="false">'2000'!C20/1000000</f>
        <v>2.199302</v>
      </c>
      <c r="C145" s="52" t="n">
        <f aca="false">'2004'!C20/1000000</f>
        <v>2.468002</v>
      </c>
      <c r="D145" s="52" t="n">
        <f aca="false">'2008'!C20/1000000</f>
        <v>2.751054</v>
      </c>
      <c r="E145" s="53" t="n">
        <f aca="false">-0.5*(B145+D145)+C145</f>
        <v>-0.00717599999999985</v>
      </c>
      <c r="F145" s="54" t="str">
        <f aca="false">IF(E145&gt;F$127,E145,"")</f>
        <v/>
      </c>
      <c r="G145" s="54" t="n">
        <f aca="false">IF(E145&lt;=F$127,E145,"")</f>
        <v>-0.00717599999999985</v>
      </c>
      <c r="H145" s="52" t="n">
        <f aca="false">'2004'!D20/1000000</f>
        <v>1.479438</v>
      </c>
      <c r="I145" s="52" t="n">
        <f aca="false">'2004'!G20/1000000</f>
        <v>0.969011</v>
      </c>
      <c r="J145" s="55" t="n">
        <f aca="false">I145-H145</f>
        <v>-0.510427</v>
      </c>
      <c r="K145" s="6" t="str">
        <f aca="false">IF(ISNUMBER(F145),IF(AND(H145&lt;I145,H145&gt;I145-F145),$K$192,""),"")</f>
        <v/>
      </c>
      <c r="L145" s="6" t="str">
        <f aca="false">IF(ISNUMBER(F145),IF(AND(H145&gt;I145,H145-F145&lt;I145),$L$192,""),"")</f>
        <v/>
      </c>
      <c r="M145" s="6" t="str">
        <f aca="false">IF(AND(ABS(E145)&lt;ABS(H145-I145),ABS(E145)&gt;ABS($F$191)),$M$192,"")</f>
        <v/>
      </c>
    </row>
    <row r="146" customFormat="false" ht="12.75" hidden="false" customHeight="false" outlineLevel="0" collapsed="false">
      <c r="A146" s="6" t="str">
        <f aca="false">'2004'!A21</f>
        <v>Iowa</v>
      </c>
      <c r="B146" s="52" t="n">
        <f aca="false">'2000'!C21/1000000</f>
        <v>1.315563</v>
      </c>
      <c r="C146" s="52" t="n">
        <f aca="false">'2004'!C21/1000000</f>
        <v>1.506908</v>
      </c>
      <c r="D146" s="52" t="n">
        <f aca="false">'2008'!C21/1000000</f>
        <v>1.543662</v>
      </c>
      <c r="E146" s="53" t="n">
        <f aca="false">-0.5*(B146+D146)+C146</f>
        <v>0.0772954999999997</v>
      </c>
      <c r="F146" s="54" t="str">
        <f aca="false">IF(E146&gt;F$127,E146,"")</f>
        <v/>
      </c>
      <c r="G146" s="54" t="n">
        <f aca="false">IF(E146&lt;=F$127,E146,"")</f>
        <v>0.0772954999999997</v>
      </c>
      <c r="H146" s="52" t="n">
        <f aca="false">'2004'!D21/1000000</f>
        <v>0.751957</v>
      </c>
      <c r="I146" s="52" t="n">
        <f aca="false">'2004'!G21/1000000</f>
        <v>0.741898</v>
      </c>
      <c r="J146" s="55" t="n">
        <f aca="false">I146-H146</f>
        <v>-0.010059</v>
      </c>
      <c r="K146" s="6" t="str">
        <f aca="false">IF(ISNUMBER(F146),IF(AND(H146&lt;I146,H146&gt;I146-F146),$K$192,""),"")</f>
        <v/>
      </c>
      <c r="L146" s="6" t="str">
        <f aca="false">IF(ISNUMBER(F146),IF(AND(H146&gt;I146,H146-F146&lt;I146),$L$192,""),"")</f>
        <v/>
      </c>
      <c r="M146" s="6" t="str">
        <f aca="false">IF(AND(ABS(E146)&lt;ABS(H146-I146),ABS(E146)&gt;ABS($F$191)),$M$192,"")</f>
        <v/>
      </c>
    </row>
    <row r="147" customFormat="false" ht="12.75" hidden="false" customHeight="false" outlineLevel="0" collapsed="false">
      <c r="A147" s="6" t="str">
        <f aca="false">'2004'!A22</f>
        <v>Kansas</v>
      </c>
      <c r="B147" s="52" t="n">
        <f aca="false">'2000'!C22/1000000</f>
        <v>1.072218</v>
      </c>
      <c r="C147" s="52" t="n">
        <f aca="false">'2004'!C22/1000000</f>
        <v>1.187756</v>
      </c>
      <c r="D147" s="52" t="n">
        <f aca="false">'2008'!C22/1000000</f>
        <v>1.235872</v>
      </c>
      <c r="E147" s="53" t="n">
        <f aca="false">-0.5*(B147+D147)+C147</f>
        <v>0.033711</v>
      </c>
      <c r="F147" s="54" t="str">
        <f aca="false">IF(E147&gt;F$127,E147,"")</f>
        <v/>
      </c>
      <c r="G147" s="54" t="n">
        <f aca="false">IF(E147&lt;=F$127,E147,"")</f>
        <v>0.033711</v>
      </c>
      <c r="H147" s="52" t="n">
        <f aca="false">'2004'!D22/1000000</f>
        <v>0.736456</v>
      </c>
      <c r="I147" s="52" t="n">
        <f aca="false">'2004'!G22/1000000</f>
        <v>0.434993</v>
      </c>
      <c r="J147" s="55" t="n">
        <f aca="false">I147-H147</f>
        <v>-0.301463</v>
      </c>
      <c r="K147" s="6" t="str">
        <f aca="false">IF(ISNUMBER(F147),IF(AND(H147&lt;I147,H147&gt;I147-F147),$K$192,""),"")</f>
        <v/>
      </c>
      <c r="L147" s="6" t="str">
        <f aca="false">IF(ISNUMBER(F147),IF(AND(H147&gt;I147,H147-F147&lt;I147),$L$192,""),"")</f>
        <v/>
      </c>
      <c r="M147" s="6" t="str">
        <f aca="false">IF(AND(ABS(E147)&lt;ABS(H147-I147),ABS(E147)&gt;ABS($F$191)),$M$192,"")</f>
        <v/>
      </c>
    </row>
    <row r="148" customFormat="false" ht="12.75" hidden="false" customHeight="false" outlineLevel="0" collapsed="false">
      <c r="A148" s="6" t="str">
        <f aca="false">'2004'!A23</f>
        <v>Kentucky</v>
      </c>
      <c r="B148" s="52" t="n">
        <f aca="false">'2000'!C23/1000000</f>
        <v>1.544187</v>
      </c>
      <c r="C148" s="52" t="n">
        <f aca="false">'2004'!C23/1000000</f>
        <v>1.795882</v>
      </c>
      <c r="D148" s="52" t="n">
        <f aca="false">'2008'!C23/1000000</f>
        <v>1.826508</v>
      </c>
      <c r="E148" s="53" t="n">
        <f aca="false">-0.5*(B148+D148)+C148</f>
        <v>0.1105345</v>
      </c>
      <c r="F148" s="54" t="str">
        <f aca="false">IF(E148&gt;F$127,E148,"")</f>
        <v/>
      </c>
      <c r="G148" s="54" t="n">
        <f aca="false">IF(E148&lt;=F$127,E148,"")</f>
        <v>0.1105345</v>
      </c>
      <c r="H148" s="52" t="n">
        <f aca="false">'2004'!D23/1000000</f>
        <v>1.069439</v>
      </c>
      <c r="I148" s="52" t="n">
        <f aca="false">'2004'!G23/1000000</f>
        <v>0.712733</v>
      </c>
      <c r="J148" s="55" t="n">
        <f aca="false">I148-H148</f>
        <v>-0.356706</v>
      </c>
      <c r="K148" s="6" t="str">
        <f aca="false">IF(ISNUMBER(F148),IF(AND(H148&lt;I148,H148&gt;I148-F148),$K$192,""),"")</f>
        <v/>
      </c>
      <c r="L148" s="6" t="str">
        <f aca="false">IF(ISNUMBER(F148),IF(AND(H148&gt;I148,H148-F148&lt;I148),$L$192,""),"")</f>
        <v/>
      </c>
      <c r="M148" s="6" t="str">
        <f aca="false">IF(AND(ABS(E148)&lt;ABS(H148-I148),ABS(E148)&gt;ABS($F$191)),$M$192,"")</f>
        <v/>
      </c>
    </row>
    <row r="149" customFormat="false" ht="12.75" hidden="false" customHeight="false" outlineLevel="0" collapsed="false">
      <c r="A149" s="6" t="str">
        <f aca="false">'2004'!A24</f>
        <v>Louisiana</v>
      </c>
      <c r="B149" s="52" t="n">
        <f aca="false">'2000'!C24/1000000</f>
        <v>1.765656</v>
      </c>
      <c r="C149" s="52" t="n">
        <f aca="false">'2004'!C24/1000000</f>
        <v>1.943106</v>
      </c>
      <c r="D149" s="52" t="n">
        <f aca="false">'2008'!C24/1000000</f>
        <v>1.960761</v>
      </c>
      <c r="E149" s="53" t="n">
        <f aca="false">-0.5*(B149+D149)+C149</f>
        <v>0.0798975000000002</v>
      </c>
      <c r="F149" s="54" t="str">
        <f aca="false">IF(E149&gt;F$127,E149,"")</f>
        <v/>
      </c>
      <c r="G149" s="54" t="n">
        <f aca="false">IF(E149&lt;=F$127,E149,"")</f>
        <v>0.0798975000000002</v>
      </c>
      <c r="H149" s="52" t="n">
        <f aca="false">'2004'!D24/1000000</f>
        <v>1.102169</v>
      </c>
      <c r="I149" s="52" t="n">
        <f aca="false">'2004'!G24/1000000</f>
        <v>0.820299</v>
      </c>
      <c r="J149" s="55" t="n">
        <f aca="false">I149-H149</f>
        <v>-0.28187</v>
      </c>
      <c r="K149" s="6" t="str">
        <f aca="false">IF(ISNUMBER(F149),IF(AND(H149&lt;I149,H149&gt;I149-F149),$K$192,""),"")</f>
        <v/>
      </c>
      <c r="L149" s="6" t="str">
        <f aca="false">IF(ISNUMBER(F149),IF(AND(H149&gt;I149,H149-F149&lt;I149),$L$192,""),"")</f>
        <v/>
      </c>
      <c r="M149" s="6" t="str">
        <f aca="false">IF(AND(ABS(E149)&lt;ABS(H149-I149),ABS(E149)&gt;ABS($F$191)),$M$192,"")</f>
        <v/>
      </c>
    </row>
    <row r="150" customFormat="false" ht="12.75" hidden="false" customHeight="false" outlineLevel="0" collapsed="false">
      <c r="A150" s="6" t="str">
        <f aca="false">'2004'!A25</f>
        <v>Maine</v>
      </c>
      <c r="B150" s="52" t="n">
        <f aca="false">'2000'!C25/1000000</f>
        <v>0.651817</v>
      </c>
      <c r="C150" s="52" t="n">
        <f aca="false">'2004'!C25/1000000</f>
        <v>0.740752</v>
      </c>
      <c r="D150" s="52" t="n">
        <f aca="false">'2008'!C25/1000000</f>
        <v>0.731163</v>
      </c>
      <c r="E150" s="53" t="n">
        <f aca="false">-0.5*(B150+D150)+C150</f>
        <v>0.049262</v>
      </c>
      <c r="F150" s="54" t="str">
        <f aca="false">IF(E150&gt;F$127,E150,"")</f>
        <v/>
      </c>
      <c r="G150" s="54" t="n">
        <f aca="false">IF(E150&lt;=F$127,E150,"")</f>
        <v>0.049262</v>
      </c>
      <c r="H150" s="52" t="n">
        <f aca="false">'2004'!D25/1000000</f>
        <v>0.330201</v>
      </c>
      <c r="I150" s="52" t="n">
        <f aca="false">'2004'!G25/1000000</f>
        <v>0.396842</v>
      </c>
      <c r="J150" s="55" t="n">
        <f aca="false">I150-H150</f>
        <v>0.066641</v>
      </c>
      <c r="K150" s="6" t="str">
        <f aca="false">IF(ISNUMBER(F150),IF(AND(H150&lt;I150,H150&gt;I150-F150),$K$192,""),"")</f>
        <v/>
      </c>
      <c r="L150" s="6" t="str">
        <f aca="false">IF(ISNUMBER(F150),IF(AND(H150&gt;I150,H150-F150&lt;I150),$L$192,""),"")</f>
        <v/>
      </c>
      <c r="M150" s="6" t="str">
        <f aca="false">IF(AND(ABS(E150)&lt;ABS(H150-I150),ABS(E150)&gt;ABS($F$191)),$M$192,"")</f>
        <v/>
      </c>
    </row>
    <row r="151" customFormat="false" ht="12.75" hidden="false" customHeight="false" outlineLevel="0" collapsed="false">
      <c r="A151" s="6" t="str">
        <f aca="false">'2004'!A26</f>
        <v>Maryland</v>
      </c>
      <c r="B151" s="52" t="n">
        <f aca="false">'2000'!C26/1000000</f>
        <v>2.02048</v>
      </c>
      <c r="C151" s="52" t="n">
        <f aca="false">'2004'!C26/1000000</f>
        <v>2.386678</v>
      </c>
      <c r="D151" s="52" t="n">
        <f aca="false">'2008'!C26/1000000</f>
        <v>2.631596</v>
      </c>
      <c r="E151" s="53" t="n">
        <f aca="false">-0.5*(B151+D151)+C151</f>
        <v>0.0606399999999998</v>
      </c>
      <c r="F151" s="54" t="str">
        <f aca="false">IF(E151&gt;F$127,E151,"")</f>
        <v/>
      </c>
      <c r="G151" s="54" t="n">
        <f aca="false">IF(E151&lt;=F$127,E151,"")</f>
        <v>0.0606399999999998</v>
      </c>
      <c r="H151" s="52" t="n">
        <f aca="false">'2004'!D26/1000000</f>
        <v>1.024703</v>
      </c>
      <c r="I151" s="52" t="n">
        <f aca="false">'2004'!G26/1000000</f>
        <v>1.334493</v>
      </c>
      <c r="J151" s="55" t="n">
        <f aca="false">I151-H151</f>
        <v>0.30979</v>
      </c>
      <c r="K151" s="6" t="str">
        <f aca="false">IF(ISNUMBER(F151),IF(AND(H151&lt;I151,H151&gt;I151-F151),$K$192,""),"")</f>
        <v/>
      </c>
      <c r="L151" s="6" t="str">
        <f aca="false">IF(ISNUMBER(F151),IF(AND(H151&gt;I151,H151-F151&lt;I151),$L$192,""),"")</f>
        <v/>
      </c>
      <c r="M151" s="6" t="str">
        <f aca="false">IF(AND(ABS(E151)&lt;ABS(H151-I151),ABS(E151)&gt;ABS($F$191)),$M$192,"")</f>
        <v/>
      </c>
    </row>
    <row r="152" customFormat="false" ht="12.75" hidden="false" customHeight="false" outlineLevel="0" collapsed="false">
      <c r="A152" s="6" t="str">
        <f aca="false">'2004'!A27</f>
        <v>Massachusetts</v>
      </c>
      <c r="B152" s="52" t="n">
        <f aca="false">'2000'!C27/1000000</f>
        <v>2.702984</v>
      </c>
      <c r="C152" s="52" t="n">
        <f aca="false">'2004'!C27/1000000</f>
        <v>2.912388</v>
      </c>
      <c r="D152" s="52" t="n">
        <f aca="false">'2008'!C27/1000000</f>
        <v>3.080985</v>
      </c>
      <c r="E152" s="53" t="n">
        <f aca="false">-0.5*(B152+D152)+C152</f>
        <v>0.0204035</v>
      </c>
      <c r="F152" s="54" t="str">
        <f aca="false">IF(E152&gt;F$127,E152,"")</f>
        <v/>
      </c>
      <c r="G152" s="54" t="n">
        <f aca="false">IF(E152&lt;=F$127,E152,"")</f>
        <v>0.0204035</v>
      </c>
      <c r="H152" s="52" t="n">
        <f aca="false">'2004'!D27/1000000</f>
        <v>1.071109</v>
      </c>
      <c r="I152" s="52" t="n">
        <f aca="false">'2004'!G27/1000000</f>
        <v>1.8038</v>
      </c>
      <c r="J152" s="55" t="n">
        <f aca="false">I152-H152</f>
        <v>0.732691</v>
      </c>
      <c r="K152" s="6" t="str">
        <f aca="false">IF(ISNUMBER(F152),IF(AND(H152&lt;I152,H152&gt;I152-F152),$K$192,""),"")</f>
        <v/>
      </c>
      <c r="L152" s="6" t="str">
        <f aca="false">IF(ISNUMBER(F152),IF(AND(H152&gt;I152,H152-F152&lt;I152),$L$192,""),"")</f>
        <v/>
      </c>
      <c r="M152" s="6" t="str">
        <f aca="false">IF(AND(ABS(E152)&lt;ABS(H152-I152),ABS(E152)&gt;ABS($F$191)),$M$192,"")</f>
        <v/>
      </c>
    </row>
    <row r="153" customFormat="false" ht="12.75" hidden="false" customHeight="false" outlineLevel="0" collapsed="false">
      <c r="A153" s="6" t="str">
        <f aca="false">'2004'!A28</f>
        <v>Michigan</v>
      </c>
      <c r="B153" s="52" t="n">
        <f aca="false">'2000'!C28/1000000</f>
        <v>4.232711</v>
      </c>
      <c r="C153" s="52" t="n">
        <f aca="false">'2004'!C28/1000000</f>
        <v>4.839252</v>
      </c>
      <c r="D153" s="52" t="n">
        <f aca="false">'2008'!C28/1000000</f>
        <v>5.001766</v>
      </c>
      <c r="E153" s="53" t="n">
        <f aca="false">-0.5*(B153+D153)+C153</f>
        <v>0.2220135</v>
      </c>
      <c r="F153" s="54" t="str">
        <f aca="false">IF(E153&gt;F$127,E153,"")</f>
        <v/>
      </c>
      <c r="G153" s="54" t="n">
        <f aca="false">IF(E153&lt;=F$127,E153,"")</f>
        <v>0.2220135</v>
      </c>
      <c r="H153" s="52" t="n">
        <f aca="false">'2004'!D28/1000000</f>
        <v>2.313746</v>
      </c>
      <c r="I153" s="52" t="n">
        <f aca="false">'2004'!G28/1000000</f>
        <v>2.479183</v>
      </c>
      <c r="J153" s="55" t="n">
        <f aca="false">I153-H153</f>
        <v>0.165437</v>
      </c>
      <c r="K153" s="6" t="str">
        <f aca="false">IF(ISNUMBER(F153),IF(AND(H153&lt;I153,H153&gt;I153-F153),$K$192,""),"")</f>
        <v/>
      </c>
      <c r="L153" s="6" t="str">
        <f aca="false">IF(ISNUMBER(F153),IF(AND(H153&gt;I153,H153-F153&lt;I153),$L$192,""),"")</f>
        <v/>
      </c>
      <c r="M153" s="6" t="str">
        <f aca="false">IF(AND(ABS(E153)&lt;ABS(H153-I153),ABS(E153)&gt;ABS($F$191)),$M$192,"")</f>
        <v/>
      </c>
    </row>
    <row r="154" customFormat="false" ht="12.75" hidden="false" customHeight="false" outlineLevel="0" collapsed="false">
      <c r="A154" s="6" t="str">
        <f aca="false">'2004'!A29</f>
        <v>Minnesota*</v>
      </c>
      <c r="B154" s="52" t="n">
        <f aca="false">'2000'!C29/1000000</f>
        <v>2.438685</v>
      </c>
      <c r="C154" s="52" t="n">
        <f aca="false">'2004'!C29/1000000</f>
        <v>2.828387</v>
      </c>
      <c r="D154" s="52" t="n">
        <f aca="false">'2008'!C29/1000000</f>
        <v>2.910369</v>
      </c>
      <c r="E154" s="53" t="n">
        <f aca="false">-0.5*(B154+D154)+C154</f>
        <v>0.15386</v>
      </c>
      <c r="F154" s="54" t="str">
        <f aca="false">IF(E154&gt;F$127,E154,"")</f>
        <v/>
      </c>
      <c r="G154" s="54" t="n">
        <f aca="false">IF(E154&lt;=F$127,E154,"")</f>
        <v>0.15386</v>
      </c>
      <c r="H154" s="52" t="n">
        <f aca="false">'2004'!D29/1000000</f>
        <v>1.346695</v>
      </c>
      <c r="I154" s="52" t="n">
        <f aca="false">'2004'!G29/1000000</f>
        <v>1.445014</v>
      </c>
      <c r="J154" s="55" t="n">
        <f aca="false">I154-H154</f>
        <v>0.0983190000000001</v>
      </c>
      <c r="K154" s="6" t="str">
        <f aca="false">IF(ISNUMBER(F154),IF(AND(H154&lt;I154,H154&gt;I154-F154),$K$192,""),"")</f>
        <v/>
      </c>
      <c r="L154" s="6" t="str">
        <f aca="false">IF(ISNUMBER(F154),IF(AND(H154&gt;I154,H154-F154&lt;I154),$L$192,""),"")</f>
        <v/>
      </c>
      <c r="M154" s="6" t="str">
        <f aca="false">IF(AND(ABS(E154)&lt;ABS(H154-I154),ABS(E154)&gt;ABS($F$191)),$M$192,"")</f>
        <v/>
      </c>
    </row>
    <row r="155" customFormat="false" ht="12.75" hidden="false" customHeight="false" outlineLevel="0" collapsed="false">
      <c r="A155" s="6" t="str">
        <f aca="false">'2004'!A30</f>
        <v>Mississippi</v>
      </c>
      <c r="B155" s="52" t="n">
        <f aca="false">'2000'!C30/1000000</f>
        <v>0.994184</v>
      </c>
      <c r="C155" s="52" t="n">
        <f aca="false">'2004'!C30/1000000</f>
        <v>1.152145</v>
      </c>
      <c r="D155" s="52" t="n">
        <f aca="false">'2008'!C30/1000000</f>
        <v>1.289865</v>
      </c>
      <c r="E155" s="53" t="n">
        <f aca="false">-0.5*(B155+D155)+C155</f>
        <v>0.0101205</v>
      </c>
      <c r="F155" s="54" t="str">
        <f aca="false">IF(E155&gt;F$127,E155,"")</f>
        <v/>
      </c>
      <c r="G155" s="54" t="n">
        <f aca="false">IF(E155&lt;=F$127,E155,"")</f>
        <v>0.0101205</v>
      </c>
      <c r="H155" s="52" t="n">
        <f aca="false">'2004'!D30/1000000</f>
        <v>0.684981</v>
      </c>
      <c r="I155" s="52" t="n">
        <f aca="false">'2004'!G30/1000000</f>
        <v>0.458094</v>
      </c>
      <c r="J155" s="55" t="n">
        <f aca="false">I155-H155</f>
        <v>-0.226887</v>
      </c>
      <c r="K155" s="6" t="str">
        <f aca="false">IF(ISNUMBER(F155),IF(AND(H155&lt;I155,H155&gt;I155-F155),$K$192,""),"")</f>
        <v/>
      </c>
      <c r="L155" s="6" t="str">
        <f aca="false">IF(ISNUMBER(F155),IF(AND(H155&gt;I155,H155-F155&lt;I155),$L$192,""),"")</f>
        <v/>
      </c>
      <c r="M155" s="6" t="str">
        <f aca="false">IF(AND(ABS(E155)&lt;ABS(H155-I155),ABS(E155)&gt;ABS($F$191)),$M$192,"")</f>
        <v/>
      </c>
    </row>
    <row r="156" customFormat="false" ht="12.75" hidden="false" customHeight="false" outlineLevel="0" collapsed="false">
      <c r="A156" s="6" t="str">
        <f aca="false">'2004'!A31</f>
        <v>Missouri</v>
      </c>
      <c r="B156" s="52" t="n">
        <f aca="false">'2000'!C31/1000000</f>
        <v>2.359892</v>
      </c>
      <c r="C156" s="52" t="n">
        <f aca="false">'2004'!C31/1000000</f>
        <v>2.731364</v>
      </c>
      <c r="D156" s="52" t="n">
        <f aca="false">'2008'!C31/1000000</f>
        <v>2.925205</v>
      </c>
      <c r="E156" s="53" t="n">
        <f aca="false">-0.5*(B156+D156)+C156</f>
        <v>0.0888154999999999</v>
      </c>
      <c r="F156" s="54" t="str">
        <f aca="false">IF(E156&gt;F$127,E156,"")</f>
        <v/>
      </c>
      <c r="G156" s="54" t="n">
        <f aca="false">IF(E156&lt;=F$127,E156,"")</f>
        <v>0.0888154999999999</v>
      </c>
      <c r="H156" s="52" t="n">
        <f aca="false">'2004'!D31/1000000</f>
        <v>1.455713</v>
      </c>
      <c r="I156" s="52" t="n">
        <f aca="false">'2004'!G31/1000000</f>
        <v>1.259171</v>
      </c>
      <c r="J156" s="55" t="n">
        <f aca="false">I156-H156</f>
        <v>-0.196542</v>
      </c>
      <c r="K156" s="6" t="str">
        <f aca="false">IF(ISNUMBER(F156),IF(AND(H156&lt;I156,H156&gt;I156-F156),$K$192,""),"")</f>
        <v/>
      </c>
      <c r="L156" s="6" t="str">
        <f aca="false">IF(ISNUMBER(F156),IF(AND(H156&gt;I156,H156-F156&lt;I156),$L$192,""),"")</f>
        <v/>
      </c>
      <c r="M156" s="6" t="str">
        <f aca="false">IF(AND(ABS(E156)&lt;ABS(H156-I156),ABS(E156)&gt;ABS($F$191)),$M$192,"")</f>
        <v/>
      </c>
    </row>
    <row r="157" customFormat="false" ht="12.75" hidden="false" customHeight="false" outlineLevel="0" collapsed="false">
      <c r="A157" s="6" t="str">
        <f aca="false">'2004'!A32</f>
        <v>Montana</v>
      </c>
      <c r="B157" s="52" t="n">
        <f aca="false">'2000'!C32/1000000</f>
        <v>0.410997</v>
      </c>
      <c r="C157" s="52" t="n">
        <f aca="false">'2004'!C32/1000000</f>
        <v>0.450445</v>
      </c>
      <c r="D157" s="52" t="n">
        <f aca="false">'2008'!C32/1000000</f>
        <v>0.490109</v>
      </c>
      <c r="E157" s="53" t="n">
        <f aca="false">-0.5*(B157+D157)+C157</f>
        <v>-0.000107999999999997</v>
      </c>
      <c r="F157" s="54" t="str">
        <f aca="false">IF(E157&gt;F$127,E157,"")</f>
        <v/>
      </c>
      <c r="G157" s="54" t="n">
        <f aca="false">IF(E157&lt;=F$127,E157,"")</f>
        <v>-0.000107999999999997</v>
      </c>
      <c r="H157" s="52" t="n">
        <f aca="false">'2004'!D32/1000000</f>
        <v>0.266063</v>
      </c>
      <c r="I157" s="52" t="n">
        <f aca="false">'2004'!G32/1000000</f>
        <v>0.17371</v>
      </c>
      <c r="J157" s="55" t="n">
        <f aca="false">I157-H157</f>
        <v>-0.092353</v>
      </c>
      <c r="K157" s="6" t="str">
        <f aca="false">IF(ISNUMBER(F157),IF(AND(H157&lt;I157,H157&gt;I157-F157),$K$192,""),"")</f>
        <v/>
      </c>
      <c r="L157" s="6" t="str">
        <f aca="false">IF(ISNUMBER(F157),IF(AND(H157&gt;I157,H157-F157&lt;I157),$L$192,""),"")</f>
        <v/>
      </c>
      <c r="M157" s="6" t="str">
        <f aca="false">IF(AND(ABS(E157)&lt;ABS(H157-I157),ABS(E157)&gt;ABS($F$191)),$M$192,"")</f>
        <v/>
      </c>
    </row>
    <row r="158" customFormat="false" ht="12.75" hidden="false" customHeight="false" outlineLevel="0" collapsed="false">
      <c r="A158" s="6" t="str">
        <f aca="false">'2004'!A33</f>
        <v>Nebraska</v>
      </c>
      <c r="B158" s="52" t="n">
        <f aca="false">'2000'!C33/1000000</f>
        <v>0.697019</v>
      </c>
      <c r="C158" s="52" t="n">
        <f aca="false">'2004'!C33/1000000</f>
        <v>0.778186</v>
      </c>
      <c r="D158" s="52" t="n">
        <f aca="false">'2008'!C33/1000000</f>
        <v>0.801281</v>
      </c>
      <c r="E158" s="53" t="n">
        <f aca="false">-0.5*(B158+D158)+C158</f>
        <v>0.0290360000000001</v>
      </c>
      <c r="F158" s="54" t="str">
        <f aca="false">IF(E158&gt;F$127,E158,"")</f>
        <v/>
      </c>
      <c r="G158" s="54" t="n">
        <f aca="false">IF(E158&lt;=F$127,E158,"")</f>
        <v>0.0290360000000001</v>
      </c>
      <c r="H158" s="52" t="n">
        <f aca="false">'2004'!D33/1000000</f>
        <v>0.512814</v>
      </c>
      <c r="I158" s="52" t="n">
        <f aca="false">'2004'!G33/1000000</f>
        <v>0.254328</v>
      </c>
      <c r="J158" s="55" t="n">
        <f aca="false">I158-H158</f>
        <v>-0.258486</v>
      </c>
      <c r="K158" s="6" t="str">
        <f aca="false">IF(ISNUMBER(F158),IF(AND(H158&lt;I158,H158&gt;I158-F158),$K$192,""),"")</f>
        <v/>
      </c>
      <c r="L158" s="6" t="str">
        <f aca="false">IF(ISNUMBER(F158),IF(AND(H158&gt;I158,H158-F158&lt;I158),$L$192,""),"")</f>
        <v/>
      </c>
      <c r="M158" s="6" t="str">
        <f aca="false">IF(AND(ABS(E158)&lt;ABS(H158-I158),ABS(E158)&gt;ABS($F$191)),$M$192,"")</f>
        <v/>
      </c>
    </row>
    <row r="159" customFormat="false" ht="12.75" hidden="false" customHeight="false" outlineLevel="0" collapsed="false">
      <c r="A159" s="6" t="str">
        <f aca="false">'2004'!A34</f>
        <v>Nevada</v>
      </c>
      <c r="B159" s="52" t="n">
        <f aca="false">'2000'!C34/1000000</f>
        <v>0.60897</v>
      </c>
      <c r="C159" s="52" t="n">
        <f aca="false">'2004'!C34/1000000</f>
        <v>0.829587</v>
      </c>
      <c r="D159" s="52" t="n">
        <f aca="false">'2008'!C34/1000000</f>
        <v>0.967848</v>
      </c>
      <c r="E159" s="53" t="n">
        <f aca="false">-0.5*(B159+D159)+C159</f>
        <v>0.0411779999999999</v>
      </c>
      <c r="F159" s="54" t="str">
        <f aca="false">IF(E159&gt;F$127,E159,"")</f>
        <v/>
      </c>
      <c r="G159" s="54" t="n">
        <f aca="false">IF(E159&lt;=F$127,E159,"")</f>
        <v>0.0411779999999999</v>
      </c>
      <c r="H159" s="52" t="n">
        <f aca="false">'2004'!D34/1000000</f>
        <v>0.41869</v>
      </c>
      <c r="I159" s="52" t="n">
        <f aca="false">'2004'!G34/1000000</f>
        <v>0.39719</v>
      </c>
      <c r="J159" s="55" t="n">
        <f aca="false">I159-H159</f>
        <v>-0.0215</v>
      </c>
      <c r="K159" s="6" t="str">
        <f aca="false">IF(ISNUMBER(F159),IF(AND(H159&lt;I159,H159&gt;I159-F159),$K$192,""),"")</f>
        <v/>
      </c>
      <c r="L159" s="6" t="str">
        <f aca="false">IF(ISNUMBER(F159),IF(AND(H159&gt;I159,H159-F159&lt;I159),$L$192,""),"")</f>
        <v/>
      </c>
      <c r="M159" s="6" t="str">
        <f aca="false">IF(AND(ABS(E159)&lt;ABS(H159-I159),ABS(E159)&gt;ABS($F$191)),$M$192,"")</f>
        <v/>
      </c>
    </row>
    <row r="160" customFormat="false" ht="12.75" hidden="false" customHeight="false" outlineLevel="0" collapsed="false">
      <c r="A160" s="6" t="str">
        <f aca="false">'2004'!A35</f>
        <v>New Hampshire</v>
      </c>
      <c r="B160" s="52" t="n">
        <f aca="false">'2000'!C35/1000000</f>
        <v>0.569081</v>
      </c>
      <c r="C160" s="52" t="n">
        <f aca="false">'2004'!C35/1000000</f>
        <v>0.677738</v>
      </c>
      <c r="D160" s="52" t="n">
        <f aca="false">'2008'!C35/1000000</f>
        <v>0.707611</v>
      </c>
      <c r="E160" s="53" t="n">
        <f aca="false">-0.5*(B160+D160)+C160</f>
        <v>0.039392</v>
      </c>
      <c r="F160" s="54" t="str">
        <f aca="false">IF(E160&gt;F$127,E160,"")</f>
        <v/>
      </c>
      <c r="G160" s="54" t="n">
        <f aca="false">IF(E160&lt;=F$127,E160,"")</f>
        <v>0.039392</v>
      </c>
      <c r="H160" s="52" t="n">
        <f aca="false">'2004'!D35/1000000</f>
        <v>0.331237</v>
      </c>
      <c r="I160" s="52" t="n">
        <f aca="false">'2004'!G35/1000000</f>
        <v>0.340511</v>
      </c>
      <c r="J160" s="55" t="n">
        <f aca="false">I160-H160</f>
        <v>0.009274</v>
      </c>
      <c r="K160" s="6" t="str">
        <f aca="false">IF(ISNUMBER(F160),IF(AND(H160&lt;I160,H160&gt;I160-F160),$K$192,""),"")</f>
        <v/>
      </c>
      <c r="L160" s="6" t="str">
        <f aca="false">IF(ISNUMBER(F160),IF(AND(H160&gt;I160,H160-F160&lt;I160),$L$192,""),"")</f>
        <v/>
      </c>
      <c r="M160" s="6" t="str">
        <f aca="false">IF(AND(ABS(E160)&lt;ABS(H160-I160),ABS(E160)&gt;ABS($F$191)),$M$192,"")</f>
        <v/>
      </c>
    </row>
    <row r="161" customFormat="false" ht="12.75" hidden="false" customHeight="false" outlineLevel="0" collapsed="false">
      <c r="A161" s="6" t="str">
        <f aca="false">'2004'!A36</f>
        <v>New Jersey</v>
      </c>
      <c r="B161" s="52" t="n">
        <f aca="false">'2000'!C36/1000000</f>
        <v>3.187226</v>
      </c>
      <c r="C161" s="52" t="n">
        <f aca="false">'2004'!C36/1000000</f>
        <v>3.611691</v>
      </c>
      <c r="D161" s="52" t="n">
        <f aca="false">'2008'!C36/1000000</f>
        <v>3.868237</v>
      </c>
      <c r="E161" s="53" t="n">
        <f aca="false">-0.5*(B161+D161)+C161</f>
        <v>0.0839595000000002</v>
      </c>
      <c r="F161" s="54" t="str">
        <f aca="false">IF(E161&gt;F$127,E161,"")</f>
        <v/>
      </c>
      <c r="G161" s="54" t="n">
        <f aca="false">IF(E161&lt;=F$127,E161,"")</f>
        <v>0.0839595000000002</v>
      </c>
      <c r="H161" s="52" t="n">
        <f aca="false">'2004'!D36/1000000</f>
        <v>1.670003</v>
      </c>
      <c r="I161" s="52" t="n">
        <f aca="false">'2004'!G36/1000000</f>
        <v>1.91143</v>
      </c>
      <c r="J161" s="55" t="n">
        <f aca="false">I161-H161</f>
        <v>0.241427</v>
      </c>
      <c r="K161" s="6" t="str">
        <f aca="false">IF(ISNUMBER(F161),IF(AND(H161&lt;I161,H161&gt;I161-F161),$K$192,""),"")</f>
        <v/>
      </c>
      <c r="L161" s="6" t="str">
        <f aca="false">IF(ISNUMBER(F161),IF(AND(H161&gt;I161,H161-F161&lt;I161),$L$192,""),"")</f>
        <v/>
      </c>
      <c r="M161" s="6" t="str">
        <f aca="false">IF(AND(ABS(E161)&lt;ABS(H161-I161),ABS(E161)&gt;ABS($F$191)),$M$192,"")</f>
        <v/>
      </c>
    </row>
    <row r="162" customFormat="false" ht="12.75" hidden="false" customHeight="false" outlineLevel="0" collapsed="false">
      <c r="A162" s="6" t="str">
        <f aca="false">'2004'!A37</f>
        <v>New Mexico</v>
      </c>
      <c r="B162" s="52" t="n">
        <f aca="false">'2000'!C37/1000000</f>
        <v>0.598605</v>
      </c>
      <c r="C162" s="52" t="n">
        <f aca="false">'2004'!C37/1000000</f>
        <v>0.756304</v>
      </c>
      <c r="D162" s="52" t="n">
        <f aca="false">'2008'!C37/1000000</f>
        <v>0.830158</v>
      </c>
      <c r="E162" s="53" t="n">
        <f aca="false">-0.5*(B162+D162)+C162</f>
        <v>0.0419225</v>
      </c>
      <c r="F162" s="54" t="str">
        <f aca="false">IF(E162&gt;F$127,E162,"")</f>
        <v/>
      </c>
      <c r="G162" s="54" t="n">
        <f aca="false">IF(E162&lt;=F$127,E162,"")</f>
        <v>0.0419225</v>
      </c>
      <c r="H162" s="52" t="n">
        <f aca="false">'2004'!D37/1000000</f>
        <v>0.37693</v>
      </c>
      <c r="I162" s="52" t="n">
        <f aca="false">'2004'!G37/1000000</f>
        <v>0.370942</v>
      </c>
      <c r="J162" s="55" t="n">
        <f aca="false">I162-H162</f>
        <v>-0.00598799999999999</v>
      </c>
      <c r="K162" s="6" t="str">
        <f aca="false">IF(ISNUMBER(F162),IF(AND(H162&lt;I162,H162&gt;I162-F162),$K$192,""),"")</f>
        <v/>
      </c>
      <c r="L162" s="6" t="str">
        <f aca="false">IF(ISNUMBER(F162),IF(AND(H162&gt;I162,H162-F162&lt;I162),$L$192,""),"")</f>
        <v/>
      </c>
      <c r="M162" s="6" t="str">
        <f aca="false">IF(AND(ABS(E162)&lt;ABS(H162-I162),ABS(E162)&gt;ABS($F$191)),$M$192,"")</f>
        <v/>
      </c>
    </row>
    <row r="163" customFormat="false" ht="12.75" hidden="false" customHeight="false" outlineLevel="0" collapsed="false">
      <c r="A163" s="6" t="str">
        <f aca="false">'2004'!A38</f>
        <v>New York</v>
      </c>
      <c r="B163" s="52" t="n">
        <f aca="false">'2000'!C38/1000000</f>
        <v>6.821999</v>
      </c>
      <c r="C163" s="52" t="n">
        <f aca="false">'2004'!C38/1000000</f>
        <v>7.391036</v>
      </c>
      <c r="D163" s="52" t="n">
        <f aca="false">'2008'!C38/1000000</f>
        <v>7.591233</v>
      </c>
      <c r="E163" s="53" t="n">
        <f aca="false">-0.5*(B163+D163)+C163</f>
        <v>0.184419999999999</v>
      </c>
      <c r="F163" s="54" t="str">
        <f aca="false">IF(E163&gt;F$127,E163,"")</f>
        <v/>
      </c>
      <c r="G163" s="54" t="n">
        <f aca="false">IF(E163&lt;=F$127,E163,"")</f>
        <v>0.184419999999999</v>
      </c>
      <c r="H163" s="52" t="n">
        <f aca="false">'2004'!D38/1000000</f>
        <v>2.962567</v>
      </c>
      <c r="I163" s="52" t="n">
        <f aca="false">'2004'!G38/1000000</f>
        <v>4.31428</v>
      </c>
      <c r="J163" s="55" t="n">
        <f aca="false">I163-H163</f>
        <v>1.351713</v>
      </c>
      <c r="K163" s="6" t="str">
        <f aca="false">IF(ISNUMBER(F163),IF(AND(H163&lt;I163,H163&gt;I163-F163),$K$192,""),"")</f>
        <v/>
      </c>
      <c r="L163" s="6" t="str">
        <f aca="false">IF(ISNUMBER(F163),IF(AND(H163&gt;I163,H163-F163&lt;I163),$L$192,""),"")</f>
        <v/>
      </c>
      <c r="M163" s="6" t="str">
        <f aca="false">IF(AND(ABS(E163)&lt;ABS(H163-I163),ABS(E163)&gt;ABS($F$191)),$M$192,"")</f>
        <v/>
      </c>
    </row>
    <row r="164" customFormat="false" ht="12.75" hidden="false" customHeight="false" outlineLevel="0" collapsed="false">
      <c r="A164" s="6" t="str">
        <f aca="false">'2004'!A39</f>
        <v>North Carolina</v>
      </c>
      <c r="B164" s="52" t="n">
        <f aca="false">'2000'!C39/1000000</f>
        <v>2.911262</v>
      </c>
      <c r="C164" s="52" t="n">
        <f aca="false">'2004'!C39/1000000</f>
        <v>3.501007</v>
      </c>
      <c r="D164" s="52" t="n">
        <f aca="false">'2008'!C39/1000000</f>
        <v>4.310789</v>
      </c>
      <c r="E164" s="53" t="n">
        <f aca="false">-0.5*(B164+D164)+C164</f>
        <v>-0.1100185</v>
      </c>
      <c r="F164" s="54" t="str">
        <f aca="false">IF(E164&gt;F$127,E164,"")</f>
        <v/>
      </c>
      <c r="G164" s="54" t="n">
        <f aca="false">IF(E164&lt;=F$127,E164,"")</f>
        <v>-0.1100185</v>
      </c>
      <c r="H164" s="52" t="n">
        <f aca="false">'2004'!D39/1000000</f>
        <v>1.961166</v>
      </c>
      <c r="I164" s="52" t="n">
        <f aca="false">'2004'!G39/1000000</f>
        <v>1.525849</v>
      </c>
      <c r="J164" s="55" t="n">
        <f aca="false">I164-H164</f>
        <v>-0.435317</v>
      </c>
      <c r="K164" s="6" t="str">
        <f aca="false">IF(ISNUMBER(F164),IF(AND(H164&lt;I164,H164&gt;I164-F164),$K$192,""),"")</f>
        <v/>
      </c>
      <c r="L164" s="6" t="str">
        <f aca="false">IF(ISNUMBER(F164),IF(AND(H164&gt;I164,H164-F164&lt;I164),$L$192,""),"")</f>
        <v/>
      </c>
      <c r="M164" s="6" t="str">
        <f aca="false">IF(AND(ABS(E164)&lt;ABS(H164-I164),ABS(E164)&gt;ABS($F$191)),$M$192,"")</f>
        <v/>
      </c>
    </row>
    <row r="165" customFormat="false" ht="12.75" hidden="false" customHeight="false" outlineLevel="0" collapsed="false">
      <c r="A165" s="6" t="str">
        <f aca="false">'2004'!A40</f>
        <v>North Dakota</v>
      </c>
      <c r="B165" s="52" t="n">
        <f aca="false">'2000'!C40/1000000</f>
        <v>0.288256</v>
      </c>
      <c r="C165" s="52" t="n">
        <f aca="false">'2004'!C40/1000000</f>
        <v>0.312833</v>
      </c>
      <c r="D165" s="52" t="n">
        <f aca="false">'2008'!C40/1000000</f>
        <v>0.316621</v>
      </c>
      <c r="E165" s="53" t="n">
        <f aca="false">-0.5*(B165+D165)+C165</f>
        <v>0.0103945</v>
      </c>
      <c r="F165" s="54" t="str">
        <f aca="false">IF(E165&gt;F$127,E165,"")</f>
        <v/>
      </c>
      <c r="G165" s="54" t="n">
        <f aca="false">IF(E165&lt;=F$127,E165,"")</f>
        <v>0.0103945</v>
      </c>
      <c r="H165" s="52" t="n">
        <f aca="false">'2004'!D40/1000000</f>
        <v>0.196651</v>
      </c>
      <c r="I165" s="52" t="n">
        <f aca="false">'2004'!G40/1000000</f>
        <v>0.111052</v>
      </c>
      <c r="J165" s="55" t="n">
        <f aca="false">I165-H165</f>
        <v>-0.085599</v>
      </c>
      <c r="K165" s="6" t="str">
        <f aca="false">IF(ISNUMBER(F165),IF(AND(H165&lt;I165,H165&gt;I165-F165),$K$192,""),"")</f>
        <v/>
      </c>
      <c r="L165" s="6" t="str">
        <f aca="false">IF(ISNUMBER(F165),IF(AND(H165&gt;I165,H165-F165&lt;I165),$L$192,""),"")</f>
        <v/>
      </c>
      <c r="M165" s="6" t="str">
        <f aca="false">IF(AND(ABS(E165)&lt;ABS(H165-I165),ABS(E165)&gt;ABS($F$191)),$M$192,"")</f>
        <v/>
      </c>
    </row>
    <row r="166" customFormat="false" ht="12.75" hidden="false" customHeight="false" outlineLevel="0" collapsed="false">
      <c r="A166" s="6" t="str">
        <f aca="false">'2004'!A41</f>
        <v>Ohio</v>
      </c>
      <c r="B166" s="52" t="n">
        <f aca="false">'2000'!C41/1000000</f>
        <v>4.701998</v>
      </c>
      <c r="C166" s="52" t="n">
        <f aca="false">'2004'!C41/1000000</f>
        <v>5.627908</v>
      </c>
      <c r="D166" s="52" t="n">
        <f aca="false">'2008'!C41/1000000</f>
        <v>5.69826</v>
      </c>
      <c r="E166" s="53" t="n">
        <f aca="false">-0.5*(B166+D166)+C166</f>
        <v>0.427778999999999</v>
      </c>
      <c r="F166" s="54" t="n">
        <f aca="false">IF(E166&gt;F$127,E166,"")</f>
        <v>0.427778999999999</v>
      </c>
      <c r="G166" s="54" t="str">
        <f aca="false">IF(E166&lt;=F$127,E166,"")</f>
        <v/>
      </c>
      <c r="H166" s="52" t="n">
        <f aca="false">'2004'!D41/1000000</f>
        <v>2.859768</v>
      </c>
      <c r="I166" s="52" t="n">
        <f aca="false">'2004'!G41/1000000</f>
        <v>2.741167</v>
      </c>
      <c r="J166" s="55" t="n">
        <f aca="false">I166-H166</f>
        <v>-0.118601</v>
      </c>
      <c r="K166" s="6" t="str">
        <f aca="false">IF(ISNUMBER(F166),IF(AND(H166&lt;I166,H166&gt;I166-F166),$K$192,""),"")</f>
        <v/>
      </c>
      <c r="L166" s="6" t="str">
        <f aca="false">IF(ISNUMBER(F166),IF(AND(H166&gt;I166,H166-F166&lt;I166),$L$192,""),"")</f>
        <v>anti-novelty</v>
      </c>
      <c r="M166" s="6" t="str">
        <f aca="false">IF(AND(ABS(E166)&lt;ABS(H166-I166),ABS(E166)&gt;ABS($F$191)),$M$192,"")</f>
        <v/>
      </c>
    </row>
    <row r="167" customFormat="false" ht="12.75" hidden="false" customHeight="false" outlineLevel="0" collapsed="false">
      <c r="A167" s="6" t="str">
        <f aca="false">'2004'!A42</f>
        <v>Oklahoma</v>
      </c>
      <c r="B167" s="52" t="n">
        <f aca="false">'2000'!C42/1000000</f>
        <v>1.234229</v>
      </c>
      <c r="C167" s="52" t="n">
        <f aca="false">'2004'!C42/1000000</f>
        <v>1.463758</v>
      </c>
      <c r="D167" s="52" t="n">
        <f aca="false">'2008'!C42/1000000</f>
        <v>1.462661</v>
      </c>
      <c r="E167" s="53" t="n">
        <f aca="false">-0.5*(B167+D167)+C167</f>
        <v>0.115313</v>
      </c>
      <c r="F167" s="54" t="str">
        <f aca="false">IF(E167&gt;F$127,E167,"")</f>
        <v/>
      </c>
      <c r="G167" s="54" t="n">
        <f aca="false">IF(E167&lt;=F$127,E167,"")</f>
        <v>0.115313</v>
      </c>
      <c r="H167" s="52" t="n">
        <f aca="false">'2004'!D42/1000000</f>
        <v>0.959792</v>
      </c>
      <c r="I167" s="52" t="n">
        <f aca="false">'2004'!G42/1000000</f>
        <v>0.503966</v>
      </c>
      <c r="J167" s="55" t="n">
        <f aca="false">I167-H167</f>
        <v>-0.455826</v>
      </c>
      <c r="K167" s="6" t="str">
        <f aca="false">IF(ISNUMBER(F167),IF(AND(H167&lt;I167,H167&gt;I167-F167),$K$192,""),"")</f>
        <v/>
      </c>
      <c r="L167" s="6" t="str">
        <f aca="false">IF(ISNUMBER(F167),IF(AND(H167&gt;I167,H167-F167&lt;I167),$L$192,""),"")</f>
        <v/>
      </c>
      <c r="M167" s="6" t="str">
        <f aca="false">IF(AND(ABS(E167)&lt;ABS(H167-I167),ABS(E167)&gt;ABS($F$191)),$M$192,"")</f>
        <v/>
      </c>
    </row>
    <row r="168" customFormat="false" ht="12.75" hidden="false" customHeight="false" outlineLevel="0" collapsed="false">
      <c r="A168" s="6" t="str">
        <f aca="false">'2004'!A43</f>
        <v>Oregon</v>
      </c>
      <c r="B168" s="52" t="n">
        <f aca="false">'2000'!C43/1000000</f>
        <v>1.533968</v>
      </c>
      <c r="C168" s="52" t="n">
        <f aca="false">'2004'!C43/1000000</f>
        <v>1.836782</v>
      </c>
      <c r="D168" s="52" t="n">
        <f aca="false">'2008'!C43/1000000</f>
        <v>1.827864</v>
      </c>
      <c r="E168" s="53" t="n">
        <f aca="false">-0.5*(B168+D168)+C168</f>
        <v>0.155866</v>
      </c>
      <c r="F168" s="54" t="str">
        <f aca="false">IF(E168&gt;F$127,E168,"")</f>
        <v/>
      </c>
      <c r="G168" s="54" t="n">
        <f aca="false">IF(E168&lt;=F$127,E168,"")</f>
        <v>0.155866</v>
      </c>
      <c r="H168" s="52" t="n">
        <f aca="false">'2004'!D43/1000000</f>
        <v>0.866831</v>
      </c>
      <c r="I168" s="52" t="n">
        <f aca="false">'2004'!G43/1000000</f>
        <v>0.943163</v>
      </c>
      <c r="J168" s="55" t="n">
        <f aca="false">I168-H168</f>
        <v>0.076332</v>
      </c>
      <c r="K168" s="6" t="str">
        <f aca="false">IF(ISNUMBER(F168),IF(AND(H168&lt;I168,H168&gt;I168-F168),$K$192,""),"")</f>
        <v/>
      </c>
      <c r="L168" s="6" t="str">
        <f aca="false">IF(ISNUMBER(F168),IF(AND(H168&gt;I168,H168-F168&lt;I168),$L$192,""),"")</f>
        <v/>
      </c>
      <c r="M168" s="6" t="str">
        <f aca="false">IF(AND(ABS(E168)&lt;ABS(H168-I168),ABS(E168)&gt;ABS($F$191)),$M$192,"")</f>
        <v/>
      </c>
    </row>
    <row r="169" customFormat="false" ht="12.75" hidden="false" customHeight="false" outlineLevel="0" collapsed="false">
      <c r="A169" s="6" t="str">
        <f aca="false">'2004'!A44</f>
        <v>Pennsylvania</v>
      </c>
      <c r="B169" s="52" t="n">
        <f aca="false">'2000'!C44/1000000</f>
        <v>4.913119</v>
      </c>
      <c r="C169" s="52" t="n">
        <f aca="false">'2004'!C44/1000000</f>
        <v>5.76959</v>
      </c>
      <c r="D169" s="52" t="n">
        <f aca="false">'2008'!C44/1000000</f>
        <v>6.034745</v>
      </c>
      <c r="E169" s="53" t="n">
        <f aca="false">-0.5*(B169+D169)+C169</f>
        <v>0.295658</v>
      </c>
      <c r="F169" s="54" t="str">
        <f aca="false">IF(E169&gt;F$127,E169,"")</f>
        <v/>
      </c>
      <c r="G169" s="54" t="n">
        <f aca="false">IF(E169&lt;=F$127,E169,"")</f>
        <v>0.295658</v>
      </c>
      <c r="H169" s="52" t="n">
        <f aca="false">'2004'!D44/1000000</f>
        <v>2.793847</v>
      </c>
      <c r="I169" s="52" t="n">
        <f aca="false">'2004'!G44/1000000</f>
        <v>2.938095</v>
      </c>
      <c r="J169" s="55" t="n">
        <f aca="false">I169-H169</f>
        <v>0.144248</v>
      </c>
      <c r="K169" s="6" t="str">
        <f aca="false">IF(ISNUMBER(F169),IF(AND(H169&lt;I169,H169&gt;I169-F169),$K$192,""),"")</f>
        <v/>
      </c>
      <c r="L169" s="6" t="str">
        <f aca="false">IF(ISNUMBER(F169),IF(AND(H169&gt;I169,H169-F169&lt;I169),$L$192,""),"")</f>
        <v/>
      </c>
      <c r="M169" s="6" t="str">
        <f aca="false">IF(AND(ABS(E169)&lt;ABS(H169-I169),ABS(E169)&gt;ABS($F$191)),$M$192,"")</f>
        <v/>
      </c>
    </row>
    <row r="170" customFormat="false" ht="12.75" hidden="false" customHeight="false" outlineLevel="0" collapsed="false">
      <c r="A170" s="6" t="str">
        <f aca="false">'2004'!A45</f>
        <v>Rhode Island</v>
      </c>
      <c r="B170" s="52" t="n">
        <f aca="false">'2000'!C45/1000000</f>
        <v>0.409047</v>
      </c>
      <c r="C170" s="52" t="n">
        <f aca="false">'2004'!C45/1000000</f>
        <v>0.437134</v>
      </c>
      <c r="D170" s="52" t="n">
        <f aca="false">'2008'!C45/1000000</f>
        <v>0.469767</v>
      </c>
      <c r="E170" s="53" t="n">
        <f aca="false">-0.5*(B170+D170)+C170</f>
        <v>-0.00227299999999997</v>
      </c>
      <c r="F170" s="54" t="str">
        <f aca="false">IF(E170&gt;F$127,E170,"")</f>
        <v/>
      </c>
      <c r="G170" s="54" t="n">
        <f aca="false">IF(E170&lt;=F$127,E170,"")</f>
        <v>-0.00227299999999997</v>
      </c>
      <c r="H170" s="52" t="n">
        <f aca="false">'2004'!D45/1000000</f>
        <v>0.169046</v>
      </c>
      <c r="I170" s="52" t="n">
        <f aca="false">'2004'!G45/1000000</f>
        <v>0.259765</v>
      </c>
      <c r="J170" s="55" t="n">
        <f aca="false">I170-H170</f>
        <v>0.090719</v>
      </c>
      <c r="K170" s="6" t="str">
        <f aca="false">IF(ISNUMBER(F170),IF(AND(H170&lt;I170,H170&gt;I170-F170),$K$192,""),"")</f>
        <v/>
      </c>
      <c r="L170" s="6" t="str">
        <f aca="false">IF(ISNUMBER(F170),IF(AND(H170&gt;I170,H170-F170&lt;I170),$L$192,""),"")</f>
        <v/>
      </c>
      <c r="M170" s="6" t="str">
        <f aca="false">IF(AND(ABS(E170)&lt;ABS(H170-I170),ABS(E170)&gt;ABS($F$191)),$M$192,"")</f>
        <v/>
      </c>
    </row>
    <row r="171" customFormat="false" ht="12.75" hidden="false" customHeight="false" outlineLevel="0" collapsed="false">
      <c r="A171" s="6" t="str">
        <f aca="false">'2004'!A46</f>
        <v>South Carolina</v>
      </c>
      <c r="B171" s="52" t="n">
        <f aca="false">'2000'!C46/1000000</f>
        <v>1.382717</v>
      </c>
      <c r="C171" s="52" t="n">
        <f aca="false">'2004'!C46/1000000</f>
        <v>1.61773</v>
      </c>
      <c r="D171" s="52" t="n">
        <f aca="false">'2008'!C46/1000000</f>
        <v>1.920969</v>
      </c>
      <c r="E171" s="53" t="n">
        <f aca="false">-0.5*(B171+D171)+C171</f>
        <v>-0.0341130000000001</v>
      </c>
      <c r="F171" s="54" t="str">
        <f aca="false">IF(E171&gt;F$127,E171,"")</f>
        <v/>
      </c>
      <c r="G171" s="54" t="n">
        <f aca="false">IF(E171&lt;=F$127,E171,"")</f>
        <v>-0.0341130000000001</v>
      </c>
      <c r="H171" s="52" t="n">
        <f aca="false">'2004'!D46/1000000</f>
        <v>0.937974</v>
      </c>
      <c r="I171" s="52" t="n">
        <f aca="false">'2004'!G46/1000000</f>
        <v>0.661699</v>
      </c>
      <c r="J171" s="55" t="n">
        <f aca="false">I171-H171</f>
        <v>-0.276275</v>
      </c>
      <c r="K171" s="6" t="str">
        <f aca="false">IF(ISNUMBER(F171),IF(AND(H171&lt;I171,H171&gt;I171-F171),$K$192,""),"")</f>
        <v/>
      </c>
      <c r="L171" s="6" t="str">
        <f aca="false">IF(ISNUMBER(F171),IF(AND(H171&gt;I171,H171-F171&lt;I171),$L$192,""),"")</f>
        <v/>
      </c>
      <c r="M171" s="6" t="str">
        <f aca="false">IF(AND(ABS(E171)&lt;ABS(H171-I171),ABS(E171)&gt;ABS($F$191)),$M$192,"")</f>
        <v/>
      </c>
    </row>
    <row r="172" customFormat="false" ht="12.75" hidden="false" customHeight="false" outlineLevel="0" collapsed="false">
      <c r="A172" s="6" t="str">
        <f aca="false">'2004'!A47</f>
        <v>South Dakota</v>
      </c>
      <c r="B172" s="52" t="n">
        <f aca="false">'2000'!C47/1000000</f>
        <v>0.316269</v>
      </c>
      <c r="C172" s="52" t="n">
        <f aca="false">'2004'!C47/1000000</f>
        <v>0.388215</v>
      </c>
      <c r="D172" s="52" t="n">
        <f aca="false">'2008'!C47/1000000</f>
        <v>0.381975</v>
      </c>
      <c r="E172" s="53" t="n">
        <f aca="false">-0.5*(B172+D172)+C172</f>
        <v>0.0390929999999999</v>
      </c>
      <c r="F172" s="54" t="str">
        <f aca="false">IF(E172&gt;F$127,E172,"")</f>
        <v/>
      </c>
      <c r="G172" s="54" t="n">
        <f aca="false">IF(E172&lt;=F$127,E172,"")</f>
        <v>0.0390929999999999</v>
      </c>
      <c r="H172" s="52" t="n">
        <f aca="false">'2004'!D47/1000000</f>
        <v>0.232584</v>
      </c>
      <c r="I172" s="52" t="n">
        <f aca="false">'2004'!G47/1000000</f>
        <v>0.149244</v>
      </c>
      <c r="J172" s="55" t="n">
        <f aca="false">I172-H172</f>
        <v>-0.08334</v>
      </c>
      <c r="K172" s="6" t="str">
        <f aca="false">IF(ISNUMBER(F172),IF(AND(H172&lt;I172,H172&gt;I172-F172),$K$192,""),"")</f>
        <v/>
      </c>
      <c r="L172" s="6" t="str">
        <f aca="false">IF(ISNUMBER(F172),IF(AND(H172&gt;I172,H172-F172&lt;I172),$L$192,""),"")</f>
        <v/>
      </c>
      <c r="M172" s="6" t="str">
        <f aca="false">IF(AND(ABS(E172)&lt;ABS(H172-I172),ABS(E172)&gt;ABS($F$191)),$M$192,"")</f>
        <v/>
      </c>
    </row>
    <row r="173" customFormat="false" ht="12.75" hidden="false" customHeight="false" outlineLevel="0" collapsed="false">
      <c r="A173" s="6" t="str">
        <f aca="false">'2004'!A48</f>
        <v>Tennessee</v>
      </c>
      <c r="B173" s="52" t="n">
        <f aca="false">'2000'!C48/1000000</f>
        <v>2.076181</v>
      </c>
      <c r="C173" s="52" t="n">
        <f aca="false">'2004'!C48/1000000</f>
        <v>2.437319</v>
      </c>
      <c r="D173" s="52" t="n">
        <f aca="false">'2008'!C48/1000000</f>
        <v>2.599749</v>
      </c>
      <c r="E173" s="53" t="n">
        <f aca="false">-0.5*(B173+D173)+C173</f>
        <v>0.0993539999999999</v>
      </c>
      <c r="F173" s="54" t="str">
        <f aca="false">IF(E173&gt;F$127,E173,"")</f>
        <v/>
      </c>
      <c r="G173" s="54" t="n">
        <f aca="false">IF(E173&lt;=F$127,E173,"")</f>
        <v>0.0993539999999999</v>
      </c>
      <c r="H173" s="52" t="n">
        <f aca="false">'2004'!D48/1000000</f>
        <v>1.384375</v>
      </c>
      <c r="I173" s="52" t="n">
        <f aca="false">'2004'!G48/1000000</f>
        <v>1.036477</v>
      </c>
      <c r="J173" s="55" t="n">
        <f aca="false">I173-H173</f>
        <v>-0.347898</v>
      </c>
      <c r="K173" s="6" t="str">
        <f aca="false">IF(ISNUMBER(F173),IF(AND(H173&lt;I173,H173&gt;I173-F173),$K$192,""),"")</f>
        <v/>
      </c>
      <c r="L173" s="6" t="str">
        <f aca="false">IF(ISNUMBER(F173),IF(AND(H173&gt;I173,H173-F173&lt;I173),$L$192,""),"")</f>
        <v/>
      </c>
      <c r="M173" s="6" t="str">
        <f aca="false">IF(AND(ABS(E173)&lt;ABS(H173-I173),ABS(E173)&gt;ABS($F$191)),$M$192,"")</f>
        <v/>
      </c>
    </row>
    <row r="174" customFormat="false" ht="12.75" hidden="false" customHeight="false" outlineLevel="0" collapsed="false">
      <c r="A174" s="6" t="str">
        <f aca="false">'2004'!A49</f>
        <v>Texas</v>
      </c>
      <c r="B174" s="52" t="n">
        <f aca="false">'2000'!C49/1000000</f>
        <v>6.407637</v>
      </c>
      <c r="C174" s="52" t="n">
        <f aca="false">'2004'!C49/1000000</f>
        <v>7.410765</v>
      </c>
      <c r="D174" s="52" t="n">
        <f aca="false">'2008'!C49/1000000</f>
        <v>8.077795</v>
      </c>
      <c r="E174" s="53" t="n">
        <f aca="false">-0.5*(B174+D174)+C174</f>
        <v>0.168049</v>
      </c>
      <c r="F174" s="54" t="str">
        <f aca="false">IF(E174&gt;F$127,E174,"")</f>
        <v/>
      </c>
      <c r="G174" s="54" t="n">
        <f aca="false">IF(E174&lt;=F$127,E174,"")</f>
        <v>0.168049</v>
      </c>
      <c r="H174" s="52" t="n">
        <f aca="false">'2004'!D49/1000000</f>
        <v>4.526917</v>
      </c>
      <c r="I174" s="52" t="n">
        <f aca="false">'2004'!G49/1000000</f>
        <v>2.832704</v>
      </c>
      <c r="J174" s="55" t="n">
        <f aca="false">I174-H174</f>
        <v>-1.694213</v>
      </c>
      <c r="K174" s="6" t="str">
        <f aca="false">IF(ISNUMBER(F174),IF(AND(H174&lt;I174,H174&gt;I174-F174),$K$192,""),"")</f>
        <v/>
      </c>
      <c r="L174" s="6" t="str">
        <f aca="false">IF(ISNUMBER(F174),IF(AND(H174&gt;I174,H174-F174&lt;I174),$L$192,""),"")</f>
        <v/>
      </c>
      <c r="M174" s="6" t="str">
        <f aca="false">IF(AND(ABS(E174)&lt;ABS(H174-I174),ABS(E174)&gt;ABS($F$191)),$M$192,"")</f>
        <v/>
      </c>
    </row>
    <row r="175" customFormat="false" ht="12.75" hidden="false" customHeight="false" outlineLevel="0" collapsed="false">
      <c r="A175" s="6" t="str">
        <f aca="false">'2004'!A50</f>
        <v>Utah</v>
      </c>
      <c r="B175" s="52" t="n">
        <f aca="false">'2000'!C50/1000000</f>
        <v>0.770754</v>
      </c>
      <c r="C175" s="52" t="n">
        <f aca="false">'2004'!C50/1000000</f>
        <v>0.927844</v>
      </c>
      <c r="D175" s="52" t="n">
        <f aca="false">'2008'!C50/1000000</f>
        <v>0.95237</v>
      </c>
      <c r="E175" s="53" t="n">
        <f aca="false">-0.5*(B175+D175)+C175</f>
        <v>0.066282</v>
      </c>
      <c r="F175" s="54" t="str">
        <f aca="false">IF(E175&gt;F$127,E175,"")</f>
        <v/>
      </c>
      <c r="G175" s="54" t="n">
        <f aca="false">IF(E175&lt;=F$127,E175,"")</f>
        <v>0.066282</v>
      </c>
      <c r="H175" s="52" t="n">
        <f aca="false">'2004'!D50/1000000</f>
        <v>0.663742</v>
      </c>
      <c r="I175" s="52" t="n">
        <f aca="false">'2004'!G50/1000000</f>
        <v>0.241199</v>
      </c>
      <c r="J175" s="55" t="n">
        <f aca="false">I175-H175</f>
        <v>-0.422543</v>
      </c>
      <c r="K175" s="6" t="str">
        <f aca="false">IF(ISNUMBER(F175),IF(AND(H175&lt;I175,H175&gt;I175-F175),$K$192,""),"")</f>
        <v/>
      </c>
      <c r="L175" s="6" t="str">
        <f aca="false">IF(ISNUMBER(F175),IF(AND(H175&gt;I175,H175-F175&lt;I175),$L$192,""),"")</f>
        <v/>
      </c>
      <c r="M175" s="6" t="str">
        <f aca="false">IF(AND(ABS(E175)&lt;ABS(H175-I175),ABS(E175)&gt;ABS($F$191)),$M$192,"")</f>
        <v/>
      </c>
    </row>
    <row r="176" customFormat="false" ht="12.75" hidden="false" customHeight="false" outlineLevel="0" collapsed="false">
      <c r="A176" s="6" t="str">
        <f aca="false">'2004'!A51</f>
        <v>Vermont</v>
      </c>
      <c r="B176" s="52" t="n">
        <f aca="false">'2000'!C51/1000000</f>
        <v>0.294308</v>
      </c>
      <c r="C176" s="52" t="n">
        <f aca="false">'2004'!C51/1000000</f>
        <v>0.312309</v>
      </c>
      <c r="D176" s="52" t="n">
        <f aca="false">'2008'!C51/1000000</f>
        <v>0.325046</v>
      </c>
      <c r="E176" s="53" t="n">
        <f aca="false">-0.5*(B176+D176)+C176</f>
        <v>0.00263200000000002</v>
      </c>
      <c r="F176" s="54" t="str">
        <f aca="false">IF(E176&gt;F$127,E176,"")</f>
        <v/>
      </c>
      <c r="G176" s="54" t="n">
        <f aca="false">IF(E176&lt;=F$127,E176,"")</f>
        <v>0.00263200000000002</v>
      </c>
      <c r="H176" s="52" t="n">
        <f aca="false">'2004'!D51/1000000</f>
        <v>0.12118</v>
      </c>
      <c r="I176" s="52" t="n">
        <f aca="false">'2004'!G51/1000000</f>
        <v>0.184067</v>
      </c>
      <c r="J176" s="55" t="n">
        <f aca="false">I176-H176</f>
        <v>0.062887</v>
      </c>
      <c r="K176" s="6" t="str">
        <f aca="false">IF(ISNUMBER(F176),IF(AND(H176&lt;I176,H176&gt;I176-F176),$K$192,""),"")</f>
        <v/>
      </c>
      <c r="L176" s="6" t="str">
        <f aca="false">IF(ISNUMBER(F176),IF(AND(H176&gt;I176,H176+F176&lt;I176),$L$192,""),"")</f>
        <v/>
      </c>
      <c r="M176" s="6" t="str">
        <f aca="false">IF(AND(ABS(E176)&lt;ABS(H176-I176),ABS(E176)&gt;ABS($F$191)),$M$192,"")</f>
        <v/>
      </c>
    </row>
    <row r="177" customFormat="false" ht="12.75" hidden="false" customHeight="false" outlineLevel="0" collapsed="false">
      <c r="A177" s="6" t="str">
        <f aca="false">'2004'!A52</f>
        <v>Virginia</v>
      </c>
      <c r="B177" s="52" t="n">
        <f aca="false">'2000'!C52/1000000</f>
        <v>2.739447</v>
      </c>
      <c r="C177" s="52" t="n">
        <f aca="false">'2004'!C52/1000000</f>
        <v>3.198367</v>
      </c>
      <c r="D177" s="52" t="n">
        <f aca="false">'2008'!C52/1000000</f>
        <v>3.72326</v>
      </c>
      <c r="E177" s="53" t="n">
        <f aca="false">-0.5*(B177+D177)+C177</f>
        <v>-0.0329864999999998</v>
      </c>
      <c r="F177" s="54" t="str">
        <f aca="false">IF(E177&gt;F$127,E177,"")</f>
        <v/>
      </c>
      <c r="G177" s="54" t="n">
        <f aca="false">IF(E177&lt;=F$127,E177,"")</f>
        <v>-0.0329864999999998</v>
      </c>
      <c r="H177" s="52" t="n">
        <f aca="false">'2004'!D52/1000000</f>
        <v>1.716959</v>
      </c>
      <c r="I177" s="52" t="n">
        <f aca="false">'2004'!G52/1000000</f>
        <v>1.454742</v>
      </c>
      <c r="J177" s="55" t="n">
        <f aca="false">I177-H177</f>
        <v>-0.262217</v>
      </c>
      <c r="K177" s="6" t="str">
        <f aca="false">IF(ISNUMBER(F177),IF(AND(H177&lt;I177,H177&gt;I177-F177),$K$192,""),"")</f>
        <v/>
      </c>
      <c r="L177" s="6" t="str">
        <f aca="false">IF(ISNUMBER(F177),IF(AND(H177&gt;I177,H177+F177&lt;I177),$L$192,""),"")</f>
        <v/>
      </c>
      <c r="M177" s="6" t="str">
        <f aca="false">IF(AND(ABS(E177)&lt;ABS(H177-I177),ABS(E177)&gt;ABS($F$191)),$M$192,"")</f>
        <v/>
      </c>
    </row>
    <row r="178" customFormat="false" ht="12.75" hidden="false" customHeight="false" outlineLevel="0" collapsed="false">
      <c r="A178" s="6" t="str">
        <f aca="false">'2004'!A53</f>
        <v>Washington</v>
      </c>
      <c r="B178" s="52" t="n">
        <f aca="false">'2000'!C53/1000000</f>
        <v>2.487433</v>
      </c>
      <c r="C178" s="52" t="n">
        <f aca="false">'2004'!C53/1000000</f>
        <v>2.859084</v>
      </c>
      <c r="D178" s="52" t="n">
        <f aca="false">'2008'!C53/1000000</f>
        <v>3.036878</v>
      </c>
      <c r="E178" s="53" t="n">
        <f aca="false">-0.5*(B178+D178)+C178</f>
        <v>0.0969285000000002</v>
      </c>
      <c r="F178" s="54" t="str">
        <f aca="false">IF(E178&gt;F$127,E178,"")</f>
        <v/>
      </c>
      <c r="G178" s="54" t="n">
        <f aca="false">IF(E178&lt;=F$127,E178,"")</f>
        <v>0.0969285000000002</v>
      </c>
      <c r="H178" s="52" t="n">
        <f aca="false">'2004'!D53/1000000</f>
        <v>1.304894</v>
      </c>
      <c r="I178" s="52" t="n">
        <f aca="false">'2004'!G53/1000000</f>
        <v>1.510201</v>
      </c>
      <c r="J178" s="55" t="n">
        <f aca="false">I178-H178</f>
        <v>0.205307</v>
      </c>
      <c r="K178" s="6" t="str">
        <f aca="false">IF(ISNUMBER(F178),IF(AND(H178&lt;I178,H178&gt;I178-F178),$K$192,""),"")</f>
        <v/>
      </c>
      <c r="L178" s="6" t="str">
        <f aca="false">IF(ISNUMBER(F178),IF(AND(H178&gt;I178,H178+F178&lt;I178),$L$192,""),"")</f>
        <v/>
      </c>
      <c r="M178" s="6" t="str">
        <f aca="false">IF(AND(ABS(E178)&lt;ABS(H178-I178),ABS(E178)&gt;ABS($F$191)),$M$192,"")</f>
        <v/>
      </c>
    </row>
    <row r="179" customFormat="false" ht="12.75" hidden="false" customHeight="false" outlineLevel="0" collapsed="false">
      <c r="A179" s="6" t="str">
        <f aca="false">'2004'!A54</f>
        <v>West Virginia</v>
      </c>
      <c r="B179" s="52" t="n">
        <f aca="false">'2000'!C54/1000000</f>
        <v>0.648124</v>
      </c>
      <c r="C179" s="52" t="n">
        <f aca="false">'2004'!C54/1000000</f>
        <v>0.755887</v>
      </c>
      <c r="D179" s="52" t="n">
        <f aca="false">'2008'!C54/1000000</f>
        <v>0.713362</v>
      </c>
      <c r="E179" s="53" t="n">
        <f aca="false">-0.5*(B179+D179)+C179</f>
        <v>0.0751439999999999</v>
      </c>
      <c r="F179" s="54" t="str">
        <f aca="false">IF(E179&gt;F$127,E179,"")</f>
        <v/>
      </c>
      <c r="G179" s="54" t="n">
        <f aca="false">IF(E179&lt;=F$127,E179,"")</f>
        <v>0.0751439999999999</v>
      </c>
      <c r="H179" s="52" t="n">
        <f aca="false">'2004'!D54/1000000</f>
        <v>0.423778</v>
      </c>
      <c r="I179" s="52" t="n">
        <f aca="false">'2004'!G54/1000000</f>
        <v>0.326541</v>
      </c>
      <c r="J179" s="55" t="n">
        <f aca="false">I179-H179</f>
        <v>-0.097237</v>
      </c>
      <c r="K179" s="6" t="str">
        <f aca="false">IF(ISNUMBER(F179),IF(AND(H179&lt;I179,H179&gt;I179-F179),$K$192,""),"")</f>
        <v/>
      </c>
      <c r="L179" s="6" t="str">
        <f aca="false">IF(ISNUMBER(F179),IF(AND(H179&gt;I179,H179+F179&lt;I179),$L$192,""),"")</f>
        <v/>
      </c>
      <c r="M179" s="6" t="str">
        <f aca="false">IF(AND(ABS(E179)&lt;ABS(H179-I179),ABS(E179)&gt;ABS($F$191)),$M$192,"")</f>
        <v/>
      </c>
    </row>
    <row r="180" customFormat="false" ht="12.75" hidden="false" customHeight="false" outlineLevel="0" collapsed="false">
      <c r="A180" s="6" t="str">
        <f aca="false">'2004'!A55</f>
        <v>Wisconsin</v>
      </c>
      <c r="B180" s="52" t="n">
        <f aca="false">'2000'!C55/1000000</f>
        <v>2.598607</v>
      </c>
      <c r="C180" s="52" t="n">
        <f aca="false">'2004'!C55/1000000</f>
        <v>2.997007</v>
      </c>
      <c r="D180" s="52" t="n">
        <f aca="false">'2008'!C55/1000000</f>
        <v>2.983417</v>
      </c>
      <c r="E180" s="53" t="n">
        <f aca="false">-0.5*(B180+D180)+C180</f>
        <v>0.205995</v>
      </c>
      <c r="F180" s="54" t="str">
        <f aca="false">IF(E180&gt;F$127,E180,"")</f>
        <v/>
      </c>
      <c r="G180" s="54" t="n">
        <f aca="false">IF(E180&lt;=F$127,E180,"")</f>
        <v>0.205995</v>
      </c>
      <c r="H180" s="52" t="n">
        <f aca="false">'2004'!D55/1000000</f>
        <v>1.47812</v>
      </c>
      <c r="I180" s="52" t="n">
        <f aca="false">'2004'!G55/1000000</f>
        <v>1.489504</v>
      </c>
      <c r="J180" s="55" t="n">
        <f aca="false">I180-H180</f>
        <v>0.0113839999999998</v>
      </c>
      <c r="K180" s="6" t="str">
        <f aca="false">IF(ISNUMBER(F180),IF(AND(H180&lt;I180,H180&gt;I180-F180),$K$192,""),"")</f>
        <v/>
      </c>
      <c r="L180" s="6" t="str">
        <f aca="false">IF(ISNUMBER(F180),IF(AND(H180&gt;I180,H180+F180&lt;I180),$L$192,""),"")</f>
        <v/>
      </c>
      <c r="M180" s="6" t="str">
        <f aca="false">IF(AND(ABS(E180)&lt;ABS(H180-I180),ABS(E180)&gt;ABS($F$191)),$M$192,"")</f>
        <v/>
      </c>
    </row>
    <row r="181" customFormat="false" ht="12.75" hidden="false" customHeight="false" outlineLevel="0" collapsed="false">
      <c r="A181" s="6" t="str">
        <f aca="false">'2004'!A56</f>
        <v>Wyoming</v>
      </c>
      <c r="B181" s="52" t="n">
        <f aca="false">'2000'!C56/1000000</f>
        <v>0.218351</v>
      </c>
      <c r="C181" s="52" t="n">
        <f aca="false">'2004'!C56/1000000</f>
        <v>0.243428</v>
      </c>
      <c r="D181" s="52" t="n">
        <f aca="false">'2008'!C56/1000000</f>
        <v>0.256035</v>
      </c>
      <c r="E181" s="53" t="n">
        <f aca="false">-0.5*(B181+D181)+C181</f>
        <v>0.00623500000000002</v>
      </c>
      <c r="F181" s="54" t="str">
        <f aca="false">IF(E181&gt;F$127,E181,"")</f>
        <v/>
      </c>
      <c r="G181" s="54" t="n">
        <f aca="false">IF(E181&lt;=F$127,E181,"")</f>
        <v>0.00623500000000002</v>
      </c>
      <c r="H181" s="52" t="n">
        <f aca="false">'2004'!D56/1000000</f>
        <v>0.167629</v>
      </c>
      <c r="I181" s="52" t="n">
        <f aca="false">'2004'!G56/1000000</f>
        <v>0.070776</v>
      </c>
      <c r="J181" s="55" t="n">
        <f aca="false">I181-H181</f>
        <v>-0.096853</v>
      </c>
      <c r="K181" s="6" t="str">
        <f aca="false">IF(ISNUMBER(F181),IF(AND(H181&lt;I181,H181&gt;I181-F181),$K$192,""),"")</f>
        <v/>
      </c>
      <c r="L181" s="6" t="str">
        <f aca="false">IF(ISNUMBER(F181),IF(AND(H181&gt;I181,H181+F181&lt;I181),$L$192,""),"")</f>
        <v/>
      </c>
      <c r="M181" s="6" t="str">
        <f aca="false">IF(AND(ABS(E181)&lt;ABS(H181-I181),ABS(E181)&gt;ABS($F$191)),$M$192,"")</f>
        <v/>
      </c>
    </row>
    <row r="182" customFormat="false" ht="12.75" hidden="false" customHeight="false" outlineLevel="0" collapsed="false">
      <c r="D182" s="29" t="s">
        <v>95</v>
      </c>
      <c r="E182" s="56" t="n">
        <f aca="false">SUM(E131:E181)</f>
        <v>3.957978</v>
      </c>
      <c r="F182" s="57" t="n">
        <f aca="false">SUM(F131:F181)</f>
        <v>0.860662</v>
      </c>
      <c r="G182" s="57" t="n">
        <f aca="false">AVERAGE(G131:G181)</f>
        <v>0.0632105306122449</v>
      </c>
      <c r="H182" s="57" t="n">
        <f aca="false">SUMIFS(F131:F181,K131:K181,"Novelty")</f>
        <v>0</v>
      </c>
      <c r="K182" s="58" t="n">
        <f aca="false">SUMIFS(F131:F181,K131:K181,$K$192)</f>
        <v>0</v>
      </c>
      <c r="L182" s="59" t="n">
        <f aca="false">SUMIFS(F131:F181,L131:L181,$L$192)</f>
        <v>0.860662</v>
      </c>
      <c r="M182" s="60" t="n">
        <f aca="false">SUMIFS(F131:F181,M131:M181,$M$192)</f>
        <v>0</v>
      </c>
    </row>
    <row r="183" customFormat="false" ht="12.75" hidden="false" customHeight="false" outlineLevel="0" collapsed="false">
      <c r="D183" s="29" t="s">
        <v>96</v>
      </c>
      <c r="E183" s="58" t="n">
        <f aca="false">J183/F182</f>
        <v>1</v>
      </c>
      <c r="F183" s="57"/>
      <c r="G183" s="57" t="n">
        <f aca="false">STDEV(G131:G181)</f>
        <v>0.074954149204378</v>
      </c>
      <c r="J183" s="57" t="n">
        <f aca="false">K182+L182</f>
        <v>0.860662</v>
      </c>
    </row>
    <row r="184" customFormat="false" ht="12.75" hidden="false" customHeight="false" outlineLevel="0" collapsed="false">
      <c r="D184" s="29"/>
      <c r="E184" s="29" t="s">
        <v>97</v>
      </c>
      <c r="F184" s="61" t="n">
        <f aca="false">ABS(MAX(F131:F181)-G182)/G183</f>
        <v>4.93198139544973</v>
      </c>
      <c r="G184" s="62" t="n">
        <f aca="false">1-_xlfn.NORM.S.DIST(F184,1)</f>
        <v>4.06998356683452E-007</v>
      </c>
      <c r="H184" s="1" t="s">
        <v>98</v>
      </c>
      <c r="J184" s="57"/>
    </row>
    <row r="185" customFormat="false" ht="12.75" hidden="false" customHeight="false" outlineLevel="0" collapsed="false">
      <c r="D185" s="29"/>
      <c r="E185" s="29" t="s">
        <v>99</v>
      </c>
      <c r="F185" s="61" t="n">
        <f aca="false">ABS(F127-G182)/G183</f>
        <v>3.15912423663298</v>
      </c>
      <c r="G185" s="63" t="n">
        <f aca="false">_xlfn.NORM.S.DIST(F185,1)</f>
        <v>0.999208779913898</v>
      </c>
      <c r="H185" s="1" t="s">
        <v>100</v>
      </c>
      <c r="J185" s="57"/>
    </row>
    <row r="186" customFormat="false" ht="12.75" hidden="false" customHeight="true" outlineLevel="0" collapsed="false">
      <c r="A186" s="39" t="s">
        <v>101</v>
      </c>
      <c r="B186" s="39"/>
      <c r="C186" s="39"/>
      <c r="D186" s="39"/>
      <c r="E186" s="39"/>
      <c r="F186" s="39"/>
      <c r="G186" s="39"/>
      <c r="H186" s="39"/>
      <c r="I186" s="39"/>
      <c r="J186" s="39"/>
      <c r="K186" s="39"/>
      <c r="L186" s="39"/>
    </row>
    <row r="187" customFormat="false" ht="12.75" hidden="false" customHeight="true" outlineLevel="0" collapsed="false">
      <c r="A187" s="39"/>
      <c r="B187" s="39"/>
      <c r="C187" s="39"/>
      <c r="D187" s="39"/>
      <c r="E187" s="39"/>
      <c r="F187" s="39"/>
      <c r="G187" s="39"/>
      <c r="H187" s="39"/>
      <c r="I187" s="39"/>
      <c r="J187" s="39"/>
      <c r="K187" s="39"/>
      <c r="L187" s="39"/>
    </row>
    <row r="188" customFormat="false" ht="12.75" hidden="false" customHeight="true" outlineLevel="0" collapsed="false">
      <c r="A188" s="39" t="s">
        <v>102</v>
      </c>
      <c r="B188" s="39"/>
      <c r="C188" s="39"/>
      <c r="D188" s="39"/>
      <c r="E188" s="39"/>
      <c r="F188" s="39"/>
      <c r="G188" s="39"/>
      <c r="H188" s="39"/>
      <c r="I188" s="39"/>
      <c r="J188" s="39"/>
      <c r="K188" s="39"/>
      <c r="L188" s="39"/>
    </row>
    <row r="189" customFormat="false" ht="12.75" hidden="false" customHeight="false" outlineLevel="0" collapsed="false">
      <c r="A189" s="64"/>
      <c r="B189" s="39"/>
      <c r="C189" s="39"/>
      <c r="D189" s="39"/>
      <c r="E189" s="39"/>
      <c r="F189" s="39"/>
      <c r="G189" s="39"/>
      <c r="H189" s="39"/>
      <c r="I189" s="39"/>
      <c r="J189" s="39"/>
      <c r="K189" s="39"/>
      <c r="L189" s="39"/>
    </row>
    <row r="190" customFormat="false" ht="15.75" hidden="false" customHeight="false" outlineLevel="0" collapsed="false">
      <c r="A190" s="5" t="s">
        <v>103</v>
      </c>
    </row>
    <row r="191" customFormat="false" ht="12.75" hidden="false" customHeight="false" outlineLevel="0" collapsed="false">
      <c r="A191" s="43" t="s">
        <v>80</v>
      </c>
      <c r="B191" s="43"/>
      <c r="C191" s="43"/>
      <c r="D191" s="43"/>
      <c r="E191" s="43"/>
      <c r="F191" s="42" t="n">
        <v>0.3</v>
      </c>
      <c r="K191" s="44" t="s">
        <v>81</v>
      </c>
      <c r="L191" s="44"/>
      <c r="M191" s="44"/>
    </row>
    <row r="192" customFormat="false" ht="15" hidden="false" customHeight="true" outlineLevel="0" collapsed="false">
      <c r="B192" s="45"/>
      <c r="J192" s="29" t="s">
        <v>82</v>
      </c>
      <c r="K192" s="46" t="str">
        <f aca="false">$A$122</f>
        <v>novelty</v>
      </c>
      <c r="L192" s="46" t="str">
        <f aca="false">$A$123</f>
        <v>anti-novelty</v>
      </c>
      <c r="M192" s="46" t="str">
        <f aca="false">$A$124</f>
        <v>diffuse</v>
      </c>
    </row>
    <row r="193" customFormat="false" ht="12.75" hidden="false" customHeight="true" outlineLevel="0" collapsed="false">
      <c r="A193" s="65"/>
      <c r="B193" s="48" t="s">
        <v>83</v>
      </c>
      <c r="C193" s="48"/>
      <c r="D193" s="48"/>
      <c r="E193" s="49" t="s">
        <v>104</v>
      </c>
      <c r="F193" s="49"/>
      <c r="G193" s="49"/>
      <c r="H193" s="48" t="n">
        <v>2020</v>
      </c>
      <c r="I193" s="48"/>
      <c r="J193" s="48"/>
      <c r="K193" s="11" t="s">
        <v>85</v>
      </c>
      <c r="L193" s="11" t="s">
        <v>86</v>
      </c>
      <c r="M193" s="11" t="s">
        <v>87</v>
      </c>
      <c r="N193" s="65"/>
    </row>
    <row r="194" customFormat="false" ht="12.75" hidden="false" customHeight="false" outlineLevel="0" collapsed="false">
      <c r="A194" s="50" t="s">
        <v>88</v>
      </c>
      <c r="B194" s="51" t="n">
        <v>2016</v>
      </c>
      <c r="C194" s="50" t="n">
        <v>2020</v>
      </c>
      <c r="D194" s="51" t="n">
        <v>2024</v>
      </c>
      <c r="E194" s="50" t="s">
        <v>89</v>
      </c>
      <c r="F194" s="51" t="s">
        <v>90</v>
      </c>
      <c r="G194" s="50" t="s">
        <v>91</v>
      </c>
      <c r="H194" s="51" t="s">
        <v>92</v>
      </c>
      <c r="I194" s="50" t="s">
        <v>93</v>
      </c>
      <c r="J194" s="51" t="s">
        <v>94</v>
      </c>
      <c r="K194" s="11"/>
      <c r="L194" s="11"/>
      <c r="M194" s="11"/>
      <c r="N194" s="50" t="s">
        <v>88</v>
      </c>
    </row>
    <row r="195" customFormat="false" ht="12.75" hidden="false" customHeight="false" outlineLevel="0" collapsed="false">
      <c r="A195" s="6" t="str">
        <f aca="false">'2020'!A6</f>
        <v>Alabama</v>
      </c>
      <c r="B195" s="52" t="n">
        <f aca="false">'2016'!C6/1000000</f>
        <v>2.123372</v>
      </c>
      <c r="C195" s="52" t="n">
        <f aca="false">'2020'!C6/1000000</f>
        <v>2.323282</v>
      </c>
      <c r="D195" s="54" t="n">
        <f aca="false">'2024'!C6/1000000</f>
        <v>2.257052</v>
      </c>
      <c r="E195" s="53" t="n">
        <f aca="false">-0.5*(B195+D195)+C195</f>
        <v>0.13307</v>
      </c>
      <c r="F195" s="54" t="str">
        <f aca="false">IF(E195&gt;F$191,E195,"")</f>
        <v/>
      </c>
      <c r="G195" s="54" t="n">
        <f aca="false">IF(E195&lt;=F$191,E195,"")</f>
        <v>0.13307</v>
      </c>
      <c r="H195" s="52" t="n">
        <f aca="false">'2020'!D6/1000000</f>
        <v>1.44117</v>
      </c>
      <c r="I195" s="52" t="n">
        <f aca="false">'2020'!G6/1000000</f>
        <v>0.849624</v>
      </c>
      <c r="J195" s="55" t="n">
        <f aca="false">I195-H195</f>
        <v>-0.591546</v>
      </c>
      <c r="K195" s="6" t="str">
        <f aca="false">IF(ISNUMBER(F195),IF(AND(H195&lt;I195,H195&gt;I195-F195),$K$192,""),"")</f>
        <v/>
      </c>
      <c r="L195" s="6" t="str">
        <f aca="false">IF(ISNUMBER(F195),IF(AND(H195&gt;I195,H195-F195&lt;I195),$L$192,""),"")</f>
        <v/>
      </c>
      <c r="M195" s="6" t="str">
        <f aca="false">IF(AND(ABS(E195)&lt;ABS(H195-I195),ABS(E195)&gt;ABS($F$191)),$M$192,"")</f>
        <v/>
      </c>
      <c r="N195" s="18" t="str">
        <f aca="false">A195</f>
        <v>Alabama</v>
      </c>
    </row>
    <row r="196" customFormat="false" ht="12.75" hidden="false" customHeight="false" outlineLevel="0" collapsed="false">
      <c r="A196" s="6" t="str">
        <f aca="false">'2020'!A7</f>
        <v>Alaska</v>
      </c>
      <c r="B196" s="52" t="n">
        <f aca="false">'2016'!C7/1000000</f>
        <v>0.318608</v>
      </c>
      <c r="C196" s="52" t="n">
        <f aca="false">'2020'!C7/1000000</f>
        <v>0.35953</v>
      </c>
      <c r="D196" s="54" t="n">
        <f aca="false">'2024'!C7/1000000</f>
        <v>0.302024</v>
      </c>
      <c r="E196" s="53" t="n">
        <f aca="false">-0.5*(B196+D196)+C196</f>
        <v>0.049214</v>
      </c>
      <c r="F196" s="54" t="str">
        <f aca="false">IF(E196&gt;F$191,E196,"")</f>
        <v/>
      </c>
      <c r="G196" s="54" t="n">
        <f aca="false">IF(E196&lt;=F$191,E196,"")</f>
        <v>0.049214</v>
      </c>
      <c r="H196" s="52" t="n">
        <f aca="false">'2020'!D7/1000000</f>
        <v>0.189951</v>
      </c>
      <c r="I196" s="52" t="n">
        <f aca="false">'2020'!G7/1000000</f>
        <v>0.153778</v>
      </c>
      <c r="J196" s="55" t="n">
        <f aca="false">I196-H196</f>
        <v>-0.036173</v>
      </c>
      <c r="K196" s="6" t="str">
        <f aca="false">IF(ISNUMBER(F196),IF(AND(H196&lt;I196,H196&gt;I196-F196),$K$192,""),"")</f>
        <v/>
      </c>
      <c r="L196" s="6" t="str">
        <f aca="false">IF(ISNUMBER(F196),IF(AND(H196&gt;I196,H196-F196&lt;I196),$L$192,""),"")</f>
        <v/>
      </c>
      <c r="M196" s="6" t="str">
        <f aca="false">IF(AND(ABS(E196)&lt;ABS(H196-I196),ABS(E196)&gt;ABS($F$191)),$M$192,"")</f>
        <v/>
      </c>
      <c r="N196" s="18" t="str">
        <f aca="false">A196</f>
        <v>Alaska</v>
      </c>
    </row>
    <row r="197" customFormat="false" ht="12.75" hidden="false" customHeight="false" outlineLevel="0" collapsed="false">
      <c r="A197" s="6" t="str">
        <f aca="false">'2020'!A8</f>
        <v>Arizona</v>
      </c>
      <c r="B197" s="52" t="n">
        <f aca="false">'2016'!C8/1000000</f>
        <v>2.573165</v>
      </c>
      <c r="C197" s="52" t="n">
        <f aca="false">'2020'!C8/1000000</f>
        <v>3.387326</v>
      </c>
      <c r="D197" s="54" t="n">
        <f aca="false">'2024'!C8/1000000</f>
        <v>3.378651</v>
      </c>
      <c r="E197" s="53" t="n">
        <f aca="false">-0.5*(B197+D197)+C197</f>
        <v>0.411418</v>
      </c>
      <c r="F197" s="54" t="n">
        <f aca="false">IF(E197&gt;F$191,E197,"")</f>
        <v>0.411418</v>
      </c>
      <c r="G197" s="54" t="str">
        <f aca="false">IF(E197&lt;=F$191,E197,"")</f>
        <v/>
      </c>
      <c r="H197" s="52" t="n">
        <f aca="false">'2020'!D8/1000000</f>
        <v>1.661686</v>
      </c>
      <c r="I197" s="52" t="n">
        <f aca="false">'2020'!G8/1000000</f>
        <v>1.672143</v>
      </c>
      <c r="J197" s="55" t="n">
        <f aca="false">I197-H197</f>
        <v>0.0104569999999999</v>
      </c>
      <c r="K197" s="6" t="str">
        <f aca="false">IF(ISNUMBER(F197),IF(AND(H197&lt;I197,H197&gt;I197-F197),$K$192,""),"")</f>
        <v>novelty</v>
      </c>
      <c r="L197" s="6" t="str">
        <f aca="false">IF(ISNUMBER(F197),IF(AND(H197&gt;I197,H197-F197&lt;I197),$L$192,""),"")</f>
        <v/>
      </c>
      <c r="M197" s="6" t="str">
        <f aca="false">IF(AND(ABS(E197)&lt;ABS(H197-I197),ABS(E197)&gt;ABS($F$191)),$M$192,"")</f>
        <v/>
      </c>
      <c r="N197" s="18" t="str">
        <f aca="false">A197</f>
        <v>Arizona</v>
      </c>
    </row>
    <row r="198" customFormat="false" ht="12.75" hidden="false" customHeight="false" outlineLevel="0" collapsed="false">
      <c r="A198" s="6" t="str">
        <f aca="false">'2020'!A9</f>
        <v>Arkansas</v>
      </c>
      <c r="B198" s="52" t="n">
        <f aca="false">'2016'!C9/1000000</f>
        <v>1.130635</v>
      </c>
      <c r="C198" s="52" t="n">
        <f aca="false">'2020'!C9/1000000</f>
        <v>1.219069</v>
      </c>
      <c r="D198" s="54" t="n">
        <f aca="false">'2024'!C9/1000000</f>
        <v>1.180847</v>
      </c>
      <c r="E198" s="53" t="n">
        <f aca="false">-0.5*(B198+D198)+C198</f>
        <v>0.0633280000000001</v>
      </c>
      <c r="F198" s="54" t="str">
        <f aca="false">IF(E198&gt;F$191,E198,"")</f>
        <v/>
      </c>
      <c r="G198" s="54" t="n">
        <f aca="false">IF(E198&lt;=F$191,E198,"")</f>
        <v>0.0633280000000001</v>
      </c>
      <c r="H198" s="52" t="n">
        <f aca="false">'2020'!D9/1000000</f>
        <v>0.760647</v>
      </c>
      <c r="I198" s="52" t="n">
        <f aca="false">'2020'!G9/1000000</f>
        <v>0.423932</v>
      </c>
      <c r="J198" s="55" t="n">
        <f aca="false">I198-H198</f>
        <v>-0.336715</v>
      </c>
      <c r="K198" s="6" t="str">
        <f aca="false">IF(ISNUMBER(F198),IF(AND(H198&lt;I198,H198&gt;I198-F198),$K$192,""),"")</f>
        <v/>
      </c>
      <c r="L198" s="6" t="str">
        <f aca="false">IF(ISNUMBER(F198),IF(AND(H198&gt;I198,H198-F198&lt;I198),$L$192,""),"")</f>
        <v/>
      </c>
      <c r="M198" s="6" t="str">
        <f aca="false">IF(AND(ABS(E198)&lt;ABS(H198-I198),ABS(E198)&gt;ABS($F$191)),$M$192,"")</f>
        <v/>
      </c>
      <c r="N198" s="18" t="str">
        <f aca="false">A198</f>
        <v>Arkansas</v>
      </c>
    </row>
    <row r="199" customFormat="false" ht="12.75" hidden="false" customHeight="false" outlineLevel="0" collapsed="false">
      <c r="A199" s="6" t="str">
        <f aca="false">'2020'!A10</f>
        <v>California</v>
      </c>
      <c r="B199" s="52" t="n">
        <f aca="false">'2016'!C10/1000000</f>
        <v>14.181595</v>
      </c>
      <c r="C199" s="52" t="n">
        <f aca="false">'2020'!C10/1000000</f>
        <v>17.500881</v>
      </c>
      <c r="D199" s="54" t="n">
        <f aca="false">'2024'!C10/1000000</f>
        <v>15.063546</v>
      </c>
      <c r="E199" s="53" t="n">
        <f aca="false">-0.5*(B199+D199)+C199</f>
        <v>2.8783105</v>
      </c>
      <c r="F199" s="54" t="n">
        <f aca="false">IF(E199&gt;F$191,E199,"")</f>
        <v>2.8783105</v>
      </c>
      <c r="G199" s="54" t="str">
        <f aca="false">IF(E199&lt;=F$191,E199,"")</f>
        <v/>
      </c>
      <c r="H199" s="52" t="n">
        <f aca="false">'2020'!D10/1000000</f>
        <v>6.006429</v>
      </c>
      <c r="I199" s="52" t="n">
        <f aca="false">'2020'!G10/1000000</f>
        <v>11.11025</v>
      </c>
      <c r="J199" s="55" t="n">
        <f aca="false">I199-H199</f>
        <v>5.103821</v>
      </c>
      <c r="K199" s="6" t="str">
        <f aca="false">IF(ISNUMBER(F199),IF(AND(H199&lt;I199,H199&gt;I199-F199),$K$192,""),"")</f>
        <v/>
      </c>
      <c r="L199" s="6" t="str">
        <f aca="false">IF(ISNUMBER(F199),IF(AND(H199&gt;I199,H199-F199&lt;I199),$L$192,""),"")</f>
        <v/>
      </c>
      <c r="M199" s="6" t="str">
        <f aca="false">IF(AND(ABS(E199)&lt;ABS(H199-I199),ABS(E199)&gt;ABS($F$191)),$M$192,"")</f>
        <v>diffuse</v>
      </c>
      <c r="N199" s="18" t="str">
        <f aca="false">A199</f>
        <v>California</v>
      </c>
    </row>
    <row r="200" customFormat="false" ht="12.75" hidden="false" customHeight="false" outlineLevel="0" collapsed="false">
      <c r="A200" s="6" t="str">
        <f aca="false">'2020'!A11</f>
        <v>Colorado</v>
      </c>
      <c r="B200" s="52" t="n">
        <f aca="false">'2016'!C11/1000000</f>
        <v>2.78022</v>
      </c>
      <c r="C200" s="52" t="n">
        <f aca="false">'2020'!C11/1000000</f>
        <v>3.256952</v>
      </c>
      <c r="D200" s="54" t="n">
        <f aca="false">'2024'!C11/1000000</f>
        <v>3.189512</v>
      </c>
      <c r="E200" s="53" t="n">
        <f aca="false">-0.5*(B200+D200)+C200</f>
        <v>0.272086</v>
      </c>
      <c r="F200" s="54" t="str">
        <f aca="false">IF(E200&gt;F$191,E200,"")</f>
        <v/>
      </c>
      <c r="G200" s="54" t="n">
        <f aca="false">IF(E200&lt;=F$191,E200,"")</f>
        <v>0.272086</v>
      </c>
      <c r="H200" s="52" t="n">
        <f aca="false">'2020'!D11/1000000</f>
        <v>1.364607</v>
      </c>
      <c r="I200" s="52" t="n">
        <f aca="false">'2020'!G11/1000000</f>
        <v>1.804352</v>
      </c>
      <c r="J200" s="55" t="n">
        <f aca="false">I200-H200</f>
        <v>0.439745</v>
      </c>
      <c r="K200" s="6" t="str">
        <f aca="false">IF(ISNUMBER(F200),IF(AND(H200&lt;I200,H200&gt;I200-F200),$K$192,""),"")</f>
        <v/>
      </c>
      <c r="L200" s="6" t="str">
        <f aca="false">IF(ISNUMBER(F200),IF(AND(H200&gt;I200,H200-F200&lt;I200),$L$192,""),"")</f>
        <v/>
      </c>
      <c r="M200" s="6" t="str">
        <f aca="false">IF(AND(ABS(E200)&lt;ABS(H200-I200),ABS(E200)&gt;ABS($F$191)),$M$192,"")</f>
        <v/>
      </c>
      <c r="N200" s="18" t="str">
        <f aca="false">A200</f>
        <v>Colorado</v>
      </c>
    </row>
    <row r="201" customFormat="false" ht="12.75" hidden="false" customHeight="false" outlineLevel="0" collapsed="false">
      <c r="A201" s="6" t="str">
        <f aca="false">'2020'!A12</f>
        <v>Connecticut</v>
      </c>
      <c r="B201" s="52" t="n">
        <f aca="false">'2016'!C12/1000000</f>
        <v>1.64492</v>
      </c>
      <c r="C201" s="52" t="n">
        <f aca="false">'2020'!C12/1000000</f>
        <v>1.82428</v>
      </c>
      <c r="D201" s="54" t="n">
        <f aca="false">'2024'!C12/1000000</f>
        <v>1.758106</v>
      </c>
      <c r="E201" s="53" t="n">
        <f aca="false">-0.5*(B201+D201)+C201</f>
        <v>0.122767</v>
      </c>
      <c r="F201" s="54" t="str">
        <f aca="false">IF(E201&gt;F$191,E201,"")</f>
        <v/>
      </c>
      <c r="G201" s="54" t="n">
        <f aca="false">IF(E201&lt;=F$191,E201,"")</f>
        <v>0.122767</v>
      </c>
      <c r="H201" s="52" t="n">
        <f aca="false">'2020'!D12/1000000</f>
        <v>0.715291</v>
      </c>
      <c r="I201" s="52" t="n">
        <f aca="false">'2020'!G12/1000000</f>
        <v>1.08068</v>
      </c>
      <c r="J201" s="55" t="n">
        <f aca="false">I201-H201</f>
        <v>0.365389</v>
      </c>
      <c r="K201" s="6" t="str">
        <f aca="false">IF(ISNUMBER(F201),IF(AND(H201&lt;I201,H201&gt;I201-F201),$K$192,""),"")</f>
        <v/>
      </c>
      <c r="L201" s="6" t="str">
        <f aca="false">IF(ISNUMBER(F201),IF(AND(H201&gt;I201,H201-F201&lt;I201),$L$192,""),"")</f>
        <v/>
      </c>
      <c r="M201" s="6" t="str">
        <f aca="false">IF(AND(ABS(E201)&lt;ABS(H201-I201),ABS(E201)&gt;ABS($F$191)),$M$192,"")</f>
        <v/>
      </c>
      <c r="N201" s="18" t="str">
        <f aca="false">A201</f>
        <v>Connecticut</v>
      </c>
    </row>
    <row r="202" customFormat="false" ht="12.75" hidden="false" customHeight="false" outlineLevel="0" collapsed="false">
      <c r="A202" s="6" t="str">
        <f aca="false">'2020'!A13</f>
        <v>Delaware</v>
      </c>
      <c r="B202" s="52" t="n">
        <f aca="false">'2016'!C13/1000000</f>
        <v>0.44159</v>
      </c>
      <c r="C202" s="52" t="n">
        <f aca="false">'2020'!C13/1000000</f>
        <v>0.50401</v>
      </c>
      <c r="D202" s="54" t="n">
        <f aca="false">'2024'!C13/1000000</f>
        <v>0.512912</v>
      </c>
      <c r="E202" s="53" t="n">
        <f aca="false">-0.5*(B202+D202)+C202</f>
        <v>0.026759</v>
      </c>
      <c r="F202" s="54" t="str">
        <f aca="false">IF(E202&gt;F$191,E202,"")</f>
        <v/>
      </c>
      <c r="G202" s="54" t="n">
        <f aca="false">IF(E202&lt;=F$191,E202,"")</f>
        <v>0.026759</v>
      </c>
      <c r="H202" s="52" t="n">
        <f aca="false">'2020'!D13/1000000</f>
        <v>0.200603</v>
      </c>
      <c r="I202" s="52" t="n">
        <f aca="false">'2020'!G13/1000000</f>
        <v>0.296268</v>
      </c>
      <c r="J202" s="55" t="n">
        <f aca="false">I202-H202</f>
        <v>0.095665</v>
      </c>
      <c r="K202" s="6" t="str">
        <f aca="false">IF(ISNUMBER(F202),IF(AND(H202&lt;I202,H202&gt;I202-F202),$K$192,""),"")</f>
        <v/>
      </c>
      <c r="L202" s="6" t="str">
        <f aca="false">IF(ISNUMBER(F202),IF(AND(H202&gt;I202,H202-F202&lt;I202),$L$192,""),"")</f>
        <v/>
      </c>
      <c r="M202" s="6" t="str">
        <f aca="false">IF(AND(ABS(E202)&lt;ABS(H202-I202),ABS(E202)&gt;ABS($F$191)),$M$192,"")</f>
        <v/>
      </c>
      <c r="N202" s="18" t="str">
        <f aca="false">A202</f>
        <v>Delaware</v>
      </c>
    </row>
    <row r="203" customFormat="false" ht="12.75" hidden="false" customHeight="false" outlineLevel="0" collapsed="false">
      <c r="A203" s="6" t="str">
        <f aca="false">'2020'!A14</f>
        <v>Dist. of Col.</v>
      </c>
      <c r="B203" s="52" t="n">
        <f aca="false">'2016'!C14/1000000</f>
        <v>0.311268</v>
      </c>
      <c r="C203" s="52" t="n">
        <f aca="false">'2020'!C14/1000000</f>
        <v>0.344356</v>
      </c>
      <c r="D203" s="54" t="n">
        <f aca="false">'2024'!C14/1000000</f>
        <v>0.317792</v>
      </c>
      <c r="E203" s="53" t="n">
        <f aca="false">-0.5*(B203+D203)+C203</f>
        <v>0.029826</v>
      </c>
      <c r="F203" s="54" t="str">
        <f aca="false">IF(E203&gt;F$191,E203,"")</f>
        <v/>
      </c>
      <c r="G203" s="54" t="n">
        <f aca="false">IF(E203&lt;=F$191,E203,"")</f>
        <v>0.029826</v>
      </c>
      <c r="H203" s="52" t="n">
        <f aca="false">'2020'!D14/1000000</f>
        <v>0.018586</v>
      </c>
      <c r="I203" s="52" t="n">
        <f aca="false">'2020'!G14/1000000</f>
        <v>0.317323</v>
      </c>
      <c r="J203" s="55" t="n">
        <f aca="false">I203-H203</f>
        <v>0.298737</v>
      </c>
      <c r="K203" s="6" t="str">
        <f aca="false">IF(ISNUMBER(F203),IF(AND(H203&lt;I203,H203&gt;I203-F203),$K$192,""),"")</f>
        <v/>
      </c>
      <c r="L203" s="6" t="str">
        <f aca="false">IF(ISNUMBER(F203),IF(AND(H203&gt;I203,H203-F203&lt;I203),$L$192,""),"")</f>
        <v/>
      </c>
      <c r="M203" s="6" t="str">
        <f aca="false">IF(AND(ABS(E203)&lt;ABS(H203-I203),ABS(E203)&gt;ABS($F$191)),$M$192,"")</f>
        <v/>
      </c>
      <c r="N203" s="18" t="str">
        <f aca="false">A203</f>
        <v>Dist. of Col.</v>
      </c>
    </row>
    <row r="204" customFormat="false" ht="12.75" hidden="false" customHeight="false" outlineLevel="0" collapsed="false">
      <c r="A204" s="6" t="str">
        <f aca="false">'2020'!A15</f>
        <v>Florida</v>
      </c>
      <c r="B204" s="52" t="n">
        <f aca="false">'2016'!C15/1000000</f>
        <v>9.420039</v>
      </c>
      <c r="C204" s="52" t="n">
        <f aca="false">'2020'!C15/1000000</f>
        <v>11.067456</v>
      </c>
      <c r="D204" s="54" t="n">
        <f aca="false">'2024'!C15/1000000</f>
        <v>10.932633</v>
      </c>
      <c r="E204" s="53" t="n">
        <f aca="false">-0.5*(B204+D204)+C204</f>
        <v>0.891120000000001</v>
      </c>
      <c r="F204" s="54" t="n">
        <f aca="false">IF(E204&gt;F$191,E204,"")</f>
        <v>0.891120000000001</v>
      </c>
      <c r="G204" s="54" t="str">
        <f aca="false">IF(E204&lt;=F$191,E204,"")</f>
        <v/>
      </c>
      <c r="H204" s="52" t="n">
        <f aca="false">'2020'!D15/1000000</f>
        <v>5.668731</v>
      </c>
      <c r="I204" s="52" t="n">
        <f aca="false">'2020'!G15/1000000</f>
        <v>5.297045</v>
      </c>
      <c r="J204" s="55" t="n">
        <f aca="false">I204-H204</f>
        <v>-0.371686</v>
      </c>
      <c r="K204" s="6" t="str">
        <f aca="false">IF(ISNUMBER(F204),IF(AND(H204&lt;I204,H204&gt;I204-F204),$K$192,""),"")</f>
        <v/>
      </c>
      <c r="L204" s="6" t="str">
        <f aca="false">IF(ISNUMBER(F204),IF(AND(H204&gt;I204,H204-F204&lt;I204),$L$192,""),"")</f>
        <v>anti-novelty</v>
      </c>
      <c r="M204" s="6" t="str">
        <f aca="false">IF(AND(ABS(E204)&lt;ABS(H204-I204),ABS(E204)&gt;ABS($F$191)),$M$192,"")</f>
        <v/>
      </c>
      <c r="N204" s="18" t="str">
        <f aca="false">A204</f>
        <v>Florida</v>
      </c>
    </row>
    <row r="205" customFormat="false" ht="12.75" hidden="false" customHeight="false" outlineLevel="0" collapsed="false">
      <c r="A205" s="6" t="str">
        <f aca="false">'2020'!A16</f>
        <v>Georgia</v>
      </c>
      <c r="B205" s="52" t="n">
        <f aca="false">'2016'!C16/1000000</f>
        <v>4.092373</v>
      </c>
      <c r="C205" s="52" t="n">
        <f aca="false">'2020'!C16/1000000</f>
        <v>4.997716</v>
      </c>
      <c r="D205" s="54" t="n">
        <f aca="false">'2024'!C16/1000000</f>
        <v>5.250041</v>
      </c>
      <c r="E205" s="53" t="n">
        <f aca="false">-0.5*(B205+D205)+C205</f>
        <v>0.326508999999999</v>
      </c>
      <c r="F205" s="54" t="n">
        <f aca="false">IF(E205&gt;F$191,E205,"")</f>
        <v>0.326508999999999</v>
      </c>
      <c r="G205" s="54" t="str">
        <f aca="false">IF(E205&lt;=F$191,E205,"")</f>
        <v/>
      </c>
      <c r="H205" s="52" t="n">
        <f aca="false">'2020'!D16/1000000</f>
        <v>2.461854</v>
      </c>
      <c r="I205" s="52" t="n">
        <f aca="false">'2020'!G16/1000000</f>
        <v>2.473633</v>
      </c>
      <c r="J205" s="55" t="n">
        <f aca="false">I205-H205</f>
        <v>0.0117789999999998</v>
      </c>
      <c r="K205" s="6" t="str">
        <f aca="false">IF(ISNUMBER(F205),IF(AND(H205&lt;I205,H205&gt;I205-F205),$K$192,""),"")</f>
        <v>novelty</v>
      </c>
      <c r="L205" s="6" t="str">
        <f aca="false">IF(ISNUMBER(F205),IF(AND(H205&gt;I205,H205-F205&lt;I205),$L$192,""),"")</f>
        <v/>
      </c>
      <c r="M205" s="6" t="str">
        <f aca="false">IF(AND(ABS(E205)&lt;ABS(H205-I205),ABS(E205)&gt;ABS($F$191)),$M$192,"")</f>
        <v/>
      </c>
      <c r="N205" s="18" t="str">
        <f aca="false">A205</f>
        <v>Georgia</v>
      </c>
    </row>
    <row r="206" customFormat="false" ht="12.75" hidden="false" customHeight="false" outlineLevel="0" collapsed="false">
      <c r="A206" s="6" t="str">
        <f aca="false">'2020'!A17</f>
        <v>Hawaii</v>
      </c>
      <c r="B206" s="52" t="n">
        <f aca="false">'2016'!C17/1000000</f>
        <v>0.428937</v>
      </c>
      <c r="C206" s="52" t="n">
        <f aca="false">'2020'!C17/1000000</f>
        <v>0.574469</v>
      </c>
      <c r="D206" s="54" t="n">
        <f aca="false">'2024'!C17/1000000</f>
        <v>0.516701</v>
      </c>
      <c r="E206" s="53" t="n">
        <f aca="false">-0.5*(B206+D206)+C206</f>
        <v>0.10165</v>
      </c>
      <c r="F206" s="54" t="str">
        <f aca="false">IF(E206&gt;F$191,E206,"")</f>
        <v/>
      </c>
      <c r="G206" s="54" t="n">
        <f aca="false">IF(E206&lt;=F$191,E206,"")</f>
        <v>0.10165</v>
      </c>
      <c r="H206" s="52" t="n">
        <f aca="false">'2020'!D17/1000000</f>
        <v>0.196864</v>
      </c>
      <c r="I206" s="52" t="n">
        <f aca="false">'2020'!G17/1000000</f>
        <v>0.36613</v>
      </c>
      <c r="J206" s="55" t="n">
        <f aca="false">I206-H206</f>
        <v>0.169266</v>
      </c>
      <c r="K206" s="6" t="str">
        <f aca="false">IF(ISNUMBER(F206),IF(AND(H206&lt;I206,H206&gt;I206-F206),$K$192,""),"")</f>
        <v/>
      </c>
      <c r="L206" s="6" t="str">
        <f aca="false">IF(ISNUMBER(F206),IF(AND(H206&gt;I206,H206-F206&lt;I206),$L$192,""),"")</f>
        <v/>
      </c>
      <c r="M206" s="6" t="str">
        <f aca="false">IF(AND(ABS(E206)&lt;ABS(H206-I206),ABS(E206)&gt;ABS($F$191)),$M$192,"")</f>
        <v/>
      </c>
      <c r="N206" s="18" t="str">
        <f aca="false">A206</f>
        <v>Hawaii</v>
      </c>
    </row>
    <row r="207" customFormat="false" ht="12.75" hidden="false" customHeight="false" outlineLevel="0" collapsed="false">
      <c r="A207" s="6" t="str">
        <f aca="false">'2020'!A18</f>
        <v>Idaho</v>
      </c>
      <c r="B207" s="52" t="n">
        <f aca="false">'2016'!C18/1000000</f>
        <v>0.690255</v>
      </c>
      <c r="C207" s="52" t="n">
        <f aca="false">'2020'!C18/1000000</f>
        <v>0.868014</v>
      </c>
      <c r="D207" s="54" t="n">
        <f aca="false">'2024'!C18/1000000</f>
        <v>0.904964</v>
      </c>
      <c r="E207" s="53" t="n">
        <f aca="false">-0.5*(B207+D207)+C207</f>
        <v>0.0704045</v>
      </c>
      <c r="F207" s="54" t="str">
        <f aca="false">IF(E207&gt;F$191,E207,"")</f>
        <v/>
      </c>
      <c r="G207" s="54" t="n">
        <f aca="false">IF(E207&lt;=F$191,E207,"")</f>
        <v>0.0704045</v>
      </c>
      <c r="H207" s="52" t="n">
        <f aca="false">'2020'!D18/1000000</f>
        <v>0.554119</v>
      </c>
      <c r="I207" s="52" t="n">
        <f aca="false">'2020'!G18/1000000</f>
        <v>0.287021</v>
      </c>
      <c r="J207" s="55" t="n">
        <f aca="false">I207-H207</f>
        <v>-0.267098</v>
      </c>
      <c r="K207" s="6" t="str">
        <f aca="false">IF(ISNUMBER(F207),IF(AND(H207&lt;I207,H207&gt;I207-F207),$K$192,""),"")</f>
        <v/>
      </c>
      <c r="L207" s="6" t="str">
        <f aca="false">IF(ISNUMBER(F207),IF(AND(H207&gt;I207,H207-F207&lt;I207),$L$192,""),"")</f>
        <v/>
      </c>
      <c r="M207" s="6" t="str">
        <f aca="false">IF(AND(ABS(E207)&lt;ABS(H207-I207),ABS(E207)&gt;ABS($F$191)),$M$192,"")</f>
        <v/>
      </c>
      <c r="N207" s="18" t="str">
        <f aca="false">A207</f>
        <v>Idaho</v>
      </c>
    </row>
    <row r="208" customFormat="false" ht="12.75" hidden="false" customHeight="false" outlineLevel="0" collapsed="false">
      <c r="A208" s="6" t="str">
        <f aca="false">'2020'!A19</f>
        <v>Illinois</v>
      </c>
      <c r="B208" s="52" t="n">
        <f aca="false">'2016'!C19/1000000</f>
        <v>5.536424</v>
      </c>
      <c r="C208" s="52" t="n">
        <f aca="false">'2020'!C19/1000000</f>
        <v>6.033744</v>
      </c>
      <c r="D208" s="54" t="n">
        <f aca="false">'2024'!C19/1000000</f>
        <v>5.489894</v>
      </c>
      <c r="E208" s="53" t="n">
        <f aca="false">-0.5*(B208+D208)+C208</f>
        <v>0.520585000000001</v>
      </c>
      <c r="F208" s="54" t="n">
        <f aca="false">IF(E208&gt;F$191,E208,"")</f>
        <v>0.520585000000001</v>
      </c>
      <c r="G208" s="54" t="str">
        <f aca="false">IF(E208&lt;=F$191,E208,"")</f>
        <v/>
      </c>
      <c r="H208" s="52" t="n">
        <f aca="false">'2020'!D19/1000000</f>
        <v>2.446891</v>
      </c>
      <c r="I208" s="52" t="n">
        <f aca="false">'2020'!G19/1000000</f>
        <v>3.471915</v>
      </c>
      <c r="J208" s="55" t="n">
        <f aca="false">I208-H208</f>
        <v>1.025024</v>
      </c>
      <c r="K208" s="6" t="str">
        <f aca="false">IF(ISNUMBER(F208),IF(AND(H208&lt;I208,H208&gt;I208-F208),$K$192,""),"")</f>
        <v/>
      </c>
      <c r="L208" s="6" t="str">
        <f aca="false">IF(ISNUMBER(F208),IF(AND(H208&gt;I208,H208-F208&lt;I208),$L$192,""),"")</f>
        <v/>
      </c>
      <c r="M208" s="6" t="str">
        <f aca="false">IF(AND(ABS(E208)&lt;ABS(H208-I208),ABS(E208)&gt;ABS($F$191)),$M$192,"")</f>
        <v>diffuse</v>
      </c>
      <c r="N208" s="18" t="str">
        <f aca="false">A208</f>
        <v>Illinois</v>
      </c>
    </row>
    <row r="209" customFormat="false" ht="12.75" hidden="false" customHeight="false" outlineLevel="0" collapsed="false">
      <c r="A209" s="6" t="str">
        <f aca="false">'2020'!A20</f>
        <v>Indiana</v>
      </c>
      <c r="B209" s="52" t="n">
        <f aca="false">'2016'!C20/1000000</f>
        <v>2.734958</v>
      </c>
      <c r="C209" s="52" t="n">
        <f aca="false">'2020'!C20/1000000</f>
        <v>3.033121</v>
      </c>
      <c r="D209" s="54" t="n">
        <f aca="false">'2024'!C20/1000000</f>
        <v>2.935043</v>
      </c>
      <c r="E209" s="53" t="n">
        <f aca="false">-0.5*(B209+D209)+C209</f>
        <v>0.1981205</v>
      </c>
      <c r="F209" s="54" t="str">
        <f aca="false">IF(E209&gt;F$191,E209,"")</f>
        <v/>
      </c>
      <c r="G209" s="54" t="n">
        <f aca="false">IF(E209&lt;=F$191,E209,"")</f>
        <v>0.1981205</v>
      </c>
      <c r="H209" s="52" t="n">
        <f aca="false">'2020'!D20/1000000</f>
        <v>1.729519</v>
      </c>
      <c r="I209" s="52" t="n">
        <f aca="false">'2020'!G20/1000000</f>
        <v>1.242416</v>
      </c>
      <c r="J209" s="55" t="n">
        <f aca="false">I209-H209</f>
        <v>-0.487103</v>
      </c>
      <c r="K209" s="6" t="str">
        <f aca="false">IF(ISNUMBER(F209),IF(AND(H209&lt;I209,H209&gt;I209-F209),$K$192,""),"")</f>
        <v/>
      </c>
      <c r="L209" s="6" t="str">
        <f aca="false">IF(ISNUMBER(F209),IF(AND(H209&gt;I209,H209-F209&lt;I209),$L$192,""),"")</f>
        <v/>
      </c>
      <c r="M209" s="6" t="str">
        <f aca="false">IF(AND(ABS(E209)&lt;ABS(H209-I209),ABS(E209)&gt;ABS($F$191)),$M$192,"")</f>
        <v/>
      </c>
      <c r="N209" s="18" t="str">
        <f aca="false">A209</f>
        <v>Indiana</v>
      </c>
    </row>
    <row r="210" customFormat="false" ht="12.75" hidden="false" customHeight="false" outlineLevel="0" collapsed="false">
      <c r="A210" s="6" t="str">
        <f aca="false">'2020'!A21</f>
        <v>Iowa</v>
      </c>
      <c r="B210" s="52" t="n">
        <f aca="false">'2016'!C21/1000000</f>
        <v>1.566031</v>
      </c>
      <c r="C210" s="52" t="n">
        <f aca="false">'2020'!C21/1000000</f>
        <v>1.690871</v>
      </c>
      <c r="D210" s="54" t="n">
        <f aca="false">'2024'!C21/1000000</f>
        <v>1.663458</v>
      </c>
      <c r="E210" s="53" t="n">
        <f aca="false">-0.5*(B210+D210)+C210</f>
        <v>0.0761265</v>
      </c>
      <c r="F210" s="54" t="str">
        <f aca="false">IF(E210&gt;F$191,E210,"")</f>
        <v/>
      </c>
      <c r="G210" s="54" t="n">
        <f aca="false">IF(E210&lt;=F$191,E210,"")</f>
        <v>0.0761265</v>
      </c>
      <c r="H210" s="52" t="n">
        <f aca="false">'2020'!D21/1000000</f>
        <v>0.897672</v>
      </c>
      <c r="I210" s="52" t="n">
        <f aca="false">'2020'!G21/1000000</f>
        <v>0.759061</v>
      </c>
      <c r="J210" s="55" t="n">
        <f aca="false">I210-H210</f>
        <v>-0.138611</v>
      </c>
      <c r="K210" s="6" t="str">
        <f aca="false">IF(ISNUMBER(F210),IF(AND(H210&lt;I210,H210&gt;I210-F210),$K$192,""),"")</f>
        <v/>
      </c>
      <c r="L210" s="6" t="str">
        <f aca="false">IF(ISNUMBER(F210),IF(AND(H210&gt;I210,H210-F210&lt;I210),$L$192,""),"")</f>
        <v/>
      </c>
      <c r="M210" s="6" t="str">
        <f aca="false">IF(AND(ABS(E210)&lt;ABS(H210-I210),ABS(E210)&gt;ABS($F$191)),$M$192,"")</f>
        <v/>
      </c>
      <c r="N210" s="18" t="str">
        <f aca="false">A210</f>
        <v>Iowa</v>
      </c>
    </row>
    <row r="211" customFormat="false" ht="12.75" hidden="false" customHeight="false" outlineLevel="0" collapsed="false">
      <c r="A211" s="6" t="str">
        <f aca="false">'2020'!A22</f>
        <v>Kansas</v>
      </c>
      <c r="B211" s="52" t="n">
        <f aca="false">'2016'!C22/1000000</f>
        <v>1.184402</v>
      </c>
      <c r="C211" s="52" t="n">
        <f aca="false">'2020'!C22/1000000</f>
        <v>1.372303</v>
      </c>
      <c r="D211" s="54" t="n">
        <f aca="false">'2024'!C22/1000000</f>
        <v>1.296665</v>
      </c>
      <c r="E211" s="53" t="n">
        <f aca="false">-0.5*(B211+D211)+C211</f>
        <v>0.1317695</v>
      </c>
      <c r="F211" s="54" t="str">
        <f aca="false">IF(E211&gt;F$191,E211,"")</f>
        <v/>
      </c>
      <c r="G211" s="54" t="n">
        <f aca="false">IF(E211&lt;=F$191,E211,"")</f>
        <v>0.1317695</v>
      </c>
      <c r="H211" s="52" t="n">
        <f aca="false">'2020'!D22/1000000</f>
        <v>0.771406</v>
      </c>
      <c r="I211" s="52" t="n">
        <f aca="false">'2020'!G22/1000000</f>
        <v>0.570323</v>
      </c>
      <c r="J211" s="55" t="n">
        <f aca="false">I211-H211</f>
        <v>-0.201083</v>
      </c>
      <c r="K211" s="6" t="str">
        <f aca="false">IF(ISNUMBER(F211),IF(AND(H211&lt;I211,H211&gt;I211-F211),$K$192,""),"")</f>
        <v/>
      </c>
      <c r="L211" s="6" t="str">
        <f aca="false">IF(ISNUMBER(F211),IF(AND(H211&gt;I211,H211-F211&lt;I211),$L$192,""),"")</f>
        <v/>
      </c>
      <c r="M211" s="6" t="str">
        <f aca="false">IF(AND(ABS(E211)&lt;ABS(H211-I211),ABS(E211)&gt;ABS($F$191)),$M$192,"")</f>
        <v/>
      </c>
      <c r="N211" s="18" t="str">
        <f aca="false">A211</f>
        <v>Kansas</v>
      </c>
    </row>
    <row r="212" customFormat="false" ht="12.75" hidden="false" customHeight="false" outlineLevel="0" collapsed="false">
      <c r="A212" s="6" t="str">
        <f aca="false">'2020'!A23</f>
        <v>Kentucky</v>
      </c>
      <c r="B212" s="52" t="n">
        <f aca="false">'2016'!C23/1000000</f>
        <v>1.924149</v>
      </c>
      <c r="C212" s="52" t="n">
        <f aca="false">'2020'!C23/1000000</f>
        <v>2.136768</v>
      </c>
      <c r="D212" s="54" t="n">
        <f aca="false">'2024'!C23/1000000</f>
        <v>2.070052</v>
      </c>
      <c r="E212" s="53" t="n">
        <f aca="false">-0.5*(B212+D212)+C212</f>
        <v>0.1396675</v>
      </c>
      <c r="F212" s="54" t="str">
        <f aca="false">IF(E212&gt;F$191,E212,"")</f>
        <v/>
      </c>
      <c r="G212" s="54" t="n">
        <f aca="false">IF(E212&lt;=F$191,E212,"")</f>
        <v>0.1396675</v>
      </c>
      <c r="H212" s="52" t="n">
        <f aca="false">'2020'!D23/1000000</f>
        <v>1.326646</v>
      </c>
      <c r="I212" s="52" t="n">
        <f aca="false">'2020'!G23/1000000</f>
        <v>0.772474</v>
      </c>
      <c r="J212" s="55" t="n">
        <f aca="false">I212-H212</f>
        <v>-0.554172</v>
      </c>
      <c r="K212" s="6" t="str">
        <f aca="false">IF(ISNUMBER(F212),IF(AND(H212&lt;I212,H212&gt;I212-F212),$K$192,""),"")</f>
        <v/>
      </c>
      <c r="L212" s="6" t="str">
        <f aca="false">IF(ISNUMBER(F212),IF(AND(H212&gt;I212,H212-F212&lt;I212),$L$192,""),"")</f>
        <v/>
      </c>
      <c r="M212" s="6" t="str">
        <f aca="false">IF(AND(ABS(E212)&lt;ABS(H212-I212),ABS(E212)&gt;ABS($F$191)),$M$192,"")</f>
        <v/>
      </c>
      <c r="N212" s="18" t="str">
        <f aca="false">A212</f>
        <v>Kentucky</v>
      </c>
    </row>
    <row r="213" customFormat="false" ht="12.75" hidden="false" customHeight="false" outlineLevel="0" collapsed="false">
      <c r="A213" s="6" t="str">
        <f aca="false">'2020'!A24</f>
        <v>Louisiana</v>
      </c>
      <c r="B213" s="52" t="n">
        <f aca="false">'2016'!C24/1000000</f>
        <v>2.029032</v>
      </c>
      <c r="C213" s="52" t="n">
        <f aca="false">'2020'!C24/1000000</f>
        <v>2.148062</v>
      </c>
      <c r="D213" s="54" t="n">
        <f aca="false">'2024'!C24/1000000</f>
        <v>2.006975</v>
      </c>
      <c r="E213" s="53" t="n">
        <f aca="false">-0.5*(B213+D213)+C213</f>
        <v>0.1300585</v>
      </c>
      <c r="F213" s="54" t="str">
        <f aca="false">IF(E213&gt;F$191,E213,"")</f>
        <v/>
      </c>
      <c r="G213" s="54" t="n">
        <f aca="false">IF(E213&lt;=F$191,E213,"")</f>
        <v>0.1300585</v>
      </c>
      <c r="H213" s="52" t="n">
        <f aca="false">'2020'!D24/1000000</f>
        <v>1.255776</v>
      </c>
      <c r="I213" s="52" t="n">
        <f aca="false">'2020'!G24/1000000</f>
        <v>0.856034</v>
      </c>
      <c r="J213" s="55" t="n">
        <f aca="false">I213-H213</f>
        <v>-0.399742</v>
      </c>
      <c r="K213" s="6" t="str">
        <f aca="false">IF(ISNUMBER(F213),IF(AND(H213&lt;I213,H213&gt;I213-F213),$K$192,""),"")</f>
        <v/>
      </c>
      <c r="L213" s="6" t="str">
        <f aca="false">IF(ISNUMBER(F213),IF(AND(H213&gt;I213,H213-F213&lt;I213),$L$192,""),"")</f>
        <v/>
      </c>
      <c r="M213" s="6" t="str">
        <f aca="false">IF(AND(ABS(E213)&lt;ABS(H213-I213),ABS(E213)&gt;ABS($F$191)),$M$192,"")</f>
        <v/>
      </c>
      <c r="N213" s="18" t="str">
        <f aca="false">A213</f>
        <v>Louisiana</v>
      </c>
    </row>
    <row r="214" customFormat="false" ht="12.75" hidden="false" customHeight="false" outlineLevel="0" collapsed="false">
      <c r="A214" s="6" t="str">
        <f aca="false">'2020'!A25</f>
        <v>Maine</v>
      </c>
      <c r="B214" s="52" t="n">
        <f aca="false">'2016'!C25/1000000</f>
        <v>0.747927</v>
      </c>
      <c r="C214" s="52" t="n">
        <f aca="false">'2020'!C25/1000000</f>
        <v>0.819461</v>
      </c>
      <c r="D214" s="54" t="n">
        <f aca="false">'2024'!C25/1000000</f>
        <v>0.825727</v>
      </c>
      <c r="E214" s="53" t="n">
        <f aca="false">-0.5*(B214+D214)+C214</f>
        <v>0.0326340000000001</v>
      </c>
      <c r="F214" s="54" t="str">
        <f aca="false">IF(E214&gt;F$191,E214,"")</f>
        <v/>
      </c>
      <c r="G214" s="54" t="n">
        <f aca="false">IF(E214&lt;=F$191,E214,"")</f>
        <v>0.0326340000000001</v>
      </c>
      <c r="H214" s="52" t="n">
        <f aca="false">'2020'!D25/1000000</f>
        <v>0.360737</v>
      </c>
      <c r="I214" s="52" t="n">
        <f aca="false">'2020'!G25/1000000</f>
        <v>0.435072</v>
      </c>
      <c r="J214" s="55" t="n">
        <f aca="false">I214-H214</f>
        <v>0.074335</v>
      </c>
      <c r="K214" s="6" t="str">
        <f aca="false">IF(ISNUMBER(F214),IF(AND(H214&lt;I214,H214&gt;I214-F214),$K$192,""),"")</f>
        <v/>
      </c>
      <c r="L214" s="6" t="str">
        <f aca="false">IF(ISNUMBER(F214),IF(AND(H214&gt;I214,H214-F214&lt;I214),$L$192,""),"")</f>
        <v/>
      </c>
      <c r="M214" s="6" t="str">
        <f aca="false">IF(AND(ABS(E214)&lt;ABS(H214-I214),ABS(E214)&gt;ABS($F$191)),$M$192,"")</f>
        <v/>
      </c>
      <c r="N214" s="18" t="str">
        <f aca="false">A214</f>
        <v>Maine</v>
      </c>
    </row>
    <row r="215" customFormat="false" ht="12.75" hidden="false" customHeight="false" outlineLevel="0" collapsed="false">
      <c r="A215" s="6" t="str">
        <f aca="false">'2020'!A26</f>
        <v>Maryland</v>
      </c>
      <c r="B215" s="52" t="n">
        <f aca="false">'2016'!C26/1000000</f>
        <v>2.781446</v>
      </c>
      <c r="C215" s="52" t="n">
        <f aca="false">'2020'!C26/1000000</f>
        <v>3.03703</v>
      </c>
      <c r="D215" s="54" t="n">
        <f aca="false">'2024'!C26/1000000</f>
        <v>2.910897</v>
      </c>
      <c r="E215" s="53" t="n">
        <f aca="false">-0.5*(B215+D215)+C215</f>
        <v>0.1908585</v>
      </c>
      <c r="F215" s="54" t="str">
        <f aca="false">IF(E215&gt;F$191,E215,"")</f>
        <v/>
      </c>
      <c r="G215" s="54" t="n">
        <f aca="false">IF(E215&lt;=F$191,E215,"")</f>
        <v>0.1908585</v>
      </c>
      <c r="H215" s="52" t="n">
        <f aca="false">'2020'!D26/1000000</f>
        <v>0.976414</v>
      </c>
      <c r="I215" s="52" t="n">
        <f aca="false">'2020'!G26/1000000</f>
        <v>1.985023</v>
      </c>
      <c r="J215" s="55" t="n">
        <f aca="false">I215-H215</f>
        <v>1.008609</v>
      </c>
      <c r="K215" s="6" t="str">
        <f aca="false">IF(ISNUMBER(F215),IF(AND(H215&lt;I215,H215&gt;I215-F215),$K$192,""),"")</f>
        <v/>
      </c>
      <c r="L215" s="6" t="str">
        <f aca="false">IF(ISNUMBER(F215),IF(AND(H215&gt;I215,H215-F215&lt;I215),$L$192,""),"")</f>
        <v/>
      </c>
      <c r="M215" s="6" t="str">
        <f aca="false">IF(AND(ABS(E215)&lt;ABS(H215-I215),ABS(E215)&gt;ABS($F$191)),$M$192,"")</f>
        <v/>
      </c>
      <c r="N215" s="18" t="str">
        <f aca="false">A215</f>
        <v>Maryland</v>
      </c>
    </row>
    <row r="216" customFormat="false" ht="12.75" hidden="false" customHeight="false" outlineLevel="0" collapsed="false">
      <c r="A216" s="6" t="str">
        <f aca="false">'2020'!A27</f>
        <v>Massachusetts</v>
      </c>
      <c r="B216" s="52" t="n">
        <f aca="false">'2016'!C27/1000000</f>
        <v>3.325046</v>
      </c>
      <c r="C216" s="52" t="n">
        <f aca="false">'2020'!C27/1000000</f>
        <v>3.631403</v>
      </c>
      <c r="D216" s="54" t="n">
        <f aca="false">'2024'!C27/1000000</f>
        <v>3.38111</v>
      </c>
      <c r="E216" s="53" t="n">
        <f aca="false">-0.5*(B216+D216)+C216</f>
        <v>0.278325</v>
      </c>
      <c r="F216" s="54" t="str">
        <f aca="false">IF(E216&gt;F$191,E216,"")</f>
        <v/>
      </c>
      <c r="G216" s="54" t="n">
        <f aca="false">IF(E216&lt;=F$191,E216,"")</f>
        <v>0.278325</v>
      </c>
      <c r="H216" s="52" t="n">
        <f aca="false">'2020'!D27/1000000</f>
        <v>1.167202</v>
      </c>
      <c r="I216" s="52" t="n">
        <f aca="false">'2020'!G27/1000000</f>
        <v>2.382202</v>
      </c>
      <c r="J216" s="55" t="n">
        <f aca="false">I216-H216</f>
        <v>1.215</v>
      </c>
      <c r="K216" s="6" t="str">
        <f aca="false">IF(ISNUMBER(F216),IF(AND(H216&lt;I216,H216&gt;I216-F216),$K$192,""),"")</f>
        <v/>
      </c>
      <c r="L216" s="6" t="str">
        <f aca="false">IF(ISNUMBER(F216),IF(AND(H216&gt;I216,H216-F216&lt;I216),$L$192,""),"")</f>
        <v/>
      </c>
      <c r="M216" s="6" t="str">
        <f aca="false">IF(AND(ABS(E216)&lt;ABS(H216-I216),ABS(E216)&gt;ABS($F$191)),$M$192,"")</f>
        <v/>
      </c>
      <c r="N216" s="18" t="str">
        <f aca="false">A216</f>
        <v>Massachusetts</v>
      </c>
    </row>
    <row r="217" customFormat="false" ht="12.75" hidden="false" customHeight="false" outlineLevel="0" collapsed="false">
      <c r="A217" s="6" t="str">
        <f aca="false">'2020'!A28</f>
        <v>Michigan</v>
      </c>
      <c r="B217" s="52" t="n">
        <f aca="false">'2016'!C28/1000000</f>
        <v>4.799284</v>
      </c>
      <c r="C217" s="52" t="n">
        <f aca="false">'2020'!C28/1000000</f>
        <v>5.539301</v>
      </c>
      <c r="D217" s="54" t="n">
        <f aca="false">'2024'!C28/1000000</f>
        <v>5.651652</v>
      </c>
      <c r="E217" s="53" t="n">
        <f aca="false">-0.5*(B217+D217)+C217</f>
        <v>0.313833</v>
      </c>
      <c r="F217" s="54" t="n">
        <f aca="false">IF(E217&gt;F$191,E217,"")</f>
        <v>0.313833</v>
      </c>
      <c r="G217" s="54" t="str">
        <f aca="false">IF(E217&lt;=F$191,E217,"")</f>
        <v/>
      </c>
      <c r="H217" s="52" t="n">
        <f aca="false">'2020'!D28/1000000</f>
        <v>2.649852</v>
      </c>
      <c r="I217" s="52" t="n">
        <f aca="false">'2020'!G28/1000000</f>
        <v>2.80404</v>
      </c>
      <c r="J217" s="55" t="n">
        <f aca="false">I217-H217</f>
        <v>0.154188</v>
      </c>
      <c r="K217" s="6" t="str">
        <f aca="false">IF(ISNUMBER(F217),IF(AND(H217&lt;I217,H217&gt;I217-F217),$K$192,""),"")</f>
        <v>novelty</v>
      </c>
      <c r="L217" s="6" t="str">
        <f aca="false">IF(ISNUMBER(F217),IF(AND(H217&gt;I217,H217-F217&lt;I217),$L$192,""),"")</f>
        <v/>
      </c>
      <c r="M217" s="6" t="str">
        <f aca="false">IF(AND(ABS(E217)&lt;ABS(H217-I217),ABS(E217)&gt;ABS($F$191)),$M$192,"")</f>
        <v/>
      </c>
      <c r="N217" s="18" t="str">
        <f aca="false">A217</f>
        <v>Michigan</v>
      </c>
    </row>
    <row r="218" customFormat="false" ht="12.75" hidden="false" customHeight="false" outlineLevel="0" collapsed="false">
      <c r="A218" s="6" t="str">
        <f aca="false">'2020'!A29</f>
        <v>Minnesota</v>
      </c>
      <c r="B218" s="52" t="n">
        <f aca="false">'2016'!C29/1000000</f>
        <v>2.944813</v>
      </c>
      <c r="C218" s="52" t="n">
        <f aca="false">'2020'!C29/1000000</f>
        <v>3.277171</v>
      </c>
      <c r="D218" s="54" t="n">
        <f aca="false">'2024'!C29/1000000</f>
        <v>3.253877</v>
      </c>
      <c r="E218" s="53" t="n">
        <f aca="false">-0.5*(B218+D218)+C218</f>
        <v>0.177826</v>
      </c>
      <c r="F218" s="54" t="str">
        <f aca="false">IF(E218&gt;F$191,E218,"")</f>
        <v/>
      </c>
      <c r="G218" s="54" t="n">
        <f aca="false">IF(E218&lt;=F$191,E218,"")</f>
        <v>0.177826</v>
      </c>
      <c r="H218" s="52" t="n">
        <f aca="false">'2020'!D29/1000000</f>
        <v>1.484065</v>
      </c>
      <c r="I218" s="52" t="n">
        <f aca="false">'2020'!G29/1000000</f>
        <v>1.717077</v>
      </c>
      <c r="J218" s="55" t="n">
        <f aca="false">I218-H218</f>
        <v>0.233012</v>
      </c>
      <c r="K218" s="6" t="str">
        <f aca="false">IF(ISNUMBER(F218),IF(AND(H218&lt;I218,H218&gt;I218-F218),$K$192,""),"")</f>
        <v/>
      </c>
      <c r="L218" s="6" t="str">
        <f aca="false">IF(ISNUMBER(F218),IF(AND(H218&gt;I218,H218-F218&lt;I218),$L$192,""),"")</f>
        <v/>
      </c>
      <c r="M218" s="6" t="str">
        <f aca="false">IF(AND(ABS(E218)&lt;ABS(H218-I218),ABS(E218)&gt;ABS($F$191)),$M$192,"")</f>
        <v/>
      </c>
      <c r="N218" s="18" t="str">
        <f aca="false">A218</f>
        <v>Minnesota</v>
      </c>
    </row>
    <row r="219" customFormat="false" ht="12.75" hidden="false" customHeight="false" outlineLevel="0" collapsed="false">
      <c r="A219" s="6" t="str">
        <f aca="false">'2020'!A30</f>
        <v>Mississippi</v>
      </c>
      <c r="B219" s="52" t="n">
        <f aca="false">'2016'!C30/1000000</f>
        <v>1.209357</v>
      </c>
      <c r="C219" s="52" t="n">
        <f aca="false">'2020'!C30/1000000</f>
        <v>1.313759</v>
      </c>
      <c r="D219" s="54" t="n">
        <f aca="false">'2024'!C30/1000000</f>
        <v>1.125079</v>
      </c>
      <c r="E219" s="53" t="n">
        <f aca="false">-0.5*(B219+D219)+C219</f>
        <v>0.146541</v>
      </c>
      <c r="F219" s="54" t="str">
        <f aca="false">IF(E219&gt;F$191,E219,"")</f>
        <v/>
      </c>
      <c r="G219" s="54" t="n">
        <f aca="false">IF(E219&lt;=F$191,E219,"")</f>
        <v>0.146541</v>
      </c>
      <c r="H219" s="52" t="n">
        <f aca="false">'2020'!D30/1000000</f>
        <v>0.756764</v>
      </c>
      <c r="I219" s="52" t="n">
        <f aca="false">'2020'!G30/1000000</f>
        <v>0.539398</v>
      </c>
      <c r="J219" s="55" t="n">
        <f aca="false">I219-H219</f>
        <v>-0.217366</v>
      </c>
      <c r="K219" s="6" t="str">
        <f aca="false">IF(ISNUMBER(F219),IF(AND(H219&lt;I219,H219&gt;I219-F219),$K$192,""),"")</f>
        <v/>
      </c>
      <c r="L219" s="6" t="str">
        <f aca="false">IF(ISNUMBER(F219),IF(AND(H219&gt;I219,H219-F219&lt;I219),$L$192,""),"")</f>
        <v/>
      </c>
      <c r="M219" s="6" t="str">
        <f aca="false">IF(AND(ABS(E219)&lt;ABS(H219-I219),ABS(E219)&gt;ABS($F$191)),$M$192,"")</f>
        <v/>
      </c>
      <c r="N219" s="18" t="str">
        <f aca="false">A219</f>
        <v>Mississippi</v>
      </c>
    </row>
    <row r="220" customFormat="false" ht="12.75" hidden="false" customHeight="false" outlineLevel="0" collapsed="false">
      <c r="A220" s="6" t="str">
        <f aca="false">'2020'!A31</f>
        <v>Missouri</v>
      </c>
      <c r="B220" s="52" t="n">
        <f aca="false">'2016'!C31/1000000</f>
        <v>2.808605</v>
      </c>
      <c r="C220" s="52" t="n">
        <f aca="false">'2020'!C31/1000000</f>
        <v>3.025962</v>
      </c>
      <c r="D220" s="54" t="n">
        <f aca="false">'2024'!C31/1000000</f>
        <v>2.979048</v>
      </c>
      <c r="E220" s="53" t="n">
        <f aca="false">-0.5*(B220+D220)+C220</f>
        <v>0.1321355</v>
      </c>
      <c r="F220" s="54" t="str">
        <f aca="false">IF(E220&gt;F$191,E220,"")</f>
        <v/>
      </c>
      <c r="G220" s="54" t="n">
        <f aca="false">IF(E220&lt;=F$191,E220,"")</f>
        <v>0.1321355</v>
      </c>
      <c r="H220" s="52" t="n">
        <f aca="false">'2020'!D31/1000000</f>
        <v>1.718736</v>
      </c>
      <c r="I220" s="52" t="n">
        <f aca="false">'2020'!G31/1000000</f>
        <v>1.253014</v>
      </c>
      <c r="J220" s="55" t="n">
        <f aca="false">I220-H220</f>
        <v>-0.465722</v>
      </c>
      <c r="K220" s="6" t="str">
        <f aca="false">IF(ISNUMBER(F220),IF(AND(H220&lt;I220,H220&gt;I220-F220),$K$192,""),"")</f>
        <v/>
      </c>
      <c r="L220" s="6" t="str">
        <f aca="false">IF(ISNUMBER(F220),IF(AND(H220&gt;I220,H220-F220&lt;I220),$L$192,""),"")</f>
        <v/>
      </c>
      <c r="M220" s="6" t="str">
        <f aca="false">IF(AND(ABS(E220)&lt;ABS(H220-I220),ABS(E220)&gt;ABS($F$191)),$M$192,"")</f>
        <v/>
      </c>
      <c r="N220" s="18" t="str">
        <f aca="false">A220</f>
        <v>Missouri</v>
      </c>
    </row>
    <row r="221" customFormat="false" ht="12.75" hidden="false" customHeight="false" outlineLevel="0" collapsed="false">
      <c r="A221" s="6" t="str">
        <f aca="false">'2020'!A32</f>
        <v>Montana</v>
      </c>
      <c r="B221" s="52" t="n">
        <f aca="false">'2016'!C32/1000000</f>
        <v>0.494526</v>
      </c>
      <c r="C221" s="52" t="n">
        <f aca="false">'2020'!C32/1000000</f>
        <v>0.60364</v>
      </c>
      <c r="D221" s="54" t="n">
        <f aca="false">'2024'!C32/1000000</f>
        <v>0.602832</v>
      </c>
      <c r="E221" s="53" t="n">
        <f aca="false">-0.5*(B221+D221)+C221</f>
        <v>0.0549609999999999</v>
      </c>
      <c r="F221" s="54" t="str">
        <f aca="false">IF(E221&gt;F$191,E221,"")</f>
        <v/>
      </c>
      <c r="G221" s="54" t="n">
        <f aca="false">IF(E221&lt;=F$191,E221,"")</f>
        <v>0.0549609999999999</v>
      </c>
      <c r="H221" s="52" t="n">
        <f aca="false">'2020'!D32/1000000</f>
        <v>0.343602</v>
      </c>
      <c r="I221" s="52" t="n">
        <f aca="false">'2020'!G32/1000000</f>
        <v>0.244786</v>
      </c>
      <c r="J221" s="55" t="n">
        <f aca="false">I221-H221</f>
        <v>-0.098816</v>
      </c>
      <c r="K221" s="6" t="str">
        <f aca="false">IF(ISNUMBER(F221),IF(AND(H221&lt;I221,H221&gt;I221-F221),$K$192,""),"")</f>
        <v/>
      </c>
      <c r="L221" s="6" t="str">
        <f aca="false">IF(ISNUMBER(F221),IF(AND(H221&gt;I221,H221-F221&lt;I221),$L$192,""),"")</f>
        <v/>
      </c>
      <c r="M221" s="6" t="str">
        <f aca="false">IF(AND(ABS(E221)&lt;ABS(H221-I221),ABS(E221)&gt;ABS($F$191)),$M$192,"")</f>
        <v/>
      </c>
      <c r="N221" s="18" t="str">
        <f aca="false">A221</f>
        <v>Montana</v>
      </c>
    </row>
    <row r="222" customFormat="false" ht="12.75" hidden="false" customHeight="false" outlineLevel="0" collapsed="false">
      <c r="A222" s="6" t="str">
        <f aca="false">'2020'!A33</f>
        <v>Nebraska</v>
      </c>
      <c r="B222" s="52" t="n">
        <f aca="false">'2016'!C33/1000000</f>
        <v>0.844227</v>
      </c>
      <c r="C222" s="52" t="n">
        <f aca="false">'2020'!C33/1000000</f>
        <v>0.951712</v>
      </c>
      <c r="D222" s="54" t="n">
        <f aca="false">'2024'!C33/1000000</f>
        <v>0.931163</v>
      </c>
      <c r="E222" s="53" t="n">
        <f aca="false">-0.5*(B222+D222)+C222</f>
        <v>0.0640170000000001</v>
      </c>
      <c r="F222" s="54" t="str">
        <f aca="false">IF(E222&gt;F$191,E222,"")</f>
        <v/>
      </c>
      <c r="G222" s="54" t="n">
        <f aca="false">IF(E222&lt;=F$191,E222,"")</f>
        <v>0.0640170000000001</v>
      </c>
      <c r="H222" s="52" t="n">
        <f aca="false">'2020'!D33/1000000</f>
        <v>0.556846</v>
      </c>
      <c r="I222" s="52" t="n">
        <f aca="false">'2020'!G33/1000000</f>
        <v>0.374583</v>
      </c>
      <c r="J222" s="55" t="n">
        <f aca="false">I222-H222</f>
        <v>-0.182263</v>
      </c>
      <c r="K222" s="6" t="str">
        <f aca="false">IF(ISNUMBER(F222),IF(AND(H222&lt;I222,H222&gt;I222-F222),$K$192,""),"")</f>
        <v/>
      </c>
      <c r="L222" s="6" t="str">
        <f aca="false">IF(ISNUMBER(F222),IF(AND(H222&gt;I222,H222-F222&lt;I222),$L$192,""),"")</f>
        <v/>
      </c>
      <c r="M222" s="6" t="str">
        <f aca="false">IF(AND(ABS(E222)&lt;ABS(H222-I222),ABS(E222)&gt;ABS($F$191)),$M$192,"")</f>
        <v/>
      </c>
      <c r="N222" s="18" t="str">
        <f aca="false">A222</f>
        <v>Nebraska</v>
      </c>
    </row>
    <row r="223" customFormat="false" ht="12.75" hidden="false" customHeight="false" outlineLevel="0" collapsed="false">
      <c r="A223" s="6" t="str">
        <f aca="false">'2020'!A34</f>
        <v>Nevada</v>
      </c>
      <c r="B223" s="52" t="n">
        <f aca="false">'2016'!C34/1000000</f>
        <v>1.125385</v>
      </c>
      <c r="C223" s="52" t="n">
        <f aca="false">'2020'!C34/1000000</f>
        <v>1.405376</v>
      </c>
      <c r="D223" s="54" t="n">
        <f aca="false">'2024'!C34/1000000</f>
        <v>1.48484</v>
      </c>
      <c r="E223" s="53" t="n">
        <f aca="false">-0.5*(B223+D223)+C223</f>
        <v>0.1002635</v>
      </c>
      <c r="F223" s="54" t="str">
        <f aca="false">IF(E223&gt;F$191,E223,"")</f>
        <v/>
      </c>
      <c r="G223" s="54" t="n">
        <f aca="false">IF(E223&lt;=F$191,E223,"")</f>
        <v>0.1002635</v>
      </c>
      <c r="H223" s="52" t="n">
        <f aca="false">'2020'!D34/1000000</f>
        <v>0.66989</v>
      </c>
      <c r="I223" s="52" t="n">
        <f aca="false">'2020'!G34/1000000</f>
        <v>0.703486</v>
      </c>
      <c r="J223" s="55" t="n">
        <f aca="false">I223-H223</f>
        <v>0.033596</v>
      </c>
      <c r="K223" s="6" t="str">
        <f aca="false">IF(ISNUMBER(F223),IF(AND(H223&lt;I223,H223&gt;I223-F223),$K$192,""),"")</f>
        <v/>
      </c>
      <c r="L223" s="6" t="str">
        <f aca="false">IF(ISNUMBER(F223),IF(AND(H223&gt;I223,H223-F223&lt;I223),$L$192,""),"")</f>
        <v/>
      </c>
      <c r="M223" s="6" t="str">
        <f aca="false">IF(AND(ABS(E223)&lt;ABS(H223-I223),ABS(E223)&gt;ABS($F$191)),$M$192,"")</f>
        <v/>
      </c>
      <c r="N223" s="18" t="str">
        <f aca="false">A223</f>
        <v>Nevada</v>
      </c>
    </row>
    <row r="224" customFormat="false" ht="12.75" hidden="false" customHeight="false" outlineLevel="0" collapsed="false">
      <c r="A224" s="6" t="str">
        <f aca="false">'2020'!A35</f>
        <v>New Hampshire</v>
      </c>
      <c r="B224" s="52" t="n">
        <f aca="false">'2016'!C35/1000000</f>
        <v>0.744296</v>
      </c>
      <c r="C224" s="52" t="n">
        <f aca="false">'2020'!C35/1000000</f>
        <v>0.806205</v>
      </c>
      <c r="D224" s="54" t="n">
        <f aca="false">'2024'!C35/1000000</f>
        <v>0.826205</v>
      </c>
      <c r="E224" s="53" t="n">
        <f aca="false">-0.5*(B224+D224)+C224</f>
        <v>0.0209545</v>
      </c>
      <c r="F224" s="54" t="str">
        <f aca="false">IF(E224&gt;F$191,E224,"")</f>
        <v/>
      </c>
      <c r="G224" s="54" t="n">
        <f aca="false">IF(E224&lt;=F$191,E224,"")</f>
        <v>0.0209545</v>
      </c>
      <c r="H224" s="52" t="n">
        <f aca="false">'2020'!D35/1000000</f>
        <v>0.36566</v>
      </c>
      <c r="I224" s="52" t="n">
        <f aca="false">'2020'!G35/1000000</f>
        <v>0.424937</v>
      </c>
      <c r="J224" s="55" t="n">
        <f aca="false">I224-H224</f>
        <v>0.059277</v>
      </c>
      <c r="K224" s="6" t="str">
        <f aca="false">IF(ISNUMBER(F224),IF(AND(H224&lt;I224,H224&gt;I224-F224),$K$192,""),"")</f>
        <v/>
      </c>
      <c r="L224" s="6" t="str">
        <f aca="false">IF(ISNUMBER(F224),IF(AND(H224&gt;I224,H224-F224&lt;I224),$L$192,""),"")</f>
        <v/>
      </c>
      <c r="M224" s="6" t="str">
        <f aca="false">IF(AND(ABS(E224)&lt;ABS(H224-I224),ABS(E224)&gt;ABS($F$191)),$M$192,"")</f>
        <v/>
      </c>
      <c r="N224" s="18" t="str">
        <f aca="false">A224</f>
        <v>New Hampshire</v>
      </c>
    </row>
    <row r="225" customFormat="false" ht="12.75" hidden="false" customHeight="false" outlineLevel="0" collapsed="false">
      <c r="A225" s="6" t="str">
        <f aca="false">'2020'!A36</f>
        <v>New Jersey</v>
      </c>
      <c r="B225" s="52" t="n">
        <f aca="false">'2016'!C36/1000000</f>
        <v>3.874046</v>
      </c>
      <c r="C225" s="52" t="n">
        <f aca="false">'2020'!C36/1000000</f>
        <v>4.549353</v>
      </c>
      <c r="D225" s="54" t="n">
        <f aca="false">'2024'!C36/1000000</f>
        <v>4.223751</v>
      </c>
      <c r="E225" s="53" t="n">
        <f aca="false">-0.5*(B225+D225)+C225</f>
        <v>0.5004545</v>
      </c>
      <c r="F225" s="54" t="n">
        <f aca="false">IF(E225&gt;F$191,E225,"")</f>
        <v>0.5004545</v>
      </c>
      <c r="G225" s="54" t="str">
        <f aca="false">IF(E225&lt;=F$191,E225,"")</f>
        <v/>
      </c>
      <c r="H225" s="52" t="n">
        <f aca="false">'2020'!D36/1000000</f>
        <v>1.883274</v>
      </c>
      <c r="I225" s="52" t="n">
        <f aca="false">'2020'!G36/1000000</f>
        <v>2.608335</v>
      </c>
      <c r="J225" s="55" t="n">
        <f aca="false">I225-H225</f>
        <v>0.725061</v>
      </c>
      <c r="K225" s="6" t="str">
        <f aca="false">IF(ISNUMBER(F225),IF(AND(H225&lt;I225,H225&gt;I225-F225),$K$192,""),"")</f>
        <v/>
      </c>
      <c r="L225" s="6" t="str">
        <f aca="false">IF(ISNUMBER(F225),IF(AND(H225&gt;I225,H225-F225&lt;I225),$L$192,""),"")</f>
        <v/>
      </c>
      <c r="M225" s="6" t="str">
        <f aca="false">IF(AND(ABS(E225)&lt;ABS(H225-I225),ABS(E225)&gt;ABS($F$191)),$M$192,"")</f>
        <v>diffuse</v>
      </c>
      <c r="N225" s="18" t="str">
        <f aca="false">A225</f>
        <v>New Jersey</v>
      </c>
    </row>
    <row r="226" customFormat="false" ht="12.75" hidden="false" customHeight="false" outlineLevel="0" collapsed="false">
      <c r="A226" s="6" t="str">
        <f aca="false">'2020'!A37</f>
        <v>New Mexico</v>
      </c>
      <c r="B226" s="52" t="n">
        <f aca="false">'2016'!C37/1000000</f>
        <v>0.798318</v>
      </c>
      <c r="C226" s="52" t="n">
        <f aca="false">'2020'!C37/1000000</f>
        <v>0.923965</v>
      </c>
      <c r="D226" s="54" t="n">
        <f aca="false">'2024'!C37/1000000</f>
        <v>0.923247</v>
      </c>
      <c r="E226" s="53" t="n">
        <f aca="false">-0.5*(B226+D226)+C226</f>
        <v>0.0631825</v>
      </c>
      <c r="F226" s="54" t="str">
        <f aca="false">IF(E226&gt;F$191,E226,"")</f>
        <v/>
      </c>
      <c r="G226" s="54" t="n">
        <f aca="false">IF(E226&lt;=F$191,E226,"")</f>
        <v>0.0631825</v>
      </c>
      <c r="H226" s="52" t="n">
        <f aca="false">'2020'!D37/1000000</f>
        <v>0.401894</v>
      </c>
      <c r="I226" s="52" t="n">
        <f aca="false">'2020'!G37/1000000</f>
        <v>0.501614</v>
      </c>
      <c r="J226" s="55" t="n">
        <f aca="false">I226-H226</f>
        <v>0.09972</v>
      </c>
      <c r="K226" s="6" t="str">
        <f aca="false">IF(ISNUMBER(F226),IF(AND(H226&lt;I226,H226&gt;I226-F226),$K$192,""),"")</f>
        <v/>
      </c>
      <c r="L226" s="6" t="str">
        <f aca="false">IF(ISNUMBER(F226),IF(AND(H226&gt;I226,H226-F226&lt;I226),$L$192,""),"")</f>
        <v/>
      </c>
      <c r="M226" s="6" t="str">
        <f aca="false">IF(AND(ABS(E226)&lt;ABS(H226-I226),ABS(E226)&gt;ABS($F$191)),$M$192,"")</f>
        <v/>
      </c>
      <c r="N226" s="18" t="str">
        <f aca="false">A226</f>
        <v>New Mexico</v>
      </c>
    </row>
    <row r="227" customFormat="false" ht="12.75" hidden="false" customHeight="false" outlineLevel="0" collapsed="false">
      <c r="A227" s="6" t="str">
        <f aca="false">'2020'!A38</f>
        <v>New York</v>
      </c>
      <c r="B227" s="52" t="n">
        <f aca="false">'2016'!C38/1000000</f>
        <v>7.622328</v>
      </c>
      <c r="C227" s="52" t="n">
        <f aca="false">'2020'!C38/1000000</f>
        <v>8.594826</v>
      </c>
      <c r="D227" s="54" t="n">
        <f aca="false">'2024'!C38/1000000</f>
        <v>7.934842</v>
      </c>
      <c r="E227" s="53" t="n">
        <f aca="false">-0.5*(B227+D227)+C227</f>
        <v>0.816241</v>
      </c>
      <c r="F227" s="54" t="n">
        <f aca="false">IF(E227&gt;F$191,E227,"")</f>
        <v>0.816241</v>
      </c>
      <c r="G227" s="54" t="str">
        <f aca="false">IF(E227&lt;=F$191,E227,"")</f>
        <v/>
      </c>
      <c r="H227" s="52" t="n">
        <f aca="false">'2020'!D38/1000000</f>
        <v>3.244798</v>
      </c>
      <c r="I227" s="52" t="n">
        <f aca="false">'2020'!G38/1000000</f>
        <v>5.230985</v>
      </c>
      <c r="J227" s="55" t="n">
        <f aca="false">I227-H227</f>
        <v>1.986187</v>
      </c>
      <c r="K227" s="6" t="str">
        <f aca="false">IF(ISNUMBER(F227),IF(AND(H227&lt;I227,H227&gt;I227-F227),$K$192,""),"")</f>
        <v/>
      </c>
      <c r="L227" s="6" t="str">
        <f aca="false">IF(ISNUMBER(F227),IF(AND(H227&gt;I227,H227-F227&lt;I227),$L$192,""),"")</f>
        <v/>
      </c>
      <c r="M227" s="6" t="str">
        <f aca="false">IF(AND(ABS(E227)&lt;ABS(H227-I227),ABS(E227)&gt;ABS($F$191)),$M$192,"")</f>
        <v>diffuse</v>
      </c>
      <c r="N227" s="18" t="str">
        <f aca="false">A227</f>
        <v>New York</v>
      </c>
    </row>
    <row r="228" customFormat="false" ht="12.75" hidden="false" customHeight="false" outlineLevel="0" collapsed="false">
      <c r="A228" s="6" t="str">
        <f aca="false">'2020'!A39</f>
        <v>North Carolina</v>
      </c>
      <c r="B228" s="52" t="n">
        <f aca="false">'2016'!C39/1000000</f>
        <v>4.741558</v>
      </c>
      <c r="C228" s="52" t="n">
        <f aca="false">'2020'!C39/1000000</f>
        <v>5.524804</v>
      </c>
      <c r="D228" s="54" t="n">
        <f aca="false">'2024'!C39/1000000</f>
        <v>5.658056</v>
      </c>
      <c r="E228" s="53" t="n">
        <f aca="false">-0.5*(B228+D228)+C228</f>
        <v>0.324997</v>
      </c>
      <c r="F228" s="54" t="n">
        <f aca="false">IF(E228&gt;F$191,E228,"")</f>
        <v>0.324997</v>
      </c>
      <c r="G228" s="54" t="str">
        <f aca="false">IF(E228&lt;=F$191,E228,"")</f>
        <v/>
      </c>
      <c r="H228" s="52" t="n">
        <f aca="false">'2020'!D39/1000000</f>
        <v>2.758775</v>
      </c>
      <c r="I228" s="52" t="n">
        <f aca="false">'2020'!G39/1000000</f>
        <v>2.684292</v>
      </c>
      <c r="J228" s="55" t="n">
        <f aca="false">I228-H228</f>
        <v>-0.0744829999999999</v>
      </c>
      <c r="K228" s="6" t="str">
        <f aca="false">IF(ISNUMBER(F228),IF(AND(H228&lt;I228,H228&gt;I228-F228),$K$192,""),"")</f>
        <v/>
      </c>
      <c r="L228" s="6" t="str">
        <f aca="false">IF(ISNUMBER(F228),IF(AND(H228&gt;I228,H228-F228&lt;I228),$L$192,""),"")</f>
        <v>anti-novelty</v>
      </c>
      <c r="M228" s="6" t="str">
        <f aca="false">IF(AND(ABS(E228)&lt;ABS(H228-I228),ABS(E228)&gt;ABS($F$191)),$M$192,"")</f>
        <v/>
      </c>
      <c r="N228" s="18" t="str">
        <f aca="false">A228</f>
        <v>North Carolina</v>
      </c>
    </row>
    <row r="229" customFormat="false" ht="12.75" hidden="false" customHeight="false" outlineLevel="0" collapsed="false">
      <c r="A229" s="6" t="str">
        <f aca="false">'2020'!A40</f>
        <v>North Dakota</v>
      </c>
      <c r="B229" s="52" t="n">
        <f aca="false">'2016'!C40/1000000</f>
        <v>0.34436</v>
      </c>
      <c r="C229" s="52" t="n">
        <f aca="false">'2020'!C40/1000000</f>
        <v>0.361819</v>
      </c>
      <c r="D229" s="54" t="n">
        <f aca="false">'2024'!C40/1000000</f>
        <v>0.367198</v>
      </c>
      <c r="E229" s="53" t="n">
        <f aca="false">-0.5*(B229+D229)+C229</f>
        <v>0.00603999999999999</v>
      </c>
      <c r="F229" s="54" t="str">
        <f aca="false">IF(E229&gt;F$191,E229,"")</f>
        <v/>
      </c>
      <c r="G229" s="54" t="n">
        <f aca="false">IF(E229&lt;=F$191,E229,"")</f>
        <v>0.00603999999999999</v>
      </c>
      <c r="H229" s="52" t="n">
        <f aca="false">'2020'!D40/1000000</f>
        <v>0.235595</v>
      </c>
      <c r="I229" s="52" t="n">
        <f aca="false">'2020'!G40/1000000</f>
        <v>0.114902</v>
      </c>
      <c r="J229" s="55" t="n">
        <f aca="false">I229-H229</f>
        <v>-0.120693</v>
      </c>
      <c r="K229" s="6" t="str">
        <f aca="false">IF(ISNUMBER(F229),IF(AND(H229&lt;I229,H229&gt;I229-F229),$K$192,""),"")</f>
        <v/>
      </c>
      <c r="L229" s="6" t="str">
        <f aca="false">IF(ISNUMBER(F229),IF(AND(H229&gt;I229,H229-F229&lt;I229),$L$192,""),"")</f>
        <v/>
      </c>
      <c r="M229" s="6" t="str">
        <f aca="false">IF(AND(ABS(E229)&lt;ABS(H229-I229),ABS(E229)&gt;ABS($F$191)),$M$192,"")</f>
        <v/>
      </c>
      <c r="N229" s="18" t="str">
        <f aca="false">A229</f>
        <v>North Dakota</v>
      </c>
    </row>
    <row r="230" customFormat="false" ht="12.75" hidden="false" customHeight="false" outlineLevel="0" collapsed="false">
      <c r="A230" s="6" t="str">
        <f aca="false">'2020'!A41</f>
        <v>Ohio</v>
      </c>
      <c r="B230" s="52" t="n">
        <f aca="false">'2016'!C41/1000000</f>
        <v>5.496487</v>
      </c>
      <c r="C230" s="52" t="n">
        <f aca="false">'2020'!C41/1000000</f>
        <v>5.922202</v>
      </c>
      <c r="D230" s="54" t="n">
        <f aca="false">'2024'!C41/1000000</f>
        <v>5.674445</v>
      </c>
      <c r="E230" s="53" t="n">
        <f aca="false">-0.5*(B230+D230)+C230</f>
        <v>0.336736</v>
      </c>
      <c r="F230" s="54" t="n">
        <f aca="false">IF(E230&gt;F$191,E230,"")</f>
        <v>0.336736</v>
      </c>
      <c r="G230" s="54" t="str">
        <f aca="false">IF(E230&lt;=F$191,E230,"")</f>
        <v/>
      </c>
      <c r="H230" s="52" t="n">
        <f aca="false">'2020'!D41/1000000</f>
        <v>3.154834</v>
      </c>
      <c r="I230" s="52" t="n">
        <f aca="false">'2020'!G41/1000000</f>
        <v>2.679165</v>
      </c>
      <c r="J230" s="55" t="n">
        <f aca="false">I230-H230</f>
        <v>-0.475669</v>
      </c>
      <c r="K230" s="6" t="str">
        <f aca="false">IF(ISNUMBER(F230),IF(AND(H230&lt;I230,H230&gt;I230-F230),$K$192,""),"")</f>
        <v/>
      </c>
      <c r="L230" s="6" t="str">
        <f aca="false">IF(ISNUMBER(F230),IF(AND(H230&gt;I230,H230-F230&lt;I230),$L$192,""),"")</f>
        <v/>
      </c>
      <c r="M230" s="6" t="str">
        <f aca="false">IF(AND(ABS(E230)&lt;ABS(H230-I230),ABS(E230)&gt;ABS($F$191)),$M$192,"")</f>
        <v>diffuse</v>
      </c>
      <c r="N230" s="18" t="str">
        <f aca="false">A230</f>
        <v>Ohio</v>
      </c>
    </row>
    <row r="231" customFormat="false" ht="12.75" hidden="false" customHeight="false" outlineLevel="0" collapsed="false">
      <c r="A231" s="6" t="str">
        <f aca="false">'2020'!A42</f>
        <v>Oklahoma</v>
      </c>
      <c r="B231" s="52" t="n">
        <f aca="false">'2016'!C42/1000000</f>
        <v>1.452992</v>
      </c>
      <c r="C231" s="52" t="n">
        <f aca="false">'2020'!C42/1000000</f>
        <v>1.560699</v>
      </c>
      <c r="D231" s="54" t="n">
        <f aca="false">'2024'!C42/1000000</f>
        <v>1.566173</v>
      </c>
      <c r="E231" s="53" t="n">
        <f aca="false">-0.5*(B231+D231)+C231</f>
        <v>0.0511165</v>
      </c>
      <c r="F231" s="54" t="str">
        <f aca="false">IF(E231&gt;F$191,E231,"")</f>
        <v/>
      </c>
      <c r="G231" s="54" t="n">
        <f aca="false">IF(E231&lt;=F$191,E231,"")</f>
        <v>0.0511165</v>
      </c>
      <c r="H231" s="52" t="n">
        <f aca="false">'2020'!D42/1000000</f>
        <v>1.02028</v>
      </c>
      <c r="I231" s="52" t="n">
        <f aca="false">'2020'!G42/1000000</f>
        <v>0.50389</v>
      </c>
      <c r="J231" s="55" t="n">
        <f aca="false">I231-H231</f>
        <v>-0.51639</v>
      </c>
      <c r="K231" s="6" t="str">
        <f aca="false">IF(ISNUMBER(F231),IF(AND(H231&lt;I231,H231&gt;I231-F231),$K$192,""),"")</f>
        <v/>
      </c>
      <c r="L231" s="6" t="str">
        <f aca="false">IF(ISNUMBER(F231),IF(AND(H231&gt;I231,H231-F231&lt;I231),$L$192,""),"")</f>
        <v/>
      </c>
      <c r="M231" s="6" t="str">
        <f aca="false">IF(AND(ABS(E231)&lt;ABS(H231-I231),ABS(E231)&gt;ABS($F$191)),$M$192,"")</f>
        <v/>
      </c>
      <c r="N231" s="18" t="str">
        <f aca="false">A231</f>
        <v>Oklahoma</v>
      </c>
    </row>
    <row r="232" customFormat="false" ht="12.75" hidden="false" customHeight="false" outlineLevel="0" collapsed="false">
      <c r="A232" s="6" t="str">
        <f aca="false">'2020'!A43</f>
        <v>Oregon</v>
      </c>
      <c r="B232" s="52" t="n">
        <f aca="false">'2016'!C43/1000000</f>
        <v>2.001336</v>
      </c>
      <c r="C232" s="52" t="n">
        <f aca="false">'2020'!C43/1000000</f>
        <v>2.374321</v>
      </c>
      <c r="D232" s="54" t="n">
        <f aca="false">'2024'!C43/1000000</f>
        <v>2.203461</v>
      </c>
      <c r="E232" s="53" t="n">
        <f aca="false">-0.5*(B232+D232)+C232</f>
        <v>0.271922500000001</v>
      </c>
      <c r="F232" s="54" t="str">
        <f aca="false">IF(E232&gt;F$191,E232,"")</f>
        <v/>
      </c>
      <c r="G232" s="54" t="n">
        <f aca="false">IF(E232&lt;=F$191,E232,"")</f>
        <v>0.271922500000001</v>
      </c>
      <c r="H232" s="52" t="n">
        <f aca="false">'2020'!D43/1000000</f>
        <v>0.958448</v>
      </c>
      <c r="I232" s="52" t="n">
        <f aca="false">'2020'!G43/1000000</f>
        <v>1.340383</v>
      </c>
      <c r="J232" s="55" t="n">
        <f aca="false">I232-H232</f>
        <v>0.381935</v>
      </c>
      <c r="K232" s="6" t="str">
        <f aca="false">IF(ISNUMBER(F232),IF(AND(H232&lt;I232,H232&gt;I232-F232),$K$192,""),"")</f>
        <v/>
      </c>
      <c r="L232" s="6" t="str">
        <f aca="false">IF(ISNUMBER(F232),IF(AND(H232&gt;I232,H232-F232&lt;I232),$L$192,""),"")</f>
        <v/>
      </c>
      <c r="M232" s="6" t="str">
        <f aca="false">IF(AND(ABS(E232)&lt;ABS(H232-I232),ABS(E232)&gt;ABS($F$191)),$M$192,"")</f>
        <v/>
      </c>
      <c r="N232" s="18" t="str">
        <f aca="false">A232</f>
        <v>Oregon</v>
      </c>
    </row>
    <row r="233" customFormat="false" ht="12.75" hidden="false" customHeight="false" outlineLevel="0" collapsed="false">
      <c r="A233" s="6" t="str">
        <f aca="false">'2020'!A44</f>
        <v>Pennsylvania</v>
      </c>
      <c r="B233" s="52" t="n">
        <f aca="false">'2016'!C44/1000000</f>
        <v>6.115402</v>
      </c>
      <c r="C233" s="52" t="n">
        <f aca="false">'2020'!C44/1000000</f>
        <v>6.915283</v>
      </c>
      <c r="D233" s="54" t="n">
        <f aca="false">'2024'!C44/1000000</f>
        <v>7.02154</v>
      </c>
      <c r="E233" s="53" t="n">
        <f aca="false">-0.5*(B233+D233)+C233</f>
        <v>0.346812</v>
      </c>
      <c r="F233" s="54" t="n">
        <f aca="false">IF(E233&gt;F$191,E233,"")</f>
        <v>0.346812</v>
      </c>
      <c r="G233" s="54" t="str">
        <f aca="false">IF(E233&lt;=F$191,E233,"")</f>
        <v/>
      </c>
      <c r="H233" s="52" t="n">
        <f aca="false">'2020'!D44/1000000</f>
        <v>3.377674</v>
      </c>
      <c r="I233" s="52" t="n">
        <f aca="false">'2020'!G44/1000000</f>
        <v>3.458229</v>
      </c>
      <c r="J233" s="55" t="n">
        <f aca="false">I233-H233</f>
        <v>0.0805550000000004</v>
      </c>
      <c r="K233" s="6" t="str">
        <f aca="false">IF(ISNUMBER(F233),IF(AND(H233&lt;I233,H233&gt;I233-F233),$K$192,""),"")</f>
        <v>novelty</v>
      </c>
      <c r="L233" s="6" t="str">
        <f aca="false">IF(ISNUMBER(F233),IF(AND(H233&gt;I233,H233-F233&lt;I233),$L$192,""),"")</f>
        <v/>
      </c>
      <c r="M233" s="6" t="str">
        <f aca="false">IF(AND(ABS(E233)&lt;ABS(H233-I233),ABS(E233)&gt;ABS($F$191)),$M$192,"")</f>
        <v/>
      </c>
      <c r="N233" s="18" t="str">
        <f aca="false">A233</f>
        <v>Pennsylvania</v>
      </c>
    </row>
    <row r="234" customFormat="false" ht="12.75" hidden="false" customHeight="false" outlineLevel="0" collapsed="false">
      <c r="A234" s="6" t="str">
        <f aca="false">'2020'!A45</f>
        <v>Rhode Island</v>
      </c>
      <c r="B234" s="52" t="n">
        <f aca="false">'2016'!C45/1000000</f>
        <v>0.464144</v>
      </c>
      <c r="C234" s="52" t="n">
        <f aca="false">'2020'!C45/1000000</f>
        <v>0.517757</v>
      </c>
      <c r="D234" s="54" t="n">
        <f aca="false">'2024'!C45/1000000</f>
        <v>0.513354</v>
      </c>
      <c r="E234" s="53" t="n">
        <f aca="false">-0.5*(B234+D234)+C234</f>
        <v>0.029008</v>
      </c>
      <c r="F234" s="54" t="str">
        <f aca="false">IF(E234&gt;F$191,E234,"")</f>
        <v/>
      </c>
      <c r="G234" s="54" t="n">
        <f aca="false">IF(E234&lt;=F$191,E234,"")</f>
        <v>0.029008</v>
      </c>
      <c r="H234" s="52" t="n">
        <f aca="false">'2020'!D45/1000000</f>
        <v>0.199922</v>
      </c>
      <c r="I234" s="52" t="n">
        <f aca="false">'2020'!G45/1000000</f>
        <v>0.307486</v>
      </c>
      <c r="J234" s="55" t="n">
        <f aca="false">I234-H234</f>
        <v>0.107564</v>
      </c>
      <c r="K234" s="6" t="str">
        <f aca="false">IF(ISNUMBER(F234),IF(AND(H234&lt;I234,H234&gt;I234-F234),$K$192,""),"")</f>
        <v/>
      </c>
      <c r="L234" s="6" t="str">
        <f aca="false">IF(ISNUMBER(F234),IF(AND(H234&gt;I234,H234-F234&lt;I234),$L$192,""),"")</f>
        <v/>
      </c>
      <c r="M234" s="6" t="str">
        <f aca="false">IF(AND(ABS(E234)&lt;ABS(H234-I234),ABS(E234)&gt;ABS($F$191)),$M$192,"")</f>
        <v/>
      </c>
      <c r="N234" s="18" t="str">
        <f aca="false">A234</f>
        <v>Rhode Island</v>
      </c>
    </row>
    <row r="235" customFormat="false" ht="12.75" hidden="false" customHeight="false" outlineLevel="0" collapsed="false">
      <c r="A235" s="6" t="str">
        <f aca="false">'2020'!A46</f>
        <v>South Carolina</v>
      </c>
      <c r="B235" s="52" t="n">
        <f aca="false">'2016'!C46/1000000</f>
        <v>2.103027</v>
      </c>
      <c r="C235" s="52" t="n">
        <f aca="false">'2020'!C46/1000000</f>
        <v>2.513329</v>
      </c>
      <c r="D235" s="54" t="n">
        <f aca="false">'2024'!C46/1000000</f>
        <v>2.54814</v>
      </c>
      <c r="E235" s="53" t="n">
        <f aca="false">-0.5*(B235+D235)+C235</f>
        <v>0.1877455</v>
      </c>
      <c r="F235" s="54" t="str">
        <f aca="false">IF(E235&gt;F$191,E235,"")</f>
        <v/>
      </c>
      <c r="G235" s="54" t="n">
        <f aca="false">IF(E235&lt;=F$191,E235,"")</f>
        <v>0.1877455</v>
      </c>
      <c r="H235" s="52" t="n">
        <f aca="false">'2020'!D46/1000000</f>
        <v>1.385103</v>
      </c>
      <c r="I235" s="52" t="n">
        <f aca="false">'2020'!G46/1000000</f>
        <v>1.091541</v>
      </c>
      <c r="J235" s="55" t="n">
        <f aca="false">I235-H235</f>
        <v>-0.293562</v>
      </c>
      <c r="K235" s="6" t="str">
        <f aca="false">IF(ISNUMBER(F235),IF(AND(H235&lt;I235,H235&gt;I235-F235),$K$192,""),"")</f>
        <v/>
      </c>
      <c r="L235" s="6" t="str">
        <f aca="false">IF(ISNUMBER(F235),IF(AND(H235&gt;I235,H235-F235&lt;I235),$L$192,""),"")</f>
        <v/>
      </c>
      <c r="M235" s="6" t="str">
        <f aca="false">IF(AND(ABS(E235)&lt;ABS(H235-I235),ABS(E235)&gt;ABS($F$191)),$M$192,"")</f>
        <v/>
      </c>
      <c r="N235" s="18" t="str">
        <f aca="false">A235</f>
        <v>South Carolina</v>
      </c>
    </row>
    <row r="236" customFormat="false" ht="12.75" hidden="false" customHeight="false" outlineLevel="0" collapsed="false">
      <c r="A236" s="6" t="str">
        <f aca="false">'2020'!A47</f>
        <v>South Dakota</v>
      </c>
      <c r="B236" s="52" t="n">
        <f aca="false">'2016'!C47/1000000</f>
        <v>0.370047</v>
      </c>
      <c r="C236" s="52" t="n">
        <f aca="false">'2020'!C47/1000000</f>
        <v>0.422609</v>
      </c>
      <c r="D236" s="54" t="n">
        <f aca="false">'2024'!C47/1000000</f>
        <v>0.428922</v>
      </c>
      <c r="E236" s="53" t="n">
        <f aca="false">-0.5*(B236+D236)+C236</f>
        <v>0.0231245</v>
      </c>
      <c r="F236" s="54" t="str">
        <f aca="false">IF(E236&gt;F$191,E236,"")</f>
        <v/>
      </c>
      <c r="G236" s="54" t="n">
        <f aca="false">IF(E236&lt;=F$191,E236,"")</f>
        <v>0.0231245</v>
      </c>
      <c r="H236" s="52" t="n">
        <f aca="false">'2020'!D47/1000000</f>
        <v>0.261043</v>
      </c>
      <c r="I236" s="52" t="n">
        <f aca="false">'2020'!G47/1000000</f>
        <v>0.150471</v>
      </c>
      <c r="J236" s="55" t="n">
        <f aca="false">I236-H236</f>
        <v>-0.110572</v>
      </c>
      <c r="K236" s="6" t="str">
        <f aca="false">IF(ISNUMBER(F236),IF(AND(H236&lt;I236,H236&gt;I236-F236),$K$192,""),"")</f>
        <v/>
      </c>
      <c r="L236" s="6" t="str">
        <f aca="false">IF(ISNUMBER(F236),IF(AND(H236&gt;I236,H236-F236&lt;I236),$L$192,""),"")</f>
        <v/>
      </c>
      <c r="M236" s="6" t="str">
        <f aca="false">IF(AND(ABS(E236)&lt;ABS(H236-I236),ABS(E236)&gt;ABS($F$191)),$M$192,"")</f>
        <v/>
      </c>
      <c r="N236" s="18" t="str">
        <f aca="false">A236</f>
        <v>South Dakota</v>
      </c>
    </row>
    <row r="237" customFormat="false" ht="12.75" hidden="false" customHeight="false" outlineLevel="0" collapsed="false">
      <c r="A237" s="6" t="str">
        <f aca="false">'2020'!A48</f>
        <v>Tennessee</v>
      </c>
      <c r="B237" s="52" t="n">
        <f aca="false">'2016'!C48/1000000</f>
        <v>2.508027</v>
      </c>
      <c r="C237" s="52" t="n">
        <f aca="false">'2020'!C48/1000000</f>
        <v>3.053851</v>
      </c>
      <c r="D237" s="54" t="n">
        <f aca="false">'2024'!C48/1000000</f>
        <v>3.060293</v>
      </c>
      <c r="E237" s="53" t="n">
        <f aca="false">-0.5*(B237+D237)+C237</f>
        <v>0.269691</v>
      </c>
      <c r="F237" s="54" t="str">
        <f aca="false">IF(E237&gt;F$191,E237,"")</f>
        <v/>
      </c>
      <c r="G237" s="54" t="n">
        <f aca="false">IF(E237&lt;=F$191,E237,"")</f>
        <v>0.269691</v>
      </c>
      <c r="H237" s="52" t="n">
        <f aca="false">'2020'!D48/1000000</f>
        <v>1.852475</v>
      </c>
      <c r="I237" s="52" t="n">
        <f aca="false">'2020'!G48/1000000</f>
        <v>1.143711</v>
      </c>
      <c r="J237" s="55" t="n">
        <f aca="false">I237-H237</f>
        <v>-0.708764</v>
      </c>
      <c r="K237" s="6" t="str">
        <f aca="false">IF(ISNUMBER(F237),IF(AND(H237&lt;I237,H237&gt;I237-F237),$K$192,""),"")</f>
        <v/>
      </c>
      <c r="L237" s="6" t="str">
        <f aca="false">IF(ISNUMBER(F237),IF(AND(H237&gt;I237,H237-F237&lt;I237),$L$192,""),"")</f>
        <v/>
      </c>
      <c r="M237" s="6" t="str">
        <f aca="false">IF(AND(ABS(E237)&lt;ABS(H237-I237),ABS(E237)&gt;ABS($F$191)),$M$192,"")</f>
        <v/>
      </c>
      <c r="N237" s="18" t="str">
        <f aca="false">A237</f>
        <v>Tennessee</v>
      </c>
    </row>
    <row r="238" customFormat="false" ht="12.75" hidden="false" customHeight="false" outlineLevel="0" collapsed="false">
      <c r="A238" s="6" t="str">
        <f aca="false">'2020'!A49</f>
        <v>Texas</v>
      </c>
      <c r="B238" s="52" t="n">
        <f aca="false">'2016'!C49/1000000</f>
        <v>8.969226</v>
      </c>
      <c r="C238" s="52" t="n">
        <f aca="false">'2020'!C49/1000000</f>
        <v>11.315056</v>
      </c>
      <c r="D238" s="54" t="n">
        <f aca="false">'2024'!C49/1000000</f>
        <v>11.340202</v>
      </c>
      <c r="E238" s="53" t="n">
        <f aca="false">-0.5*(B238+D238)+C238</f>
        <v>1.160342</v>
      </c>
      <c r="F238" s="54" t="n">
        <f aca="false">IF(E238&gt;F$191,E238,"")</f>
        <v>1.160342</v>
      </c>
      <c r="G238" s="54" t="str">
        <f aca="false">IF(E238&lt;=F$191,E238,"")</f>
        <v/>
      </c>
      <c r="H238" s="52" t="n">
        <f aca="false">'2020'!D49/1000000</f>
        <v>5.890347</v>
      </c>
      <c r="I238" s="52" t="n">
        <f aca="false">'2020'!G49/1000000</f>
        <v>5.259126</v>
      </c>
      <c r="J238" s="55" t="n">
        <f aca="false">I238-H238</f>
        <v>-0.631221</v>
      </c>
      <c r="K238" s="6" t="str">
        <f aca="false">IF(ISNUMBER(F238),IF(AND(H238&lt;I238,H238&gt;I238-F238),$K$192,""),"")</f>
        <v/>
      </c>
      <c r="L238" s="6" t="str">
        <f aca="false">IF(ISNUMBER(F238),IF(AND(H238&gt;I238,H238-F238&lt;I238),$L$192,""),"")</f>
        <v>anti-novelty</v>
      </c>
      <c r="M238" s="6" t="str">
        <f aca="false">IF(AND(ABS(E238)&lt;ABS(H238-I238),ABS(E238)&gt;ABS($F$191)),$M$192,"")</f>
        <v/>
      </c>
      <c r="N238" s="18" t="str">
        <f aca="false">A238</f>
        <v>Texas</v>
      </c>
    </row>
    <row r="239" customFormat="false" ht="12.75" hidden="false" customHeight="false" outlineLevel="0" collapsed="false">
      <c r="A239" s="6" t="str">
        <f aca="false">'2020'!A50</f>
        <v>Utah</v>
      </c>
      <c r="B239" s="52" t="n">
        <f aca="false">'2016'!C50/1000000</f>
        <v>1.13143</v>
      </c>
      <c r="C239" s="52" t="n">
        <f aca="false">'2020'!C50/1000000</f>
        <v>1.488289</v>
      </c>
      <c r="D239" s="54" t="n">
        <f aca="false">'2024'!C50/1000000</f>
        <v>1.472488</v>
      </c>
      <c r="E239" s="53" t="n">
        <f aca="false">-0.5*(B239+D239)+C239</f>
        <v>0.18633</v>
      </c>
      <c r="F239" s="54" t="str">
        <f aca="false">IF(E239&gt;F$191,E239,"")</f>
        <v/>
      </c>
      <c r="G239" s="54" t="n">
        <f aca="false">IF(E239&lt;=F$191,E239,"")</f>
        <v>0.18633</v>
      </c>
      <c r="H239" s="52" t="n">
        <f aca="false">'2020'!D50/1000000</f>
        <v>0.86514</v>
      </c>
      <c r="I239" s="52" t="n">
        <f aca="false">'2020'!G50/1000000</f>
        <v>0.560282</v>
      </c>
      <c r="J239" s="55" t="n">
        <f aca="false">I239-H239</f>
        <v>-0.304858</v>
      </c>
      <c r="K239" s="6" t="str">
        <f aca="false">IF(ISNUMBER(F239),IF(AND(H239&lt;I239,H239&gt;I239-F239),$K$192,""),"")</f>
        <v/>
      </c>
      <c r="L239" s="6" t="str">
        <f aca="false">IF(ISNUMBER(F239),IF(AND(H239&gt;I239,H239-F239&lt;I239),$L$192,""),"")</f>
        <v/>
      </c>
      <c r="M239" s="6" t="str">
        <f aca="false">IF(AND(ABS(E239)&lt;ABS(H239-I239),ABS(E239)&gt;ABS($F$191)),$M$192,"")</f>
        <v/>
      </c>
      <c r="N239" s="18" t="str">
        <f aca="false">A239</f>
        <v>Utah</v>
      </c>
    </row>
    <row r="240" customFormat="false" ht="12.75" hidden="false" customHeight="false" outlineLevel="0" collapsed="false">
      <c r="A240" s="6" t="str">
        <f aca="false">'2020'!A51</f>
        <v>Vermont</v>
      </c>
      <c r="B240" s="52" t="n">
        <f aca="false">'2016'!C51/1000000</f>
        <v>0.315067</v>
      </c>
      <c r="C240" s="52" t="n">
        <f aca="false">'2020'!C51/1000000</f>
        <v>0.367428</v>
      </c>
      <c r="D240" s="54" t="n">
        <f aca="false">'2024'!C51/1000000</f>
        <v>0.369422</v>
      </c>
      <c r="E240" s="53" t="n">
        <f aca="false">-0.5*(B240+D240)+C240</f>
        <v>0.0251835</v>
      </c>
      <c r="F240" s="54" t="str">
        <f aca="false">IF(E240&gt;F$191,E240,"")</f>
        <v/>
      </c>
      <c r="G240" s="54" t="n">
        <f aca="false">IF(E240&lt;=F$191,E240,"")</f>
        <v>0.0251835</v>
      </c>
      <c r="H240" s="52" t="n">
        <f aca="false">'2020'!D51/1000000</f>
        <v>0.112704</v>
      </c>
      <c r="I240" s="52" t="n">
        <f aca="false">'2020'!G51/1000000</f>
        <v>0.24282</v>
      </c>
      <c r="J240" s="55" t="n">
        <f aca="false">I240-H240</f>
        <v>0.130116</v>
      </c>
      <c r="K240" s="6" t="str">
        <f aca="false">IF(ISNUMBER(F240),IF(AND(H240&lt;I240,H240&gt;I240-F240),$K$192,""),"")</f>
        <v/>
      </c>
      <c r="L240" s="6" t="str">
        <f aca="false">IF(ISNUMBER(F240),IF(AND(H240&gt;I240,H240-F240&lt;I240),$L$192,""),"")</f>
        <v/>
      </c>
      <c r="M240" s="6" t="str">
        <f aca="false">IF(AND(ABS(E240)&lt;ABS(H240-I240),ABS(E240)&gt;ABS($F$191)),$M$192,"")</f>
        <v/>
      </c>
      <c r="N240" s="18" t="str">
        <f aca="false">A240</f>
        <v>Vermont</v>
      </c>
    </row>
    <row r="241" customFormat="false" ht="12.75" hidden="false" customHeight="false" outlineLevel="0" collapsed="false">
      <c r="A241" s="6" t="str">
        <f aca="false">'2020'!A52</f>
        <v>Virginia</v>
      </c>
      <c r="B241" s="52" t="n">
        <f aca="false">'2016'!C52/1000000</f>
        <v>3.982752</v>
      </c>
      <c r="C241" s="52" t="n">
        <f aca="false">'2020'!C52/1000000</f>
        <v>4.460524</v>
      </c>
      <c r="D241" s="54" t="n">
        <f aca="false">'2024'!C52/1000000</f>
        <v>4.502344</v>
      </c>
      <c r="E241" s="53" t="n">
        <f aca="false">-0.5*(B241+D241)+C241</f>
        <v>0.217976</v>
      </c>
      <c r="F241" s="54" t="str">
        <f aca="false">IF(E241&gt;F$191,E241,"")</f>
        <v/>
      </c>
      <c r="G241" s="54" t="n">
        <f aca="false">IF(E241&lt;=F$191,E241,"")</f>
        <v>0.217976</v>
      </c>
      <c r="H241" s="52" t="n">
        <f aca="false">'2020'!D52/1000000</f>
        <v>1.96243</v>
      </c>
      <c r="I241" s="52" t="n">
        <f aca="false">'2020'!G52/1000000</f>
        <v>2.413568</v>
      </c>
      <c r="J241" s="55" t="n">
        <f aca="false">I241-H241</f>
        <v>0.451138</v>
      </c>
      <c r="K241" s="6" t="str">
        <f aca="false">IF(ISNUMBER(F241),IF(AND(H241&lt;I241,H241&gt;I241-F241),$K$192,""),"")</f>
        <v/>
      </c>
      <c r="L241" s="6" t="str">
        <f aca="false">IF(ISNUMBER(F241),IF(AND(H241&gt;I241,H241-F241&lt;I241),$L$192,""),"")</f>
        <v/>
      </c>
      <c r="M241" s="6" t="str">
        <f aca="false">IF(AND(ABS(E241)&lt;ABS(H241-I241),ABS(E241)&gt;ABS($F$191)),$M$192,"")</f>
        <v/>
      </c>
      <c r="N241" s="18" t="str">
        <f aca="false">A241</f>
        <v>Virginia</v>
      </c>
    </row>
    <row r="242" customFormat="false" ht="12.75" hidden="false" customHeight="false" outlineLevel="0" collapsed="false">
      <c r="A242" s="6" t="str">
        <f aca="false">'2020'!A53</f>
        <v>Washington</v>
      </c>
      <c r="B242" s="52" t="n">
        <f aca="false">'2016'!C53/1000000</f>
        <v>3.209214</v>
      </c>
      <c r="C242" s="52" t="n">
        <f aca="false">'2020'!C53/1000000</f>
        <v>4.087631</v>
      </c>
      <c r="D242" s="54" t="n">
        <f aca="false">'2024'!C53/1000000</f>
        <v>3.87077</v>
      </c>
      <c r="E242" s="53" t="n">
        <f aca="false">-0.5*(B242+D242)+C242</f>
        <v>0.547639</v>
      </c>
      <c r="F242" s="54" t="n">
        <f aca="false">IF(E242&gt;F$191,E242,"")</f>
        <v>0.547639</v>
      </c>
      <c r="G242" s="54" t="str">
        <f aca="false">IF(E242&lt;=F$191,E242,"")</f>
        <v/>
      </c>
      <c r="H242" s="52" t="n">
        <f aca="false">'2020'!D53/1000000</f>
        <v>1.584651</v>
      </c>
      <c r="I242" s="52" t="n">
        <f aca="false">'2020'!G53/1000000</f>
        <v>2.369612</v>
      </c>
      <c r="J242" s="55" t="n">
        <f aca="false">I242-H242</f>
        <v>0.784961</v>
      </c>
      <c r="K242" s="6" t="str">
        <f aca="false">IF(ISNUMBER(F242),IF(AND(H242&lt;I242,H242&gt;I242-F242),$K$192,""),"")</f>
        <v/>
      </c>
      <c r="L242" s="6" t="str">
        <f aca="false">IF(ISNUMBER(F242),IF(AND(H242&gt;I242,H242-F242&lt;I242),$L$192,""),"")</f>
        <v/>
      </c>
      <c r="M242" s="6" t="str">
        <f aca="false">IF(AND(ABS(E242)&lt;ABS(H242-I242),ABS(E242)&gt;ABS($F$191)),$M$192,"")</f>
        <v>diffuse</v>
      </c>
      <c r="N242" s="18" t="str">
        <f aca="false">A242</f>
        <v>Washington</v>
      </c>
    </row>
    <row r="243" customFormat="false" ht="12.75" hidden="false" customHeight="false" outlineLevel="0" collapsed="false">
      <c r="A243" s="6" t="str">
        <f aca="false">'2020'!A54</f>
        <v>West Virginia</v>
      </c>
      <c r="B243" s="52" t="n">
        <f aca="false">'2016'!C54/1000000</f>
        <v>0.713051</v>
      </c>
      <c r="C243" s="52" t="n">
        <f aca="false">'2020'!C54/1000000</f>
        <v>0.794652</v>
      </c>
      <c r="D243" s="54" t="n">
        <f aca="false">'2024'!C54/1000000</f>
        <v>0.76239</v>
      </c>
      <c r="E243" s="53" t="n">
        <f aca="false">-0.5*(B243+D243)+C243</f>
        <v>0.0569315</v>
      </c>
      <c r="F243" s="54" t="str">
        <f aca="false">IF(E243&gt;F$191,E243,"")</f>
        <v/>
      </c>
      <c r="G243" s="54" t="n">
        <f aca="false">IF(E243&lt;=F$191,E243,"")</f>
        <v>0.0569315</v>
      </c>
      <c r="H243" s="52" t="n">
        <f aca="false">'2020'!D54/1000000</f>
        <v>0.545382</v>
      </c>
      <c r="I243" s="52" t="n">
        <f aca="false">'2020'!G54/1000000</f>
        <v>0.235984</v>
      </c>
      <c r="J243" s="55" t="n">
        <f aca="false">I243-H243</f>
        <v>-0.309398</v>
      </c>
      <c r="K243" s="6" t="str">
        <f aca="false">IF(ISNUMBER(F243),IF(AND(H243&lt;I243,H243&gt;I243-F243),$K$192,""),"")</f>
        <v/>
      </c>
      <c r="L243" s="6" t="str">
        <f aca="false">IF(ISNUMBER(F243),IF(AND(H243&gt;I243,H243-F243&lt;I243),$L$192,""),"")</f>
        <v/>
      </c>
      <c r="M243" s="6" t="str">
        <f aca="false">IF(AND(ABS(E243)&lt;ABS(H243-I243),ABS(E243)&gt;ABS($F$191)),$M$192,"")</f>
        <v/>
      </c>
      <c r="N243" s="18" t="str">
        <f aca="false">A243</f>
        <v>West Virginia</v>
      </c>
    </row>
    <row r="244" customFormat="false" ht="12.75" hidden="false" customHeight="false" outlineLevel="0" collapsed="false">
      <c r="A244" s="6" t="str">
        <f aca="false">'2020'!A55</f>
        <v>Wisconsin</v>
      </c>
      <c r="B244" s="52" t="n">
        <f aca="false">'2016'!C55/1000000</f>
        <v>2.97615</v>
      </c>
      <c r="C244" s="52" t="n">
        <f aca="false">'2020'!C55/1000000</f>
        <v>3.298041</v>
      </c>
      <c r="D244" s="54" t="n">
        <f aca="false">'2024'!C55/1000000</f>
        <v>3.416272</v>
      </c>
      <c r="E244" s="53" t="n">
        <f aca="false">-0.5*(B244+D244)+C244</f>
        <v>0.10183</v>
      </c>
      <c r="F244" s="54" t="str">
        <f aca="false">IF(E244&gt;F$191,E244,"")</f>
        <v/>
      </c>
      <c r="G244" s="54" t="n">
        <f aca="false">IF(E244&lt;=F$191,E244,"")</f>
        <v>0.10183</v>
      </c>
      <c r="H244" s="52" t="n">
        <f aca="false">'2020'!D55/1000000</f>
        <v>1.610184</v>
      </c>
      <c r="I244" s="52" t="n">
        <f aca="false">'2020'!G55/1000000</f>
        <v>1.630866</v>
      </c>
      <c r="J244" s="55" t="n">
        <f aca="false">I244-H244</f>
        <v>0.0206819999999999</v>
      </c>
      <c r="K244" s="6" t="str">
        <f aca="false">IF(ISNUMBER(F244),IF(AND(H244&lt;I244,H244&gt;I244-F244),$K$192,""),"")</f>
        <v/>
      </c>
      <c r="L244" s="6" t="str">
        <f aca="false">IF(ISNUMBER(F244),IF(AND(H244&gt;I244,H244-F244&lt;I244),$L$192,""),"")</f>
        <v/>
      </c>
      <c r="M244" s="6" t="str">
        <f aca="false">IF(AND(ABS(E244)&lt;ABS(H244-I244),ABS(E244)&gt;ABS($F$191)),$M$192,"")</f>
        <v/>
      </c>
      <c r="N244" s="18" t="str">
        <f aca="false">A244</f>
        <v>Wisconsin</v>
      </c>
    </row>
    <row r="245" customFormat="false" ht="12.75" hidden="false" customHeight="false" outlineLevel="0" collapsed="false">
      <c r="A245" s="6" t="str">
        <f aca="false">'2020'!A56</f>
        <v>Wyoming</v>
      </c>
      <c r="B245" s="52" t="n">
        <f aca="false">'2016'!C56/1000000</f>
        <v>0.255849</v>
      </c>
      <c r="C245" s="52" t="n">
        <f aca="false">'2020'!C56/1000000</f>
        <v>0.276765</v>
      </c>
      <c r="D245" s="54" t="n">
        <f aca="false">'2024'!C56/1000000</f>
        <v>0.269048</v>
      </c>
      <c r="E245" s="53" t="n">
        <f aca="false">-0.5*(B245+D245)+C245</f>
        <v>0.0143165</v>
      </c>
      <c r="F245" s="54" t="str">
        <f aca="false">IF(E245&gt;F$191,E245,"")</f>
        <v/>
      </c>
      <c r="G245" s="54" t="n">
        <f aca="false">IF(E245&lt;=F$191,E245,"")</f>
        <v>0.0143165</v>
      </c>
      <c r="H245" s="52" t="n">
        <f aca="false">'2020'!D56/1000000</f>
        <v>0.193559</v>
      </c>
      <c r="I245" s="52" t="n">
        <f aca="false">'2020'!G56/1000000</f>
        <v>0.073491</v>
      </c>
      <c r="J245" s="55" t="n">
        <f aca="false">I245-H245</f>
        <v>-0.120068</v>
      </c>
      <c r="K245" s="6" t="str">
        <f aca="false">IF(ISNUMBER(F245),IF(AND(H245&lt;I245,H245&gt;I245-F245),$K$192,""),"")</f>
        <v/>
      </c>
      <c r="L245" s="6" t="str">
        <f aca="false">IF(ISNUMBER(F245),IF(AND(H245&gt;I245,H245-F245&lt;I245),$L$192,""),"")</f>
        <v/>
      </c>
      <c r="M245" s="6" t="str">
        <f aca="false">IF(AND(ABS(E245)&lt;ABS(H245-I245),ABS(E245)&gt;ABS($F$191)),$M$192,"")</f>
        <v/>
      </c>
      <c r="N245" s="18" t="str">
        <f aca="false">A245</f>
        <v>Wyoming</v>
      </c>
    </row>
    <row r="246" customFormat="false" ht="12.75" hidden="false" customHeight="false" outlineLevel="0" collapsed="false">
      <c r="B246" s="57"/>
      <c r="C246" s="57"/>
      <c r="D246" s="29" t="s">
        <v>95</v>
      </c>
      <c r="E246" s="57" t="n">
        <f aca="false">SUM(E195:E245)</f>
        <v>13.622758</v>
      </c>
      <c r="F246" s="57" t="n">
        <f aca="false">SUM(F195:F245)</f>
        <v>9.374997</v>
      </c>
      <c r="G246" s="57" t="n">
        <f aca="false">AVERAGE(G195:G245)</f>
        <v>0.111783184210526</v>
      </c>
      <c r="K246" s="58" t="n">
        <f aca="false">SUMIFS(F195:F245,K195:K245,$K$192)</f>
        <v>1.398572</v>
      </c>
      <c r="L246" s="59" t="n">
        <f aca="false">SUMIFS(F195:F245,L195:L245,$L$192)</f>
        <v>2.376459</v>
      </c>
      <c r="M246" s="60" t="n">
        <f aca="false">SUMIFS(F195:F245,M195:M245,$M$192)</f>
        <v>5.599966</v>
      </c>
    </row>
    <row r="247" customFormat="false" ht="12.75" hidden="false" customHeight="false" outlineLevel="0" collapsed="false">
      <c r="B247" s="57"/>
      <c r="C247" s="57"/>
      <c r="D247" s="29" t="s">
        <v>96</v>
      </c>
      <c r="E247" s="58" t="n">
        <f aca="false">K247/F246</f>
        <v>0.402670102187766</v>
      </c>
      <c r="F247" s="57" t="n">
        <f aca="false">COUNT(F195:F245)</f>
        <v>13</v>
      </c>
      <c r="G247" s="57" t="n">
        <f aca="false">STDEV(G195:G245)</f>
        <v>0.0811885919582786</v>
      </c>
      <c r="K247" s="57" t="n">
        <f aca="false">K246+L246</f>
        <v>3.775031</v>
      </c>
    </row>
    <row r="249" customFormat="false" ht="12.75" hidden="false" customHeight="true" outlineLevel="0" collapsed="false">
      <c r="A249" s="39" t="s">
        <v>105</v>
      </c>
      <c r="B249" s="39"/>
      <c r="C249" s="39"/>
      <c r="D249" s="39"/>
      <c r="E249" s="39"/>
      <c r="F249" s="39"/>
      <c r="G249" s="39"/>
      <c r="H249" s="39"/>
      <c r="I249" s="39"/>
      <c r="J249" s="39"/>
    </row>
    <row r="250" customFormat="false" ht="12.75" hidden="false" customHeight="false" outlineLevel="0" collapsed="false">
      <c r="A250" s="39"/>
      <c r="B250" s="39"/>
      <c r="C250" s="39"/>
      <c r="D250" s="39"/>
      <c r="E250" s="39"/>
      <c r="F250" s="39"/>
      <c r="G250" s="39"/>
      <c r="H250" s="39"/>
      <c r="I250" s="39"/>
      <c r="J250" s="39"/>
    </row>
    <row r="251" customFormat="false" ht="12.75" hidden="false" customHeight="false" outlineLevel="0" collapsed="false">
      <c r="A251" s="39"/>
      <c r="B251" s="39"/>
      <c r="C251" s="39"/>
      <c r="D251" s="39"/>
      <c r="E251" s="39"/>
      <c r="F251" s="39"/>
      <c r="G251" s="39"/>
      <c r="H251" s="39"/>
      <c r="I251" s="39"/>
      <c r="J251" s="39"/>
    </row>
    <row r="252" customFormat="false" ht="12.75" hidden="false" customHeight="true" outlineLevel="0" collapsed="false">
      <c r="A252" s="39" t="s">
        <v>106</v>
      </c>
      <c r="B252" s="39"/>
      <c r="C252" s="39"/>
      <c r="D252" s="39"/>
      <c r="E252" s="39"/>
      <c r="F252" s="39"/>
      <c r="G252" s="39"/>
      <c r="H252" s="39"/>
      <c r="I252" s="39"/>
      <c r="J252" s="39"/>
    </row>
    <row r="253" customFormat="false" ht="12.75" hidden="false" customHeight="false" outlineLevel="0" collapsed="false">
      <c r="A253" s="39"/>
      <c r="B253" s="39"/>
      <c r="C253" s="39"/>
      <c r="D253" s="39"/>
      <c r="E253" s="39"/>
      <c r="F253" s="39"/>
      <c r="G253" s="39"/>
      <c r="H253" s="39"/>
      <c r="I253" s="39"/>
      <c r="J253" s="39"/>
    </row>
    <row r="254" customFormat="false" ht="12.75" hidden="false" customHeight="false" outlineLevel="0" collapsed="false">
      <c r="A254" s="39"/>
      <c r="B254" s="39"/>
      <c r="C254" s="39"/>
      <c r="D254" s="39"/>
      <c r="E254" s="39"/>
      <c r="F254" s="39"/>
      <c r="G254" s="39"/>
      <c r="H254" s="39"/>
      <c r="I254" s="39"/>
      <c r="J254" s="39"/>
    </row>
  </sheetData>
  <mergeCells count="52">
    <mergeCell ref="A1:G1"/>
    <mergeCell ref="A6:F6"/>
    <mergeCell ref="A7:F7"/>
    <mergeCell ref="A8:F8"/>
    <mergeCell ref="C11:F11"/>
    <mergeCell ref="C12:F12"/>
    <mergeCell ref="C13:F13"/>
    <mergeCell ref="A14:G15"/>
    <mergeCell ref="A16:G18"/>
    <mergeCell ref="B21:B22"/>
    <mergeCell ref="C21:C22"/>
    <mergeCell ref="D21:E21"/>
    <mergeCell ref="B33:E33"/>
    <mergeCell ref="F33:H33"/>
    <mergeCell ref="I33:I34"/>
    <mergeCell ref="A45:C45"/>
    <mergeCell ref="D46:E46"/>
    <mergeCell ref="F46:G46"/>
    <mergeCell ref="H46:J46"/>
    <mergeCell ref="A83:H86"/>
    <mergeCell ref="A87:H88"/>
    <mergeCell ref="C93:E93"/>
    <mergeCell ref="A102:G102"/>
    <mergeCell ref="G105:I105"/>
    <mergeCell ref="C106:D106"/>
    <mergeCell ref="E106:F106"/>
    <mergeCell ref="G106:I106"/>
    <mergeCell ref="A115:I116"/>
    <mergeCell ref="A121:G121"/>
    <mergeCell ref="B122:G122"/>
    <mergeCell ref="B123:G123"/>
    <mergeCell ref="B124:G124"/>
    <mergeCell ref="A127:E127"/>
    <mergeCell ref="K127:M127"/>
    <mergeCell ref="B129:D129"/>
    <mergeCell ref="E129:G129"/>
    <mergeCell ref="H129:J129"/>
    <mergeCell ref="K129:K130"/>
    <mergeCell ref="L129:L130"/>
    <mergeCell ref="M129:M130"/>
    <mergeCell ref="A186:L187"/>
    <mergeCell ref="A188:L188"/>
    <mergeCell ref="A191:E191"/>
    <mergeCell ref="K191:M191"/>
    <mergeCell ref="B193:D193"/>
    <mergeCell ref="E193:G193"/>
    <mergeCell ref="H193:J193"/>
    <mergeCell ref="K193:K194"/>
    <mergeCell ref="L193:L194"/>
    <mergeCell ref="M193:M194"/>
    <mergeCell ref="A249:J251"/>
    <mergeCell ref="A252:J25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5703125" defaultRowHeight="12.75" zeroHeight="false" outlineLevelRow="0" outlineLevelCol="0"/>
  <cols>
    <col collapsed="false" customWidth="true" hidden="false" outlineLevel="0" max="2" min="1" style="16" width="13.86"/>
    <col collapsed="false" customWidth="true" hidden="false" outlineLevel="0" max="6" min="5" style="16" width="13.86"/>
    <col collapsed="false" customWidth="true" hidden="false" outlineLevel="0" max="9" min="8" style="16" width="13.86"/>
    <col collapsed="false" customWidth="true" hidden="false" outlineLevel="0" max="12" min="12" style="16" width="13.86"/>
  </cols>
  <sheetData>
    <row r="1" customFormat="false" ht="12.75" hidden="false" customHeight="false" outlineLevel="0" collapsed="false">
      <c r="A1" s="66" t="s">
        <v>22</v>
      </c>
      <c r="B1" s="67" t="n">
        <v>2000</v>
      </c>
      <c r="C1" s="68"/>
      <c r="D1" s="68"/>
      <c r="E1" s="68"/>
      <c r="F1" s="68"/>
      <c r="G1" s="68"/>
      <c r="H1" s="68"/>
      <c r="I1" s="68"/>
      <c r="J1" s="68"/>
      <c r="K1" s="68"/>
    </row>
    <row r="2" customFormat="false" ht="12.75" hidden="false" customHeight="false" outlineLevel="0" collapsed="false">
      <c r="A2" s="66" t="s">
        <v>107</v>
      </c>
      <c r="B2" s="69" t="n">
        <f aca="false">SUM(C6:C56)</f>
        <v>105396627</v>
      </c>
      <c r="C2" s="69" t="n">
        <f aca="false">SUM(D6:D56)</f>
        <v>50455156</v>
      </c>
      <c r="D2" s="69" t="n">
        <f aca="false">SUM(G6:G56)</f>
        <v>50992335</v>
      </c>
      <c r="E2" s="70" t="n">
        <f aca="false">SUM(J6:J56)</f>
        <v>2882738</v>
      </c>
      <c r="F2" s="68"/>
      <c r="G2" s="68"/>
      <c r="H2" s="68"/>
      <c r="I2" s="68"/>
      <c r="J2" s="68"/>
      <c r="K2" s="68"/>
    </row>
    <row r="3" customFormat="false" ht="12.75" hidden="false" customHeight="false" outlineLevel="0" collapsed="false">
      <c r="A3" s="66"/>
      <c r="B3" s="68"/>
      <c r="C3" s="68"/>
      <c r="D3" s="68"/>
      <c r="E3" s="68"/>
      <c r="F3" s="68"/>
      <c r="G3" s="68"/>
      <c r="H3" s="68"/>
      <c r="I3" s="68"/>
      <c r="J3" s="68"/>
      <c r="K3" s="68"/>
    </row>
    <row r="4" customFormat="false" ht="12.75" hidden="false" customHeight="true" outlineLevel="0" collapsed="false">
      <c r="A4" s="71" t="s">
        <v>108</v>
      </c>
      <c r="B4" s="11" t="s">
        <v>109</v>
      </c>
      <c r="C4" s="71" t="s">
        <v>110</v>
      </c>
      <c r="D4" s="72" t="s">
        <v>111</v>
      </c>
      <c r="E4" s="72"/>
      <c r="F4" s="72"/>
      <c r="G4" s="73" t="s">
        <v>112</v>
      </c>
      <c r="H4" s="73"/>
      <c r="I4" s="73"/>
      <c r="J4" s="71" t="s">
        <v>113</v>
      </c>
      <c r="K4" s="71"/>
    </row>
    <row r="5" customFormat="false" ht="12.75" hidden="false" customHeight="true" outlineLevel="0" collapsed="false">
      <c r="A5" s="71"/>
      <c r="B5" s="11"/>
      <c r="C5" s="71"/>
      <c r="D5" s="74" t="s">
        <v>114</v>
      </c>
      <c r="E5" s="75" t="s">
        <v>115</v>
      </c>
      <c r="F5" s="75" t="s">
        <v>116</v>
      </c>
      <c r="G5" s="76" t="s">
        <v>114</v>
      </c>
      <c r="H5" s="77" t="s">
        <v>115</v>
      </c>
      <c r="I5" s="77" t="s">
        <v>116</v>
      </c>
      <c r="J5" s="78" t="s">
        <v>114</v>
      </c>
      <c r="K5" s="79" t="s">
        <v>115</v>
      </c>
    </row>
    <row r="6" customFormat="false" ht="12.75" hidden="false" customHeight="true" outlineLevel="0" collapsed="false">
      <c r="A6" s="80" t="s">
        <v>117</v>
      </c>
      <c r="B6" s="67" t="n">
        <v>9</v>
      </c>
      <c r="C6" s="81" t="n">
        <v>1666272</v>
      </c>
      <c r="D6" s="81" t="n">
        <v>941173</v>
      </c>
      <c r="E6" s="67" t="n">
        <v>56.5</v>
      </c>
      <c r="F6" s="67" t="n">
        <f aca="false">IF(D6&gt;G6,B6,"")</f>
        <v>9</v>
      </c>
      <c r="G6" s="81" t="n">
        <v>692611</v>
      </c>
      <c r="H6" s="67" t="n">
        <v>41.6</v>
      </c>
      <c r="I6" s="67" t="str">
        <f aca="false">IF(D6&lt;G6,B6,"")</f>
        <v/>
      </c>
      <c r="J6" s="81" t="n">
        <v>18323</v>
      </c>
      <c r="K6" s="67" t="n">
        <v>1.1</v>
      </c>
    </row>
    <row r="7" customFormat="false" ht="12.75" hidden="false" customHeight="false" outlineLevel="0" collapsed="false">
      <c r="A7" s="80" t="s">
        <v>118</v>
      </c>
      <c r="B7" s="67" t="n">
        <v>3</v>
      </c>
      <c r="C7" s="81" t="n">
        <v>285560</v>
      </c>
      <c r="D7" s="81" t="n">
        <v>167398</v>
      </c>
      <c r="E7" s="67" t="n">
        <v>58.6</v>
      </c>
      <c r="F7" s="67" t="n">
        <f aca="false">IF(D7&gt;G7,B7,"")</f>
        <v>3</v>
      </c>
      <c r="G7" s="81" t="n">
        <v>79004</v>
      </c>
      <c r="H7" s="67" t="n">
        <v>27.7</v>
      </c>
      <c r="I7" s="67" t="str">
        <f aca="false">IF(D7&lt;G7,B7,"")</f>
        <v/>
      </c>
      <c r="J7" s="81" t="n">
        <v>28747</v>
      </c>
      <c r="K7" s="67" t="n">
        <v>10.1</v>
      </c>
    </row>
    <row r="8" customFormat="false" ht="12.75" hidden="false" customHeight="false" outlineLevel="0" collapsed="false">
      <c r="A8" s="80" t="s">
        <v>119</v>
      </c>
      <c r="B8" s="67" t="n">
        <v>8</v>
      </c>
      <c r="C8" s="81" t="n">
        <v>1532016</v>
      </c>
      <c r="D8" s="81" t="n">
        <v>781652</v>
      </c>
      <c r="E8" s="67" t="n">
        <v>51</v>
      </c>
      <c r="F8" s="67" t="n">
        <f aca="false">IF(D8&gt;G8,B8,"")</f>
        <v>8</v>
      </c>
      <c r="G8" s="81" t="n">
        <v>685341</v>
      </c>
      <c r="H8" s="67" t="n">
        <v>44.7</v>
      </c>
      <c r="I8" s="67" t="str">
        <f aca="false">IF(D8&lt;G8,B8,"")</f>
        <v/>
      </c>
      <c r="J8" s="81" t="n">
        <v>45645</v>
      </c>
      <c r="K8" s="67" t="n">
        <v>3</v>
      </c>
    </row>
    <row r="9" customFormat="false" ht="12.75" hidden="false" customHeight="false" outlineLevel="0" collapsed="false">
      <c r="A9" s="80" t="s">
        <v>120</v>
      </c>
      <c r="B9" s="67" t="n">
        <v>6</v>
      </c>
      <c r="C9" s="81" t="n">
        <v>921781</v>
      </c>
      <c r="D9" s="81" t="n">
        <v>472940</v>
      </c>
      <c r="E9" s="67" t="n">
        <v>51.3</v>
      </c>
      <c r="F9" s="67" t="n">
        <f aca="false">IF(D9&gt;G9,B9,"")</f>
        <v>6</v>
      </c>
      <c r="G9" s="81" t="n">
        <v>422768</v>
      </c>
      <c r="H9" s="67" t="n">
        <v>45.9</v>
      </c>
      <c r="I9" s="67" t="str">
        <f aca="false">IF(D9&lt;G9,B9,"")</f>
        <v/>
      </c>
      <c r="J9" s="81" t="n">
        <v>13421</v>
      </c>
      <c r="K9" s="67" t="n">
        <v>1.5</v>
      </c>
    </row>
    <row r="10" customFormat="false" ht="12.75" hidden="false" customHeight="false" outlineLevel="0" collapsed="false">
      <c r="A10" s="80" t="s">
        <v>121</v>
      </c>
      <c r="B10" s="67" t="n">
        <v>54</v>
      </c>
      <c r="C10" s="81" t="n">
        <v>10965856</v>
      </c>
      <c r="D10" s="81" t="n">
        <v>4567429</v>
      </c>
      <c r="E10" s="67" t="n">
        <v>41.7</v>
      </c>
      <c r="F10" s="67" t="str">
        <f aca="false">IF(D10&gt;G10,B10,"")</f>
        <v/>
      </c>
      <c r="G10" s="81" t="n">
        <v>5861203</v>
      </c>
      <c r="H10" s="67" t="n">
        <v>53.4</v>
      </c>
      <c r="I10" s="67" t="n">
        <f aca="false">IF(D10&lt;G10,B10,"")</f>
        <v>54</v>
      </c>
      <c r="J10" s="81" t="n">
        <v>418707</v>
      </c>
      <c r="K10" s="67" t="n">
        <v>3.8</v>
      </c>
    </row>
    <row r="11" customFormat="false" ht="12.75" hidden="false" customHeight="false" outlineLevel="0" collapsed="false">
      <c r="A11" s="80" t="s">
        <v>122</v>
      </c>
      <c r="B11" s="67" t="n">
        <v>8</v>
      </c>
      <c r="C11" s="81" t="n">
        <v>1741368</v>
      </c>
      <c r="D11" s="81" t="n">
        <v>883748</v>
      </c>
      <c r="E11" s="67" t="n">
        <v>50.8</v>
      </c>
      <c r="F11" s="67" t="n">
        <f aca="false">IF(D11&gt;G11,B11,"")</f>
        <v>8</v>
      </c>
      <c r="G11" s="81" t="n">
        <v>738227</v>
      </c>
      <c r="H11" s="67" t="n">
        <v>42.4</v>
      </c>
      <c r="I11" s="67" t="str">
        <f aca="false">IF(D11&lt;G11,B11,"")</f>
        <v/>
      </c>
      <c r="J11" s="81" t="n">
        <v>91434</v>
      </c>
      <c r="K11" s="67" t="n">
        <v>5.3</v>
      </c>
    </row>
    <row r="12" customFormat="false" ht="12.75" hidden="false" customHeight="false" outlineLevel="0" collapsed="false">
      <c r="A12" s="80" t="s">
        <v>123</v>
      </c>
      <c r="B12" s="67" t="n">
        <v>8</v>
      </c>
      <c r="C12" s="81" t="n">
        <v>1459525</v>
      </c>
      <c r="D12" s="81" t="n">
        <v>561094</v>
      </c>
      <c r="E12" s="67" t="n">
        <v>38.4</v>
      </c>
      <c r="F12" s="67" t="str">
        <f aca="false">IF(D12&gt;G12,B12,"")</f>
        <v/>
      </c>
      <c r="G12" s="81" t="n">
        <v>816015</v>
      </c>
      <c r="H12" s="67" t="n">
        <v>55.9</v>
      </c>
      <c r="I12" s="67" t="n">
        <f aca="false">IF(D12&lt;G12,B12,"")</f>
        <v>8</v>
      </c>
      <c r="J12" s="81" t="n">
        <v>64452</v>
      </c>
      <c r="K12" s="67" t="n">
        <v>4.4</v>
      </c>
    </row>
    <row r="13" customFormat="false" ht="12.75" hidden="false" customHeight="false" outlineLevel="0" collapsed="false">
      <c r="A13" s="80" t="s">
        <v>124</v>
      </c>
      <c r="B13" s="67" t="n">
        <v>3</v>
      </c>
      <c r="C13" s="81" t="n">
        <v>327622</v>
      </c>
      <c r="D13" s="81" t="n">
        <v>137288</v>
      </c>
      <c r="E13" s="67" t="n">
        <v>41.9</v>
      </c>
      <c r="F13" s="67" t="str">
        <f aca="false">IF(D13&gt;G13,B13,"")</f>
        <v/>
      </c>
      <c r="G13" s="81" t="n">
        <v>180068</v>
      </c>
      <c r="H13" s="67" t="n">
        <v>55</v>
      </c>
      <c r="I13" s="67" t="n">
        <f aca="false">IF(D13&lt;G13,B13,"")</f>
        <v>3</v>
      </c>
      <c r="J13" s="81" t="n">
        <v>8307</v>
      </c>
      <c r="K13" s="67" t="n">
        <v>2.5</v>
      </c>
    </row>
    <row r="14" customFormat="false" ht="12.75" hidden="false" customHeight="false" outlineLevel="0" collapsed="false">
      <c r="A14" s="80" t="s">
        <v>125</v>
      </c>
      <c r="B14" s="80" t="s">
        <v>126</v>
      </c>
      <c r="C14" s="81" t="n">
        <v>201894</v>
      </c>
      <c r="D14" s="81" t="n">
        <v>18073</v>
      </c>
      <c r="E14" s="67" t="n">
        <v>9</v>
      </c>
      <c r="F14" s="67" t="str">
        <f aca="false">IF(D14&gt;G14,B14,"")</f>
        <v/>
      </c>
      <c r="G14" s="81" t="n">
        <v>171923</v>
      </c>
      <c r="H14" s="67" t="n">
        <v>85.2</v>
      </c>
      <c r="I14" s="67" t="str">
        <f aca="false">IF(D14&lt;G14,B14,"")</f>
        <v>2*</v>
      </c>
      <c r="J14" s="81" t="n">
        <v>10576</v>
      </c>
      <c r="K14" s="67" t="n">
        <v>5.2</v>
      </c>
    </row>
    <row r="15" customFormat="false" ht="12.75" hidden="false" customHeight="false" outlineLevel="0" collapsed="false">
      <c r="A15" s="80" t="s">
        <v>127</v>
      </c>
      <c r="B15" s="67" t="n">
        <v>25</v>
      </c>
      <c r="C15" s="81" t="n">
        <v>5963110</v>
      </c>
      <c r="D15" s="81" t="n">
        <v>2912790</v>
      </c>
      <c r="E15" s="67" t="n">
        <v>48.8</v>
      </c>
      <c r="F15" s="67" t="n">
        <f aca="false">IF(D15&gt;G15,B15,"")</f>
        <v>25</v>
      </c>
      <c r="G15" s="81" t="n">
        <v>2912253</v>
      </c>
      <c r="H15" s="67" t="n">
        <v>48.8</v>
      </c>
      <c r="I15" s="67" t="str">
        <f aca="false">IF(D15&lt;G15,B15,"")</f>
        <v/>
      </c>
      <c r="J15" s="81" t="n">
        <v>97488</v>
      </c>
      <c r="K15" s="67" t="n">
        <v>1.6</v>
      </c>
    </row>
    <row r="16" customFormat="false" ht="12.75" hidden="false" customHeight="false" outlineLevel="0" collapsed="false">
      <c r="A16" s="80" t="s">
        <v>128</v>
      </c>
      <c r="B16" s="67" t="n">
        <v>13</v>
      </c>
      <c r="C16" s="81" t="n">
        <v>2596645</v>
      </c>
      <c r="D16" s="81" t="n">
        <v>1419720</v>
      </c>
      <c r="E16" s="67" t="n">
        <v>54.7</v>
      </c>
      <c r="F16" s="67" t="n">
        <f aca="false">IF(D16&gt;G16,B16,"")</f>
        <v>13</v>
      </c>
      <c r="G16" s="81" t="n">
        <v>1116230</v>
      </c>
      <c r="H16" s="67" t="n">
        <v>43</v>
      </c>
      <c r="I16" s="67" t="str">
        <f aca="false">IF(D16&lt;G16,B16,"")</f>
        <v/>
      </c>
      <c r="J16" s="81" t="n">
        <v>13273</v>
      </c>
      <c r="K16" s="67" t="n">
        <v>0.5</v>
      </c>
    </row>
    <row r="17" customFormat="false" ht="12.75" hidden="false" customHeight="false" outlineLevel="0" collapsed="false">
      <c r="A17" s="80" t="s">
        <v>129</v>
      </c>
      <c r="B17" s="67" t="n">
        <v>4</v>
      </c>
      <c r="C17" s="81" t="n">
        <v>367951</v>
      </c>
      <c r="D17" s="81" t="n">
        <v>137845</v>
      </c>
      <c r="E17" s="67" t="n">
        <v>37.5</v>
      </c>
      <c r="F17" s="67" t="str">
        <f aca="false">IF(D17&gt;G17,B17,"")</f>
        <v/>
      </c>
      <c r="G17" s="81" t="n">
        <v>205286</v>
      </c>
      <c r="H17" s="67" t="n">
        <v>55.8</v>
      </c>
      <c r="I17" s="67" t="n">
        <f aca="false">IF(D17&lt;G17,B17,"")</f>
        <v>4</v>
      </c>
      <c r="J17" s="81" t="n">
        <v>21623</v>
      </c>
      <c r="K17" s="67" t="n">
        <v>5.9</v>
      </c>
    </row>
    <row r="18" customFormat="false" ht="12.75" hidden="false" customHeight="false" outlineLevel="0" collapsed="false">
      <c r="A18" s="80" t="s">
        <v>130</v>
      </c>
      <c r="B18" s="67" t="n">
        <v>4</v>
      </c>
      <c r="C18" s="81" t="n">
        <v>501621</v>
      </c>
      <c r="D18" s="81" t="n">
        <v>336937</v>
      </c>
      <c r="E18" s="67" t="n">
        <v>67.2</v>
      </c>
      <c r="F18" s="67" t="n">
        <f aca="false">IF(D18&gt;G18,B18,"")</f>
        <v>4</v>
      </c>
      <c r="G18" s="81" t="n">
        <v>138637</v>
      </c>
      <c r="H18" s="67" t="n">
        <v>27.6</v>
      </c>
      <c r="I18" s="67" t="str">
        <f aca="false">IF(D18&lt;G18,B18,"")</f>
        <v/>
      </c>
      <c r="J18" s="81" t="n">
        <v>12292</v>
      </c>
      <c r="K18" s="67" t="n">
        <v>2.5</v>
      </c>
    </row>
    <row r="19" customFormat="false" ht="12.75" hidden="false" customHeight="false" outlineLevel="0" collapsed="false">
      <c r="A19" s="80" t="s">
        <v>131</v>
      </c>
      <c r="B19" s="67" t="n">
        <v>22</v>
      </c>
      <c r="C19" s="81" t="n">
        <v>4742123</v>
      </c>
      <c r="D19" s="81" t="n">
        <v>2019421</v>
      </c>
      <c r="E19" s="67" t="n">
        <v>42.6</v>
      </c>
      <c r="F19" s="67" t="str">
        <f aca="false">IF(D19&gt;G19,B19,"")</f>
        <v/>
      </c>
      <c r="G19" s="81" t="n">
        <v>2589026</v>
      </c>
      <c r="H19" s="67" t="n">
        <v>54.6</v>
      </c>
      <c r="I19" s="67" t="n">
        <f aca="false">IF(D19&lt;G19,B19,"")</f>
        <v>22</v>
      </c>
      <c r="J19" s="81" t="n">
        <v>103759</v>
      </c>
      <c r="K19" s="67" t="n">
        <v>2.2</v>
      </c>
    </row>
    <row r="20" customFormat="false" ht="12.75" hidden="false" customHeight="false" outlineLevel="0" collapsed="false">
      <c r="A20" s="80" t="s">
        <v>132</v>
      </c>
      <c r="B20" s="67" t="n">
        <v>12</v>
      </c>
      <c r="C20" s="81" t="n">
        <v>2199302</v>
      </c>
      <c r="D20" s="81" t="n">
        <v>1245836</v>
      </c>
      <c r="E20" s="67" t="n">
        <v>56.6</v>
      </c>
      <c r="F20" s="67" t="n">
        <f aca="false">IF(D20&gt;G20,B20,"")</f>
        <v>12</v>
      </c>
      <c r="G20" s="81" t="n">
        <v>901980</v>
      </c>
      <c r="H20" s="67" t="n">
        <v>41</v>
      </c>
      <c r="I20" s="67" t="str">
        <f aca="false">IF(D20&lt;G20,B20,"")</f>
        <v/>
      </c>
      <c r="J20" s="81" t="n">
        <v>18531</v>
      </c>
      <c r="K20" s="67" t="n">
        <v>0.8</v>
      </c>
    </row>
    <row r="21" customFormat="false" ht="12.75" hidden="false" customHeight="false" outlineLevel="0" collapsed="false">
      <c r="A21" s="80" t="s">
        <v>133</v>
      </c>
      <c r="B21" s="67" t="n">
        <v>7</v>
      </c>
      <c r="C21" s="81" t="n">
        <v>1315563</v>
      </c>
      <c r="D21" s="81" t="n">
        <v>634373</v>
      </c>
      <c r="E21" s="67" t="n">
        <v>48.2</v>
      </c>
      <c r="F21" s="67" t="str">
        <f aca="false">IF(D21&gt;G21,B21,"")</f>
        <v/>
      </c>
      <c r="G21" s="81" t="n">
        <v>638517</v>
      </c>
      <c r="H21" s="67" t="n">
        <v>48.5</v>
      </c>
      <c r="I21" s="67" t="n">
        <f aca="false">IF(D21&lt;G21,B21,"")</f>
        <v>7</v>
      </c>
      <c r="J21" s="81" t="n">
        <v>29374</v>
      </c>
      <c r="K21" s="67" t="n">
        <v>2.2</v>
      </c>
    </row>
    <row r="22" customFormat="false" ht="12.75" hidden="false" customHeight="false" outlineLevel="0" collapsed="false">
      <c r="A22" s="80" t="s">
        <v>134</v>
      </c>
      <c r="B22" s="67" t="n">
        <v>6</v>
      </c>
      <c r="C22" s="81" t="n">
        <v>1072218</v>
      </c>
      <c r="D22" s="81" t="n">
        <v>622332</v>
      </c>
      <c r="E22" s="67" t="n">
        <v>58</v>
      </c>
      <c r="F22" s="67" t="n">
        <f aca="false">IF(D22&gt;G22,B22,"")</f>
        <v>6</v>
      </c>
      <c r="G22" s="81" t="n">
        <v>399276</v>
      </c>
      <c r="H22" s="67" t="n">
        <v>37.2</v>
      </c>
      <c r="I22" s="67" t="str">
        <f aca="false">IF(D22&lt;G22,B22,"")</f>
        <v/>
      </c>
      <c r="J22" s="81" t="n">
        <v>36086</v>
      </c>
      <c r="K22" s="67" t="n">
        <v>3.4</v>
      </c>
    </row>
    <row r="23" customFormat="false" ht="12.75" hidden="false" customHeight="false" outlineLevel="0" collapsed="false">
      <c r="A23" s="80" t="s">
        <v>135</v>
      </c>
      <c r="B23" s="67" t="n">
        <v>8</v>
      </c>
      <c r="C23" s="81" t="n">
        <v>1544187</v>
      </c>
      <c r="D23" s="81" t="n">
        <v>872492</v>
      </c>
      <c r="E23" s="67" t="n">
        <v>56.5</v>
      </c>
      <c r="F23" s="67" t="n">
        <f aca="false">IF(D23&gt;G23,B23,"")</f>
        <v>8</v>
      </c>
      <c r="G23" s="81" t="n">
        <v>638898</v>
      </c>
      <c r="H23" s="67" t="n">
        <v>41.4</v>
      </c>
      <c r="I23" s="67" t="str">
        <f aca="false">IF(D23&lt;G23,B23,"")</f>
        <v/>
      </c>
      <c r="J23" s="81" t="n">
        <v>23192</v>
      </c>
      <c r="K23" s="67" t="n">
        <v>1.5</v>
      </c>
    </row>
    <row r="24" customFormat="false" ht="12.75" hidden="false" customHeight="false" outlineLevel="0" collapsed="false">
      <c r="A24" s="80" t="s">
        <v>136</v>
      </c>
      <c r="B24" s="67" t="n">
        <v>9</v>
      </c>
      <c r="C24" s="81" t="n">
        <v>1765656</v>
      </c>
      <c r="D24" s="81" t="n">
        <v>927871</v>
      </c>
      <c r="E24" s="67" t="n">
        <v>52.6</v>
      </c>
      <c r="F24" s="67" t="n">
        <f aca="false">IF(D24&gt;G24,B24,"")</f>
        <v>9</v>
      </c>
      <c r="G24" s="81" t="n">
        <v>792344</v>
      </c>
      <c r="H24" s="67" t="n">
        <v>44.9</v>
      </c>
      <c r="I24" s="67" t="str">
        <f aca="false">IF(D24&lt;G24,B24,"")</f>
        <v/>
      </c>
      <c r="J24" s="81" t="n">
        <v>20473</v>
      </c>
      <c r="K24" s="67" t="n">
        <v>1.2</v>
      </c>
    </row>
    <row r="25" customFormat="false" ht="12.75" hidden="false" customHeight="false" outlineLevel="0" collapsed="false">
      <c r="A25" s="80" t="s">
        <v>137</v>
      </c>
      <c r="B25" s="67" t="n">
        <v>4</v>
      </c>
      <c r="C25" s="81" t="n">
        <v>651817</v>
      </c>
      <c r="D25" s="81" t="n">
        <v>286616</v>
      </c>
      <c r="E25" s="67" t="n">
        <v>44</v>
      </c>
      <c r="F25" s="67" t="str">
        <f aca="false">IF(D25&gt;G25,B25,"")</f>
        <v/>
      </c>
      <c r="G25" s="81" t="n">
        <v>319951</v>
      </c>
      <c r="H25" s="67" t="n">
        <v>49.1</v>
      </c>
      <c r="I25" s="67" t="n">
        <f aca="false">IF(D25&lt;G25,B25,"")</f>
        <v>4</v>
      </c>
      <c r="J25" s="81" t="n">
        <v>37127</v>
      </c>
      <c r="K25" s="67" t="n">
        <v>5.7</v>
      </c>
    </row>
    <row r="26" customFormat="false" ht="12.75" hidden="false" customHeight="false" outlineLevel="0" collapsed="false">
      <c r="A26" s="80" t="s">
        <v>138</v>
      </c>
      <c r="B26" s="67" t="n">
        <v>10</v>
      </c>
      <c r="C26" s="81" t="n">
        <v>2020480</v>
      </c>
      <c r="D26" s="81" t="n">
        <v>813797</v>
      </c>
      <c r="E26" s="67" t="n">
        <v>40.3</v>
      </c>
      <c r="F26" s="67" t="str">
        <f aca="false">IF(D26&gt;G26,B26,"")</f>
        <v/>
      </c>
      <c r="G26" s="81" t="n">
        <v>1140782</v>
      </c>
      <c r="H26" s="67" t="n">
        <v>56.5</v>
      </c>
      <c r="I26" s="67" t="n">
        <f aca="false">IF(D26&lt;G26,B26,"")</f>
        <v>10</v>
      </c>
      <c r="J26" s="81" t="n">
        <v>53768</v>
      </c>
      <c r="K26" s="67" t="n">
        <v>2.7</v>
      </c>
    </row>
    <row r="27" customFormat="false" ht="12.75" hidden="false" customHeight="false" outlineLevel="0" collapsed="false">
      <c r="A27" s="80" t="s">
        <v>139</v>
      </c>
      <c r="B27" s="67" t="n">
        <v>12</v>
      </c>
      <c r="C27" s="81" t="n">
        <v>2702984</v>
      </c>
      <c r="D27" s="81" t="n">
        <v>878502</v>
      </c>
      <c r="E27" s="67" t="n">
        <v>32.5</v>
      </c>
      <c r="F27" s="67" t="str">
        <f aca="false">IF(D27&gt;G27,B27,"")</f>
        <v/>
      </c>
      <c r="G27" s="81" t="n">
        <v>1616487</v>
      </c>
      <c r="H27" s="67" t="n">
        <v>59.8</v>
      </c>
      <c r="I27" s="67" t="n">
        <f aca="false">IF(D27&lt;G27,B27,"")</f>
        <v>12</v>
      </c>
      <c r="J27" s="81" t="n">
        <v>173564</v>
      </c>
      <c r="K27" s="67" t="n">
        <v>6.4</v>
      </c>
    </row>
    <row r="28" customFormat="false" ht="12.75" hidden="false" customHeight="false" outlineLevel="0" collapsed="false">
      <c r="A28" s="80" t="s">
        <v>140</v>
      </c>
      <c r="B28" s="67" t="n">
        <v>18</v>
      </c>
      <c r="C28" s="81" t="n">
        <v>4232711</v>
      </c>
      <c r="D28" s="81" t="n">
        <v>1953139</v>
      </c>
      <c r="E28" s="67" t="n">
        <v>46.1</v>
      </c>
      <c r="F28" s="67" t="str">
        <f aca="false">IF(D28&gt;G28,B28,"")</f>
        <v/>
      </c>
      <c r="G28" s="81" t="n">
        <v>2170418</v>
      </c>
      <c r="H28" s="67" t="n">
        <v>51.3</v>
      </c>
      <c r="I28" s="67" t="n">
        <f aca="false">IF(D28&lt;G28,B28,"")</f>
        <v>18</v>
      </c>
      <c r="J28" s="81" t="n">
        <v>84165</v>
      </c>
      <c r="K28" s="67" t="n">
        <v>2</v>
      </c>
    </row>
    <row r="29" customFormat="false" ht="12.75" hidden="false" customHeight="false" outlineLevel="0" collapsed="false">
      <c r="A29" s="80" t="s">
        <v>141</v>
      </c>
      <c r="B29" s="67" t="n">
        <v>10</v>
      </c>
      <c r="C29" s="81" t="n">
        <v>2438685</v>
      </c>
      <c r="D29" s="81" t="n">
        <v>1109659</v>
      </c>
      <c r="E29" s="67" t="n">
        <v>45.5</v>
      </c>
      <c r="F29" s="67" t="str">
        <f aca="false">IF(D29&gt;G29,B29,"")</f>
        <v/>
      </c>
      <c r="G29" s="81" t="n">
        <v>1168266</v>
      </c>
      <c r="H29" s="67" t="n">
        <v>47.9</v>
      </c>
      <c r="I29" s="67" t="n">
        <f aca="false">IF(D29&lt;G29,B29,"")</f>
        <v>10</v>
      </c>
      <c r="J29" s="81" t="n">
        <v>126696</v>
      </c>
      <c r="K29" s="67" t="n">
        <v>5.2</v>
      </c>
    </row>
    <row r="30" customFormat="false" ht="12.75" hidden="false" customHeight="false" outlineLevel="0" collapsed="false">
      <c r="A30" s="80" t="s">
        <v>142</v>
      </c>
      <c r="B30" s="67" t="n">
        <v>7</v>
      </c>
      <c r="C30" s="81" t="n">
        <v>994184</v>
      </c>
      <c r="D30" s="81" t="n">
        <v>572844</v>
      </c>
      <c r="E30" s="67" t="n">
        <v>57.6</v>
      </c>
      <c r="F30" s="67" t="n">
        <f aca="false">IF(D30&gt;G30,B30,"")</f>
        <v>7</v>
      </c>
      <c r="G30" s="81" t="n">
        <v>404614</v>
      </c>
      <c r="H30" s="67" t="n">
        <v>40.7</v>
      </c>
      <c r="I30" s="67" t="str">
        <f aca="false">IF(D30&lt;G30,B30,"")</f>
        <v/>
      </c>
      <c r="J30" s="81" t="n">
        <v>8122</v>
      </c>
      <c r="K30" s="67" t="n">
        <v>0.8</v>
      </c>
    </row>
    <row r="31" customFormat="false" ht="12.75" hidden="false" customHeight="false" outlineLevel="0" collapsed="false">
      <c r="A31" s="80" t="s">
        <v>143</v>
      </c>
      <c r="B31" s="67" t="n">
        <v>11</v>
      </c>
      <c r="C31" s="81" t="n">
        <v>2359892</v>
      </c>
      <c r="D31" s="81" t="n">
        <v>1189924</v>
      </c>
      <c r="E31" s="67" t="n">
        <v>50.4</v>
      </c>
      <c r="F31" s="67" t="n">
        <f aca="false">IF(D31&gt;G31,B31,"")</f>
        <v>11</v>
      </c>
      <c r="G31" s="81" t="n">
        <v>1111138</v>
      </c>
      <c r="H31" s="67" t="n">
        <v>47.1</v>
      </c>
      <c r="I31" s="67" t="str">
        <f aca="false">IF(D31&lt;G31,B31,"")</f>
        <v/>
      </c>
      <c r="J31" s="81" t="n">
        <v>38515</v>
      </c>
      <c r="K31" s="67" t="n">
        <v>1.6</v>
      </c>
    </row>
    <row r="32" customFormat="false" ht="12.75" hidden="false" customHeight="false" outlineLevel="0" collapsed="false">
      <c r="A32" s="80" t="s">
        <v>144</v>
      </c>
      <c r="B32" s="67" t="n">
        <v>3</v>
      </c>
      <c r="C32" s="81" t="n">
        <v>410997</v>
      </c>
      <c r="D32" s="81" t="n">
        <v>240178</v>
      </c>
      <c r="E32" s="67" t="n">
        <v>58.4</v>
      </c>
      <c r="F32" s="67" t="n">
        <f aca="false">IF(D32&gt;G32,B32,"")</f>
        <v>3</v>
      </c>
      <c r="G32" s="81" t="n">
        <v>137126</v>
      </c>
      <c r="H32" s="67" t="n">
        <v>33.4</v>
      </c>
      <c r="I32" s="67" t="str">
        <f aca="false">IF(D32&lt;G32,B32,"")</f>
        <v/>
      </c>
      <c r="J32" s="81" t="n">
        <v>24437</v>
      </c>
      <c r="K32" s="67" t="n">
        <v>5.9</v>
      </c>
    </row>
    <row r="33" customFormat="false" ht="12.75" hidden="false" customHeight="false" outlineLevel="0" collapsed="false">
      <c r="A33" s="80" t="s">
        <v>145</v>
      </c>
      <c r="B33" s="67" t="n">
        <v>5</v>
      </c>
      <c r="C33" s="81" t="n">
        <v>697019</v>
      </c>
      <c r="D33" s="81" t="n">
        <v>433862</v>
      </c>
      <c r="E33" s="67" t="n">
        <v>62.2</v>
      </c>
      <c r="F33" s="67" t="n">
        <f aca="false">IF(D33&gt;G33,B33,"")</f>
        <v>5</v>
      </c>
      <c r="G33" s="81" t="n">
        <v>231780</v>
      </c>
      <c r="H33" s="67" t="n">
        <v>33.3</v>
      </c>
      <c r="I33" s="67" t="str">
        <f aca="false">IF(D33&lt;G33,B33,"")</f>
        <v/>
      </c>
      <c r="J33" s="81" t="n">
        <v>24540</v>
      </c>
      <c r="K33" s="67" t="n">
        <v>3.5</v>
      </c>
    </row>
    <row r="34" customFormat="false" ht="12.75" hidden="false" customHeight="true" outlineLevel="0" collapsed="false">
      <c r="A34" s="80" t="s">
        <v>146</v>
      </c>
      <c r="B34" s="67" t="n">
        <v>4</v>
      </c>
      <c r="C34" s="81" t="n">
        <v>608970</v>
      </c>
      <c r="D34" s="81" t="n">
        <v>301575</v>
      </c>
      <c r="E34" s="67" t="n">
        <v>49.5</v>
      </c>
      <c r="F34" s="67" t="n">
        <f aca="false">IF(D34&gt;G34,B34,"")</f>
        <v>4</v>
      </c>
      <c r="G34" s="81" t="n">
        <v>279978</v>
      </c>
      <c r="H34" s="67" t="n">
        <v>46</v>
      </c>
      <c r="I34" s="67" t="str">
        <f aca="false">IF(D34&lt;G34,B34,"")</f>
        <v/>
      </c>
      <c r="J34" s="81" t="n">
        <v>15008</v>
      </c>
      <c r="K34" s="67" t="n">
        <v>2.5</v>
      </c>
    </row>
    <row r="35" customFormat="false" ht="12.75" hidden="false" customHeight="false" outlineLevel="0" collapsed="false">
      <c r="A35" s="80" t="s">
        <v>147</v>
      </c>
      <c r="B35" s="67" t="n">
        <v>4</v>
      </c>
      <c r="C35" s="81" t="n">
        <v>569081</v>
      </c>
      <c r="D35" s="81" t="n">
        <v>273559</v>
      </c>
      <c r="E35" s="67" t="n">
        <v>48.1</v>
      </c>
      <c r="F35" s="67" t="n">
        <f aca="false">IF(D35&gt;G35,B35,"")</f>
        <v>4</v>
      </c>
      <c r="G35" s="81" t="n">
        <v>266348</v>
      </c>
      <c r="H35" s="67" t="n">
        <v>46.8</v>
      </c>
      <c r="I35" s="67" t="str">
        <f aca="false">IF(D35&lt;G35,B35,"")</f>
        <v/>
      </c>
      <c r="J35" s="81" t="n">
        <v>22198</v>
      </c>
      <c r="K35" s="67" t="n">
        <v>3.9</v>
      </c>
    </row>
    <row r="36" customFormat="false" ht="12.75" hidden="false" customHeight="false" outlineLevel="0" collapsed="false">
      <c r="A36" s="80" t="s">
        <v>148</v>
      </c>
      <c r="B36" s="67" t="n">
        <v>15</v>
      </c>
      <c r="C36" s="81" t="n">
        <v>3187226</v>
      </c>
      <c r="D36" s="81" t="n">
        <v>1284173</v>
      </c>
      <c r="E36" s="67" t="n">
        <v>40.3</v>
      </c>
      <c r="F36" s="67" t="str">
        <f aca="false">IF(D36&gt;G36,B36,"")</f>
        <v/>
      </c>
      <c r="G36" s="81" t="n">
        <v>1788850</v>
      </c>
      <c r="H36" s="67" t="n">
        <v>56.1</v>
      </c>
      <c r="I36" s="67" t="n">
        <f aca="false">IF(D36&lt;G36,B36,"")</f>
        <v>15</v>
      </c>
      <c r="J36" s="81" t="n">
        <v>94554</v>
      </c>
      <c r="K36" s="67" t="n">
        <v>3</v>
      </c>
    </row>
    <row r="37" customFormat="false" ht="12.75" hidden="false" customHeight="false" outlineLevel="0" collapsed="false">
      <c r="A37" s="80" t="s">
        <v>149</v>
      </c>
      <c r="B37" s="67" t="n">
        <v>5</v>
      </c>
      <c r="C37" s="81" t="n">
        <v>598605</v>
      </c>
      <c r="D37" s="81" t="n">
        <v>286417</v>
      </c>
      <c r="E37" s="67" t="n">
        <v>47.8</v>
      </c>
      <c r="F37" s="67" t="str">
        <f aca="false">IF(D37&gt;G37,B37,"")</f>
        <v/>
      </c>
      <c r="G37" s="81" t="n">
        <v>286783</v>
      </c>
      <c r="H37" s="67" t="n">
        <v>47.9</v>
      </c>
      <c r="I37" s="67" t="n">
        <f aca="false">IF(D37&lt;G37,B37,"")</f>
        <v>5</v>
      </c>
      <c r="J37" s="81" t="n">
        <v>21251</v>
      </c>
      <c r="K37" s="67" t="n">
        <v>3.6</v>
      </c>
    </row>
    <row r="38" customFormat="false" ht="12.75" hidden="false" customHeight="false" outlineLevel="0" collapsed="false">
      <c r="A38" s="80" t="s">
        <v>150</v>
      </c>
      <c r="B38" s="67" t="n">
        <v>33</v>
      </c>
      <c r="C38" s="81" t="n">
        <v>6821999</v>
      </c>
      <c r="D38" s="81" t="n">
        <v>2403374</v>
      </c>
      <c r="E38" s="67" t="n">
        <v>35.2</v>
      </c>
      <c r="F38" s="67" t="str">
        <f aca="false">IF(D38&gt;G38,B38,"")</f>
        <v/>
      </c>
      <c r="G38" s="81" t="n">
        <v>4107697</v>
      </c>
      <c r="H38" s="67" t="n">
        <v>60.2</v>
      </c>
      <c r="I38" s="67" t="n">
        <f aca="false">IF(D38&lt;G38,B38,"")</f>
        <v>33</v>
      </c>
      <c r="J38" s="81" t="n">
        <v>244030</v>
      </c>
      <c r="K38" s="67" t="n">
        <v>3.6</v>
      </c>
    </row>
    <row r="39" customFormat="false" ht="12.75" hidden="false" customHeight="false" outlineLevel="0" collapsed="false">
      <c r="A39" s="80" t="s">
        <v>151</v>
      </c>
      <c r="B39" s="67" t="n">
        <v>14</v>
      </c>
      <c r="C39" s="81" t="n">
        <v>2911262</v>
      </c>
      <c r="D39" s="81" t="n">
        <v>1631163</v>
      </c>
      <c r="E39" s="67" t="n">
        <v>56</v>
      </c>
      <c r="F39" s="67" t="n">
        <f aca="false">IF(D39&gt;G39,B39,"")</f>
        <v>14</v>
      </c>
      <c r="G39" s="81" t="n">
        <v>1257692</v>
      </c>
      <c r="H39" s="67" t="n">
        <v>43.2</v>
      </c>
      <c r="I39" s="67" t="str">
        <f aca="false">IF(D39&lt;G39,B39,"")</f>
        <v/>
      </c>
      <c r="J39" s="81"/>
      <c r="K39" s="67" t="n">
        <v>0</v>
      </c>
    </row>
    <row r="40" customFormat="false" ht="12.75" hidden="false" customHeight="false" outlineLevel="0" collapsed="false">
      <c r="A40" s="80" t="s">
        <v>152</v>
      </c>
      <c r="B40" s="67" t="n">
        <v>3</v>
      </c>
      <c r="C40" s="81" t="n">
        <v>288256</v>
      </c>
      <c r="D40" s="81" t="n">
        <v>174852</v>
      </c>
      <c r="E40" s="67" t="n">
        <v>60.7</v>
      </c>
      <c r="F40" s="67" t="n">
        <f aca="false">IF(D40&gt;G40,B40,"")</f>
        <v>3</v>
      </c>
      <c r="G40" s="81" t="n">
        <v>95284</v>
      </c>
      <c r="H40" s="67" t="n">
        <v>33.1</v>
      </c>
      <c r="I40" s="67" t="str">
        <f aca="false">IF(D40&lt;G40,B40,"")</f>
        <v/>
      </c>
      <c r="J40" s="81" t="n">
        <v>9486</v>
      </c>
      <c r="K40" s="67" t="n">
        <v>3.3</v>
      </c>
    </row>
    <row r="41" customFormat="false" ht="12.75" hidden="false" customHeight="false" outlineLevel="0" collapsed="false">
      <c r="A41" s="80" t="s">
        <v>153</v>
      </c>
      <c r="B41" s="67" t="n">
        <v>21</v>
      </c>
      <c r="C41" s="81" t="n">
        <v>4701998</v>
      </c>
      <c r="D41" s="81" t="n">
        <v>2350363</v>
      </c>
      <c r="E41" s="67" t="n">
        <v>50</v>
      </c>
      <c r="F41" s="67" t="n">
        <f aca="false">IF(D41&gt;G41,B41,"")</f>
        <v>21</v>
      </c>
      <c r="G41" s="81" t="n">
        <v>2183628</v>
      </c>
      <c r="H41" s="67" t="n">
        <v>46.4</v>
      </c>
      <c r="I41" s="67" t="str">
        <f aca="false">IF(D41&lt;G41,B41,"")</f>
        <v/>
      </c>
      <c r="J41" s="81" t="n">
        <v>117799</v>
      </c>
      <c r="K41" s="67" t="n">
        <v>2.5</v>
      </c>
    </row>
    <row r="42" customFormat="false" ht="12.75" hidden="false" customHeight="false" outlineLevel="0" collapsed="false">
      <c r="A42" s="80" t="s">
        <v>154</v>
      </c>
      <c r="B42" s="67" t="n">
        <v>8</v>
      </c>
      <c r="C42" s="81" t="n">
        <v>1234229</v>
      </c>
      <c r="D42" s="81" t="n">
        <v>744337</v>
      </c>
      <c r="E42" s="67" t="n">
        <v>60.3</v>
      </c>
      <c r="F42" s="67" t="n">
        <f aca="false">IF(D42&gt;G42,B42,"")</f>
        <v>8</v>
      </c>
      <c r="G42" s="81" t="n">
        <v>474276</v>
      </c>
      <c r="H42" s="67" t="n">
        <v>38.4</v>
      </c>
      <c r="I42" s="67" t="str">
        <f aca="false">IF(D42&lt;G42,B42,"")</f>
        <v/>
      </c>
      <c r="J42" s="81"/>
      <c r="K42" s="67" t="n">
        <v>0</v>
      </c>
    </row>
    <row r="43" customFormat="false" ht="12.75" hidden="false" customHeight="false" outlineLevel="0" collapsed="false">
      <c r="A43" s="80" t="s">
        <v>155</v>
      </c>
      <c r="B43" s="67" t="n">
        <v>7</v>
      </c>
      <c r="C43" s="81" t="n">
        <v>1533968</v>
      </c>
      <c r="D43" s="81" t="n">
        <v>713577</v>
      </c>
      <c r="E43" s="67" t="n">
        <v>46.5</v>
      </c>
      <c r="F43" s="67" t="str">
        <f aca="false">IF(D43&gt;G43,B43,"")</f>
        <v/>
      </c>
      <c r="G43" s="81" t="n">
        <v>720342</v>
      </c>
      <c r="H43" s="67" t="n">
        <v>47</v>
      </c>
      <c r="I43" s="67" t="n">
        <f aca="false">IF(D43&lt;G43,B43,"")</f>
        <v>7</v>
      </c>
      <c r="J43" s="81" t="n">
        <v>77357</v>
      </c>
      <c r="K43" s="67" t="n">
        <v>5</v>
      </c>
    </row>
    <row r="44" customFormat="false" ht="12.75" hidden="false" customHeight="false" outlineLevel="0" collapsed="false">
      <c r="A44" s="80" t="s">
        <v>156</v>
      </c>
      <c r="B44" s="67" t="n">
        <v>23</v>
      </c>
      <c r="C44" s="81" t="n">
        <v>4913119</v>
      </c>
      <c r="D44" s="81" t="n">
        <v>2281127</v>
      </c>
      <c r="E44" s="67" t="n">
        <v>46.4</v>
      </c>
      <c r="F44" s="67" t="str">
        <f aca="false">IF(D44&gt;G44,B44,"")</f>
        <v/>
      </c>
      <c r="G44" s="81" t="n">
        <v>2485967</v>
      </c>
      <c r="H44" s="67" t="n">
        <v>50.6</v>
      </c>
      <c r="I44" s="67" t="n">
        <f aca="false">IF(D44&lt;G44,B44,"")</f>
        <v>23</v>
      </c>
      <c r="J44" s="81" t="n">
        <v>103392</v>
      </c>
      <c r="K44" s="67" t="n">
        <v>2.1</v>
      </c>
    </row>
    <row r="45" customFormat="false" ht="12.75" hidden="false" customHeight="false" outlineLevel="0" collapsed="false">
      <c r="A45" s="80" t="s">
        <v>157</v>
      </c>
      <c r="B45" s="67" t="n">
        <v>4</v>
      </c>
      <c r="C45" s="81" t="n">
        <v>409047</v>
      </c>
      <c r="D45" s="81" t="n">
        <v>130555</v>
      </c>
      <c r="E45" s="67" t="n">
        <v>31.9</v>
      </c>
      <c r="F45" s="67" t="str">
        <f aca="false">IF(D45&gt;G45,B45,"")</f>
        <v/>
      </c>
      <c r="G45" s="81" t="n">
        <v>249508</v>
      </c>
      <c r="H45" s="67" t="n">
        <v>61</v>
      </c>
      <c r="I45" s="67" t="n">
        <f aca="false">IF(D45&lt;G45,B45,"")</f>
        <v>4</v>
      </c>
      <c r="J45" s="81" t="n">
        <v>25052</v>
      </c>
      <c r="K45" s="67" t="n">
        <v>6.1</v>
      </c>
    </row>
    <row r="46" customFormat="false" ht="12.75" hidden="false" customHeight="false" outlineLevel="0" collapsed="false">
      <c r="A46" s="80" t="s">
        <v>158</v>
      </c>
      <c r="B46" s="67" t="n">
        <v>8</v>
      </c>
      <c r="C46" s="81" t="n">
        <v>1382717</v>
      </c>
      <c r="D46" s="81" t="n">
        <v>785937</v>
      </c>
      <c r="E46" s="67" t="n">
        <v>56.8</v>
      </c>
      <c r="F46" s="67" t="n">
        <f aca="false">IF(D46&gt;G46,B46,"")</f>
        <v>8</v>
      </c>
      <c r="G46" s="81" t="n">
        <v>565561</v>
      </c>
      <c r="H46" s="67" t="n">
        <v>40.9</v>
      </c>
      <c r="I46" s="67" t="str">
        <f aca="false">IF(D46&lt;G46,B46,"")</f>
        <v/>
      </c>
      <c r="J46" s="81" t="n">
        <v>20200</v>
      </c>
      <c r="K46" s="67" t="n">
        <v>1.5</v>
      </c>
    </row>
    <row r="47" customFormat="false" ht="12.75" hidden="false" customHeight="false" outlineLevel="0" collapsed="false">
      <c r="A47" s="80" t="s">
        <v>159</v>
      </c>
      <c r="B47" s="67" t="n">
        <v>3</v>
      </c>
      <c r="C47" s="81" t="n">
        <v>316269</v>
      </c>
      <c r="D47" s="81" t="n">
        <v>190700</v>
      </c>
      <c r="E47" s="67" t="n">
        <v>60.3</v>
      </c>
      <c r="F47" s="67" t="n">
        <f aca="false">IF(D47&gt;G47,B47,"")</f>
        <v>3</v>
      </c>
      <c r="G47" s="81" t="n">
        <v>118804</v>
      </c>
      <c r="H47" s="67" t="n">
        <v>37.6</v>
      </c>
      <c r="I47" s="67" t="str">
        <f aca="false">IF(D47&lt;G47,B47,"")</f>
        <v/>
      </c>
      <c r="J47" s="81"/>
      <c r="K47" s="67" t="n">
        <v>0</v>
      </c>
    </row>
    <row r="48" customFormat="false" ht="12.75" hidden="false" customHeight="false" outlineLevel="0" collapsed="false">
      <c r="A48" s="80" t="s">
        <v>160</v>
      </c>
      <c r="B48" s="67" t="n">
        <v>11</v>
      </c>
      <c r="C48" s="81" t="n">
        <v>2076181</v>
      </c>
      <c r="D48" s="81" t="n">
        <v>1061949</v>
      </c>
      <c r="E48" s="67" t="n">
        <v>51.1</v>
      </c>
      <c r="F48" s="67" t="n">
        <f aca="false">IF(D48&gt;G48,B48,"")</f>
        <v>11</v>
      </c>
      <c r="G48" s="81" t="n">
        <v>981720</v>
      </c>
      <c r="H48" s="67" t="n">
        <v>47.3</v>
      </c>
      <c r="I48" s="67" t="str">
        <f aca="false">IF(D48&lt;G48,B48,"")</f>
        <v/>
      </c>
      <c r="J48" s="81" t="n">
        <v>19781</v>
      </c>
      <c r="K48" s="67" t="n">
        <v>1</v>
      </c>
    </row>
    <row r="49" customFormat="false" ht="12.75" hidden="false" customHeight="false" outlineLevel="0" collapsed="false">
      <c r="A49" s="80" t="s">
        <v>161</v>
      </c>
      <c r="B49" s="67" t="n">
        <v>32</v>
      </c>
      <c r="C49" s="81" t="n">
        <v>6407637</v>
      </c>
      <c r="D49" s="81" t="n">
        <v>3799639</v>
      </c>
      <c r="E49" s="67" t="n">
        <v>59.3</v>
      </c>
      <c r="F49" s="67" t="n">
        <f aca="false">IF(D49&gt;G49,B49,"")</f>
        <v>32</v>
      </c>
      <c r="G49" s="81" t="n">
        <v>2433746</v>
      </c>
      <c r="H49" s="67" t="n">
        <v>38</v>
      </c>
      <c r="I49" s="67" t="str">
        <f aca="false">IF(D49&lt;G49,B49,"")</f>
        <v/>
      </c>
      <c r="J49" s="81" t="n">
        <v>137994</v>
      </c>
      <c r="K49" s="67" t="n">
        <v>2.2</v>
      </c>
    </row>
    <row r="50" customFormat="false" ht="12.75" hidden="false" customHeight="false" outlineLevel="0" collapsed="false">
      <c r="A50" s="80" t="s">
        <v>162</v>
      </c>
      <c r="B50" s="67" t="n">
        <v>5</v>
      </c>
      <c r="C50" s="81" t="n">
        <v>770754</v>
      </c>
      <c r="D50" s="81" t="n">
        <v>515096</v>
      </c>
      <c r="E50" s="67" t="n">
        <v>66.8</v>
      </c>
      <c r="F50" s="67" t="n">
        <f aca="false">IF(D50&gt;G50,B50,"")</f>
        <v>5</v>
      </c>
      <c r="G50" s="81" t="n">
        <v>203053</v>
      </c>
      <c r="H50" s="67" t="n">
        <v>26.3</v>
      </c>
      <c r="I50" s="67" t="str">
        <f aca="false">IF(D50&lt;G50,B50,"")</f>
        <v/>
      </c>
      <c r="J50" s="81" t="n">
        <v>35850</v>
      </c>
      <c r="K50" s="67" t="n">
        <v>4.7</v>
      </c>
    </row>
    <row r="51" customFormat="false" ht="12.75" hidden="false" customHeight="false" outlineLevel="0" collapsed="false">
      <c r="A51" s="80" t="s">
        <v>163</v>
      </c>
      <c r="B51" s="67" t="n">
        <v>3</v>
      </c>
      <c r="C51" s="81" t="n">
        <v>294308</v>
      </c>
      <c r="D51" s="81" t="n">
        <v>119775</v>
      </c>
      <c r="E51" s="67" t="n">
        <v>40.7</v>
      </c>
      <c r="F51" s="67" t="str">
        <f aca="false">IF(D51&gt;G51,B51,"")</f>
        <v/>
      </c>
      <c r="G51" s="81" t="n">
        <v>149022</v>
      </c>
      <c r="H51" s="67" t="n">
        <v>50.6</v>
      </c>
      <c r="I51" s="67" t="n">
        <f aca="false">IF(D51&lt;G51,B51,"")</f>
        <v>3</v>
      </c>
      <c r="J51" s="81" t="n">
        <v>20374</v>
      </c>
      <c r="K51" s="67" t="n">
        <v>6.9</v>
      </c>
    </row>
    <row r="52" customFormat="false" ht="12.75" hidden="false" customHeight="false" outlineLevel="0" collapsed="false">
      <c r="A52" s="80" t="s">
        <v>164</v>
      </c>
      <c r="B52" s="67" t="n">
        <v>13</v>
      </c>
      <c r="C52" s="81" t="n">
        <v>2739447</v>
      </c>
      <c r="D52" s="81" t="n">
        <v>1437490</v>
      </c>
      <c r="E52" s="67" t="n">
        <v>52.5</v>
      </c>
      <c r="F52" s="67" t="n">
        <f aca="false">IF(D52&gt;G52,B52,"")</f>
        <v>13</v>
      </c>
      <c r="G52" s="81" t="n">
        <v>1217290</v>
      </c>
      <c r="H52" s="67" t="n">
        <v>44.4</v>
      </c>
      <c r="I52" s="67" t="str">
        <f aca="false">IF(D52&lt;G52,B52,"")</f>
        <v/>
      </c>
      <c r="J52" s="81" t="n">
        <v>59398</v>
      </c>
      <c r="K52" s="67" t="n">
        <v>2.2</v>
      </c>
    </row>
    <row r="53" customFormat="false" ht="12.75" hidden="false" customHeight="false" outlineLevel="0" collapsed="false">
      <c r="A53" s="80" t="s">
        <v>165</v>
      </c>
      <c r="B53" s="67" t="n">
        <v>11</v>
      </c>
      <c r="C53" s="81" t="n">
        <v>2487433</v>
      </c>
      <c r="D53" s="81" t="n">
        <v>1108864</v>
      </c>
      <c r="E53" s="67" t="n">
        <v>44.6</v>
      </c>
      <c r="F53" s="67" t="str">
        <f aca="false">IF(D53&gt;G53,B53,"")</f>
        <v/>
      </c>
      <c r="G53" s="81" t="n">
        <v>1247652</v>
      </c>
      <c r="H53" s="67" t="n">
        <v>50.2</v>
      </c>
      <c r="I53" s="67" t="n">
        <f aca="false">IF(D53&lt;G53,B53,"")</f>
        <v>11</v>
      </c>
      <c r="J53" s="81" t="n">
        <v>103002</v>
      </c>
      <c r="K53" s="67" t="n">
        <v>4.1</v>
      </c>
    </row>
    <row r="54" customFormat="false" ht="12.75" hidden="false" customHeight="false" outlineLevel="0" collapsed="false">
      <c r="A54" s="80" t="s">
        <v>166</v>
      </c>
      <c r="B54" s="67" t="n">
        <v>5</v>
      </c>
      <c r="C54" s="81" t="n">
        <v>648124</v>
      </c>
      <c r="D54" s="81" t="n">
        <v>336475</v>
      </c>
      <c r="E54" s="67" t="n">
        <v>51.9</v>
      </c>
      <c r="F54" s="67" t="n">
        <f aca="false">IF(D54&gt;G54,B54,"")</f>
        <v>5</v>
      </c>
      <c r="G54" s="81" t="n">
        <v>295497</v>
      </c>
      <c r="H54" s="67" t="n">
        <v>45.6</v>
      </c>
      <c r="I54" s="67" t="str">
        <f aca="false">IF(D54&lt;G54,B54,"")</f>
        <v/>
      </c>
      <c r="J54" s="81" t="n">
        <v>10680</v>
      </c>
      <c r="K54" s="67" t="n">
        <v>1.6</v>
      </c>
    </row>
    <row r="55" customFormat="false" ht="12.75" hidden="false" customHeight="false" outlineLevel="0" collapsed="false">
      <c r="A55" s="80" t="s">
        <v>167</v>
      </c>
      <c r="B55" s="67" t="n">
        <v>11</v>
      </c>
      <c r="C55" s="81" t="n">
        <v>2598607</v>
      </c>
      <c r="D55" s="81" t="n">
        <v>1237279</v>
      </c>
      <c r="E55" s="67" t="n">
        <v>47.6</v>
      </c>
      <c r="F55" s="67" t="str">
        <f aca="false">IF(D55&gt;G55,B55,"")</f>
        <v/>
      </c>
      <c r="G55" s="81" t="n">
        <v>1242987</v>
      </c>
      <c r="H55" s="67" t="n">
        <v>47.8</v>
      </c>
      <c r="I55" s="67" t="n">
        <f aca="false">IF(D55&lt;G55,B55,"")</f>
        <v>11</v>
      </c>
      <c r="J55" s="81" t="n">
        <v>94070</v>
      </c>
      <c r="K55" s="67" t="n">
        <v>3.6</v>
      </c>
    </row>
    <row r="56" customFormat="false" ht="12.75" hidden="false" customHeight="false" outlineLevel="0" collapsed="false">
      <c r="A56" s="80" t="s">
        <v>168</v>
      </c>
      <c r="B56" s="67" t="n">
        <v>3</v>
      </c>
      <c r="C56" s="81" t="n">
        <v>218351</v>
      </c>
      <c r="D56" s="81" t="n">
        <v>147947</v>
      </c>
      <c r="E56" s="67" t="n">
        <v>67.8</v>
      </c>
      <c r="F56" s="67" t="n">
        <f aca="false">IF(D56&gt;G56,B56,"")</f>
        <v>3</v>
      </c>
      <c r="G56" s="81" t="n">
        <v>60481</v>
      </c>
      <c r="H56" s="67" t="n">
        <v>27.7</v>
      </c>
      <c r="I56" s="67" t="str">
        <f aca="false">IF(D56&lt;G56,B56,"")</f>
        <v/>
      </c>
      <c r="J56" s="81" t="n">
        <v>4625</v>
      </c>
      <c r="K56" s="67" t="n">
        <v>2.1</v>
      </c>
    </row>
  </sheetData>
  <mergeCells count="6">
    <mergeCell ref="A4:A5"/>
    <mergeCell ref="B4:B5"/>
    <mergeCell ref="C4:C5"/>
    <mergeCell ref="D4:F4"/>
    <mergeCell ref="G4:I4"/>
    <mergeCell ref="J4:K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0" activeCellId="0" sqref="A60"/>
    </sheetView>
  </sheetViews>
  <sheetFormatPr defaultColWidth="11.5703125" defaultRowHeight="12.75" zeroHeight="false" outlineLevelRow="0" outlineLevelCol="0"/>
  <cols>
    <col collapsed="false" customWidth="true" hidden="false" outlineLevel="0" max="1" min="1" style="16" width="13.86"/>
    <col collapsed="false" customWidth="true" hidden="false" outlineLevel="0" max="2" min="2" style="1" width="13.86"/>
    <col collapsed="false" customWidth="true" hidden="false" outlineLevel="0" max="5" min="5" style="16" width="13.86"/>
    <col collapsed="false" customWidth="true" hidden="false" outlineLevel="0" max="6" min="6" style="1" width="13.86"/>
    <col collapsed="false" customWidth="true" hidden="false" outlineLevel="0" max="8" min="8" style="16" width="13.86"/>
    <col collapsed="false" customWidth="true" hidden="false" outlineLevel="0" max="9" min="9" style="1" width="13.86"/>
    <col collapsed="false" customWidth="true" hidden="false" outlineLevel="0" max="14" min="14" style="1" width="13.86"/>
  </cols>
  <sheetData>
    <row r="1" customFormat="false" ht="12.75" hidden="false" customHeight="false" outlineLevel="0" collapsed="false">
      <c r="A1" s="66" t="s">
        <v>22</v>
      </c>
      <c r="B1" s="67" t="n">
        <v>2004</v>
      </c>
      <c r="C1" s="67"/>
      <c r="D1" s="67"/>
      <c r="E1" s="68"/>
      <c r="F1" s="68"/>
      <c r="G1" s="68"/>
      <c r="H1" s="68"/>
      <c r="I1" s="68"/>
      <c r="J1" s="68"/>
    </row>
    <row r="2" customFormat="false" ht="12.75" hidden="false" customHeight="false" outlineLevel="0" collapsed="false">
      <c r="A2" s="66" t="s">
        <v>107</v>
      </c>
      <c r="B2" s="82" t="n">
        <f aca="false">SUM(C6:C56)</f>
        <v>122295345</v>
      </c>
      <c r="C2" s="82" t="n">
        <f aca="false">SUM(D6:D56)</f>
        <v>62040610</v>
      </c>
      <c r="D2" s="82" t="n">
        <f aca="false">SUM(G6:G56)</f>
        <v>59028444</v>
      </c>
      <c r="E2" s="70" t="n">
        <f aca="false">SUM(J6:J56)</f>
        <v>0</v>
      </c>
      <c r="F2" s="68"/>
      <c r="G2" s="68"/>
      <c r="H2" s="68"/>
      <c r="I2" s="68"/>
      <c r="J2" s="68"/>
    </row>
    <row r="3" customFormat="false" ht="12.75" hidden="false" customHeight="false" outlineLevel="0" collapsed="false">
      <c r="L3" s="6" t="s">
        <v>73</v>
      </c>
      <c r="N3" s="1" t="s">
        <v>75</v>
      </c>
    </row>
    <row r="4" customFormat="false" ht="14.25" hidden="false" customHeight="true" outlineLevel="0" collapsed="false">
      <c r="A4" s="71" t="s">
        <v>108</v>
      </c>
      <c r="C4" s="71" t="s">
        <v>110</v>
      </c>
      <c r="D4" s="72" t="s">
        <v>111</v>
      </c>
      <c r="E4" s="72"/>
      <c r="F4" s="72"/>
      <c r="G4" s="73" t="s">
        <v>112</v>
      </c>
      <c r="H4" s="73"/>
      <c r="I4" s="73"/>
      <c r="J4" s="71" t="s">
        <v>113</v>
      </c>
      <c r="K4" s="71"/>
      <c r="L4" s="11" t="s">
        <v>169</v>
      </c>
      <c r="M4" s="11" t="s">
        <v>170</v>
      </c>
      <c r="N4" s="11" t="s">
        <v>171</v>
      </c>
      <c r="O4" s="11" t="s">
        <v>172</v>
      </c>
    </row>
    <row r="5" customFormat="false" ht="15.75" hidden="false" customHeight="true" outlineLevel="0" collapsed="false">
      <c r="A5" s="71"/>
      <c r="B5" s="79" t="s">
        <v>116</v>
      </c>
      <c r="C5" s="71"/>
      <c r="D5" s="74" t="s">
        <v>114</v>
      </c>
      <c r="E5" s="75" t="s">
        <v>115</v>
      </c>
      <c r="F5" s="75" t="s">
        <v>116</v>
      </c>
      <c r="G5" s="76" t="s">
        <v>114</v>
      </c>
      <c r="H5" s="77" t="s">
        <v>115</v>
      </c>
      <c r="I5" s="77" t="s">
        <v>116</v>
      </c>
      <c r="J5" s="78" t="s">
        <v>114</v>
      </c>
      <c r="K5" s="79" t="s">
        <v>115</v>
      </c>
      <c r="L5" s="11"/>
      <c r="M5" s="11"/>
      <c r="N5" s="11"/>
      <c r="O5" s="11"/>
    </row>
    <row r="6" customFormat="false" ht="12.75" hidden="false" customHeight="false" outlineLevel="0" collapsed="false">
      <c r="A6" s="83" t="s">
        <v>117</v>
      </c>
      <c r="B6" s="67" t="n">
        <v>9</v>
      </c>
      <c r="C6" s="81" t="n">
        <v>1883449</v>
      </c>
      <c r="D6" s="81" t="n">
        <v>1176394</v>
      </c>
      <c r="E6" s="84" t="n">
        <v>62.5</v>
      </c>
      <c r="F6" s="67" t="n">
        <f aca="false">IF(D6&gt;G6,B6,"")</f>
        <v>9</v>
      </c>
      <c r="G6" s="81" t="n">
        <v>693933</v>
      </c>
      <c r="H6" s="67" t="n">
        <v>36.8</v>
      </c>
      <c r="I6" s="67" t="str">
        <f aca="false">IF(D6&lt;G6,B6,"")</f>
        <v/>
      </c>
      <c r="L6" s="17" t="n">
        <f aca="false">IF(EXACT(Analysis!K131,$L$3),1,0)</f>
        <v>0</v>
      </c>
      <c r="M6" s="6" t="n">
        <f aca="false">L6*$B6</f>
        <v>0</v>
      </c>
      <c r="N6" s="6" t="n">
        <f aca="false">IF(EXACT(Analysis!L131,$N$3),1,0)</f>
        <v>0</v>
      </c>
      <c r="O6" s="6" t="n">
        <f aca="false">N6*$B6</f>
        <v>0</v>
      </c>
    </row>
    <row r="7" customFormat="false" ht="12.75" hidden="false" customHeight="false" outlineLevel="0" collapsed="false">
      <c r="A7" s="83" t="s">
        <v>118</v>
      </c>
      <c r="B7" s="67" t="n">
        <v>3</v>
      </c>
      <c r="C7" s="81" t="n">
        <v>312598</v>
      </c>
      <c r="D7" s="81" t="n">
        <v>190889</v>
      </c>
      <c r="E7" s="84" t="n">
        <v>61.1</v>
      </c>
      <c r="F7" s="67" t="n">
        <f aca="false">IF(D7&gt;G7,B7,"")</f>
        <v>3</v>
      </c>
      <c r="G7" s="81" t="n">
        <v>111025</v>
      </c>
      <c r="H7" s="67" t="n">
        <v>35.5</v>
      </c>
      <c r="I7" s="67" t="str">
        <f aca="false">IF(D7&lt;G7,B7,"")</f>
        <v/>
      </c>
      <c r="L7" s="17" t="n">
        <f aca="false">IF(EXACT(Analysis!K132,$L$3),1,0)</f>
        <v>0</v>
      </c>
      <c r="M7" s="6" t="n">
        <f aca="false">L7*$B7</f>
        <v>0</v>
      </c>
      <c r="N7" s="6" t="n">
        <f aca="false">IF(EXACT(Analysis!L132,$N$3),1,0)</f>
        <v>0</v>
      </c>
      <c r="O7" s="6" t="n">
        <f aca="false">N7*$B7</f>
        <v>0</v>
      </c>
    </row>
    <row r="8" customFormat="false" ht="12.75" hidden="false" customHeight="false" outlineLevel="0" collapsed="false">
      <c r="A8" s="83" t="s">
        <v>119</v>
      </c>
      <c r="B8" s="67" t="n">
        <v>10</v>
      </c>
      <c r="C8" s="81" t="n">
        <v>2012585</v>
      </c>
      <c r="D8" s="81" t="n">
        <v>1104294</v>
      </c>
      <c r="E8" s="84" t="n">
        <v>54.9</v>
      </c>
      <c r="F8" s="67" t="n">
        <f aca="false">IF(D8&gt;G8,B8,"")</f>
        <v>10</v>
      </c>
      <c r="G8" s="81" t="n">
        <v>893524</v>
      </c>
      <c r="H8" s="67" t="n">
        <v>44.4</v>
      </c>
      <c r="I8" s="67" t="str">
        <f aca="false">IF(D8&lt;G8,B8,"")</f>
        <v/>
      </c>
      <c r="L8" s="17" t="n">
        <f aca="false">IF(EXACT(Analysis!K133,$L$3),1,0)</f>
        <v>0</v>
      </c>
      <c r="M8" s="6" t="n">
        <f aca="false">L8*$B8</f>
        <v>0</v>
      </c>
      <c r="N8" s="6" t="n">
        <f aca="false">IF(EXACT(Analysis!L133,$N$3),1,0)</f>
        <v>0</v>
      </c>
      <c r="O8" s="6" t="n">
        <f aca="false">N8*$B8</f>
        <v>0</v>
      </c>
    </row>
    <row r="9" customFormat="false" ht="12.75" hidden="false" customHeight="false" outlineLevel="0" collapsed="false">
      <c r="A9" s="83" t="s">
        <v>120</v>
      </c>
      <c r="B9" s="67" t="n">
        <v>6</v>
      </c>
      <c r="C9" s="81" t="n">
        <v>1054945</v>
      </c>
      <c r="D9" s="81" t="n">
        <v>572898</v>
      </c>
      <c r="E9" s="84" t="n">
        <v>54.3</v>
      </c>
      <c r="F9" s="67" t="n">
        <f aca="false">IF(D9&gt;G9,B9,"")</f>
        <v>6</v>
      </c>
      <c r="G9" s="81" t="n">
        <v>469953</v>
      </c>
      <c r="H9" s="67" t="n">
        <v>44.5</v>
      </c>
      <c r="I9" s="67" t="str">
        <f aca="false">IF(D9&lt;G9,B9,"")</f>
        <v/>
      </c>
      <c r="L9" s="17" t="n">
        <f aca="false">IF(EXACT(Analysis!K134,$L$3),1,0)</f>
        <v>0</v>
      </c>
      <c r="M9" s="6" t="n">
        <f aca="false">L9*$B9</f>
        <v>0</v>
      </c>
      <c r="N9" s="6" t="n">
        <f aca="false">IF(EXACT(Analysis!L134,$N$3),1,0)</f>
        <v>0</v>
      </c>
      <c r="O9" s="6" t="n">
        <f aca="false">N9*$B9</f>
        <v>0</v>
      </c>
    </row>
    <row r="10" customFormat="false" ht="12.75" hidden="false" customHeight="false" outlineLevel="0" collapsed="false">
      <c r="A10" s="83" t="s">
        <v>121</v>
      </c>
      <c r="B10" s="67" t="n">
        <v>55</v>
      </c>
      <c r="C10" s="81" t="n">
        <v>12421852</v>
      </c>
      <c r="D10" s="81" t="n">
        <v>5509826</v>
      </c>
      <c r="E10" s="84" t="n">
        <v>44.4</v>
      </c>
      <c r="F10" s="67" t="str">
        <f aca="false">IF(D10&gt;G10,B10,"")</f>
        <v/>
      </c>
      <c r="G10" s="81" t="n">
        <v>6745485</v>
      </c>
      <c r="H10" s="67" t="n">
        <v>54.3</v>
      </c>
      <c r="I10" s="67" t="n">
        <f aca="false">IF(D10&lt;G10,B10,"")</f>
        <v>55</v>
      </c>
      <c r="L10" s="17" t="n">
        <f aca="false">IF(EXACT(Analysis!K135,$L$3),1,0)</f>
        <v>0</v>
      </c>
      <c r="M10" s="6" t="n">
        <f aca="false">L10*$B10</f>
        <v>0</v>
      </c>
      <c r="N10" s="6" t="n">
        <f aca="false">IF(EXACT(Analysis!L135,$N$3),1,0)</f>
        <v>0</v>
      </c>
      <c r="O10" s="6" t="n">
        <f aca="false">N10*$B10</f>
        <v>0</v>
      </c>
    </row>
    <row r="11" customFormat="false" ht="12.75" hidden="false" customHeight="false" outlineLevel="0" collapsed="false">
      <c r="A11" s="83" t="s">
        <v>122</v>
      </c>
      <c r="B11" s="67" t="n">
        <v>9</v>
      </c>
      <c r="C11" s="81" t="n">
        <v>2130330</v>
      </c>
      <c r="D11" s="81" t="n">
        <v>1101255</v>
      </c>
      <c r="E11" s="84" t="n">
        <v>51.7</v>
      </c>
      <c r="F11" s="67" t="n">
        <f aca="false">IF(D11&gt;G11,B11,"")</f>
        <v>9</v>
      </c>
      <c r="G11" s="81" t="n">
        <v>1001732</v>
      </c>
      <c r="H11" s="67" t="n">
        <v>47</v>
      </c>
      <c r="I11" s="67" t="str">
        <f aca="false">IF(D11&lt;G11,B11,"")</f>
        <v/>
      </c>
      <c r="L11" s="17" t="n">
        <f aca="false">IF(EXACT(Analysis!K136,$L$3),1,0)</f>
        <v>0</v>
      </c>
      <c r="M11" s="6" t="n">
        <f aca="false">L11*$B11</f>
        <v>0</v>
      </c>
      <c r="N11" s="6" t="n">
        <f aca="false">IF(EXACT(Analysis!L136,$N$3),1,0)</f>
        <v>0</v>
      </c>
      <c r="O11" s="6" t="n">
        <f aca="false">N11*$B11</f>
        <v>0</v>
      </c>
    </row>
    <row r="12" customFormat="false" ht="12.75" hidden="false" customHeight="false" outlineLevel="0" collapsed="false">
      <c r="A12" s="83" t="s">
        <v>123</v>
      </c>
      <c r="B12" s="67" t="n">
        <v>7</v>
      </c>
      <c r="C12" s="81" t="n">
        <v>1578769</v>
      </c>
      <c r="D12" s="81" t="n">
        <v>693826</v>
      </c>
      <c r="E12" s="84" t="n">
        <v>43.9</v>
      </c>
      <c r="F12" s="67" t="str">
        <f aca="false">IF(D12&gt;G12,B12,"")</f>
        <v/>
      </c>
      <c r="G12" s="81" t="n">
        <v>857488</v>
      </c>
      <c r="H12" s="67" t="n">
        <v>54.3</v>
      </c>
      <c r="I12" s="67" t="n">
        <f aca="false">IF(D12&lt;G12,B12,"")</f>
        <v>7</v>
      </c>
      <c r="L12" s="17" t="n">
        <f aca="false">IF(EXACT(Analysis!K137,$L$3),1,0)</f>
        <v>0</v>
      </c>
      <c r="M12" s="6" t="n">
        <f aca="false">L12*$B12</f>
        <v>0</v>
      </c>
      <c r="N12" s="6" t="n">
        <f aca="false">IF(EXACT(Analysis!L137,$N$3),1,0)</f>
        <v>0</v>
      </c>
      <c r="O12" s="6" t="n">
        <f aca="false">N12*$B12</f>
        <v>0</v>
      </c>
    </row>
    <row r="13" customFormat="false" ht="12.75" hidden="false" customHeight="false" outlineLevel="0" collapsed="false">
      <c r="A13" s="83" t="s">
        <v>124</v>
      </c>
      <c r="B13" s="67" t="n">
        <v>3</v>
      </c>
      <c r="C13" s="81" t="n">
        <v>375190</v>
      </c>
      <c r="D13" s="81" t="n">
        <v>171660</v>
      </c>
      <c r="E13" s="84" t="n">
        <v>45.8</v>
      </c>
      <c r="F13" s="67" t="str">
        <f aca="false">IF(D13&gt;G13,B13,"")</f>
        <v/>
      </c>
      <c r="G13" s="81" t="n">
        <v>200152</v>
      </c>
      <c r="H13" s="67" t="n">
        <v>53.3</v>
      </c>
      <c r="I13" s="67" t="n">
        <f aca="false">IF(D13&lt;G13,B13,"")</f>
        <v>3</v>
      </c>
      <c r="L13" s="17" t="n">
        <f aca="false">IF(EXACT(Analysis!K138,$L$3),1,0)</f>
        <v>0</v>
      </c>
      <c r="M13" s="6" t="n">
        <f aca="false">L13*$B13</f>
        <v>0</v>
      </c>
      <c r="N13" s="6" t="n">
        <f aca="false">IF(EXACT(Analysis!L138,$N$3),1,0)</f>
        <v>0</v>
      </c>
      <c r="O13" s="6" t="n">
        <f aca="false">N13*$B13</f>
        <v>0</v>
      </c>
    </row>
    <row r="14" customFormat="false" ht="12.75" hidden="false" customHeight="false" outlineLevel="0" collapsed="false">
      <c r="A14" s="83" t="s">
        <v>173</v>
      </c>
      <c r="B14" s="67" t="n">
        <v>3</v>
      </c>
      <c r="C14" s="81" t="n">
        <v>227586</v>
      </c>
      <c r="D14" s="81" t="n">
        <v>21256</v>
      </c>
      <c r="E14" s="84" t="n">
        <v>9.3</v>
      </c>
      <c r="F14" s="67" t="str">
        <f aca="false">IF(D14&gt;G14,B14,"")</f>
        <v/>
      </c>
      <c r="G14" s="81" t="n">
        <v>202970</v>
      </c>
      <c r="H14" s="67" t="n">
        <v>89.2</v>
      </c>
      <c r="I14" s="67" t="n">
        <f aca="false">IF(D14&lt;G14,B14,"")</f>
        <v>3</v>
      </c>
      <c r="L14" s="17" t="n">
        <f aca="false">IF(EXACT(Analysis!K139,$L$3),1,0)</f>
        <v>0</v>
      </c>
      <c r="M14" s="6" t="n">
        <f aca="false">L14*$B14</f>
        <v>0</v>
      </c>
      <c r="N14" s="6" t="n">
        <f aca="false">IF(EXACT(Analysis!L139,$N$3),1,0)</f>
        <v>0</v>
      </c>
      <c r="O14" s="6" t="n">
        <f aca="false">N14*$B14</f>
        <v>0</v>
      </c>
    </row>
    <row r="15" customFormat="false" ht="12.75" hidden="false" customHeight="false" outlineLevel="0" collapsed="false">
      <c r="A15" s="83" t="s">
        <v>127</v>
      </c>
      <c r="B15" s="67" t="n">
        <v>27</v>
      </c>
      <c r="C15" s="81" t="n">
        <v>7609810</v>
      </c>
      <c r="D15" s="81" t="n">
        <v>3964522</v>
      </c>
      <c r="E15" s="84" t="n">
        <v>52.1</v>
      </c>
      <c r="F15" s="67" t="n">
        <f aca="false">IF(D15&gt;G15,B15,"")</f>
        <v>27</v>
      </c>
      <c r="G15" s="81" t="n">
        <v>3583544</v>
      </c>
      <c r="H15" s="67" t="n">
        <v>47.1</v>
      </c>
      <c r="I15" s="67" t="str">
        <f aca="false">IF(D15&lt;G15,B15,"")</f>
        <v/>
      </c>
      <c r="L15" s="17" t="n">
        <f aca="false">IF(EXACT(Analysis!K140,$L$3),1,0)</f>
        <v>0</v>
      </c>
      <c r="M15" s="6" t="n">
        <f aca="false">L15*$B15</f>
        <v>0</v>
      </c>
      <c r="N15" s="6" t="n">
        <f aca="false">IF(EXACT(Analysis!L140,$N$3),1,0)</f>
        <v>1</v>
      </c>
      <c r="O15" s="6" t="n">
        <f aca="false">N15*$B15</f>
        <v>27</v>
      </c>
    </row>
    <row r="16" customFormat="false" ht="12.75" hidden="false" customHeight="false" outlineLevel="0" collapsed="false">
      <c r="A16" s="83" t="s">
        <v>128</v>
      </c>
      <c r="B16" s="67" t="n">
        <v>15</v>
      </c>
      <c r="C16" s="81" t="n">
        <v>3301875</v>
      </c>
      <c r="D16" s="81" t="n">
        <v>1914254</v>
      </c>
      <c r="E16" s="84" t="n">
        <v>58</v>
      </c>
      <c r="F16" s="67" t="n">
        <f aca="false">IF(D16&gt;G16,B16,"")</f>
        <v>15</v>
      </c>
      <c r="G16" s="81" t="n">
        <v>1366149</v>
      </c>
      <c r="H16" s="67" t="n">
        <v>41.4</v>
      </c>
      <c r="I16" s="67" t="str">
        <f aca="false">IF(D16&lt;G16,B16,"")</f>
        <v/>
      </c>
      <c r="L16" s="17" t="n">
        <f aca="false">IF(EXACT(Analysis!K141,$L$3),1,0)</f>
        <v>0</v>
      </c>
      <c r="M16" s="6" t="n">
        <f aca="false">L16*$B16</f>
        <v>0</v>
      </c>
      <c r="N16" s="6" t="n">
        <f aca="false">IF(EXACT(Analysis!L141,$N$3),1,0)</f>
        <v>0</v>
      </c>
      <c r="O16" s="6" t="n">
        <f aca="false">N16*$B16</f>
        <v>0</v>
      </c>
    </row>
    <row r="17" customFormat="false" ht="12.75" hidden="false" customHeight="false" outlineLevel="0" collapsed="false">
      <c r="A17" s="83" t="s">
        <v>129</v>
      </c>
      <c r="B17" s="67" t="n">
        <v>4</v>
      </c>
      <c r="C17" s="81" t="n">
        <v>429013</v>
      </c>
      <c r="D17" s="81" t="n">
        <v>194191</v>
      </c>
      <c r="E17" s="84" t="n">
        <v>45.3</v>
      </c>
      <c r="F17" s="67" t="str">
        <f aca="false">IF(D17&gt;G17,B17,"")</f>
        <v/>
      </c>
      <c r="G17" s="81" t="n">
        <v>231708</v>
      </c>
      <c r="H17" s="67" t="n">
        <v>54</v>
      </c>
      <c r="I17" s="67" t="n">
        <f aca="false">IF(D17&lt;G17,B17,"")</f>
        <v>4</v>
      </c>
      <c r="L17" s="17" t="n">
        <f aca="false">IF(EXACT(Analysis!K142,$L$3),1,0)</f>
        <v>0</v>
      </c>
      <c r="M17" s="6" t="n">
        <f aca="false">L17*$B17</f>
        <v>0</v>
      </c>
      <c r="N17" s="6" t="n">
        <f aca="false">IF(EXACT(Analysis!L142,$N$3),1,0)</f>
        <v>0</v>
      </c>
      <c r="O17" s="6" t="n">
        <f aca="false">N17*$B17</f>
        <v>0</v>
      </c>
    </row>
    <row r="18" customFormat="false" ht="12.75" hidden="false" customHeight="false" outlineLevel="0" collapsed="false">
      <c r="A18" s="83" t="s">
        <v>130</v>
      </c>
      <c r="B18" s="67" t="n">
        <v>4</v>
      </c>
      <c r="C18" s="81" t="n">
        <v>598447</v>
      </c>
      <c r="D18" s="81" t="n">
        <v>409235</v>
      </c>
      <c r="E18" s="84" t="n">
        <v>68.4</v>
      </c>
      <c r="F18" s="67" t="n">
        <f aca="false">IF(D18&gt;G18,B18,"")</f>
        <v>4</v>
      </c>
      <c r="G18" s="81" t="n">
        <v>181098</v>
      </c>
      <c r="H18" s="67" t="n">
        <v>30.3</v>
      </c>
      <c r="I18" s="67" t="str">
        <f aca="false">IF(D18&lt;G18,B18,"")</f>
        <v/>
      </c>
      <c r="L18" s="17" t="n">
        <f aca="false">IF(EXACT(Analysis!K143,$L$3),1,0)</f>
        <v>0</v>
      </c>
      <c r="M18" s="6" t="n">
        <f aca="false">L18*$B18</f>
        <v>0</v>
      </c>
      <c r="N18" s="6" t="n">
        <f aca="false">IF(EXACT(Analysis!L143,$N$3),1,0)</f>
        <v>0</v>
      </c>
      <c r="O18" s="6" t="n">
        <f aca="false">N18*$B18</f>
        <v>0</v>
      </c>
    </row>
    <row r="19" customFormat="false" ht="12.75" hidden="false" customHeight="false" outlineLevel="0" collapsed="false">
      <c r="A19" s="83" t="s">
        <v>131</v>
      </c>
      <c r="B19" s="67" t="n">
        <v>21</v>
      </c>
      <c r="C19" s="81" t="n">
        <v>5274322</v>
      </c>
      <c r="D19" s="81" t="n">
        <v>2345946</v>
      </c>
      <c r="E19" s="84" t="n">
        <v>44.5</v>
      </c>
      <c r="F19" s="67" t="str">
        <f aca="false">IF(D19&gt;G19,B19,"")</f>
        <v/>
      </c>
      <c r="G19" s="81" t="n">
        <v>2891550</v>
      </c>
      <c r="H19" s="67" t="n">
        <v>54.8</v>
      </c>
      <c r="I19" s="67" t="n">
        <f aca="false">IF(D19&lt;G19,B19,"")</f>
        <v>21</v>
      </c>
      <c r="L19" s="17" t="n">
        <f aca="false">IF(EXACT(Analysis!K144,$L$3),1,0)</f>
        <v>0</v>
      </c>
      <c r="M19" s="6" t="n">
        <f aca="false">L19*$B19</f>
        <v>0</v>
      </c>
      <c r="N19" s="6" t="n">
        <f aca="false">IF(EXACT(Analysis!L144,$N$3),1,0)</f>
        <v>0</v>
      </c>
      <c r="O19" s="6" t="n">
        <f aca="false">N19*$B19</f>
        <v>0</v>
      </c>
    </row>
    <row r="20" customFormat="false" ht="12.75" hidden="false" customHeight="false" outlineLevel="0" collapsed="false">
      <c r="A20" s="83" t="s">
        <v>132</v>
      </c>
      <c r="B20" s="67" t="n">
        <v>11</v>
      </c>
      <c r="C20" s="81" t="n">
        <v>2468002</v>
      </c>
      <c r="D20" s="81" t="n">
        <v>1479438</v>
      </c>
      <c r="E20" s="84" t="n">
        <v>59.9</v>
      </c>
      <c r="F20" s="67" t="n">
        <f aca="false">IF(D20&gt;G20,B20,"")</f>
        <v>11</v>
      </c>
      <c r="G20" s="81" t="n">
        <v>969011</v>
      </c>
      <c r="H20" s="67" t="n">
        <v>39.3</v>
      </c>
      <c r="I20" s="67" t="str">
        <f aca="false">IF(D20&lt;G20,B20,"")</f>
        <v/>
      </c>
      <c r="L20" s="17" t="n">
        <f aca="false">IF(EXACT(Analysis!K145,$L$3),1,0)</f>
        <v>0</v>
      </c>
      <c r="M20" s="6" t="n">
        <f aca="false">L20*$B20</f>
        <v>0</v>
      </c>
      <c r="N20" s="6" t="n">
        <f aca="false">IF(EXACT(Analysis!L145,$N$3),1,0)</f>
        <v>0</v>
      </c>
      <c r="O20" s="6" t="n">
        <f aca="false">N20*$B20</f>
        <v>0</v>
      </c>
    </row>
    <row r="21" customFormat="false" ht="12.75" hidden="false" customHeight="false" outlineLevel="0" collapsed="false">
      <c r="A21" s="83" t="s">
        <v>133</v>
      </c>
      <c r="B21" s="67" t="n">
        <v>7</v>
      </c>
      <c r="C21" s="81" t="n">
        <v>1506908</v>
      </c>
      <c r="D21" s="81" t="n">
        <v>751957</v>
      </c>
      <c r="E21" s="84" t="n">
        <v>49.9</v>
      </c>
      <c r="F21" s="67" t="n">
        <f aca="false">IF(D21&gt;G21,B21,"")</f>
        <v>7</v>
      </c>
      <c r="G21" s="81" t="n">
        <v>741898</v>
      </c>
      <c r="H21" s="67" t="n">
        <v>49.2</v>
      </c>
      <c r="I21" s="67" t="str">
        <f aca="false">IF(D21&lt;G21,B21,"")</f>
        <v/>
      </c>
      <c r="L21" s="17" t="n">
        <f aca="false">IF(EXACT(Analysis!K146,$L$3),1,0)</f>
        <v>0</v>
      </c>
      <c r="M21" s="6" t="n">
        <f aca="false">L21*$B21</f>
        <v>0</v>
      </c>
      <c r="N21" s="6" t="n">
        <f aca="false">IF(EXACT(Analysis!L146,$N$3),1,0)</f>
        <v>0</v>
      </c>
      <c r="O21" s="6" t="n">
        <f aca="false">N21*$B21</f>
        <v>0</v>
      </c>
    </row>
    <row r="22" customFormat="false" ht="12.75" hidden="false" customHeight="false" outlineLevel="0" collapsed="false">
      <c r="A22" s="83" t="s">
        <v>134</v>
      </c>
      <c r="B22" s="67" t="n">
        <v>6</v>
      </c>
      <c r="C22" s="81" t="n">
        <v>1187756</v>
      </c>
      <c r="D22" s="81" t="n">
        <v>736456</v>
      </c>
      <c r="E22" s="84" t="n">
        <v>62</v>
      </c>
      <c r="F22" s="67" t="n">
        <f aca="false">IF(D22&gt;G22,B22,"")</f>
        <v>6</v>
      </c>
      <c r="G22" s="81" t="n">
        <v>434993</v>
      </c>
      <c r="H22" s="67" t="n">
        <v>36.6</v>
      </c>
      <c r="I22" s="67" t="str">
        <f aca="false">IF(D22&lt;G22,B22,"")</f>
        <v/>
      </c>
      <c r="L22" s="17" t="n">
        <f aca="false">IF(EXACT(Analysis!K147,$L$3),1,0)</f>
        <v>0</v>
      </c>
      <c r="M22" s="6" t="n">
        <f aca="false">L22*$B22</f>
        <v>0</v>
      </c>
      <c r="N22" s="6" t="n">
        <f aca="false">IF(EXACT(Analysis!L147,$N$3),1,0)</f>
        <v>0</v>
      </c>
      <c r="O22" s="6" t="n">
        <f aca="false">N22*$B22</f>
        <v>0</v>
      </c>
    </row>
    <row r="23" customFormat="false" ht="12.75" hidden="false" customHeight="false" outlineLevel="0" collapsed="false">
      <c r="A23" s="83" t="s">
        <v>135</v>
      </c>
      <c r="B23" s="67" t="n">
        <v>8</v>
      </c>
      <c r="C23" s="81" t="n">
        <v>1795882</v>
      </c>
      <c r="D23" s="81" t="n">
        <v>1069439</v>
      </c>
      <c r="E23" s="84" t="n">
        <v>59.5</v>
      </c>
      <c r="F23" s="67" t="n">
        <f aca="false">IF(D23&gt;G23,B23,"")</f>
        <v>8</v>
      </c>
      <c r="G23" s="81" t="n">
        <v>712733</v>
      </c>
      <c r="H23" s="67" t="n">
        <v>39.7</v>
      </c>
      <c r="I23" s="67" t="str">
        <f aca="false">IF(D23&lt;G23,B23,"")</f>
        <v/>
      </c>
      <c r="L23" s="17" t="n">
        <f aca="false">IF(EXACT(Analysis!K148,$L$3),1,0)</f>
        <v>0</v>
      </c>
      <c r="M23" s="6" t="n">
        <f aca="false">L23*$B23</f>
        <v>0</v>
      </c>
      <c r="N23" s="6" t="n">
        <f aca="false">IF(EXACT(Analysis!L148,$N$3),1,0)</f>
        <v>0</v>
      </c>
      <c r="O23" s="6" t="n">
        <f aca="false">N23*$B23</f>
        <v>0</v>
      </c>
    </row>
    <row r="24" customFormat="false" ht="12.75" hidden="false" customHeight="false" outlineLevel="0" collapsed="false">
      <c r="A24" s="83" t="s">
        <v>136</v>
      </c>
      <c r="B24" s="67" t="n">
        <v>9</v>
      </c>
      <c r="C24" s="81" t="n">
        <v>1943106</v>
      </c>
      <c r="D24" s="81" t="n">
        <v>1102169</v>
      </c>
      <c r="E24" s="84" t="n">
        <v>56.7</v>
      </c>
      <c r="F24" s="67" t="n">
        <f aca="false">IF(D24&gt;G24,B24,"")</f>
        <v>9</v>
      </c>
      <c r="G24" s="81" t="n">
        <v>820299</v>
      </c>
      <c r="H24" s="67" t="n">
        <v>42.2</v>
      </c>
      <c r="I24" s="67" t="str">
        <f aca="false">IF(D24&lt;G24,B24,"")</f>
        <v/>
      </c>
      <c r="L24" s="17" t="n">
        <f aca="false">IF(EXACT(Analysis!K149,$L$3),1,0)</f>
        <v>0</v>
      </c>
      <c r="M24" s="6" t="n">
        <f aca="false">L24*$B24</f>
        <v>0</v>
      </c>
      <c r="N24" s="6" t="n">
        <f aca="false">IF(EXACT(Analysis!L149,$N$3),1,0)</f>
        <v>0</v>
      </c>
      <c r="O24" s="6" t="n">
        <f aca="false">N24*$B24</f>
        <v>0</v>
      </c>
    </row>
    <row r="25" customFormat="false" ht="12.75" hidden="false" customHeight="false" outlineLevel="0" collapsed="false">
      <c r="A25" s="83" t="s">
        <v>137</v>
      </c>
      <c r="B25" s="67" t="n">
        <v>4</v>
      </c>
      <c r="C25" s="81" t="n">
        <v>740752</v>
      </c>
      <c r="D25" s="81" t="n">
        <v>330201</v>
      </c>
      <c r="E25" s="84" t="n">
        <v>44.6</v>
      </c>
      <c r="F25" s="67" t="str">
        <f aca="false">IF(D25&gt;G25,B25,"")</f>
        <v/>
      </c>
      <c r="G25" s="81" t="n">
        <v>396842</v>
      </c>
      <c r="H25" s="67" t="n">
        <v>53.6</v>
      </c>
      <c r="I25" s="67" t="n">
        <f aca="false">IF(D25&lt;G25,B25,"")</f>
        <v>4</v>
      </c>
      <c r="L25" s="17" t="n">
        <f aca="false">IF(EXACT(Analysis!K150,$L$3),1,0)</f>
        <v>0</v>
      </c>
      <c r="M25" s="6" t="n">
        <f aca="false">L25*$B25</f>
        <v>0</v>
      </c>
      <c r="N25" s="6" t="n">
        <f aca="false">IF(EXACT(Analysis!L150,$N$3),1,0)</f>
        <v>0</v>
      </c>
      <c r="O25" s="6" t="n">
        <f aca="false">N25*$B25</f>
        <v>0</v>
      </c>
    </row>
    <row r="26" customFormat="false" ht="12.75" hidden="false" customHeight="false" outlineLevel="0" collapsed="false">
      <c r="A26" s="83" t="s">
        <v>138</v>
      </c>
      <c r="B26" s="67" t="n">
        <v>10</v>
      </c>
      <c r="C26" s="81" t="n">
        <v>2386678</v>
      </c>
      <c r="D26" s="81" t="n">
        <v>1024703</v>
      </c>
      <c r="E26" s="84" t="n">
        <v>42.9</v>
      </c>
      <c r="F26" s="67" t="str">
        <f aca="false">IF(D26&gt;G26,B26,"")</f>
        <v/>
      </c>
      <c r="G26" s="81" t="n">
        <v>1334493</v>
      </c>
      <c r="H26" s="67" t="n">
        <v>55.9</v>
      </c>
      <c r="I26" s="67" t="n">
        <f aca="false">IF(D26&lt;G26,B26,"")</f>
        <v>10</v>
      </c>
      <c r="L26" s="17" t="n">
        <f aca="false">IF(EXACT(Analysis!K151,$L$3),1,0)</f>
        <v>0</v>
      </c>
      <c r="M26" s="6" t="n">
        <f aca="false">L26*$B26</f>
        <v>0</v>
      </c>
      <c r="N26" s="6" t="n">
        <f aca="false">IF(EXACT(Analysis!L151,$N$3),1,0)</f>
        <v>0</v>
      </c>
      <c r="O26" s="6" t="n">
        <f aca="false">N26*$B26</f>
        <v>0</v>
      </c>
    </row>
    <row r="27" customFormat="false" ht="12.75" hidden="false" customHeight="false" outlineLevel="0" collapsed="false">
      <c r="A27" s="83" t="s">
        <v>139</v>
      </c>
      <c r="B27" s="67" t="n">
        <v>12</v>
      </c>
      <c r="C27" s="81" t="n">
        <v>2912388</v>
      </c>
      <c r="D27" s="81" t="n">
        <v>1071109</v>
      </c>
      <c r="E27" s="84" t="n">
        <v>36.8</v>
      </c>
      <c r="F27" s="67" t="str">
        <f aca="false">IF(D27&gt;G27,B27,"")</f>
        <v/>
      </c>
      <c r="G27" s="81" t="n">
        <v>1803800</v>
      </c>
      <c r="H27" s="67" t="n">
        <v>61.9</v>
      </c>
      <c r="I27" s="67" t="n">
        <f aca="false">IF(D27&lt;G27,B27,"")</f>
        <v>12</v>
      </c>
      <c r="L27" s="17" t="n">
        <f aca="false">IF(EXACT(Analysis!K152,$L$3),1,0)</f>
        <v>0</v>
      </c>
      <c r="M27" s="6" t="n">
        <f aca="false">L27*$B27</f>
        <v>0</v>
      </c>
      <c r="N27" s="6" t="n">
        <f aca="false">IF(EXACT(Analysis!L152,$N$3),1,0)</f>
        <v>0</v>
      </c>
      <c r="O27" s="6" t="n">
        <f aca="false">N27*$B27</f>
        <v>0</v>
      </c>
    </row>
    <row r="28" customFormat="false" ht="12.75" hidden="false" customHeight="false" outlineLevel="0" collapsed="false">
      <c r="A28" s="83" t="s">
        <v>140</v>
      </c>
      <c r="B28" s="67" t="n">
        <v>17</v>
      </c>
      <c r="C28" s="81" t="n">
        <v>4839252</v>
      </c>
      <c r="D28" s="81" t="n">
        <v>2313746</v>
      </c>
      <c r="E28" s="84" t="n">
        <v>47.8</v>
      </c>
      <c r="F28" s="67" t="str">
        <f aca="false">IF(D28&gt;G28,B28,"")</f>
        <v/>
      </c>
      <c r="G28" s="81" t="n">
        <v>2479183</v>
      </c>
      <c r="H28" s="67" t="n">
        <v>51.2</v>
      </c>
      <c r="I28" s="67" t="n">
        <f aca="false">IF(D28&lt;G28,B28,"")</f>
        <v>17</v>
      </c>
      <c r="L28" s="17" t="n">
        <f aca="false">IF(EXACT(Analysis!K153,$L$3),1,0)</f>
        <v>0</v>
      </c>
      <c r="M28" s="6" t="n">
        <f aca="false">L28*$B28</f>
        <v>0</v>
      </c>
      <c r="N28" s="6" t="n">
        <f aca="false">IF(EXACT(Analysis!L153,$N$3),1,0)</f>
        <v>0</v>
      </c>
      <c r="O28" s="6" t="n">
        <f aca="false">N28*$B28</f>
        <v>0</v>
      </c>
    </row>
    <row r="29" customFormat="false" ht="12.75" hidden="false" customHeight="false" outlineLevel="0" collapsed="false">
      <c r="A29" s="83" t="s">
        <v>174</v>
      </c>
      <c r="B29" s="80" t="n">
        <v>9</v>
      </c>
      <c r="C29" s="81" t="n">
        <v>2828387</v>
      </c>
      <c r="D29" s="81" t="n">
        <v>1346695</v>
      </c>
      <c r="E29" s="84" t="n">
        <v>47.6</v>
      </c>
      <c r="F29" s="67" t="str">
        <f aca="false">IF(D29&gt;G29,B29,"")</f>
        <v/>
      </c>
      <c r="G29" s="81" t="n">
        <v>1445014</v>
      </c>
      <c r="H29" s="67" t="n">
        <v>51.1</v>
      </c>
      <c r="I29" s="67" t="n">
        <v>9</v>
      </c>
      <c r="L29" s="17" t="n">
        <f aca="false">IF(EXACT(Analysis!K154,$L$3),1,0)</f>
        <v>0</v>
      </c>
      <c r="M29" s="6" t="n">
        <f aca="false">L29*$B29</f>
        <v>0</v>
      </c>
      <c r="N29" s="6" t="n">
        <f aca="false">IF(EXACT(Analysis!L154,$N$3),1,0)</f>
        <v>0</v>
      </c>
      <c r="O29" s="6" t="n">
        <f aca="false">N29*$B29</f>
        <v>0</v>
      </c>
    </row>
    <row r="30" customFormat="false" ht="12.75" hidden="false" customHeight="false" outlineLevel="0" collapsed="false">
      <c r="A30" s="83" t="s">
        <v>142</v>
      </c>
      <c r="B30" s="67" t="n">
        <v>6</v>
      </c>
      <c r="C30" s="81" t="n">
        <v>1152145</v>
      </c>
      <c r="D30" s="81" t="n">
        <v>684981</v>
      </c>
      <c r="E30" s="84" t="n">
        <v>59.5</v>
      </c>
      <c r="F30" s="67" t="n">
        <f aca="false">IF(D30&gt;G30,B30,"")</f>
        <v>6</v>
      </c>
      <c r="G30" s="81" t="n">
        <v>458094</v>
      </c>
      <c r="H30" s="67" t="n">
        <v>39.8</v>
      </c>
      <c r="I30" s="67" t="str">
        <f aca="false">IF(D30&lt;G30,B30,"")</f>
        <v/>
      </c>
      <c r="L30" s="17" t="n">
        <f aca="false">IF(EXACT(Analysis!K155,$L$3),1,0)</f>
        <v>0</v>
      </c>
      <c r="M30" s="6" t="n">
        <f aca="false">L30*$B30</f>
        <v>0</v>
      </c>
      <c r="N30" s="6" t="n">
        <f aca="false">IF(EXACT(Analysis!L155,$N$3),1,0)</f>
        <v>0</v>
      </c>
      <c r="O30" s="6" t="n">
        <f aca="false">N30*$B30</f>
        <v>0</v>
      </c>
    </row>
    <row r="31" customFormat="false" ht="12.75" hidden="false" customHeight="false" outlineLevel="0" collapsed="false">
      <c r="A31" s="83" t="s">
        <v>143</v>
      </c>
      <c r="B31" s="67" t="n">
        <v>11</v>
      </c>
      <c r="C31" s="81" t="n">
        <v>2731364</v>
      </c>
      <c r="D31" s="81" t="n">
        <v>1455713</v>
      </c>
      <c r="E31" s="84" t="n">
        <v>53.3</v>
      </c>
      <c r="F31" s="67" t="n">
        <f aca="false">IF(D31&gt;G31,B31,"")</f>
        <v>11</v>
      </c>
      <c r="G31" s="81" t="n">
        <v>1259171</v>
      </c>
      <c r="H31" s="67" t="n">
        <v>46.1</v>
      </c>
      <c r="I31" s="67" t="str">
        <f aca="false">IF(D31&lt;G31,B31,"")</f>
        <v/>
      </c>
      <c r="L31" s="17" t="n">
        <f aca="false">IF(EXACT(Analysis!K156,$L$3),1,0)</f>
        <v>0</v>
      </c>
      <c r="M31" s="6" t="n">
        <f aca="false">L31*$B31</f>
        <v>0</v>
      </c>
      <c r="N31" s="6" t="n">
        <f aca="false">IF(EXACT(Analysis!L156,$N$3),1,0)</f>
        <v>0</v>
      </c>
      <c r="O31" s="6" t="n">
        <f aca="false">N31*$B31</f>
        <v>0</v>
      </c>
    </row>
    <row r="32" customFormat="false" ht="12.75" hidden="false" customHeight="false" outlineLevel="0" collapsed="false">
      <c r="A32" s="83" t="s">
        <v>144</v>
      </c>
      <c r="B32" s="67" t="n">
        <v>3</v>
      </c>
      <c r="C32" s="81" t="n">
        <v>450445</v>
      </c>
      <c r="D32" s="81" t="n">
        <v>266063</v>
      </c>
      <c r="E32" s="84" t="n">
        <v>59.1</v>
      </c>
      <c r="F32" s="67" t="n">
        <f aca="false">IF(D32&gt;G32,B32,"")</f>
        <v>3</v>
      </c>
      <c r="G32" s="81" t="n">
        <v>173710</v>
      </c>
      <c r="H32" s="67" t="n">
        <v>38.6</v>
      </c>
      <c r="I32" s="67" t="str">
        <f aca="false">IF(D32&lt;G32,B32,"")</f>
        <v/>
      </c>
      <c r="L32" s="17" t="n">
        <f aca="false">IF(EXACT(Analysis!K157,$L$3),1,0)</f>
        <v>0</v>
      </c>
      <c r="M32" s="6" t="n">
        <f aca="false">L32*$B32</f>
        <v>0</v>
      </c>
      <c r="N32" s="6" t="n">
        <f aca="false">IF(EXACT(Analysis!L157,$N$3),1,0)</f>
        <v>0</v>
      </c>
      <c r="O32" s="6" t="n">
        <f aca="false">N32*$B32</f>
        <v>0</v>
      </c>
    </row>
    <row r="33" customFormat="false" ht="12.75" hidden="false" customHeight="false" outlineLevel="0" collapsed="false">
      <c r="A33" s="83" t="s">
        <v>145</v>
      </c>
      <c r="B33" s="67" t="n">
        <v>5</v>
      </c>
      <c r="C33" s="81" t="n">
        <v>778186</v>
      </c>
      <c r="D33" s="81" t="n">
        <v>512814</v>
      </c>
      <c r="E33" s="84" t="n">
        <v>65.9</v>
      </c>
      <c r="F33" s="67" t="n">
        <f aca="false">IF(D33&gt;G33,B33,"")</f>
        <v>5</v>
      </c>
      <c r="G33" s="81" t="n">
        <v>254328</v>
      </c>
      <c r="H33" s="67" t="n">
        <v>32.7</v>
      </c>
      <c r="I33" s="67" t="str">
        <f aca="false">IF(D33&lt;G33,B33,"")</f>
        <v/>
      </c>
      <c r="L33" s="17" t="n">
        <f aca="false">IF(EXACT(Analysis!K158,$L$3),1,0)</f>
        <v>0</v>
      </c>
      <c r="M33" s="6" t="n">
        <f aca="false">L33*$B33</f>
        <v>0</v>
      </c>
      <c r="N33" s="6" t="n">
        <f aca="false">IF(EXACT(Analysis!L158,$N$3),1,0)</f>
        <v>0</v>
      </c>
      <c r="O33" s="6" t="n">
        <f aca="false">N33*$B33</f>
        <v>0</v>
      </c>
    </row>
    <row r="34" customFormat="false" ht="12.75" hidden="false" customHeight="false" outlineLevel="0" collapsed="false">
      <c r="A34" s="83" t="s">
        <v>146</v>
      </c>
      <c r="B34" s="67" t="n">
        <v>5</v>
      </c>
      <c r="C34" s="81" t="n">
        <v>829587</v>
      </c>
      <c r="D34" s="81" t="n">
        <v>418690</v>
      </c>
      <c r="E34" s="84" t="n">
        <v>50.5</v>
      </c>
      <c r="F34" s="67" t="n">
        <f aca="false">IF(D34&gt;G34,B34,"")</f>
        <v>5</v>
      </c>
      <c r="G34" s="81" t="n">
        <v>397190</v>
      </c>
      <c r="H34" s="67" t="n">
        <v>47.9</v>
      </c>
      <c r="I34" s="67" t="str">
        <f aca="false">IF(D34&lt;G34,B34,"")</f>
        <v/>
      </c>
      <c r="L34" s="17" t="n">
        <f aca="false">IF(EXACT(Analysis!K159,$L$3),1,0)</f>
        <v>0</v>
      </c>
      <c r="M34" s="6" t="n">
        <f aca="false">L34*$B34</f>
        <v>0</v>
      </c>
      <c r="N34" s="6" t="n">
        <f aca="false">IF(EXACT(Analysis!L159,$N$3),1,0)</f>
        <v>0</v>
      </c>
      <c r="O34" s="6" t="n">
        <f aca="false">N34*$B34</f>
        <v>0</v>
      </c>
    </row>
    <row r="35" customFormat="false" ht="13.5" hidden="false" customHeight="true" outlineLevel="0" collapsed="false">
      <c r="A35" s="83" t="s">
        <v>147</v>
      </c>
      <c r="B35" s="67" t="n">
        <v>4</v>
      </c>
      <c r="C35" s="81" t="n">
        <v>677738</v>
      </c>
      <c r="D35" s="81" t="n">
        <v>331237</v>
      </c>
      <c r="E35" s="84" t="n">
        <v>48.9</v>
      </c>
      <c r="F35" s="67" t="str">
        <f aca="false">IF(D35&gt;G35,B35,"")</f>
        <v/>
      </c>
      <c r="G35" s="81" t="n">
        <v>340511</v>
      </c>
      <c r="H35" s="67" t="n">
        <v>50.2</v>
      </c>
      <c r="I35" s="67" t="n">
        <f aca="false">IF(D35&lt;G35,B35,"")</f>
        <v>4</v>
      </c>
      <c r="L35" s="17" t="n">
        <f aca="false">IF(EXACT(Analysis!K160,$L$3),1,0)</f>
        <v>0</v>
      </c>
      <c r="M35" s="6" t="n">
        <f aca="false">L35*$B35</f>
        <v>0</v>
      </c>
      <c r="N35" s="6" t="n">
        <f aca="false">IF(EXACT(Analysis!L160,$N$3),1,0)</f>
        <v>0</v>
      </c>
      <c r="O35" s="6" t="n">
        <f aca="false">N35*$B35</f>
        <v>0</v>
      </c>
    </row>
    <row r="36" customFormat="false" ht="12.75" hidden="false" customHeight="false" outlineLevel="0" collapsed="false">
      <c r="A36" s="83" t="s">
        <v>148</v>
      </c>
      <c r="B36" s="67" t="n">
        <v>15</v>
      </c>
      <c r="C36" s="81" t="n">
        <v>3611691</v>
      </c>
      <c r="D36" s="81" t="n">
        <v>1670003</v>
      </c>
      <c r="E36" s="84" t="n">
        <v>46.2</v>
      </c>
      <c r="F36" s="67" t="str">
        <f aca="false">IF(D36&gt;G36,B36,"")</f>
        <v/>
      </c>
      <c r="G36" s="81" t="n">
        <v>1911430</v>
      </c>
      <c r="H36" s="67" t="n">
        <v>52.9</v>
      </c>
      <c r="I36" s="67" t="n">
        <f aca="false">IF(D36&lt;G36,B36,"")</f>
        <v>15</v>
      </c>
      <c r="L36" s="17" t="n">
        <f aca="false">IF(EXACT(Analysis!K161,$L$3),1,0)</f>
        <v>0</v>
      </c>
      <c r="M36" s="6" t="n">
        <f aca="false">L36*$B36</f>
        <v>0</v>
      </c>
      <c r="N36" s="6" t="n">
        <f aca="false">IF(EXACT(Analysis!L161,$N$3),1,0)</f>
        <v>0</v>
      </c>
      <c r="O36" s="6" t="n">
        <f aca="false">N36*$B36</f>
        <v>0</v>
      </c>
    </row>
    <row r="37" customFormat="false" ht="12.75" hidden="false" customHeight="false" outlineLevel="0" collapsed="false">
      <c r="A37" s="83" t="s">
        <v>149</v>
      </c>
      <c r="B37" s="67" t="n">
        <v>5</v>
      </c>
      <c r="C37" s="81" t="n">
        <v>756304</v>
      </c>
      <c r="D37" s="81" t="n">
        <v>376930</v>
      </c>
      <c r="E37" s="84" t="n">
        <v>49.8</v>
      </c>
      <c r="F37" s="67" t="n">
        <f aca="false">IF(D37&gt;G37,B37,"")</f>
        <v>5</v>
      </c>
      <c r="G37" s="81" t="n">
        <v>370942</v>
      </c>
      <c r="H37" s="67" t="n">
        <v>49</v>
      </c>
      <c r="I37" s="67" t="str">
        <f aca="false">IF(D37&lt;G37,B37,"")</f>
        <v/>
      </c>
      <c r="L37" s="17" t="n">
        <f aca="false">IF(EXACT(Analysis!K162,$L$3),1,0)</f>
        <v>0</v>
      </c>
      <c r="M37" s="6" t="n">
        <f aca="false">L37*$B37</f>
        <v>0</v>
      </c>
      <c r="N37" s="6" t="n">
        <f aca="false">IF(EXACT(Analysis!L162,$N$3),1,0)</f>
        <v>0</v>
      </c>
      <c r="O37" s="6" t="n">
        <f aca="false">N37*$B37</f>
        <v>0</v>
      </c>
    </row>
    <row r="38" customFormat="false" ht="12.75" hidden="false" customHeight="false" outlineLevel="0" collapsed="false">
      <c r="A38" s="83" t="s">
        <v>150</v>
      </c>
      <c r="B38" s="67" t="n">
        <v>31</v>
      </c>
      <c r="C38" s="81" t="n">
        <v>7391036</v>
      </c>
      <c r="D38" s="81" t="n">
        <v>2962567</v>
      </c>
      <c r="E38" s="84" t="n">
        <v>40.1</v>
      </c>
      <c r="F38" s="67" t="str">
        <f aca="false">IF(D38&gt;G38,B38,"")</f>
        <v/>
      </c>
      <c r="G38" s="81" t="n">
        <v>4314280</v>
      </c>
      <c r="H38" s="67" t="n">
        <v>58.4</v>
      </c>
      <c r="I38" s="67" t="n">
        <f aca="false">IF(D38&lt;G38,B38,"")</f>
        <v>31</v>
      </c>
      <c r="L38" s="17" t="n">
        <f aca="false">IF(EXACT(Analysis!K163,$L$3),1,0)</f>
        <v>0</v>
      </c>
      <c r="M38" s="6" t="n">
        <f aca="false">L38*$B38</f>
        <v>0</v>
      </c>
      <c r="N38" s="6" t="n">
        <f aca="false">IF(EXACT(Analysis!L163,$N$3),1,0)</f>
        <v>0</v>
      </c>
      <c r="O38" s="6" t="n">
        <f aca="false">N38*$B38</f>
        <v>0</v>
      </c>
    </row>
    <row r="39" customFormat="false" ht="12.75" hidden="false" customHeight="false" outlineLevel="0" collapsed="false">
      <c r="A39" s="83" t="s">
        <v>151</v>
      </c>
      <c r="B39" s="67" t="n">
        <v>15</v>
      </c>
      <c r="C39" s="81" t="n">
        <v>3501007</v>
      </c>
      <c r="D39" s="81" t="n">
        <v>1961166</v>
      </c>
      <c r="E39" s="84" t="n">
        <v>56</v>
      </c>
      <c r="F39" s="67" t="n">
        <f aca="false">IF(D39&gt;G39,B39,"")</f>
        <v>15</v>
      </c>
      <c r="G39" s="81" t="n">
        <v>1525849</v>
      </c>
      <c r="H39" s="67" t="n">
        <v>43.6</v>
      </c>
      <c r="I39" s="67" t="str">
        <f aca="false">IF(D39&lt;G39,B39,"")</f>
        <v/>
      </c>
      <c r="L39" s="17" t="n">
        <f aca="false">IF(EXACT(Analysis!K164,$L$3),1,0)</f>
        <v>0</v>
      </c>
      <c r="M39" s="6" t="n">
        <f aca="false">L39*$B39</f>
        <v>0</v>
      </c>
      <c r="N39" s="6" t="n">
        <f aca="false">IF(EXACT(Analysis!L164,$N$3),1,0)</f>
        <v>0</v>
      </c>
      <c r="O39" s="6" t="n">
        <f aca="false">N39*$B39</f>
        <v>0</v>
      </c>
    </row>
    <row r="40" customFormat="false" ht="12.75" hidden="false" customHeight="false" outlineLevel="0" collapsed="false">
      <c r="A40" s="83" t="s">
        <v>152</v>
      </c>
      <c r="B40" s="67" t="n">
        <v>3</v>
      </c>
      <c r="C40" s="81" t="n">
        <v>312833</v>
      </c>
      <c r="D40" s="81" t="n">
        <v>196651</v>
      </c>
      <c r="E40" s="84" t="n">
        <v>62.9</v>
      </c>
      <c r="F40" s="67" t="n">
        <f aca="false">IF(D40&gt;G40,B40,"")</f>
        <v>3</v>
      </c>
      <c r="G40" s="81" t="n">
        <v>111052</v>
      </c>
      <c r="H40" s="67" t="n">
        <v>35.5</v>
      </c>
      <c r="I40" s="67" t="str">
        <f aca="false">IF(D40&lt;G40,B40,"")</f>
        <v/>
      </c>
      <c r="L40" s="17" t="n">
        <f aca="false">IF(EXACT(Analysis!K165,$L$3),1,0)</f>
        <v>0</v>
      </c>
      <c r="M40" s="6" t="n">
        <f aca="false">L40*$B40</f>
        <v>0</v>
      </c>
      <c r="N40" s="6" t="n">
        <f aca="false">IF(EXACT(Analysis!L165,$N$3),1,0)</f>
        <v>0</v>
      </c>
      <c r="O40" s="6" t="n">
        <f aca="false">N40*$B40</f>
        <v>0</v>
      </c>
    </row>
    <row r="41" customFormat="false" ht="12.75" hidden="false" customHeight="false" outlineLevel="0" collapsed="false">
      <c r="A41" s="83" t="s">
        <v>153</v>
      </c>
      <c r="B41" s="67" t="n">
        <v>20</v>
      </c>
      <c r="C41" s="81" t="n">
        <v>5627908</v>
      </c>
      <c r="D41" s="81" t="n">
        <v>2859768</v>
      </c>
      <c r="E41" s="84" t="n">
        <v>50.8</v>
      </c>
      <c r="F41" s="67" t="n">
        <f aca="false">IF(D41&gt;G41,B41,"")</f>
        <v>20</v>
      </c>
      <c r="G41" s="81" t="n">
        <v>2741167</v>
      </c>
      <c r="H41" s="67" t="n">
        <v>48.7</v>
      </c>
      <c r="I41" s="67" t="str">
        <f aca="false">IF(D41&lt;G41,B41,"")</f>
        <v/>
      </c>
      <c r="L41" s="17" t="n">
        <f aca="false">IF(EXACT(Analysis!K166,$L$3),1,0)</f>
        <v>0</v>
      </c>
      <c r="M41" s="6" t="n">
        <f aca="false">L41*$B41</f>
        <v>0</v>
      </c>
      <c r="N41" s="6" t="n">
        <f aca="false">IF(EXACT(Analysis!L166,$N$3),1,0)</f>
        <v>1</v>
      </c>
      <c r="O41" s="6" t="n">
        <f aca="false">N41*$B41</f>
        <v>20</v>
      </c>
    </row>
    <row r="42" customFormat="false" ht="12.75" hidden="false" customHeight="false" outlineLevel="0" collapsed="false">
      <c r="A42" s="83" t="s">
        <v>154</v>
      </c>
      <c r="B42" s="67" t="n">
        <v>7</v>
      </c>
      <c r="C42" s="81" t="n">
        <v>1463758</v>
      </c>
      <c r="D42" s="81" t="n">
        <v>959792</v>
      </c>
      <c r="E42" s="84" t="n">
        <v>65.6</v>
      </c>
      <c r="F42" s="67" t="n">
        <f aca="false">IF(D42&gt;G42,B42,"")</f>
        <v>7</v>
      </c>
      <c r="G42" s="81" t="n">
        <v>503966</v>
      </c>
      <c r="H42" s="67" t="n">
        <v>34.4</v>
      </c>
      <c r="I42" s="67" t="str">
        <f aca="false">IF(D42&lt;G42,B42,"")</f>
        <v/>
      </c>
      <c r="L42" s="17" t="n">
        <f aca="false">IF(EXACT(Analysis!K167,$L$3),1,0)</f>
        <v>0</v>
      </c>
      <c r="M42" s="6" t="n">
        <f aca="false">L42*$B42</f>
        <v>0</v>
      </c>
      <c r="N42" s="6" t="n">
        <f aca="false">IF(EXACT(Analysis!L167,$N$3),1,0)</f>
        <v>0</v>
      </c>
      <c r="O42" s="6" t="n">
        <f aca="false">N42*$B42</f>
        <v>0</v>
      </c>
    </row>
    <row r="43" customFormat="false" ht="12.75" hidden="false" customHeight="false" outlineLevel="0" collapsed="false">
      <c r="A43" s="83" t="s">
        <v>155</v>
      </c>
      <c r="B43" s="67" t="n">
        <v>7</v>
      </c>
      <c r="C43" s="81" t="n">
        <v>1836782</v>
      </c>
      <c r="D43" s="81" t="n">
        <v>866831</v>
      </c>
      <c r="E43" s="84" t="n">
        <v>47.2</v>
      </c>
      <c r="F43" s="67" t="str">
        <f aca="false">IF(D43&gt;G43,B43,"")</f>
        <v/>
      </c>
      <c r="G43" s="81" t="n">
        <v>943163</v>
      </c>
      <c r="H43" s="67" t="n">
        <v>51.3</v>
      </c>
      <c r="I43" s="67" t="n">
        <f aca="false">IF(D43&lt;G43,B43,"")</f>
        <v>7</v>
      </c>
      <c r="L43" s="17" t="n">
        <f aca="false">IF(EXACT(Analysis!K168,$L$3),1,0)</f>
        <v>0</v>
      </c>
      <c r="M43" s="6" t="n">
        <f aca="false">L43*$B43</f>
        <v>0</v>
      </c>
      <c r="N43" s="6" t="n">
        <f aca="false">IF(EXACT(Analysis!L168,$N$3),1,0)</f>
        <v>0</v>
      </c>
      <c r="O43" s="6" t="n">
        <f aca="false">N43*$B43</f>
        <v>0</v>
      </c>
    </row>
    <row r="44" customFormat="false" ht="12.75" hidden="false" customHeight="false" outlineLevel="0" collapsed="false">
      <c r="A44" s="83" t="s">
        <v>156</v>
      </c>
      <c r="B44" s="67" t="n">
        <v>21</v>
      </c>
      <c r="C44" s="81" t="n">
        <v>5769590</v>
      </c>
      <c r="D44" s="81" t="n">
        <v>2793847</v>
      </c>
      <c r="E44" s="84" t="n">
        <v>48.4</v>
      </c>
      <c r="F44" s="67" t="str">
        <f aca="false">IF(D44&gt;G44,B44,"")</f>
        <v/>
      </c>
      <c r="G44" s="81" t="n">
        <v>2938095</v>
      </c>
      <c r="H44" s="67" t="n">
        <v>50.9</v>
      </c>
      <c r="I44" s="67" t="n">
        <f aca="false">IF(D44&lt;G44,B44,"")</f>
        <v>21</v>
      </c>
      <c r="L44" s="17" t="n">
        <f aca="false">IF(EXACT(Analysis!K169,$L$3),1,0)</f>
        <v>0</v>
      </c>
      <c r="M44" s="6" t="n">
        <f aca="false">L44*$B44</f>
        <v>0</v>
      </c>
      <c r="N44" s="6" t="n">
        <f aca="false">IF(EXACT(Analysis!L169,$N$3),1,0)</f>
        <v>0</v>
      </c>
      <c r="O44" s="6" t="n">
        <f aca="false">N44*$B44</f>
        <v>0</v>
      </c>
    </row>
    <row r="45" customFormat="false" ht="12.75" hidden="false" customHeight="false" outlineLevel="0" collapsed="false">
      <c r="A45" s="83" t="s">
        <v>157</v>
      </c>
      <c r="B45" s="67" t="n">
        <v>4</v>
      </c>
      <c r="C45" s="81" t="n">
        <v>437134</v>
      </c>
      <c r="D45" s="81" t="n">
        <v>169046</v>
      </c>
      <c r="E45" s="84" t="n">
        <v>38.7</v>
      </c>
      <c r="F45" s="67" t="str">
        <f aca="false">IF(D45&gt;G45,B45,"")</f>
        <v/>
      </c>
      <c r="G45" s="81" t="n">
        <v>259765</v>
      </c>
      <c r="H45" s="67" t="n">
        <v>59.4</v>
      </c>
      <c r="I45" s="67" t="n">
        <f aca="false">IF(D45&lt;G45,B45,"")</f>
        <v>4</v>
      </c>
      <c r="L45" s="17" t="n">
        <f aca="false">IF(EXACT(Analysis!K170,$L$3),1,0)</f>
        <v>0</v>
      </c>
      <c r="M45" s="6" t="n">
        <f aca="false">L45*$B45</f>
        <v>0</v>
      </c>
      <c r="N45" s="6" t="n">
        <f aca="false">IF(EXACT(Analysis!L170,$N$3),1,0)</f>
        <v>0</v>
      </c>
      <c r="O45" s="6" t="n">
        <f aca="false">N45*$B45</f>
        <v>0</v>
      </c>
    </row>
    <row r="46" customFormat="false" ht="12.75" hidden="false" customHeight="false" outlineLevel="0" collapsed="false">
      <c r="A46" s="83" t="s">
        <v>158</v>
      </c>
      <c r="B46" s="67" t="n">
        <v>8</v>
      </c>
      <c r="C46" s="81" t="n">
        <v>1617730</v>
      </c>
      <c r="D46" s="81" t="n">
        <v>937974</v>
      </c>
      <c r="E46" s="84" t="n">
        <v>58</v>
      </c>
      <c r="F46" s="67" t="n">
        <f aca="false">IF(D46&gt;G46,B46,"")</f>
        <v>8</v>
      </c>
      <c r="G46" s="81" t="n">
        <v>661699</v>
      </c>
      <c r="H46" s="67" t="n">
        <v>40.9</v>
      </c>
      <c r="I46" s="67" t="str">
        <f aca="false">IF(D46&lt;G46,B46,"")</f>
        <v/>
      </c>
      <c r="L46" s="17" t="n">
        <f aca="false">IF(EXACT(Analysis!K171,$L$3),1,0)</f>
        <v>0</v>
      </c>
      <c r="M46" s="6" t="n">
        <f aca="false">L46*$B46</f>
        <v>0</v>
      </c>
      <c r="N46" s="6" t="n">
        <f aca="false">IF(EXACT(Analysis!L171,$N$3),1,0)</f>
        <v>0</v>
      </c>
      <c r="O46" s="6" t="n">
        <f aca="false">N46*$B46</f>
        <v>0</v>
      </c>
    </row>
    <row r="47" customFormat="false" ht="12.75" hidden="false" customHeight="false" outlineLevel="0" collapsed="false">
      <c r="A47" s="83" t="s">
        <v>159</v>
      </c>
      <c r="B47" s="67" t="n">
        <v>3</v>
      </c>
      <c r="C47" s="81" t="n">
        <v>388215</v>
      </c>
      <c r="D47" s="81" t="n">
        <v>232584</v>
      </c>
      <c r="E47" s="84" t="n">
        <v>59.9</v>
      </c>
      <c r="F47" s="67" t="n">
        <f aca="false">IF(D47&gt;G47,B47,"")</f>
        <v>3</v>
      </c>
      <c r="G47" s="81" t="n">
        <v>149244</v>
      </c>
      <c r="H47" s="67" t="n">
        <v>38.4</v>
      </c>
      <c r="I47" s="67" t="str">
        <f aca="false">IF(D47&lt;G47,B47,"")</f>
        <v/>
      </c>
      <c r="L47" s="17" t="n">
        <f aca="false">IF(EXACT(Analysis!K172,$L$3),1,0)</f>
        <v>0</v>
      </c>
      <c r="M47" s="6" t="n">
        <f aca="false">L47*$B47</f>
        <v>0</v>
      </c>
      <c r="N47" s="6" t="n">
        <f aca="false">IF(EXACT(Analysis!L172,$N$3),1,0)</f>
        <v>0</v>
      </c>
      <c r="O47" s="6" t="n">
        <f aca="false">N47*$B47</f>
        <v>0</v>
      </c>
    </row>
    <row r="48" customFormat="false" ht="12.75" hidden="false" customHeight="false" outlineLevel="0" collapsed="false">
      <c r="A48" s="83" t="s">
        <v>160</v>
      </c>
      <c r="B48" s="67" t="n">
        <v>11</v>
      </c>
      <c r="C48" s="81" t="n">
        <v>2437319</v>
      </c>
      <c r="D48" s="81" t="n">
        <v>1384375</v>
      </c>
      <c r="E48" s="84" t="n">
        <v>56.8</v>
      </c>
      <c r="F48" s="67" t="n">
        <f aca="false">IF(D48&gt;G48,B48,"")</f>
        <v>11</v>
      </c>
      <c r="G48" s="81" t="n">
        <v>1036477</v>
      </c>
      <c r="H48" s="67" t="n">
        <v>42.5</v>
      </c>
      <c r="I48" s="67" t="str">
        <f aca="false">IF(D48&lt;G48,B48,"")</f>
        <v/>
      </c>
      <c r="L48" s="17" t="n">
        <f aca="false">IF(EXACT(Analysis!K173,$L$3),1,0)</f>
        <v>0</v>
      </c>
      <c r="M48" s="6" t="n">
        <f aca="false">L48*$B48</f>
        <v>0</v>
      </c>
      <c r="N48" s="6" t="n">
        <f aca="false">IF(EXACT(Analysis!L173,$N$3),1,0)</f>
        <v>0</v>
      </c>
      <c r="O48" s="6" t="n">
        <f aca="false">N48*$B48</f>
        <v>0</v>
      </c>
    </row>
    <row r="49" customFormat="false" ht="12.75" hidden="false" customHeight="false" outlineLevel="0" collapsed="false">
      <c r="A49" s="83" t="s">
        <v>161</v>
      </c>
      <c r="B49" s="67" t="n">
        <v>34</v>
      </c>
      <c r="C49" s="81" t="n">
        <v>7410765</v>
      </c>
      <c r="D49" s="81" t="n">
        <v>4526917</v>
      </c>
      <c r="E49" s="84" t="n">
        <v>61.1</v>
      </c>
      <c r="F49" s="67" t="n">
        <f aca="false">IF(D49&gt;G49,B49,"")</f>
        <v>34</v>
      </c>
      <c r="G49" s="81" t="n">
        <v>2832704</v>
      </c>
      <c r="H49" s="67" t="n">
        <v>38.2</v>
      </c>
      <c r="I49" s="67" t="str">
        <f aca="false">IF(D49&lt;G49,B49,"")</f>
        <v/>
      </c>
      <c r="L49" s="17" t="n">
        <f aca="false">IF(EXACT(Analysis!K174,$L$3),1,0)</f>
        <v>0</v>
      </c>
      <c r="M49" s="6" t="n">
        <f aca="false">L49*$B49</f>
        <v>0</v>
      </c>
      <c r="N49" s="6" t="n">
        <f aca="false">IF(EXACT(Analysis!L174,$N$3),1,0)</f>
        <v>0</v>
      </c>
      <c r="O49" s="6" t="n">
        <f aca="false">N49*$B49</f>
        <v>0</v>
      </c>
    </row>
    <row r="50" customFormat="false" ht="12.75" hidden="false" customHeight="false" outlineLevel="0" collapsed="false">
      <c r="A50" s="83" t="s">
        <v>162</v>
      </c>
      <c r="B50" s="67" t="n">
        <v>5</v>
      </c>
      <c r="C50" s="81" t="n">
        <v>927844</v>
      </c>
      <c r="D50" s="81" t="n">
        <v>663742</v>
      </c>
      <c r="E50" s="84" t="n">
        <v>71.5</v>
      </c>
      <c r="F50" s="67" t="n">
        <f aca="false">IF(D50&gt;G50,B50,"")</f>
        <v>5</v>
      </c>
      <c r="G50" s="81" t="n">
        <v>241199</v>
      </c>
      <c r="H50" s="67" t="n">
        <v>26</v>
      </c>
      <c r="I50" s="67" t="str">
        <f aca="false">IF(D50&lt;G50,B50,"")</f>
        <v/>
      </c>
      <c r="L50" s="17" t="n">
        <f aca="false">IF(EXACT(Analysis!K175,$L$3),1,0)</f>
        <v>0</v>
      </c>
      <c r="M50" s="6" t="n">
        <f aca="false">L50*$B50</f>
        <v>0</v>
      </c>
      <c r="N50" s="6" t="n">
        <f aca="false">IF(EXACT(Analysis!L175,$N$3),1,0)</f>
        <v>0</v>
      </c>
      <c r="O50" s="6" t="n">
        <f aca="false">N50*$B50</f>
        <v>0</v>
      </c>
    </row>
    <row r="51" customFormat="false" ht="12.75" hidden="false" customHeight="false" outlineLevel="0" collapsed="false">
      <c r="A51" s="83" t="s">
        <v>163</v>
      </c>
      <c r="B51" s="67" t="n">
        <v>3</v>
      </c>
      <c r="C51" s="81" t="n">
        <v>312309</v>
      </c>
      <c r="D51" s="81" t="n">
        <v>121180</v>
      </c>
      <c r="E51" s="84" t="n">
        <v>38.8</v>
      </c>
      <c r="F51" s="67" t="str">
        <f aca="false">IF(D51&gt;G51,B51,"")</f>
        <v/>
      </c>
      <c r="G51" s="81" t="n">
        <v>184067</v>
      </c>
      <c r="H51" s="67" t="n">
        <v>58.9</v>
      </c>
      <c r="I51" s="67" t="n">
        <f aca="false">IF(D51&lt;G51,B51,"")</f>
        <v>3</v>
      </c>
      <c r="L51" s="17" t="n">
        <f aca="false">IF(EXACT(Analysis!K176,$L$3),1,0)</f>
        <v>0</v>
      </c>
      <c r="M51" s="6" t="n">
        <f aca="false">L51*$B51</f>
        <v>0</v>
      </c>
      <c r="N51" s="6" t="n">
        <f aca="false">IF(EXACT(Analysis!L176,$N$3),1,0)</f>
        <v>0</v>
      </c>
      <c r="O51" s="6" t="n">
        <f aca="false">N51*$B51</f>
        <v>0</v>
      </c>
    </row>
    <row r="52" customFormat="false" ht="12.75" hidden="false" customHeight="false" outlineLevel="0" collapsed="false">
      <c r="A52" s="83" t="s">
        <v>164</v>
      </c>
      <c r="B52" s="67" t="n">
        <v>13</v>
      </c>
      <c r="C52" s="81" t="n">
        <v>3198367</v>
      </c>
      <c r="D52" s="81" t="n">
        <v>1716959</v>
      </c>
      <c r="E52" s="84" t="n">
        <v>53.7</v>
      </c>
      <c r="F52" s="67" t="n">
        <f aca="false">IF(D52&gt;G52,B52,"")</f>
        <v>13</v>
      </c>
      <c r="G52" s="81" t="n">
        <v>1454742</v>
      </c>
      <c r="H52" s="67" t="n">
        <v>45.5</v>
      </c>
      <c r="I52" s="67" t="str">
        <f aca="false">IF(D52&lt;G52,B52,"")</f>
        <v/>
      </c>
      <c r="L52" s="17" t="n">
        <f aca="false">IF(EXACT(Analysis!K177,$L$3),1,0)</f>
        <v>0</v>
      </c>
      <c r="M52" s="6" t="n">
        <f aca="false">L52*$B52</f>
        <v>0</v>
      </c>
      <c r="N52" s="6" t="n">
        <f aca="false">IF(EXACT(Analysis!L177,$N$3),1,0)</f>
        <v>0</v>
      </c>
      <c r="O52" s="6" t="n">
        <f aca="false">N52*$B52</f>
        <v>0</v>
      </c>
    </row>
    <row r="53" customFormat="false" ht="12.75" hidden="false" customHeight="false" outlineLevel="0" collapsed="false">
      <c r="A53" s="83" t="s">
        <v>165</v>
      </c>
      <c r="B53" s="67" t="n">
        <v>11</v>
      </c>
      <c r="C53" s="81" t="n">
        <v>2859084</v>
      </c>
      <c r="D53" s="81" t="n">
        <v>1304894</v>
      </c>
      <c r="E53" s="84" t="n">
        <v>45.6</v>
      </c>
      <c r="F53" s="67" t="str">
        <f aca="false">IF(D53&gt;G53,B53,"")</f>
        <v/>
      </c>
      <c r="G53" s="81" t="n">
        <v>1510201</v>
      </c>
      <c r="H53" s="67" t="n">
        <v>52.8</v>
      </c>
      <c r="I53" s="67" t="n">
        <f aca="false">IF(D53&lt;G53,B53,"")</f>
        <v>11</v>
      </c>
      <c r="L53" s="17" t="n">
        <f aca="false">IF(EXACT(Analysis!K178,$L$3),1,0)</f>
        <v>0</v>
      </c>
      <c r="M53" s="6" t="n">
        <f aca="false">L53*$B53</f>
        <v>0</v>
      </c>
      <c r="N53" s="6" t="n">
        <f aca="false">IF(EXACT(Analysis!L178,$N$3),1,0)</f>
        <v>0</v>
      </c>
      <c r="O53" s="6" t="n">
        <f aca="false">N53*$B53</f>
        <v>0</v>
      </c>
    </row>
    <row r="54" customFormat="false" ht="12.75" hidden="false" customHeight="false" outlineLevel="0" collapsed="false">
      <c r="A54" s="83" t="s">
        <v>166</v>
      </c>
      <c r="B54" s="67" t="n">
        <v>5</v>
      </c>
      <c r="C54" s="81" t="n">
        <v>755887</v>
      </c>
      <c r="D54" s="81" t="n">
        <v>423778</v>
      </c>
      <c r="E54" s="84" t="n">
        <v>56.1</v>
      </c>
      <c r="F54" s="67" t="n">
        <f aca="false">IF(D54&gt;G54,B54,"")</f>
        <v>5</v>
      </c>
      <c r="G54" s="81" t="n">
        <v>326541</v>
      </c>
      <c r="H54" s="67" t="n">
        <v>43.2</v>
      </c>
      <c r="I54" s="67" t="str">
        <f aca="false">IF(D54&lt;G54,B54,"")</f>
        <v/>
      </c>
      <c r="L54" s="17" t="n">
        <f aca="false">IF(EXACT(Analysis!K179,$L$3),1,0)</f>
        <v>0</v>
      </c>
      <c r="M54" s="6" t="n">
        <f aca="false">L54*$B54</f>
        <v>0</v>
      </c>
      <c r="N54" s="6" t="n">
        <f aca="false">IF(EXACT(Analysis!L179,$N$3),1,0)</f>
        <v>0</v>
      </c>
      <c r="O54" s="6" t="n">
        <f aca="false">N54*$B54</f>
        <v>0</v>
      </c>
    </row>
    <row r="55" customFormat="false" ht="12.75" hidden="false" customHeight="false" outlineLevel="0" collapsed="false">
      <c r="A55" s="83" t="s">
        <v>167</v>
      </c>
      <c r="B55" s="67" t="n">
        <v>10</v>
      </c>
      <c r="C55" s="81" t="n">
        <v>2997007</v>
      </c>
      <c r="D55" s="81" t="n">
        <v>1478120</v>
      </c>
      <c r="E55" s="84" t="n">
        <v>49.3</v>
      </c>
      <c r="F55" s="67" t="str">
        <f aca="false">IF(D55&gt;G55,B55,"")</f>
        <v/>
      </c>
      <c r="G55" s="81" t="n">
        <v>1489504</v>
      </c>
      <c r="H55" s="67" t="n">
        <v>49.7</v>
      </c>
      <c r="I55" s="67" t="n">
        <f aca="false">IF(D55&lt;G55,B55,"")</f>
        <v>10</v>
      </c>
      <c r="L55" s="17" t="n">
        <f aca="false">IF(EXACT(Analysis!K180,$L$3),1,0)</f>
        <v>0</v>
      </c>
      <c r="M55" s="6" t="n">
        <f aca="false">L55*$B55</f>
        <v>0</v>
      </c>
      <c r="N55" s="6" t="n">
        <f aca="false">IF(EXACT(Analysis!L180,$N$3),1,0)</f>
        <v>0</v>
      </c>
      <c r="O55" s="6" t="n">
        <f aca="false">N55*$B55</f>
        <v>0</v>
      </c>
    </row>
    <row r="56" customFormat="false" ht="12.75" hidden="false" customHeight="false" outlineLevel="0" collapsed="false">
      <c r="A56" s="83" t="s">
        <v>168</v>
      </c>
      <c r="B56" s="67" t="n">
        <v>3</v>
      </c>
      <c r="C56" s="81" t="n">
        <v>243428</v>
      </c>
      <c r="D56" s="81" t="n">
        <v>167629</v>
      </c>
      <c r="E56" s="84" t="n">
        <v>68.9</v>
      </c>
      <c r="F56" s="67" t="n">
        <f aca="false">IF(D56&gt;G56,B56,"")</f>
        <v>3</v>
      </c>
      <c r="G56" s="81" t="n">
        <v>70776</v>
      </c>
      <c r="H56" s="67" t="n">
        <v>29.1</v>
      </c>
      <c r="I56" s="67" t="str">
        <f aca="false">IF(D56&lt;G56,B56,"")</f>
        <v/>
      </c>
      <c r="L56" s="17" t="n">
        <f aca="false">IF(EXACT(Analysis!K181,$L$3),1,0)</f>
        <v>0</v>
      </c>
      <c r="M56" s="6" t="n">
        <f aca="false">L56*$B56</f>
        <v>0</v>
      </c>
      <c r="N56" s="6" t="n">
        <f aca="false">IF(EXACT(Analysis!L181,$N$3),1,0)</f>
        <v>0</v>
      </c>
      <c r="O56" s="6" t="n">
        <f aca="false">N56*$B56</f>
        <v>0</v>
      </c>
    </row>
    <row r="57" customFormat="false" ht="12.75" hidden="false" customHeight="false" outlineLevel="0" collapsed="false">
      <c r="A57" s="85" t="s">
        <v>95</v>
      </c>
      <c r="B57" s="86" t="n">
        <f aca="false">SUM(B6:B56)</f>
        <v>537</v>
      </c>
      <c r="M57" s="86" t="n">
        <f aca="false">SUM(M6:M56)</f>
        <v>0</v>
      </c>
      <c r="O57" s="86" t="n">
        <f aca="false">SUM(O6:O56)</f>
        <v>47</v>
      </c>
    </row>
    <row r="58" customFormat="false" ht="12.75" hidden="false" customHeight="false" outlineLevel="0" collapsed="false">
      <c r="A58" s="32" t="s">
        <v>175</v>
      </c>
      <c r="B58" s="32"/>
      <c r="C58" s="32"/>
      <c r="D58" s="32"/>
      <c r="E58" s="32"/>
      <c r="F58" s="87" t="n">
        <f aca="false">SUM(F6:F56)</f>
        <v>286</v>
      </c>
      <c r="I58" s="87" t="n">
        <f aca="false">SUM(I6:I56)</f>
        <v>251</v>
      </c>
    </row>
    <row r="59" customFormat="false" ht="12.75" hidden="false" customHeight="false" outlineLevel="0" collapsed="false">
      <c r="A59" s="32" t="s">
        <v>176</v>
      </c>
      <c r="B59" s="32"/>
      <c r="C59" s="32"/>
      <c r="D59" s="32"/>
      <c r="F59" s="88" t="n">
        <f aca="false">F58-O57</f>
        <v>239</v>
      </c>
      <c r="I59" s="88" t="n">
        <f aca="false">I58+O57</f>
        <v>298</v>
      </c>
    </row>
  </sheetData>
  <mergeCells count="11">
    <mergeCell ref="A4:A5"/>
    <mergeCell ref="C4:C5"/>
    <mergeCell ref="D4:F4"/>
    <mergeCell ref="G4:I4"/>
    <mergeCell ref="J4:K4"/>
    <mergeCell ref="L4:L5"/>
    <mergeCell ref="M4:M5"/>
    <mergeCell ref="N4:N5"/>
    <mergeCell ref="O4:O5"/>
    <mergeCell ref="A58:E58"/>
    <mergeCell ref="A59:D59"/>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ColWidth="11.5703125" defaultRowHeight="12.75" zeroHeight="false" outlineLevelRow="0" outlineLevelCol="0"/>
  <cols>
    <col collapsed="false" customWidth="true" hidden="false" outlineLevel="0" max="1" min="1" style="16" width="13.86"/>
    <col collapsed="false" customWidth="true" hidden="false" outlineLevel="0" max="2" min="2" style="1" width="13.86"/>
    <col collapsed="false" customWidth="true" hidden="false" outlineLevel="0" max="5" min="5" style="16" width="13.86"/>
    <col collapsed="false" customWidth="true" hidden="false" outlineLevel="0" max="6" min="6" style="1" width="13.86"/>
    <col collapsed="false" customWidth="true" hidden="false" outlineLevel="0" max="8" min="8" style="16" width="13.86"/>
    <col collapsed="false" customWidth="true" hidden="false" outlineLevel="0" max="9" min="9" style="1" width="13.86"/>
  </cols>
  <sheetData>
    <row r="1" customFormat="false" ht="12.75" hidden="false" customHeight="false" outlineLevel="0" collapsed="false">
      <c r="A1" s="66" t="s">
        <v>22</v>
      </c>
      <c r="B1" s="67" t="n">
        <v>2008</v>
      </c>
      <c r="C1" s="67"/>
      <c r="D1" s="67"/>
      <c r="E1" s="68"/>
      <c r="F1" s="68"/>
      <c r="G1" s="89"/>
      <c r="H1" s="68"/>
    </row>
    <row r="2" customFormat="false" ht="12.75" hidden="false" customHeight="false" outlineLevel="0" collapsed="false">
      <c r="A2" s="66" t="s">
        <v>107</v>
      </c>
      <c r="B2" s="82" t="n">
        <f aca="false">SUM(C6:C56)</f>
        <v>131278107</v>
      </c>
      <c r="C2" s="82" t="n">
        <f aca="false">SUM(D6:D56)</f>
        <v>59934814</v>
      </c>
      <c r="D2" s="82" t="n">
        <f aca="false">SUM(G6:G56)</f>
        <v>69456897</v>
      </c>
      <c r="E2" s="68"/>
      <c r="F2" s="68"/>
      <c r="G2" s="89"/>
      <c r="H2" s="68"/>
    </row>
    <row r="3" customFormat="false" ht="12.75" hidden="false" customHeight="false" outlineLevel="0" collapsed="false">
      <c r="A3" s="68"/>
      <c r="B3" s="68"/>
      <c r="C3" s="68"/>
      <c r="D3" s="89"/>
      <c r="E3" s="68"/>
      <c r="F3" s="68"/>
      <c r="G3" s="89"/>
      <c r="H3" s="68"/>
    </row>
    <row r="4" customFormat="false" ht="14.25" hidden="false" customHeight="true" outlineLevel="0" collapsed="false">
      <c r="A4" s="71" t="s">
        <v>108</v>
      </c>
      <c r="C4" s="71" t="s">
        <v>110</v>
      </c>
      <c r="D4" s="72" t="s">
        <v>111</v>
      </c>
      <c r="E4" s="72"/>
      <c r="F4" s="72"/>
      <c r="G4" s="73" t="s">
        <v>112</v>
      </c>
      <c r="H4" s="73"/>
      <c r="I4" s="73"/>
    </row>
    <row r="5" customFormat="false" ht="12.75" hidden="false" customHeight="false" outlineLevel="0" collapsed="false">
      <c r="A5" s="71"/>
      <c r="B5" s="79" t="s">
        <v>116</v>
      </c>
      <c r="C5" s="71"/>
      <c r="D5" s="74" t="s">
        <v>114</v>
      </c>
      <c r="E5" s="75" t="s">
        <v>115</v>
      </c>
      <c r="F5" s="75" t="s">
        <v>116</v>
      </c>
      <c r="G5" s="76" t="s">
        <v>114</v>
      </c>
      <c r="H5" s="77" t="s">
        <v>115</v>
      </c>
      <c r="I5" s="77" t="s">
        <v>116</v>
      </c>
    </row>
    <row r="6" customFormat="false" ht="12.75" hidden="false" customHeight="false" outlineLevel="0" collapsed="false">
      <c r="A6" s="83" t="s">
        <v>117</v>
      </c>
      <c r="B6" s="67" t="n">
        <v>9</v>
      </c>
      <c r="C6" s="81" t="n">
        <v>2099819</v>
      </c>
      <c r="D6" s="81" t="n">
        <v>1266546</v>
      </c>
      <c r="E6" s="90" t="s">
        <v>177</v>
      </c>
      <c r="F6" s="67" t="n">
        <f aca="false">IF(D6&gt;G6,B6,"")</f>
        <v>9</v>
      </c>
      <c r="G6" s="81" t="n">
        <v>813479</v>
      </c>
      <c r="H6" s="90" t="s">
        <v>178</v>
      </c>
      <c r="I6" s="67" t="str">
        <f aca="false">IF(D6&lt;G6,B6,"")</f>
        <v/>
      </c>
      <c r="J6" s="6"/>
      <c r="K6" s="81"/>
    </row>
    <row r="7" customFormat="false" ht="12.75" hidden="false" customHeight="false" outlineLevel="0" collapsed="false">
      <c r="A7" s="83" t="s">
        <v>118</v>
      </c>
      <c r="B7" s="67" t="n">
        <v>3</v>
      </c>
      <c r="C7" s="81" t="n">
        <v>326197</v>
      </c>
      <c r="D7" s="81" t="n">
        <v>193841</v>
      </c>
      <c r="E7" s="90" t="s">
        <v>179</v>
      </c>
      <c r="F7" s="67" t="n">
        <f aca="false">IF(D7&gt;G7,B7,"")</f>
        <v>3</v>
      </c>
      <c r="G7" s="81" t="n">
        <v>123594</v>
      </c>
      <c r="H7" s="90" t="s">
        <v>180</v>
      </c>
      <c r="I7" s="67" t="str">
        <f aca="false">IF(D7&lt;G7,B7,"")</f>
        <v/>
      </c>
      <c r="J7" s="6"/>
      <c r="K7" s="81"/>
    </row>
    <row r="8" customFormat="false" ht="12.75" hidden="false" customHeight="false" outlineLevel="0" collapsed="false">
      <c r="A8" s="83" t="s">
        <v>119</v>
      </c>
      <c r="B8" s="67" t="n">
        <v>10</v>
      </c>
      <c r="C8" s="81" t="n">
        <v>2293475</v>
      </c>
      <c r="D8" s="81" t="n">
        <v>1230111</v>
      </c>
      <c r="E8" s="90" t="s">
        <v>181</v>
      </c>
      <c r="F8" s="67" t="n">
        <f aca="false">IF(D8&gt;G8,B8,"")</f>
        <v>10</v>
      </c>
      <c r="G8" s="81" t="n">
        <v>1034707</v>
      </c>
      <c r="H8" s="90" t="s">
        <v>182</v>
      </c>
      <c r="I8" s="67" t="str">
        <f aca="false">IF(D8&lt;G8,B8,"")</f>
        <v/>
      </c>
      <c r="J8" s="6"/>
      <c r="K8" s="81"/>
    </row>
    <row r="9" customFormat="false" ht="12.75" hidden="false" customHeight="false" outlineLevel="0" collapsed="false">
      <c r="A9" s="83" t="s">
        <v>120</v>
      </c>
      <c r="B9" s="67" t="n">
        <v>6</v>
      </c>
      <c r="C9" s="81" t="n">
        <v>1086617</v>
      </c>
      <c r="D9" s="81" t="n">
        <v>638017</v>
      </c>
      <c r="E9" s="90" t="s">
        <v>183</v>
      </c>
      <c r="F9" s="67" t="n">
        <f aca="false">IF(D9&gt;G9,B9,"")</f>
        <v>6</v>
      </c>
      <c r="G9" s="81" t="n">
        <v>422310</v>
      </c>
      <c r="H9" s="90" t="s">
        <v>184</v>
      </c>
      <c r="I9" s="67" t="str">
        <f aca="false">IF(D9&lt;G9,B9,"")</f>
        <v/>
      </c>
      <c r="J9" s="6"/>
      <c r="K9" s="81"/>
    </row>
    <row r="10" customFormat="false" ht="12.75" hidden="false" customHeight="false" outlineLevel="0" collapsed="false">
      <c r="A10" s="83" t="s">
        <v>121</v>
      </c>
      <c r="B10" s="67" t="n">
        <v>55</v>
      </c>
      <c r="C10" s="81" t="n">
        <v>13561900</v>
      </c>
      <c r="D10" s="81" t="n">
        <v>5011781</v>
      </c>
      <c r="E10" s="90" t="s">
        <v>185</v>
      </c>
      <c r="F10" s="67" t="str">
        <f aca="false">IF(D10&gt;G10,B10,"")</f>
        <v/>
      </c>
      <c r="G10" s="81" t="n">
        <v>8274473</v>
      </c>
      <c r="H10" s="90" t="s">
        <v>186</v>
      </c>
      <c r="I10" s="67" t="n">
        <f aca="false">IF(D10&lt;G10,B10,"")</f>
        <v>55</v>
      </c>
      <c r="J10" s="6"/>
      <c r="K10" s="81"/>
    </row>
    <row r="11" customFormat="false" ht="12.75" hidden="false" customHeight="false" outlineLevel="0" collapsed="false">
      <c r="A11" s="83" t="s">
        <v>122</v>
      </c>
      <c r="B11" s="67" t="n">
        <v>9</v>
      </c>
      <c r="C11" s="81" t="n">
        <v>2401361</v>
      </c>
      <c r="D11" s="81" t="n">
        <v>1073589</v>
      </c>
      <c r="E11" s="90" t="s">
        <v>187</v>
      </c>
      <c r="F11" s="67" t="str">
        <f aca="false">IF(D11&gt;G11,B11,"")</f>
        <v/>
      </c>
      <c r="G11" s="81" t="n">
        <v>1288576</v>
      </c>
      <c r="H11" s="90" t="s">
        <v>188</v>
      </c>
      <c r="I11" s="67" t="n">
        <f aca="false">IF(D11&lt;G11,B11,"")</f>
        <v>9</v>
      </c>
      <c r="J11" s="6"/>
      <c r="K11" s="81"/>
    </row>
    <row r="12" customFormat="false" ht="12.75" hidden="false" customHeight="false" outlineLevel="0" collapsed="false">
      <c r="A12" s="83" t="s">
        <v>123</v>
      </c>
      <c r="B12" s="67" t="n">
        <v>7</v>
      </c>
      <c r="C12" s="81" t="n">
        <v>1646792</v>
      </c>
      <c r="D12" s="81" t="n">
        <v>629428</v>
      </c>
      <c r="E12" s="90" t="s">
        <v>189</v>
      </c>
      <c r="F12" s="67" t="str">
        <f aca="false">IF(D12&gt;G12,B12,"")</f>
        <v/>
      </c>
      <c r="G12" s="81" t="n">
        <v>997772</v>
      </c>
      <c r="H12" s="90" t="s">
        <v>190</v>
      </c>
      <c r="I12" s="67" t="n">
        <f aca="false">IF(D12&lt;G12,B12,"")</f>
        <v>7</v>
      </c>
      <c r="J12" s="6"/>
      <c r="K12" s="81"/>
    </row>
    <row r="13" customFormat="false" ht="12.75" hidden="false" customHeight="false" outlineLevel="0" collapsed="false">
      <c r="A13" s="83" t="s">
        <v>124</v>
      </c>
      <c r="B13" s="67" t="n">
        <v>3</v>
      </c>
      <c r="C13" s="81" t="n">
        <v>412412</v>
      </c>
      <c r="D13" s="81" t="n">
        <v>152374</v>
      </c>
      <c r="E13" s="90" t="s">
        <v>191</v>
      </c>
      <c r="F13" s="67" t="str">
        <f aca="false">IF(D13&gt;G13,B13,"")</f>
        <v/>
      </c>
      <c r="G13" s="81" t="n">
        <v>255459</v>
      </c>
      <c r="H13" s="90" t="s">
        <v>192</v>
      </c>
      <c r="I13" s="67" t="n">
        <f aca="false">IF(D13&lt;G13,B13,"")</f>
        <v>3</v>
      </c>
      <c r="J13" s="6"/>
      <c r="K13" s="81"/>
    </row>
    <row r="14" customFormat="false" ht="12.75" hidden="false" customHeight="false" outlineLevel="0" collapsed="false">
      <c r="A14" s="83" t="s">
        <v>173</v>
      </c>
      <c r="B14" s="67" t="n">
        <v>3</v>
      </c>
      <c r="C14" s="81" t="n">
        <v>265853</v>
      </c>
      <c r="D14" s="81" t="n">
        <v>17367</v>
      </c>
      <c r="E14" s="90" t="s">
        <v>193</v>
      </c>
      <c r="F14" s="67" t="str">
        <f aca="false">IF(D14&gt;G14,B14,"")</f>
        <v/>
      </c>
      <c r="G14" s="81" t="n">
        <v>245800</v>
      </c>
      <c r="H14" s="90" t="s">
        <v>194</v>
      </c>
      <c r="I14" s="67" t="n">
        <f aca="false">IF(D14&lt;G14,B14,"")</f>
        <v>3</v>
      </c>
      <c r="J14" s="6"/>
      <c r="K14" s="81"/>
    </row>
    <row r="15" customFormat="false" ht="12.75" hidden="false" customHeight="false" outlineLevel="0" collapsed="false">
      <c r="A15" s="83" t="s">
        <v>127</v>
      </c>
      <c r="B15" s="67" t="n">
        <v>27</v>
      </c>
      <c r="C15" s="81" t="n">
        <v>8390744</v>
      </c>
      <c r="D15" s="81" t="n">
        <v>4045624</v>
      </c>
      <c r="E15" s="90" t="s">
        <v>195</v>
      </c>
      <c r="F15" s="67" t="str">
        <f aca="false">IF(D15&gt;G15,B15,"")</f>
        <v/>
      </c>
      <c r="G15" s="81" t="n">
        <v>4282074</v>
      </c>
      <c r="H15" s="90" t="s">
        <v>196</v>
      </c>
      <c r="I15" s="67" t="n">
        <f aca="false">IF(D15&lt;G15,B15,"")</f>
        <v>27</v>
      </c>
      <c r="J15" s="6"/>
      <c r="K15" s="81"/>
    </row>
    <row r="16" customFormat="false" ht="12.75" hidden="false" customHeight="false" outlineLevel="0" collapsed="false">
      <c r="A16" s="83" t="s">
        <v>128</v>
      </c>
      <c r="B16" s="67" t="n">
        <v>15</v>
      </c>
      <c r="C16" s="81" t="n">
        <v>3924440</v>
      </c>
      <c r="D16" s="81" t="n">
        <v>2048744</v>
      </c>
      <c r="E16" s="90" t="s">
        <v>197</v>
      </c>
      <c r="F16" s="67" t="n">
        <f aca="false">IF(D16&gt;G16,B16,"")</f>
        <v>15</v>
      </c>
      <c r="G16" s="81" t="n">
        <v>1844137</v>
      </c>
      <c r="H16" s="90" t="s">
        <v>198</v>
      </c>
      <c r="I16" s="67" t="str">
        <f aca="false">IF(D16&lt;G16,B16,"")</f>
        <v/>
      </c>
      <c r="J16" s="6"/>
      <c r="K16" s="81"/>
    </row>
    <row r="17" customFormat="false" ht="12.75" hidden="false" customHeight="false" outlineLevel="0" collapsed="false">
      <c r="A17" s="83" t="s">
        <v>129</v>
      </c>
      <c r="B17" s="67" t="n">
        <v>4</v>
      </c>
      <c r="C17" s="81" t="n">
        <v>453568</v>
      </c>
      <c r="D17" s="81" t="n">
        <v>120566</v>
      </c>
      <c r="E17" s="90" t="s">
        <v>199</v>
      </c>
      <c r="F17" s="67" t="str">
        <f aca="false">IF(D17&gt;G17,B17,"")</f>
        <v/>
      </c>
      <c r="G17" s="81" t="n">
        <v>325871</v>
      </c>
      <c r="H17" s="90" t="s">
        <v>200</v>
      </c>
      <c r="I17" s="67" t="n">
        <f aca="false">IF(D17&lt;G17,B17,"")</f>
        <v>4</v>
      </c>
      <c r="J17" s="6"/>
      <c r="K17" s="81"/>
    </row>
    <row r="18" customFormat="false" ht="12.75" hidden="false" customHeight="false" outlineLevel="0" collapsed="false">
      <c r="A18" s="83" t="s">
        <v>130</v>
      </c>
      <c r="B18" s="67" t="n">
        <v>4</v>
      </c>
      <c r="C18" s="81" t="n">
        <v>655032</v>
      </c>
      <c r="D18" s="81" t="n">
        <v>403012</v>
      </c>
      <c r="E18" s="90" t="s">
        <v>201</v>
      </c>
      <c r="F18" s="67" t="n">
        <f aca="false">IF(D18&gt;G18,B18,"")</f>
        <v>4</v>
      </c>
      <c r="G18" s="81" t="n">
        <v>236440</v>
      </c>
      <c r="H18" s="90" t="s">
        <v>202</v>
      </c>
      <c r="I18" s="67" t="str">
        <f aca="false">IF(D18&lt;G18,B18,"")</f>
        <v/>
      </c>
      <c r="J18" s="6"/>
      <c r="K18" s="81"/>
    </row>
    <row r="19" customFormat="false" ht="12.75" hidden="false" customHeight="false" outlineLevel="0" collapsed="false">
      <c r="A19" s="83" t="s">
        <v>131</v>
      </c>
      <c r="B19" s="67" t="n">
        <v>21</v>
      </c>
      <c r="C19" s="81" t="n">
        <v>5523051</v>
      </c>
      <c r="D19" s="81" t="n">
        <v>2031527</v>
      </c>
      <c r="E19" s="90" t="s">
        <v>191</v>
      </c>
      <c r="F19" s="67" t="str">
        <f aca="false">IF(D19&gt;G19,B19,"")</f>
        <v/>
      </c>
      <c r="G19" s="81" t="n">
        <v>3419673</v>
      </c>
      <c r="H19" s="90" t="s">
        <v>203</v>
      </c>
      <c r="I19" s="67" t="n">
        <f aca="false">IF(D19&lt;G19,B19,"")</f>
        <v>21</v>
      </c>
      <c r="J19" s="6"/>
      <c r="K19" s="81"/>
    </row>
    <row r="20" customFormat="false" ht="12.75" hidden="false" customHeight="false" outlineLevel="0" collapsed="false">
      <c r="A20" s="83" t="s">
        <v>132</v>
      </c>
      <c r="B20" s="67" t="n">
        <v>11</v>
      </c>
      <c r="C20" s="81" t="n">
        <v>2751054</v>
      </c>
      <c r="D20" s="81" t="n">
        <v>1345648</v>
      </c>
      <c r="E20" s="90" t="s">
        <v>204</v>
      </c>
      <c r="F20" s="67" t="str">
        <f aca="false">IF(D20&gt;G20,B20,"")</f>
        <v/>
      </c>
      <c r="G20" s="81" t="n">
        <v>1374039</v>
      </c>
      <c r="H20" s="90" t="s">
        <v>205</v>
      </c>
      <c r="I20" s="67" t="n">
        <f aca="false">IF(D20&lt;G20,B20,"")</f>
        <v>11</v>
      </c>
      <c r="J20" s="6"/>
      <c r="K20" s="81"/>
    </row>
    <row r="21" customFormat="false" ht="12.75" hidden="false" customHeight="false" outlineLevel="0" collapsed="false">
      <c r="A21" s="83" t="s">
        <v>133</v>
      </c>
      <c r="B21" s="67" t="n">
        <v>7</v>
      </c>
      <c r="C21" s="81" t="n">
        <v>1543662</v>
      </c>
      <c r="D21" s="81" t="n">
        <v>682379</v>
      </c>
      <c r="E21" s="90" t="s">
        <v>187</v>
      </c>
      <c r="F21" s="67" t="str">
        <f aca="false">IF(D21&gt;G21,B21,"")</f>
        <v/>
      </c>
      <c r="G21" s="81" t="n">
        <v>828940</v>
      </c>
      <c r="H21" s="90" t="s">
        <v>206</v>
      </c>
      <c r="I21" s="67" t="n">
        <f aca="false">IF(D21&lt;G21,B21,"")</f>
        <v>7</v>
      </c>
      <c r="J21" s="6"/>
      <c r="K21" s="81"/>
    </row>
    <row r="22" customFormat="false" ht="12.75" hidden="false" customHeight="false" outlineLevel="0" collapsed="false">
      <c r="A22" s="83" t="s">
        <v>134</v>
      </c>
      <c r="B22" s="67" t="n">
        <v>6</v>
      </c>
      <c r="C22" s="81" t="n">
        <v>1235872</v>
      </c>
      <c r="D22" s="81" t="n">
        <v>699655</v>
      </c>
      <c r="E22" s="90" t="s">
        <v>207</v>
      </c>
      <c r="F22" s="67" t="n">
        <f aca="false">IF(D22&gt;G22,B22,"")</f>
        <v>6</v>
      </c>
      <c r="G22" s="81" t="n">
        <v>514765</v>
      </c>
      <c r="H22" s="90" t="s">
        <v>208</v>
      </c>
      <c r="I22" s="67" t="str">
        <f aca="false">IF(D22&lt;G22,B22,"")</f>
        <v/>
      </c>
      <c r="J22" s="6"/>
      <c r="K22" s="81"/>
    </row>
    <row r="23" customFormat="false" ht="12.75" hidden="false" customHeight="false" outlineLevel="0" collapsed="false">
      <c r="A23" s="83" t="s">
        <v>135</v>
      </c>
      <c r="B23" s="67" t="n">
        <v>8</v>
      </c>
      <c r="C23" s="81" t="n">
        <v>1826508</v>
      </c>
      <c r="D23" s="81" t="n">
        <v>1048462</v>
      </c>
      <c r="E23" s="90" t="s">
        <v>209</v>
      </c>
      <c r="F23" s="67" t="n">
        <f aca="false">IF(D23&gt;G23,B23,"")</f>
        <v>8</v>
      </c>
      <c r="G23" s="81" t="n">
        <v>751985</v>
      </c>
      <c r="H23" s="90" t="s">
        <v>210</v>
      </c>
      <c r="I23" s="67" t="str">
        <f aca="false">IF(D23&lt;G23,B23,"")</f>
        <v/>
      </c>
      <c r="J23" s="6"/>
      <c r="K23" s="81"/>
    </row>
    <row r="24" customFormat="false" ht="12.75" hidden="false" customHeight="false" outlineLevel="0" collapsed="false">
      <c r="A24" s="83" t="s">
        <v>136</v>
      </c>
      <c r="B24" s="67" t="n">
        <v>9</v>
      </c>
      <c r="C24" s="81" t="n">
        <v>1960761</v>
      </c>
      <c r="D24" s="81" t="n">
        <v>1148275</v>
      </c>
      <c r="E24" s="90" t="s">
        <v>211</v>
      </c>
      <c r="F24" s="67" t="n">
        <f aca="false">IF(D24&gt;G24,B24,"")</f>
        <v>9</v>
      </c>
      <c r="G24" s="81" t="n">
        <v>782989</v>
      </c>
      <c r="H24" s="90" t="s">
        <v>212</v>
      </c>
      <c r="I24" s="67" t="str">
        <f aca="false">IF(D24&lt;G24,B24,"")</f>
        <v/>
      </c>
      <c r="J24" s="6"/>
      <c r="K24" s="81"/>
    </row>
    <row r="25" customFormat="false" ht="12.75" hidden="false" customHeight="false" outlineLevel="0" collapsed="false">
      <c r="A25" s="83" t="s">
        <v>137</v>
      </c>
      <c r="B25" s="67" t="n">
        <v>4</v>
      </c>
      <c r="C25" s="81" t="n">
        <v>731163</v>
      </c>
      <c r="D25" s="81" t="n">
        <v>295273</v>
      </c>
      <c r="E25" s="90" t="s">
        <v>213</v>
      </c>
      <c r="F25" s="67" t="str">
        <f aca="false">IF(D25&gt;G25,B25,"")</f>
        <v/>
      </c>
      <c r="G25" s="81" t="n">
        <v>421923</v>
      </c>
      <c r="H25" s="90" t="s">
        <v>214</v>
      </c>
      <c r="I25" s="67" t="n">
        <f aca="false">IF(D25&lt;G25,B25,"")</f>
        <v>4</v>
      </c>
      <c r="J25" s="6"/>
      <c r="K25" s="81"/>
    </row>
    <row r="26" customFormat="false" ht="12.75" hidden="false" customHeight="false" outlineLevel="0" collapsed="false">
      <c r="A26" s="83" t="s">
        <v>138</v>
      </c>
      <c r="B26" s="67" t="n">
        <v>10</v>
      </c>
      <c r="C26" s="81" t="n">
        <v>2631596</v>
      </c>
      <c r="D26" s="81" t="n">
        <v>959862</v>
      </c>
      <c r="E26" s="90" t="s">
        <v>191</v>
      </c>
      <c r="F26" s="67" t="str">
        <f aca="false">IF(D26&gt;G26,B26,"")</f>
        <v/>
      </c>
      <c r="G26" s="81" t="n">
        <v>1629467</v>
      </c>
      <c r="H26" s="90" t="s">
        <v>215</v>
      </c>
      <c r="I26" s="67" t="n">
        <f aca="false">IF(D26&lt;G26,B26,"")</f>
        <v>10</v>
      </c>
      <c r="J26" s="6"/>
      <c r="K26" s="81"/>
    </row>
    <row r="27" customFormat="false" ht="12.75" hidden="false" customHeight="false" outlineLevel="0" collapsed="false">
      <c r="A27" s="83" t="s">
        <v>139</v>
      </c>
      <c r="B27" s="67" t="n">
        <v>12</v>
      </c>
      <c r="C27" s="81" t="n">
        <v>3080985</v>
      </c>
      <c r="D27" s="81" t="n">
        <v>1108854</v>
      </c>
      <c r="E27" s="90" t="s">
        <v>216</v>
      </c>
      <c r="F27" s="67" t="str">
        <f aca="false">IF(D27&gt;G27,B27,"")</f>
        <v/>
      </c>
      <c r="G27" s="81" t="n">
        <v>1904097</v>
      </c>
      <c r="H27" s="90" t="s">
        <v>217</v>
      </c>
      <c r="I27" s="67" t="n">
        <f aca="false">IF(D27&lt;G27,B27,"")</f>
        <v>12</v>
      </c>
      <c r="J27" s="6"/>
      <c r="K27" s="81"/>
    </row>
    <row r="28" customFormat="false" ht="12.75" hidden="false" customHeight="false" outlineLevel="0" collapsed="false">
      <c r="A28" s="83" t="s">
        <v>140</v>
      </c>
      <c r="B28" s="67" t="n">
        <v>17</v>
      </c>
      <c r="C28" s="81" t="n">
        <v>5001766</v>
      </c>
      <c r="D28" s="81" t="n">
        <v>2048639</v>
      </c>
      <c r="E28" s="90" t="s">
        <v>210</v>
      </c>
      <c r="F28" s="67" t="str">
        <f aca="false">IF(D28&gt;G28,B28,"")</f>
        <v/>
      </c>
      <c r="G28" s="81" t="n">
        <v>2872579</v>
      </c>
      <c r="H28" s="90" t="s">
        <v>218</v>
      </c>
      <c r="I28" s="67" t="n">
        <f aca="false">IF(D28&lt;G28,B28,"")</f>
        <v>17</v>
      </c>
      <c r="J28" s="6"/>
      <c r="K28" s="81"/>
    </row>
    <row r="29" customFormat="false" ht="12.75" hidden="false" customHeight="false" outlineLevel="0" collapsed="false">
      <c r="A29" s="83" t="s">
        <v>141</v>
      </c>
      <c r="B29" s="67" t="n">
        <v>10</v>
      </c>
      <c r="C29" s="81" t="n">
        <v>2910369</v>
      </c>
      <c r="D29" s="81" t="n">
        <v>1275409</v>
      </c>
      <c r="E29" s="90" t="s">
        <v>219</v>
      </c>
      <c r="F29" s="67" t="str">
        <f aca="false">IF(D29&gt;G29,B29,"")</f>
        <v/>
      </c>
      <c r="G29" s="81" t="n">
        <v>1573354</v>
      </c>
      <c r="H29" s="90" t="s">
        <v>220</v>
      </c>
      <c r="I29" s="67" t="n">
        <f aca="false">IF(D29&lt;G29,B29,"")</f>
        <v>10</v>
      </c>
      <c r="J29" s="6"/>
      <c r="K29" s="81"/>
    </row>
    <row r="30" customFormat="false" ht="12.75" hidden="false" customHeight="false" outlineLevel="0" collapsed="false">
      <c r="A30" s="83" t="s">
        <v>142</v>
      </c>
      <c r="B30" s="67" t="n">
        <v>6</v>
      </c>
      <c r="C30" s="81" t="n">
        <v>1289865</v>
      </c>
      <c r="D30" s="81" t="n">
        <v>724597</v>
      </c>
      <c r="E30" s="90" t="s">
        <v>221</v>
      </c>
      <c r="F30" s="67" t="n">
        <f aca="false">IF(D30&gt;G30,B30,"")</f>
        <v>6</v>
      </c>
      <c r="G30" s="81" t="n">
        <v>554662</v>
      </c>
      <c r="H30" s="90" t="s">
        <v>222</v>
      </c>
      <c r="I30" s="67" t="str">
        <f aca="false">IF(D30&lt;G30,B30,"")</f>
        <v/>
      </c>
      <c r="J30" s="6"/>
      <c r="K30" s="81"/>
    </row>
    <row r="31" customFormat="false" ht="12.75" hidden="false" customHeight="false" outlineLevel="0" collapsed="false">
      <c r="A31" s="83" t="s">
        <v>143</v>
      </c>
      <c r="B31" s="67" t="n">
        <v>11</v>
      </c>
      <c r="C31" s="81" t="n">
        <v>2925205</v>
      </c>
      <c r="D31" s="81" t="n">
        <v>1445814</v>
      </c>
      <c r="E31" s="90" t="s">
        <v>223</v>
      </c>
      <c r="F31" s="67" t="n">
        <f aca="false">IF(D31&gt;G31,B31,"")</f>
        <v>11</v>
      </c>
      <c r="G31" s="81" t="n">
        <v>1441911</v>
      </c>
      <c r="H31" s="90" t="s">
        <v>224</v>
      </c>
      <c r="I31" s="67" t="str">
        <f aca="false">IF(D31&lt;G31,B31,"")</f>
        <v/>
      </c>
      <c r="J31" s="6"/>
      <c r="K31" s="81"/>
    </row>
    <row r="32" customFormat="false" ht="12.75" hidden="false" customHeight="false" outlineLevel="0" collapsed="false">
      <c r="A32" s="83" t="s">
        <v>144</v>
      </c>
      <c r="B32" s="67" t="n">
        <v>3</v>
      </c>
      <c r="C32" s="81" t="n">
        <v>490109</v>
      </c>
      <c r="D32" s="81" t="n">
        <v>242763</v>
      </c>
      <c r="E32" s="90" t="s">
        <v>225</v>
      </c>
      <c r="F32" s="67" t="n">
        <f aca="false">IF(D32&gt;G32,B32,"")</f>
        <v>3</v>
      </c>
      <c r="G32" s="81" t="n">
        <v>231667</v>
      </c>
      <c r="H32" s="90" t="s">
        <v>226</v>
      </c>
      <c r="I32" s="67" t="str">
        <f aca="false">IF(D32&lt;G32,B32,"")</f>
        <v/>
      </c>
      <c r="J32" s="6"/>
      <c r="K32" s="81"/>
    </row>
    <row r="33" customFormat="false" ht="12.75" hidden="false" customHeight="false" outlineLevel="0" collapsed="false">
      <c r="A33" s="83" t="s">
        <v>145</v>
      </c>
      <c r="B33" s="6" t="n">
        <v>5</v>
      </c>
      <c r="C33" s="81" t="n">
        <v>801281</v>
      </c>
      <c r="D33" s="81" t="n">
        <v>452979</v>
      </c>
      <c r="E33" s="90" t="s">
        <v>227</v>
      </c>
      <c r="F33" s="80" t="n">
        <v>1</v>
      </c>
      <c r="G33" s="81" t="n">
        <v>333319</v>
      </c>
      <c r="H33" s="90" t="s">
        <v>228</v>
      </c>
      <c r="I33" s="80" t="n">
        <v>4</v>
      </c>
      <c r="J33" s="6"/>
      <c r="K33" s="81"/>
    </row>
    <row r="34" customFormat="false" ht="12.75" hidden="false" customHeight="false" outlineLevel="0" collapsed="false">
      <c r="A34" s="83" t="s">
        <v>146</v>
      </c>
      <c r="B34" s="67" t="n">
        <v>5</v>
      </c>
      <c r="C34" s="81" t="n">
        <v>967848</v>
      </c>
      <c r="D34" s="81" t="n">
        <v>412827</v>
      </c>
      <c r="E34" s="90" t="s">
        <v>229</v>
      </c>
      <c r="F34" s="67" t="str">
        <f aca="false">IF(D34&gt;G34,B34,"")</f>
        <v/>
      </c>
      <c r="G34" s="81" t="n">
        <v>533736</v>
      </c>
      <c r="H34" s="90" t="s">
        <v>230</v>
      </c>
      <c r="I34" s="67" t="n">
        <f aca="false">IF(D34&lt;G34,B34,"")</f>
        <v>5</v>
      </c>
      <c r="J34" s="6"/>
      <c r="K34" s="81"/>
    </row>
    <row r="35" customFormat="false" ht="12.75" hidden="false" customHeight="false" outlineLevel="0" collapsed="false">
      <c r="A35" s="83" t="s">
        <v>147</v>
      </c>
      <c r="B35" s="67" t="n">
        <v>4</v>
      </c>
      <c r="C35" s="81" t="n">
        <v>707611</v>
      </c>
      <c r="D35" s="81" t="n">
        <v>316534</v>
      </c>
      <c r="E35" s="90" t="s">
        <v>231</v>
      </c>
      <c r="F35" s="67" t="str">
        <f aca="false">IF(D35&gt;G35,B35,"")</f>
        <v/>
      </c>
      <c r="G35" s="81" t="n">
        <v>384826</v>
      </c>
      <c r="H35" s="90" t="s">
        <v>188</v>
      </c>
      <c r="I35" s="67" t="n">
        <f aca="false">IF(D35&lt;G35,B35,"")</f>
        <v>4</v>
      </c>
      <c r="J35" s="6"/>
      <c r="K35" s="81"/>
    </row>
    <row r="36" customFormat="false" ht="12.75" hidden="false" customHeight="false" outlineLevel="0" collapsed="false">
      <c r="A36" s="83" t="s">
        <v>148</v>
      </c>
      <c r="B36" s="67" t="n">
        <v>15</v>
      </c>
      <c r="C36" s="81" t="n">
        <v>3868237</v>
      </c>
      <c r="D36" s="81" t="n">
        <v>1613207</v>
      </c>
      <c r="E36" s="90" t="s">
        <v>232</v>
      </c>
      <c r="F36" s="67" t="str">
        <f aca="false">IF(D36&gt;G36,B36,"")</f>
        <v/>
      </c>
      <c r="G36" s="81" t="n">
        <v>2215422</v>
      </c>
      <c r="H36" s="90" t="s">
        <v>207</v>
      </c>
      <c r="I36" s="67" t="n">
        <f aca="false">IF(D36&lt;G36,B36,"")</f>
        <v>15</v>
      </c>
      <c r="J36" s="6"/>
      <c r="K36" s="81"/>
    </row>
    <row r="37" customFormat="false" ht="12.75" hidden="false" customHeight="false" outlineLevel="0" collapsed="false">
      <c r="A37" s="83" t="s">
        <v>149</v>
      </c>
      <c r="B37" s="67" t="n">
        <v>5</v>
      </c>
      <c r="C37" s="81" t="n">
        <v>830158</v>
      </c>
      <c r="D37" s="81" t="n">
        <v>346832</v>
      </c>
      <c r="E37" s="90" t="s">
        <v>233</v>
      </c>
      <c r="F37" s="67" t="str">
        <f aca="false">IF(D37&gt;G37,B37,"")</f>
        <v/>
      </c>
      <c r="G37" s="81" t="n">
        <v>472422</v>
      </c>
      <c r="H37" s="90" t="s">
        <v>234</v>
      </c>
      <c r="I37" s="67" t="n">
        <f aca="false">IF(D37&lt;G37,B37,"")</f>
        <v>5</v>
      </c>
      <c r="J37" s="6"/>
      <c r="K37" s="81"/>
    </row>
    <row r="38" customFormat="false" ht="12.75" hidden="false" customHeight="false" outlineLevel="0" collapsed="false">
      <c r="A38" s="83" t="s">
        <v>150</v>
      </c>
      <c r="B38" s="67" t="n">
        <v>31</v>
      </c>
      <c r="C38" s="81" t="n">
        <v>7591233</v>
      </c>
      <c r="D38" s="81" t="n">
        <v>2742298</v>
      </c>
      <c r="E38" s="90" t="s">
        <v>235</v>
      </c>
      <c r="F38" s="67" t="str">
        <f aca="false">IF(D38&gt;G38,B38,"")</f>
        <v/>
      </c>
      <c r="G38" s="81" t="n">
        <v>4769700</v>
      </c>
      <c r="H38" s="90" t="s">
        <v>201</v>
      </c>
      <c r="I38" s="67" t="n">
        <f aca="false">IF(D38&lt;G38,B38,"")</f>
        <v>31</v>
      </c>
      <c r="J38" s="6"/>
      <c r="K38" s="81"/>
    </row>
    <row r="39" customFormat="false" ht="12.75" hidden="false" customHeight="false" outlineLevel="0" collapsed="false">
      <c r="A39" s="83" t="s">
        <v>151</v>
      </c>
      <c r="B39" s="67" t="n">
        <v>15</v>
      </c>
      <c r="C39" s="81" t="n">
        <v>4310789</v>
      </c>
      <c r="D39" s="81" t="n">
        <v>2128474</v>
      </c>
      <c r="E39" s="90" t="s">
        <v>236</v>
      </c>
      <c r="F39" s="67" t="str">
        <f aca="false">IF(D39&gt;G39,B39,"")</f>
        <v/>
      </c>
      <c r="G39" s="81" t="n">
        <v>2142651</v>
      </c>
      <c r="H39" s="90" t="s">
        <v>224</v>
      </c>
      <c r="I39" s="67" t="n">
        <f aca="false">IF(D39&lt;G39,B39,"")</f>
        <v>15</v>
      </c>
      <c r="J39" s="6"/>
      <c r="K39" s="81"/>
    </row>
    <row r="40" customFormat="false" ht="12.75" hidden="false" customHeight="false" outlineLevel="0" collapsed="false">
      <c r="A40" s="83" t="s">
        <v>152</v>
      </c>
      <c r="B40" s="6" t="n">
        <v>3</v>
      </c>
      <c r="C40" s="81" t="n">
        <v>316621</v>
      </c>
      <c r="D40" s="81" t="n">
        <v>168601</v>
      </c>
      <c r="E40" s="90" t="s">
        <v>237</v>
      </c>
      <c r="F40" s="67" t="n">
        <f aca="false">IF(D40&gt;G40,B40,"")</f>
        <v>3</v>
      </c>
      <c r="G40" s="81" t="n">
        <v>141278</v>
      </c>
      <c r="H40" s="90" t="s">
        <v>238</v>
      </c>
      <c r="I40" s="67" t="str">
        <f aca="false">IF(D40&lt;G40,B40,"")</f>
        <v/>
      </c>
      <c r="J40" s="6"/>
      <c r="K40" s="81"/>
    </row>
    <row r="41" customFormat="false" ht="12.75" hidden="false" customHeight="false" outlineLevel="0" collapsed="false">
      <c r="A41" s="83" t="s">
        <v>153</v>
      </c>
      <c r="B41" s="67" t="n">
        <v>20</v>
      </c>
      <c r="C41" s="81" t="n">
        <v>5698260</v>
      </c>
      <c r="D41" s="81" t="n">
        <v>2674491</v>
      </c>
      <c r="E41" s="90" t="s">
        <v>239</v>
      </c>
      <c r="F41" s="67" t="str">
        <f aca="false">IF(D41&gt;G41,B41,"")</f>
        <v/>
      </c>
      <c r="G41" s="81" t="n">
        <v>2933388</v>
      </c>
      <c r="H41" s="90" t="s">
        <v>240</v>
      </c>
      <c r="I41" s="67" t="n">
        <f aca="false">IF(D41&lt;G41,B41,"")</f>
        <v>20</v>
      </c>
      <c r="J41" s="6"/>
      <c r="K41" s="81"/>
    </row>
    <row r="42" customFormat="false" ht="12.75" hidden="false" customHeight="false" outlineLevel="0" collapsed="false">
      <c r="A42" s="83" t="s">
        <v>154</v>
      </c>
      <c r="B42" s="67" t="n">
        <v>7</v>
      </c>
      <c r="C42" s="81" t="n">
        <v>1462661</v>
      </c>
      <c r="D42" s="81" t="n">
        <v>960165</v>
      </c>
      <c r="E42" s="90" t="s">
        <v>241</v>
      </c>
      <c r="F42" s="67" t="n">
        <f aca="false">IF(D42&gt;G42,B42,"")</f>
        <v>7</v>
      </c>
      <c r="G42" s="81" t="n">
        <v>502496</v>
      </c>
      <c r="H42" s="90" t="s">
        <v>242</v>
      </c>
      <c r="I42" s="67" t="str">
        <f aca="false">IF(D42&lt;G42,B42,"")</f>
        <v/>
      </c>
      <c r="J42" s="6"/>
      <c r="K42" s="81"/>
    </row>
    <row r="43" customFormat="false" ht="12.75" hidden="false" customHeight="false" outlineLevel="0" collapsed="false">
      <c r="A43" s="83" t="s">
        <v>155</v>
      </c>
      <c r="B43" s="67" t="n">
        <v>7</v>
      </c>
      <c r="C43" s="81" t="n">
        <v>1827864</v>
      </c>
      <c r="D43" s="81" t="n">
        <v>738475</v>
      </c>
      <c r="E43" s="90" t="s">
        <v>243</v>
      </c>
      <c r="F43" s="67" t="str">
        <f aca="false">IF(D43&gt;G43,B43,"")</f>
        <v/>
      </c>
      <c r="G43" s="81" t="n">
        <v>1037291</v>
      </c>
      <c r="H43" s="90" t="s">
        <v>214</v>
      </c>
      <c r="I43" s="67" t="n">
        <f aca="false">IF(D43&lt;G43,B43,"")</f>
        <v>7</v>
      </c>
      <c r="J43" s="6"/>
      <c r="K43" s="81"/>
    </row>
    <row r="44" customFormat="false" ht="12.75" hidden="false" customHeight="false" outlineLevel="0" collapsed="false">
      <c r="A44" s="83" t="s">
        <v>156</v>
      </c>
      <c r="B44" s="67" t="n">
        <v>21</v>
      </c>
      <c r="C44" s="81" t="n">
        <v>6034745</v>
      </c>
      <c r="D44" s="81" t="n">
        <v>2655885</v>
      </c>
      <c r="E44" s="90" t="s">
        <v>244</v>
      </c>
      <c r="F44" s="67" t="str">
        <f aca="false">IF(D44&gt;G44,B44,"")</f>
        <v/>
      </c>
      <c r="G44" s="81" t="n">
        <v>3276363</v>
      </c>
      <c r="H44" s="90" t="s">
        <v>245</v>
      </c>
      <c r="I44" s="67" t="n">
        <f aca="false">IF(D44&lt;G44,B44,"")</f>
        <v>21</v>
      </c>
      <c r="J44" s="6"/>
      <c r="K44" s="81"/>
    </row>
    <row r="45" customFormat="false" ht="12.75" hidden="false" customHeight="false" outlineLevel="0" collapsed="false">
      <c r="A45" s="83" t="s">
        <v>157</v>
      </c>
      <c r="B45" s="67" t="n">
        <v>4</v>
      </c>
      <c r="C45" s="81" t="n">
        <v>469767</v>
      </c>
      <c r="D45" s="81" t="n">
        <v>165391</v>
      </c>
      <c r="E45" s="90" t="s">
        <v>246</v>
      </c>
      <c r="F45" s="67" t="str">
        <f aca="false">IF(D45&gt;G45,B45,"")</f>
        <v/>
      </c>
      <c r="G45" s="81" t="n">
        <v>296571</v>
      </c>
      <c r="H45" s="90" t="s">
        <v>247</v>
      </c>
      <c r="I45" s="67" t="n">
        <f aca="false">IF(D45&lt;G45,B45,"")</f>
        <v>4</v>
      </c>
      <c r="J45" s="6"/>
      <c r="K45" s="81"/>
    </row>
    <row r="46" customFormat="false" ht="12.75" hidden="false" customHeight="false" outlineLevel="0" collapsed="false">
      <c r="A46" s="83" t="s">
        <v>158</v>
      </c>
      <c r="B46" s="67" t="n">
        <v>8</v>
      </c>
      <c r="C46" s="81" t="n">
        <v>1920969</v>
      </c>
      <c r="D46" s="81" t="n">
        <v>1034896</v>
      </c>
      <c r="E46" s="90" t="s">
        <v>248</v>
      </c>
      <c r="F46" s="67" t="n">
        <f aca="false">IF(D46&gt;G46,B46,"")</f>
        <v>8</v>
      </c>
      <c r="G46" s="81" t="n">
        <v>862449</v>
      </c>
      <c r="H46" s="90" t="s">
        <v>249</v>
      </c>
      <c r="I46" s="67" t="str">
        <f aca="false">IF(D46&lt;G46,B46,"")</f>
        <v/>
      </c>
      <c r="J46" s="6"/>
      <c r="K46" s="81"/>
    </row>
    <row r="47" customFormat="false" ht="12.75" hidden="false" customHeight="false" outlineLevel="0" collapsed="false">
      <c r="A47" s="83" t="s">
        <v>159</v>
      </c>
      <c r="B47" s="67" t="n">
        <v>3</v>
      </c>
      <c r="C47" s="81" t="n">
        <v>381975</v>
      </c>
      <c r="D47" s="81" t="n">
        <v>203054</v>
      </c>
      <c r="E47" s="90" t="s">
        <v>188</v>
      </c>
      <c r="F47" s="67" t="n">
        <f aca="false">IF(D47&gt;G47,B47,"")</f>
        <v>3</v>
      </c>
      <c r="G47" s="81" t="n">
        <v>170924</v>
      </c>
      <c r="H47" s="90" t="s">
        <v>250</v>
      </c>
      <c r="I47" s="67" t="str">
        <f aca="false">IF(D47&lt;G47,B47,"")</f>
        <v/>
      </c>
      <c r="J47" s="6"/>
      <c r="K47" s="81"/>
    </row>
    <row r="48" customFormat="false" ht="12.75" hidden="false" customHeight="false" outlineLevel="0" collapsed="false">
      <c r="A48" s="83" t="s">
        <v>160</v>
      </c>
      <c r="B48" s="67" t="n">
        <v>11</v>
      </c>
      <c r="C48" s="81" t="n">
        <v>2599749</v>
      </c>
      <c r="D48" s="81" t="n">
        <v>1479178</v>
      </c>
      <c r="E48" s="90" t="s">
        <v>234</v>
      </c>
      <c r="F48" s="67" t="n">
        <f aca="false">IF(D48&gt;G48,B48,"")</f>
        <v>11</v>
      </c>
      <c r="G48" s="81" t="n">
        <v>1087437</v>
      </c>
      <c r="H48" s="90" t="s">
        <v>233</v>
      </c>
      <c r="I48" s="67" t="str">
        <f aca="false">IF(D48&lt;G48,B48,"")</f>
        <v/>
      </c>
      <c r="J48" s="6"/>
      <c r="K48" s="81"/>
    </row>
    <row r="49" customFormat="false" ht="12.75" hidden="false" customHeight="false" outlineLevel="0" collapsed="false">
      <c r="A49" s="83" t="s">
        <v>161</v>
      </c>
      <c r="B49" s="67" t="n">
        <v>34</v>
      </c>
      <c r="C49" s="81" t="n">
        <v>8077795</v>
      </c>
      <c r="D49" s="81" t="n">
        <v>4479328</v>
      </c>
      <c r="E49" s="90" t="s">
        <v>251</v>
      </c>
      <c r="F49" s="67" t="n">
        <f aca="false">IF(D49&gt;G49,B49,"")</f>
        <v>34</v>
      </c>
      <c r="G49" s="81" t="n">
        <v>3528633</v>
      </c>
      <c r="H49" s="90" t="s">
        <v>252</v>
      </c>
      <c r="I49" s="67" t="str">
        <f aca="false">IF(D49&lt;G49,B49,"")</f>
        <v/>
      </c>
      <c r="J49" s="6"/>
      <c r="K49" s="81"/>
    </row>
    <row r="50" customFormat="false" ht="12.75" hidden="false" customHeight="false" outlineLevel="0" collapsed="false">
      <c r="A50" s="83" t="s">
        <v>162</v>
      </c>
      <c r="B50" s="67" t="n">
        <v>5</v>
      </c>
      <c r="C50" s="81" t="n">
        <v>952370</v>
      </c>
      <c r="D50" s="81" t="n">
        <v>596030</v>
      </c>
      <c r="E50" s="90" t="s">
        <v>241</v>
      </c>
      <c r="F50" s="67" t="n">
        <f aca="false">IF(D50&gt;G50,B50,"")</f>
        <v>5</v>
      </c>
      <c r="G50" s="81" t="n">
        <v>327670</v>
      </c>
      <c r="H50" s="90" t="s">
        <v>253</v>
      </c>
      <c r="I50" s="67" t="str">
        <f aca="false">IF(D50&lt;G50,B50,"")</f>
        <v/>
      </c>
      <c r="J50" s="6"/>
      <c r="K50" s="81"/>
    </row>
    <row r="51" customFormat="false" ht="12.75" hidden="false" customHeight="false" outlineLevel="0" collapsed="false">
      <c r="A51" s="83" t="s">
        <v>163</v>
      </c>
      <c r="B51" s="67" t="n">
        <v>3</v>
      </c>
      <c r="C51" s="81" t="n">
        <v>325046</v>
      </c>
      <c r="D51" s="81" t="n">
        <v>98974</v>
      </c>
      <c r="E51" s="90" t="s">
        <v>254</v>
      </c>
      <c r="F51" s="67" t="str">
        <f aca="false">IF(D51&gt;G51,B51,"")</f>
        <v/>
      </c>
      <c r="G51" s="81" t="n">
        <v>219262</v>
      </c>
      <c r="H51" s="90" t="s">
        <v>255</v>
      </c>
      <c r="I51" s="67" t="n">
        <f aca="false">IF(D51&lt;G51,B51,"")</f>
        <v>3</v>
      </c>
      <c r="J51" s="6"/>
      <c r="K51" s="81"/>
    </row>
    <row r="52" customFormat="false" ht="12.75" hidden="false" customHeight="false" outlineLevel="0" collapsed="false">
      <c r="A52" s="83" t="s">
        <v>164</v>
      </c>
      <c r="B52" s="67" t="n">
        <v>13</v>
      </c>
      <c r="C52" s="81" t="n">
        <v>3723260</v>
      </c>
      <c r="D52" s="81" t="n">
        <v>1725005</v>
      </c>
      <c r="E52" s="90" t="s">
        <v>256</v>
      </c>
      <c r="F52" s="67" t="str">
        <f aca="false">IF(D52&gt;G52,B52,"")</f>
        <v/>
      </c>
      <c r="G52" s="81" t="n">
        <v>1959532</v>
      </c>
      <c r="H52" s="90" t="s">
        <v>257</v>
      </c>
      <c r="I52" s="67" t="n">
        <f aca="false">IF(D52&lt;G52,B52,"")</f>
        <v>13</v>
      </c>
      <c r="J52" s="6"/>
      <c r="K52" s="81"/>
    </row>
    <row r="53" customFormat="false" ht="12.75" hidden="false" customHeight="false" outlineLevel="0" collapsed="false">
      <c r="A53" s="83" t="s">
        <v>165</v>
      </c>
      <c r="B53" s="67" t="n">
        <v>11</v>
      </c>
      <c r="C53" s="81" t="n">
        <v>3036878</v>
      </c>
      <c r="D53" s="81" t="n">
        <v>1229216</v>
      </c>
      <c r="E53" s="90" t="s">
        <v>213</v>
      </c>
      <c r="F53" s="67" t="str">
        <f aca="false">IF(D53&gt;G53,B53,"")</f>
        <v/>
      </c>
      <c r="G53" s="81" t="n">
        <v>1750848</v>
      </c>
      <c r="H53" s="90" t="s">
        <v>258</v>
      </c>
      <c r="I53" s="67" t="n">
        <f aca="false">IF(D53&lt;G53,B53,"")</f>
        <v>11</v>
      </c>
      <c r="J53" s="6"/>
      <c r="K53" s="81"/>
    </row>
    <row r="54" customFormat="false" ht="12.75" hidden="false" customHeight="false" outlineLevel="0" collapsed="false">
      <c r="A54" s="83" t="s">
        <v>166</v>
      </c>
      <c r="B54" s="67" t="n">
        <v>5</v>
      </c>
      <c r="C54" s="81" t="n">
        <v>713362</v>
      </c>
      <c r="D54" s="81" t="n">
        <v>397466</v>
      </c>
      <c r="E54" s="90" t="s">
        <v>259</v>
      </c>
      <c r="F54" s="67" t="n">
        <f aca="false">IF(D54&gt;G54,B54,"")</f>
        <v>5</v>
      </c>
      <c r="G54" s="81" t="n">
        <v>303857</v>
      </c>
      <c r="H54" s="90" t="s">
        <v>260</v>
      </c>
      <c r="I54" s="67" t="str">
        <f aca="false">IF(D54&lt;G54,B54,"")</f>
        <v/>
      </c>
      <c r="J54" s="6"/>
      <c r="K54" s="81"/>
    </row>
    <row r="55" customFormat="false" ht="12.75" hidden="false" customHeight="false" outlineLevel="0" collapsed="false">
      <c r="A55" s="83" t="s">
        <v>167</v>
      </c>
      <c r="B55" s="67" t="n">
        <v>10</v>
      </c>
      <c r="C55" s="81" t="n">
        <v>2983417</v>
      </c>
      <c r="D55" s="81" t="n">
        <v>1262393</v>
      </c>
      <c r="E55" s="90" t="s">
        <v>222</v>
      </c>
      <c r="F55" s="67" t="str">
        <f aca="false">IF(D55&gt;G55,B55,"")</f>
        <v/>
      </c>
      <c r="G55" s="81" t="n">
        <v>1677211</v>
      </c>
      <c r="H55" s="90" t="s">
        <v>261</v>
      </c>
      <c r="I55" s="67" t="n">
        <f aca="false">IF(D55&lt;G55,B55,"")</f>
        <v>10</v>
      </c>
      <c r="J55" s="6"/>
      <c r="K55" s="81"/>
    </row>
    <row r="56" customFormat="false" ht="12.75" hidden="false" customHeight="false" outlineLevel="0" collapsed="false">
      <c r="A56" s="83" t="s">
        <v>168</v>
      </c>
      <c r="B56" s="67" t="n">
        <v>3</v>
      </c>
      <c r="C56" s="81" t="n">
        <v>256035</v>
      </c>
      <c r="D56" s="81" t="n">
        <v>164958</v>
      </c>
      <c r="E56" s="90" t="s">
        <v>262</v>
      </c>
      <c r="F56" s="67" t="n">
        <f aca="false">IF(D56&gt;G56,B56,"")</f>
        <v>3</v>
      </c>
      <c r="G56" s="81" t="n">
        <v>82868</v>
      </c>
      <c r="H56" s="90" t="s">
        <v>263</v>
      </c>
      <c r="I56" s="67" t="str">
        <f aca="false">IF(D56&lt;G56,B56,"")</f>
        <v/>
      </c>
      <c r="J56" s="6"/>
      <c r="K56" s="81"/>
    </row>
    <row r="57" customFormat="false" ht="12.75" hidden="false" customHeight="false" outlineLevel="0" collapsed="false">
      <c r="F57" s="6" t="n">
        <f aca="false">SUM(F6:F56)</f>
        <v>170</v>
      </c>
      <c r="I57" s="6" t="n">
        <f aca="false">SUM(I6:I56)</f>
        <v>368</v>
      </c>
    </row>
  </sheetData>
  <mergeCells count="4">
    <mergeCell ref="A4:A5"/>
    <mergeCell ref="C4:C5"/>
    <mergeCell ref="D4:F4"/>
    <mergeCell ref="G4:I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6" activeCellId="0" sqref="I26"/>
    </sheetView>
  </sheetViews>
  <sheetFormatPr defaultColWidth="11.5703125" defaultRowHeight="12.75" zeroHeight="false" outlineLevelRow="0" outlineLevelCol="0"/>
  <cols>
    <col collapsed="false" customWidth="true" hidden="false" outlineLevel="0" max="2" min="1" style="1" width="13.86"/>
    <col collapsed="false" customWidth="true" hidden="false" outlineLevel="0" max="5" min="5" style="16" width="13.86"/>
    <col collapsed="false" customWidth="true" hidden="false" outlineLevel="0" max="6" min="6" style="1" width="13.86"/>
    <col collapsed="false" customWidth="true" hidden="false" outlineLevel="0" max="8" min="8" style="16" width="13.86"/>
    <col collapsed="false" customWidth="true" hidden="false" outlineLevel="0" max="9" min="9" style="1" width="13.86"/>
  </cols>
  <sheetData>
    <row r="1" customFormat="false" ht="12.75" hidden="false" customHeight="false" outlineLevel="0" collapsed="false">
      <c r="A1" s="66" t="s">
        <v>22</v>
      </c>
      <c r="B1" s="67" t="n">
        <v>2012</v>
      </c>
      <c r="C1" s="67"/>
      <c r="D1" s="67"/>
      <c r="E1" s="68"/>
      <c r="F1" s="68"/>
      <c r="G1" s="89"/>
      <c r="H1" s="68"/>
    </row>
    <row r="2" customFormat="false" ht="12.75" hidden="false" customHeight="false" outlineLevel="0" collapsed="false">
      <c r="A2" s="66" t="s">
        <v>107</v>
      </c>
      <c r="B2" s="82" t="n">
        <f aca="false">SUM(C6:C56)</f>
        <v>129067662</v>
      </c>
      <c r="C2" s="82" t="n">
        <f aca="false">SUM(D6:D56)</f>
        <v>60932152</v>
      </c>
      <c r="D2" s="82" t="n">
        <f aca="false">SUM(G6:G56)</f>
        <v>65899660</v>
      </c>
      <c r="E2" s="68"/>
      <c r="F2" s="68"/>
      <c r="G2" s="89"/>
      <c r="H2" s="68"/>
    </row>
    <row r="3" customFormat="false" ht="12" hidden="false" customHeight="true" outlineLevel="0" collapsed="false">
      <c r="A3" s="68"/>
      <c r="B3" s="68"/>
      <c r="C3" s="68"/>
      <c r="D3" s="89"/>
      <c r="E3" s="68"/>
      <c r="F3" s="68"/>
      <c r="G3" s="89"/>
      <c r="H3" s="68"/>
    </row>
    <row r="4" customFormat="false" ht="12" hidden="false" customHeight="true" outlineLevel="0" collapsed="false">
      <c r="A4" s="71" t="s">
        <v>108</v>
      </c>
      <c r="C4" s="71" t="s">
        <v>110</v>
      </c>
      <c r="D4" s="72" t="s">
        <v>111</v>
      </c>
      <c r="E4" s="72"/>
      <c r="F4" s="72"/>
      <c r="G4" s="73" t="s">
        <v>112</v>
      </c>
      <c r="H4" s="73"/>
      <c r="I4" s="73"/>
    </row>
    <row r="5" customFormat="false" ht="12.75" hidden="false" customHeight="true" outlineLevel="0" collapsed="false">
      <c r="A5" s="71"/>
      <c r="B5" s="79" t="s">
        <v>116</v>
      </c>
      <c r="C5" s="71"/>
      <c r="D5" s="74" t="s">
        <v>114</v>
      </c>
      <c r="E5" s="75" t="s">
        <v>115</v>
      </c>
      <c r="F5" s="75" t="s">
        <v>116</v>
      </c>
      <c r="G5" s="76" t="s">
        <v>114</v>
      </c>
      <c r="H5" s="77" t="s">
        <v>115</v>
      </c>
      <c r="I5" s="77" t="s">
        <v>116</v>
      </c>
    </row>
    <row r="6" customFormat="false" ht="12.75" hidden="false" customHeight="false" outlineLevel="0" collapsed="false">
      <c r="A6" s="83" t="s">
        <v>117</v>
      </c>
      <c r="B6" s="67" t="n">
        <v>9</v>
      </c>
      <c r="C6" s="81" t="n">
        <v>2074338</v>
      </c>
      <c r="D6" s="81" t="n">
        <v>1255925</v>
      </c>
      <c r="E6" s="90" t="s">
        <v>264</v>
      </c>
      <c r="F6" s="67" t="n">
        <f aca="false">IF(D6&gt;G6,B6,"")</f>
        <v>9</v>
      </c>
      <c r="G6" s="81" t="n">
        <v>795696</v>
      </c>
      <c r="H6" s="90" t="s">
        <v>265</v>
      </c>
      <c r="I6" s="67" t="str">
        <f aca="false">IF(D6&lt;G6,B6,"")</f>
        <v/>
      </c>
      <c r="J6" s="81"/>
    </row>
    <row r="7" customFormat="false" ht="12.75" hidden="false" customHeight="false" outlineLevel="0" collapsed="false">
      <c r="A7" s="83" t="s">
        <v>118</v>
      </c>
      <c r="B7" s="67" t="n">
        <v>3</v>
      </c>
      <c r="C7" s="81" t="n">
        <v>300495</v>
      </c>
      <c r="D7" s="81" t="n">
        <v>164676</v>
      </c>
      <c r="E7" s="90" t="s">
        <v>266</v>
      </c>
      <c r="F7" s="67" t="n">
        <f aca="false">IF(D7&gt;G7,B7,"")</f>
        <v>3</v>
      </c>
      <c r="G7" s="81" t="n">
        <v>122640</v>
      </c>
      <c r="H7" s="90" t="s">
        <v>267</v>
      </c>
      <c r="I7" s="67" t="str">
        <f aca="false">IF(D7&lt;G7,B7,"")</f>
        <v/>
      </c>
      <c r="J7" s="81"/>
    </row>
    <row r="8" customFormat="false" ht="12.75" hidden="false" customHeight="false" outlineLevel="0" collapsed="false">
      <c r="A8" s="83" t="s">
        <v>119</v>
      </c>
      <c r="B8" s="67" t="n">
        <v>11</v>
      </c>
      <c r="C8" s="81" t="n">
        <v>2299254</v>
      </c>
      <c r="D8" s="81" t="n">
        <v>1233654</v>
      </c>
      <c r="E8" s="90" t="s">
        <v>237</v>
      </c>
      <c r="F8" s="67" t="n">
        <f aca="false">IF(D8&gt;G8,B8,"")</f>
        <v>11</v>
      </c>
      <c r="G8" s="81" t="n">
        <v>1025232</v>
      </c>
      <c r="H8" s="90" t="s">
        <v>187</v>
      </c>
      <c r="I8" s="67" t="str">
        <f aca="false">IF(D8&lt;G8,B8,"")</f>
        <v/>
      </c>
      <c r="J8" s="81"/>
    </row>
    <row r="9" customFormat="false" ht="12.75" hidden="false" customHeight="false" outlineLevel="0" collapsed="false">
      <c r="A9" s="83" t="s">
        <v>120</v>
      </c>
      <c r="B9" s="67" t="n">
        <v>6</v>
      </c>
      <c r="C9" s="81" t="n">
        <v>1069468</v>
      </c>
      <c r="D9" s="81" t="n">
        <v>647744</v>
      </c>
      <c r="E9" s="90" t="s">
        <v>192</v>
      </c>
      <c r="F9" s="67" t="n">
        <f aca="false">IF(D9&gt;G9,B9,"")</f>
        <v>6</v>
      </c>
      <c r="G9" s="81" t="n">
        <v>394409</v>
      </c>
      <c r="H9" s="90" t="s">
        <v>189</v>
      </c>
      <c r="I9" s="67" t="str">
        <f aca="false">IF(D9&lt;G9,B9,"")</f>
        <v/>
      </c>
      <c r="J9" s="81"/>
    </row>
    <row r="10" customFormat="false" ht="12.75" hidden="false" customHeight="false" outlineLevel="0" collapsed="false">
      <c r="A10" s="83" t="s">
        <v>121</v>
      </c>
      <c r="B10" s="67" t="n">
        <v>55</v>
      </c>
      <c r="C10" s="81" t="n">
        <v>13038547</v>
      </c>
      <c r="D10" s="81" t="n">
        <v>4839958</v>
      </c>
      <c r="E10" s="90" t="s">
        <v>268</v>
      </c>
      <c r="F10" s="67" t="str">
        <f aca="false">IF(D10&gt;G10,B10,"")</f>
        <v/>
      </c>
      <c r="G10" s="81" t="n">
        <v>7854285</v>
      </c>
      <c r="H10" s="90" t="s">
        <v>269</v>
      </c>
      <c r="I10" s="67" t="n">
        <f aca="false">IF(D10&lt;G10,B10,"")</f>
        <v>55</v>
      </c>
      <c r="J10" s="81"/>
    </row>
    <row r="11" customFormat="false" ht="12.75" hidden="false" customHeight="false" outlineLevel="0" collapsed="false">
      <c r="A11" s="83" t="s">
        <v>122</v>
      </c>
      <c r="B11" s="67" t="n">
        <v>9</v>
      </c>
      <c r="C11" s="81" t="n">
        <v>2569520</v>
      </c>
      <c r="D11" s="81" t="n">
        <v>1185243</v>
      </c>
      <c r="E11" s="90" t="s">
        <v>239</v>
      </c>
      <c r="F11" s="67" t="str">
        <f aca="false">IF(D11&gt;G11,B11,"")</f>
        <v/>
      </c>
      <c r="G11" s="81" t="n">
        <v>1323101</v>
      </c>
      <c r="H11" s="90" t="s">
        <v>270</v>
      </c>
      <c r="I11" s="67" t="n">
        <f aca="false">IF(D11&lt;G11,B11,"")</f>
        <v>9</v>
      </c>
      <c r="J11" s="81"/>
    </row>
    <row r="12" customFormat="false" ht="12.75" hidden="false" customHeight="false" outlineLevel="0" collapsed="false">
      <c r="A12" s="83" t="s">
        <v>123</v>
      </c>
      <c r="B12" s="67" t="n">
        <v>7</v>
      </c>
      <c r="C12" s="81" t="n">
        <v>1558960</v>
      </c>
      <c r="D12" s="81" t="n">
        <v>634892</v>
      </c>
      <c r="E12" s="90" t="s">
        <v>271</v>
      </c>
      <c r="F12" s="67" t="str">
        <f aca="false">IF(D12&gt;G12,B12,"")</f>
        <v/>
      </c>
      <c r="G12" s="81" t="n">
        <v>905083</v>
      </c>
      <c r="H12" s="90" t="s">
        <v>272</v>
      </c>
      <c r="I12" s="67" t="n">
        <f aca="false">IF(D12&lt;G12,B12,"")</f>
        <v>7</v>
      </c>
      <c r="J12" s="81"/>
    </row>
    <row r="13" customFormat="false" ht="12.75" hidden="false" customHeight="false" outlineLevel="0" collapsed="false">
      <c r="A13" s="83" t="s">
        <v>124</v>
      </c>
      <c r="B13" s="67" t="n">
        <v>3</v>
      </c>
      <c r="C13" s="81" t="n">
        <v>413921</v>
      </c>
      <c r="D13" s="81" t="n">
        <v>165484</v>
      </c>
      <c r="E13" s="90" t="s">
        <v>212</v>
      </c>
      <c r="F13" s="67" t="str">
        <f aca="false">IF(D13&gt;G13,B13,"")</f>
        <v/>
      </c>
      <c r="G13" s="81" t="n">
        <v>242584</v>
      </c>
      <c r="H13" s="90" t="s">
        <v>273</v>
      </c>
      <c r="I13" s="67" t="n">
        <f aca="false">IF(D13&lt;G13,B13,"")</f>
        <v>3</v>
      </c>
      <c r="J13" s="81"/>
    </row>
    <row r="14" customFormat="false" ht="12.75" hidden="false" customHeight="false" outlineLevel="0" collapsed="false">
      <c r="A14" s="83" t="s">
        <v>173</v>
      </c>
      <c r="B14" s="67" t="n">
        <v>3</v>
      </c>
      <c r="C14" s="81" t="n">
        <v>293764</v>
      </c>
      <c r="D14" s="81" t="n">
        <v>21381</v>
      </c>
      <c r="E14" s="90" t="s">
        <v>274</v>
      </c>
      <c r="F14" s="67" t="str">
        <f aca="false">IF(D14&gt;G14,B14,"")</f>
        <v/>
      </c>
      <c r="G14" s="81" t="n">
        <v>267070</v>
      </c>
      <c r="H14" s="90" t="s">
        <v>275</v>
      </c>
      <c r="I14" s="67" t="n">
        <f aca="false">IF(D14&lt;G14,B14,"")</f>
        <v>3</v>
      </c>
      <c r="J14" s="81"/>
    </row>
    <row r="15" customFormat="false" ht="12.75" hidden="false" customHeight="false" outlineLevel="0" collapsed="false">
      <c r="A15" s="83" t="s">
        <v>127</v>
      </c>
      <c r="B15" s="67" t="n">
        <v>29</v>
      </c>
      <c r="C15" s="81" t="n">
        <v>8474179</v>
      </c>
      <c r="D15" s="81" t="n">
        <v>4163447</v>
      </c>
      <c r="E15" s="90" t="s">
        <v>276</v>
      </c>
      <c r="F15" s="67" t="str">
        <f aca="false">IF(D15&gt;G15,B15,"")</f>
        <v/>
      </c>
      <c r="G15" s="81" t="n">
        <v>4237756</v>
      </c>
      <c r="H15" s="90" t="s">
        <v>277</v>
      </c>
      <c r="I15" s="67" t="n">
        <f aca="false">IF(D15&lt;G15,B15,"")</f>
        <v>29</v>
      </c>
      <c r="J15" s="81"/>
    </row>
    <row r="16" customFormat="false" ht="12.75" hidden="false" customHeight="false" outlineLevel="0" collapsed="false">
      <c r="A16" s="83" t="s">
        <v>128</v>
      </c>
      <c r="B16" s="67" t="n">
        <v>16</v>
      </c>
      <c r="C16" s="81" t="n">
        <v>3900050</v>
      </c>
      <c r="D16" s="81" t="n">
        <v>2078688</v>
      </c>
      <c r="E16" s="90" t="s">
        <v>278</v>
      </c>
      <c r="F16" s="67" t="n">
        <f aca="false">IF(D16&gt;G16,B16,"")</f>
        <v>16</v>
      </c>
      <c r="G16" s="81" t="n">
        <v>1773827</v>
      </c>
      <c r="H16" s="90" t="s">
        <v>238</v>
      </c>
      <c r="I16" s="67" t="str">
        <f aca="false">IF(D16&lt;G16,B16,"")</f>
        <v/>
      </c>
      <c r="J16" s="81"/>
    </row>
    <row r="17" customFormat="false" ht="12.75" hidden="false" customHeight="false" outlineLevel="0" collapsed="false">
      <c r="A17" s="83" t="s">
        <v>129</v>
      </c>
      <c r="B17" s="67" t="n">
        <v>4</v>
      </c>
      <c r="C17" s="81" t="n">
        <v>434697</v>
      </c>
      <c r="D17" s="81" t="n">
        <v>121015</v>
      </c>
      <c r="E17" s="90" t="s">
        <v>279</v>
      </c>
      <c r="F17" s="67" t="str">
        <f aca="false">IF(D17&gt;G17,B17,"")</f>
        <v/>
      </c>
      <c r="G17" s="81" t="n">
        <v>306658</v>
      </c>
      <c r="H17" s="90" t="s">
        <v>280</v>
      </c>
      <c r="I17" s="67" t="n">
        <f aca="false">IF(D17&lt;G17,B17,"")</f>
        <v>4</v>
      </c>
      <c r="J17" s="81"/>
    </row>
    <row r="18" customFormat="false" ht="12.75" hidden="false" customHeight="false" outlineLevel="0" collapsed="false">
      <c r="A18" s="83" t="s">
        <v>130</v>
      </c>
      <c r="B18" s="67" t="n">
        <v>4</v>
      </c>
      <c r="C18" s="81" t="n">
        <v>652274</v>
      </c>
      <c r="D18" s="81" t="n">
        <v>420911</v>
      </c>
      <c r="E18" s="90" t="s">
        <v>281</v>
      </c>
      <c r="F18" s="67" t="n">
        <f aca="false">IF(D18&gt;G18,B18,"")</f>
        <v>4</v>
      </c>
      <c r="G18" s="81" t="n">
        <v>212787</v>
      </c>
      <c r="H18" s="90" t="s">
        <v>282</v>
      </c>
      <c r="I18" s="67" t="str">
        <f aca="false">IF(D18&lt;G18,B18,"")</f>
        <v/>
      </c>
      <c r="J18" s="81"/>
    </row>
    <row r="19" customFormat="false" ht="12.75" hidden="false" customHeight="false" outlineLevel="0" collapsed="false">
      <c r="A19" s="83" t="s">
        <v>131</v>
      </c>
      <c r="B19" s="67" t="n">
        <v>20</v>
      </c>
      <c r="C19" s="81" t="n">
        <v>5242014</v>
      </c>
      <c r="D19" s="81" t="n">
        <v>2135216</v>
      </c>
      <c r="E19" s="90" t="s">
        <v>283</v>
      </c>
      <c r="F19" s="67" t="str">
        <f aca="false">IF(D19&gt;G19,B19,"")</f>
        <v/>
      </c>
      <c r="G19" s="81" t="n">
        <v>3019512</v>
      </c>
      <c r="H19" s="90" t="s">
        <v>272</v>
      </c>
      <c r="I19" s="67" t="n">
        <f aca="false">IF(D19&lt;G19,B19,"")</f>
        <v>20</v>
      </c>
      <c r="J19" s="81"/>
    </row>
    <row r="20" customFormat="false" ht="12.75" hidden="false" customHeight="false" outlineLevel="0" collapsed="false">
      <c r="A20" s="83" t="s">
        <v>132</v>
      </c>
      <c r="B20" s="67" t="n">
        <v>11</v>
      </c>
      <c r="C20" s="81" t="n">
        <v>2624534</v>
      </c>
      <c r="D20" s="81" t="n">
        <v>1420543</v>
      </c>
      <c r="E20" s="90" t="s">
        <v>284</v>
      </c>
      <c r="F20" s="67" t="n">
        <f aca="false">IF(D20&gt;G20,B20,"")</f>
        <v>11</v>
      </c>
      <c r="G20" s="81" t="n">
        <v>1152887</v>
      </c>
      <c r="H20" s="90" t="s">
        <v>219</v>
      </c>
      <c r="I20" s="67" t="str">
        <f aca="false">IF(D20&lt;G20,B20,"")</f>
        <v/>
      </c>
      <c r="J20" s="81"/>
    </row>
    <row r="21" customFormat="false" ht="12.75" hidden="false" customHeight="false" outlineLevel="0" collapsed="false">
      <c r="A21" s="83" t="s">
        <v>133</v>
      </c>
      <c r="B21" s="67" t="n">
        <v>6</v>
      </c>
      <c r="C21" s="81" t="n">
        <v>1582180</v>
      </c>
      <c r="D21" s="81" t="n">
        <v>730617</v>
      </c>
      <c r="E21" s="90" t="s">
        <v>285</v>
      </c>
      <c r="F21" s="67" t="str">
        <f aca="false">IF(D21&gt;G21,B21,"")</f>
        <v/>
      </c>
      <c r="G21" s="81" t="n">
        <v>822544</v>
      </c>
      <c r="H21" s="90" t="s">
        <v>286</v>
      </c>
      <c r="I21" s="67" t="n">
        <f aca="false">IF(D21&lt;G21,B21,"")</f>
        <v>6</v>
      </c>
      <c r="J21" s="81"/>
    </row>
    <row r="22" customFormat="false" ht="12.75" hidden="false" customHeight="false" outlineLevel="0" collapsed="false">
      <c r="A22" s="83" t="s">
        <v>134</v>
      </c>
      <c r="B22" s="67" t="n">
        <v>6</v>
      </c>
      <c r="C22" s="81" t="n">
        <v>1159971</v>
      </c>
      <c r="D22" s="81" t="n">
        <v>692634</v>
      </c>
      <c r="E22" s="90" t="s">
        <v>287</v>
      </c>
      <c r="F22" s="67" t="n">
        <f aca="false">IF(D22&gt;G22,B22,"")</f>
        <v>6</v>
      </c>
      <c r="G22" s="81" t="n">
        <v>440726</v>
      </c>
      <c r="H22" s="90" t="s">
        <v>288</v>
      </c>
      <c r="I22" s="67" t="str">
        <f aca="false">IF(D22&lt;G22,B22,"")</f>
        <v/>
      </c>
      <c r="J22" s="81"/>
    </row>
    <row r="23" customFormat="false" ht="12.75" hidden="false" customHeight="false" outlineLevel="0" collapsed="false">
      <c r="A23" s="83" t="s">
        <v>135</v>
      </c>
      <c r="B23" s="67" t="n">
        <v>8</v>
      </c>
      <c r="C23" s="81" t="n">
        <v>1797212</v>
      </c>
      <c r="D23" s="81" t="n">
        <v>1087190</v>
      </c>
      <c r="E23" s="90" t="s">
        <v>289</v>
      </c>
      <c r="F23" s="67" t="n">
        <f aca="false">IF(D23&gt;G23,B23,"")</f>
        <v>8</v>
      </c>
      <c r="G23" s="81" t="n">
        <v>679370</v>
      </c>
      <c r="H23" s="90" t="s">
        <v>265</v>
      </c>
      <c r="I23" s="67" t="str">
        <f aca="false">IF(D23&lt;G23,B23,"")</f>
        <v/>
      </c>
      <c r="J23" s="81"/>
    </row>
    <row r="24" customFormat="false" ht="12.75" hidden="false" customHeight="false" outlineLevel="0" collapsed="false">
      <c r="A24" s="83" t="s">
        <v>136</v>
      </c>
      <c r="B24" s="67" t="n">
        <v>8</v>
      </c>
      <c r="C24" s="81" t="n">
        <v>1994065</v>
      </c>
      <c r="D24" s="81" t="n">
        <v>1152262</v>
      </c>
      <c r="E24" s="90" t="s">
        <v>290</v>
      </c>
      <c r="F24" s="67" t="n">
        <f aca="false">IF(D24&gt;G24,B24,"")</f>
        <v>8</v>
      </c>
      <c r="G24" s="81" t="n">
        <v>809141</v>
      </c>
      <c r="H24" s="90" t="s">
        <v>291</v>
      </c>
      <c r="I24" s="67" t="str">
        <f aca="false">IF(D24&lt;G24,B24,"")</f>
        <v/>
      </c>
      <c r="J24" s="81"/>
    </row>
    <row r="25" customFormat="false" ht="12.75" hidden="false" customHeight="false" outlineLevel="0" collapsed="false">
      <c r="A25" s="83" t="s">
        <v>137</v>
      </c>
      <c r="B25" s="67" t="n">
        <v>4</v>
      </c>
      <c r="C25" s="81" t="n">
        <v>713180</v>
      </c>
      <c r="D25" s="81" t="n">
        <v>292276</v>
      </c>
      <c r="E25" s="90" t="s">
        <v>292</v>
      </c>
      <c r="F25" s="67" t="str">
        <f aca="false">IF(D25&gt;G25,B25,"")</f>
        <v/>
      </c>
      <c r="G25" s="81" t="n">
        <v>401306</v>
      </c>
      <c r="H25" s="90" t="s">
        <v>218</v>
      </c>
      <c r="I25" s="67" t="n">
        <f aca="false">IF(D25&lt;G25,B25,"")</f>
        <v>4</v>
      </c>
      <c r="J25" s="81"/>
    </row>
    <row r="26" customFormat="false" ht="12.75" hidden="false" customHeight="false" outlineLevel="0" collapsed="false">
      <c r="A26" s="83" t="s">
        <v>138</v>
      </c>
      <c r="B26" s="67" t="n">
        <v>10</v>
      </c>
      <c r="C26" s="81" t="n">
        <v>2707327</v>
      </c>
      <c r="D26" s="81" t="n">
        <v>971869</v>
      </c>
      <c r="E26" s="90" t="s">
        <v>293</v>
      </c>
      <c r="F26" s="67" t="str">
        <f aca="false">IF(D26&gt;G26,B26,"")</f>
        <v/>
      </c>
      <c r="G26" s="81" t="n">
        <v>1677844</v>
      </c>
      <c r="H26" s="90" t="s">
        <v>294</v>
      </c>
      <c r="I26" s="67" t="n">
        <f aca="false">IF(D26&lt;G26,B26,"")</f>
        <v>10</v>
      </c>
      <c r="J26" s="81"/>
    </row>
    <row r="27" customFormat="false" ht="12.75" hidden="false" customHeight="false" outlineLevel="0" collapsed="false">
      <c r="A27" s="83" t="s">
        <v>139</v>
      </c>
      <c r="B27" s="67" t="n">
        <v>11</v>
      </c>
      <c r="C27" s="81" t="n">
        <v>3167767</v>
      </c>
      <c r="D27" s="81" t="n">
        <v>1188314</v>
      </c>
      <c r="E27" s="90" t="s">
        <v>295</v>
      </c>
      <c r="F27" s="67" t="str">
        <f aca="false">IF(D27&gt;G27,B27,"")</f>
        <v/>
      </c>
      <c r="G27" s="81" t="n">
        <v>1921290</v>
      </c>
      <c r="H27" s="90" t="s">
        <v>296</v>
      </c>
      <c r="I27" s="67" t="n">
        <f aca="false">IF(D27&lt;G27,B27,"")</f>
        <v>11</v>
      </c>
      <c r="J27" s="81"/>
    </row>
    <row r="28" customFormat="false" ht="12.75" hidden="false" customHeight="false" outlineLevel="0" collapsed="false">
      <c r="A28" s="83" t="s">
        <v>140</v>
      </c>
      <c r="B28" s="67" t="n">
        <v>16</v>
      </c>
      <c r="C28" s="81" t="n">
        <v>4730961</v>
      </c>
      <c r="D28" s="81" t="n">
        <v>2115256</v>
      </c>
      <c r="E28" s="90" t="s">
        <v>297</v>
      </c>
      <c r="F28" s="67" t="str">
        <f aca="false">IF(D28&gt;G28,B28,"")</f>
        <v/>
      </c>
      <c r="G28" s="81" t="n">
        <v>2564569</v>
      </c>
      <c r="H28" s="90" t="s">
        <v>188</v>
      </c>
      <c r="I28" s="67" t="n">
        <f aca="false">IF(D28&lt;G28,B28,"")</f>
        <v>16</v>
      </c>
      <c r="J28" s="81"/>
    </row>
    <row r="29" customFormat="false" ht="12.75" hidden="false" customHeight="false" outlineLevel="0" collapsed="false">
      <c r="A29" s="83" t="s">
        <v>141</v>
      </c>
      <c r="B29" s="67" t="n">
        <v>10</v>
      </c>
      <c r="C29" s="81" t="n">
        <v>2936561</v>
      </c>
      <c r="D29" s="81" t="n">
        <v>1320225</v>
      </c>
      <c r="E29" s="90" t="s">
        <v>298</v>
      </c>
      <c r="F29" s="67" t="str">
        <f aca="false">IF(D29&gt;G29,B29,"")</f>
        <v/>
      </c>
      <c r="G29" s="81" t="n">
        <v>1546167</v>
      </c>
      <c r="H29" s="90" t="s">
        <v>299</v>
      </c>
      <c r="I29" s="67" t="n">
        <f aca="false">IF(D29&lt;G29,B29,"")</f>
        <v>10</v>
      </c>
      <c r="J29" s="81"/>
    </row>
    <row r="30" customFormat="false" ht="12.75" hidden="false" customHeight="false" outlineLevel="0" collapsed="false">
      <c r="A30" s="83" t="s">
        <v>142</v>
      </c>
      <c r="B30" s="67" t="n">
        <v>6</v>
      </c>
      <c r="C30" s="81" t="n">
        <v>1285584</v>
      </c>
      <c r="D30" s="81" t="n">
        <v>710746</v>
      </c>
      <c r="E30" s="90" t="s">
        <v>220</v>
      </c>
      <c r="F30" s="67" t="n">
        <f aca="false">IF(D30&gt;G30,B30,"")</f>
        <v>6</v>
      </c>
      <c r="G30" s="81" t="n">
        <v>562949</v>
      </c>
      <c r="H30" s="90" t="s">
        <v>300</v>
      </c>
      <c r="I30" s="67" t="str">
        <f aca="false">IF(D30&lt;G30,B30,"")</f>
        <v/>
      </c>
      <c r="J30" s="81"/>
    </row>
    <row r="31" customFormat="false" ht="12.75" hidden="false" customHeight="false" outlineLevel="0" collapsed="false">
      <c r="A31" s="83" t="s">
        <v>143</v>
      </c>
      <c r="B31" s="67" t="n">
        <v>10</v>
      </c>
      <c r="C31" s="81" t="n">
        <v>2757323</v>
      </c>
      <c r="D31" s="81" t="n">
        <v>1482440</v>
      </c>
      <c r="E31" s="90" t="s">
        <v>301</v>
      </c>
      <c r="F31" s="67" t="n">
        <f aca="false">IF(D31&gt;G31,B31,"")</f>
        <v>10</v>
      </c>
      <c r="G31" s="81" t="n">
        <v>1223796</v>
      </c>
      <c r="H31" s="90" t="s">
        <v>302</v>
      </c>
      <c r="I31" s="67" t="str">
        <f aca="false">IF(D31&lt;G31,B31,"")</f>
        <v/>
      </c>
      <c r="J31" s="81"/>
    </row>
    <row r="32" customFormat="false" ht="12.75" hidden="false" customHeight="false" outlineLevel="0" collapsed="false">
      <c r="A32" s="83" t="s">
        <v>144</v>
      </c>
      <c r="B32" s="67" t="n">
        <v>3</v>
      </c>
      <c r="C32" s="81" t="n">
        <v>484048</v>
      </c>
      <c r="D32" s="81" t="n">
        <v>267928</v>
      </c>
      <c r="E32" s="90" t="s">
        <v>207</v>
      </c>
      <c r="F32" s="67" t="n">
        <f aca="false">IF(D32&gt;G32,B32,"")</f>
        <v>3</v>
      </c>
      <c r="G32" s="81" t="n">
        <v>201839</v>
      </c>
      <c r="H32" s="90" t="s">
        <v>303</v>
      </c>
      <c r="I32" s="67" t="str">
        <f aca="false">IF(D32&lt;G32,B32,"")</f>
        <v/>
      </c>
      <c r="J32" s="81"/>
    </row>
    <row r="33" customFormat="false" ht="12.75" hidden="false" customHeight="false" outlineLevel="0" collapsed="false">
      <c r="A33" s="83" t="s">
        <v>145</v>
      </c>
      <c r="B33" s="67" t="n">
        <v>5</v>
      </c>
      <c r="C33" s="81" t="n">
        <v>794379</v>
      </c>
      <c r="D33" s="81" t="n">
        <v>475064</v>
      </c>
      <c r="E33" s="90" t="s">
        <v>287</v>
      </c>
      <c r="F33" s="67" t="n">
        <f aca="false">IF(D33&gt;G33,B33,"")</f>
        <v>5</v>
      </c>
      <c r="G33" s="81" t="n">
        <v>302081</v>
      </c>
      <c r="H33" s="90" t="s">
        <v>304</v>
      </c>
      <c r="I33" s="67" t="str">
        <f aca="false">IF(D33&lt;G33,B33,"")</f>
        <v/>
      </c>
      <c r="J33" s="81"/>
    </row>
    <row r="34" customFormat="false" ht="12.75" hidden="false" customHeight="false" outlineLevel="0" collapsed="false">
      <c r="A34" s="83" t="s">
        <v>146</v>
      </c>
      <c r="B34" s="67" t="n">
        <v>6</v>
      </c>
      <c r="C34" s="81" t="n">
        <v>1014918</v>
      </c>
      <c r="D34" s="81" t="n">
        <v>463567</v>
      </c>
      <c r="E34" s="90" t="s">
        <v>305</v>
      </c>
      <c r="F34" s="67" t="str">
        <f aca="false">IF(D34&gt;G34,B34,"")</f>
        <v/>
      </c>
      <c r="G34" s="81" t="n">
        <v>531373</v>
      </c>
      <c r="H34" s="90" t="s">
        <v>306</v>
      </c>
      <c r="I34" s="67" t="n">
        <f aca="false">IF(D34&lt;G34,B34,"")</f>
        <v>6</v>
      </c>
      <c r="J34" s="81"/>
    </row>
    <row r="35" customFormat="false" ht="12.75" hidden="false" customHeight="false" outlineLevel="0" collapsed="false">
      <c r="A35" s="83" t="s">
        <v>147</v>
      </c>
      <c r="B35" s="67" t="n">
        <v>4</v>
      </c>
      <c r="C35" s="81" t="n">
        <v>710972</v>
      </c>
      <c r="D35" s="81" t="n">
        <v>329918</v>
      </c>
      <c r="E35" s="90" t="s">
        <v>285</v>
      </c>
      <c r="F35" s="67" t="str">
        <f aca="false">IF(D35&gt;G35,B35,"")</f>
        <v/>
      </c>
      <c r="G35" s="81" t="n">
        <v>369561</v>
      </c>
      <c r="H35" s="90" t="s">
        <v>307</v>
      </c>
      <c r="I35" s="67" t="n">
        <f aca="false">IF(D35&lt;G35,B35,"")</f>
        <v>4</v>
      </c>
      <c r="J35" s="81"/>
    </row>
    <row r="36" customFormat="false" ht="12.75" hidden="false" customHeight="false" outlineLevel="0" collapsed="false">
      <c r="A36" s="83" t="s">
        <v>148</v>
      </c>
      <c r="B36" s="67" t="n">
        <v>14</v>
      </c>
      <c r="C36" s="81" t="n">
        <v>3638499</v>
      </c>
      <c r="D36" s="81" t="n">
        <v>1478088</v>
      </c>
      <c r="E36" s="90" t="s">
        <v>308</v>
      </c>
      <c r="F36" s="67" t="str">
        <f aca="false">IF(D36&gt;G36,B36,"")</f>
        <v/>
      </c>
      <c r="G36" s="81" t="n">
        <v>2122786</v>
      </c>
      <c r="H36" s="90" t="s">
        <v>290</v>
      </c>
      <c r="I36" s="67" t="n">
        <f aca="false">IF(D36&lt;G36,B36,"")</f>
        <v>14</v>
      </c>
      <c r="J36" s="81"/>
    </row>
    <row r="37" customFormat="false" ht="12.75" hidden="false" customHeight="false" outlineLevel="0" collapsed="false">
      <c r="A37" s="83" t="s">
        <v>149</v>
      </c>
      <c r="B37" s="67" t="n">
        <v>5</v>
      </c>
      <c r="C37" s="81" t="n">
        <v>783758</v>
      </c>
      <c r="D37" s="81" t="n">
        <v>335788</v>
      </c>
      <c r="E37" s="90" t="s">
        <v>309</v>
      </c>
      <c r="F37" s="67" t="str">
        <f aca="false">IF(D37&gt;G37,B37,"")</f>
        <v/>
      </c>
      <c r="G37" s="81" t="n">
        <v>415335</v>
      </c>
      <c r="H37" s="90" t="s">
        <v>310</v>
      </c>
      <c r="I37" s="67" t="n">
        <f aca="false">IF(D37&lt;G37,B37,"")</f>
        <v>5</v>
      </c>
      <c r="J37" s="81"/>
    </row>
    <row r="38" customFormat="false" ht="12.75" hidden="false" customHeight="false" outlineLevel="0" collapsed="false">
      <c r="A38" s="83" t="s">
        <v>150</v>
      </c>
      <c r="B38" s="67" t="n">
        <v>29</v>
      </c>
      <c r="C38" s="81" t="n">
        <v>7061925</v>
      </c>
      <c r="D38" s="81" t="n">
        <v>2485432</v>
      </c>
      <c r="E38" s="90" t="s">
        <v>311</v>
      </c>
      <c r="F38" s="67" t="str">
        <f aca="false">IF(D38&gt;G38,B38,"")</f>
        <v/>
      </c>
      <c r="G38" s="81" t="n">
        <v>4471871</v>
      </c>
      <c r="H38" s="90" t="s">
        <v>247</v>
      </c>
      <c r="I38" s="67" t="n">
        <f aca="false">IF(D38&lt;G38,B38,"")</f>
        <v>29</v>
      </c>
      <c r="J38" s="81"/>
    </row>
    <row r="39" customFormat="false" ht="12.75" hidden="false" customHeight="false" outlineLevel="0" collapsed="false">
      <c r="A39" s="83" t="s">
        <v>151</v>
      </c>
      <c r="B39" s="67" t="n">
        <v>15</v>
      </c>
      <c r="C39" s="81" t="n">
        <v>4505372</v>
      </c>
      <c r="D39" s="81" t="n">
        <v>2270395</v>
      </c>
      <c r="E39" s="90" t="s">
        <v>312</v>
      </c>
      <c r="F39" s="67" t="n">
        <f aca="false">IF(D39&gt;G39,B39,"")</f>
        <v>15</v>
      </c>
      <c r="G39" s="81" t="n">
        <v>2178391</v>
      </c>
      <c r="H39" s="90" t="s">
        <v>313</v>
      </c>
      <c r="I39" s="67" t="str">
        <f aca="false">IF(D39&lt;G39,B39,"")</f>
        <v/>
      </c>
      <c r="J39" s="81"/>
    </row>
    <row r="40" customFormat="false" ht="12.75" hidden="false" customHeight="false" outlineLevel="0" collapsed="false">
      <c r="A40" s="83" t="s">
        <v>152</v>
      </c>
      <c r="B40" s="67" t="n">
        <v>3</v>
      </c>
      <c r="C40" s="81" t="n">
        <v>322932</v>
      </c>
      <c r="D40" s="81" t="n">
        <v>188320</v>
      </c>
      <c r="E40" s="90" t="s">
        <v>177</v>
      </c>
      <c r="F40" s="67" t="n">
        <f aca="false">IF(D40&gt;G40,B40,"")</f>
        <v>3</v>
      </c>
      <c r="G40" s="81" t="n">
        <v>124966</v>
      </c>
      <c r="H40" s="90" t="s">
        <v>308</v>
      </c>
      <c r="I40" s="67" t="str">
        <f aca="false">IF(D40&lt;G40,B40,"")</f>
        <v/>
      </c>
      <c r="J40" s="81"/>
    </row>
    <row r="41" customFormat="false" ht="12.75" hidden="false" customHeight="false" outlineLevel="0" collapsed="false">
      <c r="A41" s="83" t="s">
        <v>153</v>
      </c>
      <c r="B41" s="67" t="n">
        <v>18</v>
      </c>
      <c r="C41" s="81" t="n">
        <v>5580822</v>
      </c>
      <c r="D41" s="81" t="n">
        <v>2661407</v>
      </c>
      <c r="E41" s="90" t="s">
        <v>314</v>
      </c>
      <c r="F41" s="67" t="str">
        <f aca="false">IF(D41&gt;G41,B41,"")</f>
        <v/>
      </c>
      <c r="G41" s="81" t="n">
        <v>2827621</v>
      </c>
      <c r="H41" s="90" t="s">
        <v>315</v>
      </c>
      <c r="I41" s="67" t="n">
        <f aca="false">IF(D41&lt;G41,B41,"")</f>
        <v>18</v>
      </c>
      <c r="J41" s="81"/>
    </row>
    <row r="42" customFormat="false" ht="12.75" hidden="false" customHeight="false" outlineLevel="0" collapsed="false">
      <c r="A42" s="83" t="s">
        <v>154</v>
      </c>
      <c r="B42" s="67" t="n">
        <v>7</v>
      </c>
      <c r="C42" s="81" t="n">
        <v>1334872</v>
      </c>
      <c r="D42" s="81" t="n">
        <v>891325</v>
      </c>
      <c r="E42" s="90" t="s">
        <v>316</v>
      </c>
      <c r="F42" s="67" t="n">
        <f aca="false">IF(D42&gt;G42,B42,"")</f>
        <v>7</v>
      </c>
      <c r="G42" s="81" t="n">
        <v>443547</v>
      </c>
      <c r="H42" s="90" t="s">
        <v>317</v>
      </c>
      <c r="I42" s="67" t="str">
        <f aca="false">IF(D42&lt;G42,B42,"")</f>
        <v/>
      </c>
      <c r="J42" s="81"/>
      <c r="K42" s="6"/>
    </row>
    <row r="43" customFormat="false" ht="12.75" hidden="false" customHeight="false" outlineLevel="0" collapsed="false">
      <c r="A43" s="83" t="s">
        <v>155</v>
      </c>
      <c r="B43" s="67" t="n">
        <v>7</v>
      </c>
      <c r="C43" s="81" t="n">
        <v>1789270</v>
      </c>
      <c r="D43" s="81" t="n">
        <v>754175</v>
      </c>
      <c r="E43" s="90" t="s">
        <v>297</v>
      </c>
      <c r="F43" s="67" t="str">
        <f aca="false">IF(D43&gt;G43,B43,"")</f>
        <v/>
      </c>
      <c r="G43" s="81" t="n">
        <v>970488</v>
      </c>
      <c r="H43" s="90" t="s">
        <v>318</v>
      </c>
      <c r="I43" s="67" t="n">
        <f aca="false">IF(D43&lt;G43,B43,"")</f>
        <v>7</v>
      </c>
      <c r="J43" s="81"/>
      <c r="K43" s="6"/>
    </row>
    <row r="44" customFormat="false" ht="12.75" hidden="false" customHeight="false" outlineLevel="0" collapsed="false">
      <c r="A44" s="83" t="s">
        <v>156</v>
      </c>
      <c r="B44" s="67" t="n">
        <v>20</v>
      </c>
      <c r="C44" s="81" t="n">
        <v>5753670</v>
      </c>
      <c r="D44" s="81" t="n">
        <v>2680434</v>
      </c>
      <c r="E44" s="90" t="s">
        <v>319</v>
      </c>
      <c r="F44" s="67" t="str">
        <f aca="false">IF(D44&gt;G44,B44,"")</f>
        <v/>
      </c>
      <c r="G44" s="81" t="n">
        <v>2990274</v>
      </c>
      <c r="H44" s="90" t="s">
        <v>320</v>
      </c>
      <c r="I44" s="67" t="n">
        <f aca="false">IF(D44&lt;G44,B44,"")</f>
        <v>20</v>
      </c>
      <c r="J44" s="81"/>
      <c r="K44" s="6"/>
    </row>
    <row r="45" customFormat="false" ht="12.75" hidden="false" customHeight="false" outlineLevel="0" collapsed="false">
      <c r="A45" s="83" t="s">
        <v>157</v>
      </c>
      <c r="B45" s="67" t="n">
        <v>4</v>
      </c>
      <c r="C45" s="81" t="n">
        <v>446049</v>
      </c>
      <c r="D45" s="81" t="n">
        <v>157204</v>
      </c>
      <c r="E45" s="90" t="s">
        <v>321</v>
      </c>
      <c r="F45" s="67" t="str">
        <f aca="false">IF(D45&gt;G45,B45,"")</f>
        <v/>
      </c>
      <c r="G45" s="81" t="n">
        <v>279677</v>
      </c>
      <c r="H45" s="90" t="s">
        <v>247</v>
      </c>
      <c r="I45" s="67" t="n">
        <f aca="false">IF(D45&lt;G45,B45,"")</f>
        <v>4</v>
      </c>
      <c r="J45" s="81"/>
      <c r="K45" s="6"/>
    </row>
    <row r="46" customFormat="false" ht="12.75" hidden="false" customHeight="false" outlineLevel="0" collapsed="false">
      <c r="A46" s="83" t="s">
        <v>158</v>
      </c>
      <c r="B46" s="67" t="n">
        <v>9</v>
      </c>
      <c r="C46" s="81" t="n">
        <v>1964118</v>
      </c>
      <c r="D46" s="81" t="n">
        <v>1071645</v>
      </c>
      <c r="E46" s="90" t="s">
        <v>322</v>
      </c>
      <c r="F46" s="67" t="n">
        <f aca="false">IF(D46&gt;G46,B46,"")</f>
        <v>9</v>
      </c>
      <c r="G46" s="81" t="n">
        <v>865941</v>
      </c>
      <c r="H46" s="90" t="s">
        <v>323</v>
      </c>
      <c r="I46" s="67" t="str">
        <f aca="false">IF(D46&lt;G46,B46,"")</f>
        <v/>
      </c>
      <c r="J46" s="81"/>
      <c r="K46" s="6"/>
    </row>
    <row r="47" customFormat="false" ht="12.75" hidden="false" customHeight="false" outlineLevel="0" collapsed="false">
      <c r="A47" s="83" t="s">
        <v>159</v>
      </c>
      <c r="B47" s="67" t="n">
        <v>3</v>
      </c>
      <c r="C47" s="81" t="n">
        <v>363815</v>
      </c>
      <c r="D47" s="81" t="n">
        <v>210610</v>
      </c>
      <c r="E47" s="90" t="s">
        <v>211</v>
      </c>
      <c r="F47" s="67" t="n">
        <f aca="false">IF(D47&gt;G47,B47,"")</f>
        <v>3</v>
      </c>
      <c r="G47" s="81" t="n">
        <v>145039</v>
      </c>
      <c r="H47" s="90" t="s">
        <v>324</v>
      </c>
      <c r="I47" s="67" t="str">
        <f aca="false">IF(D47&lt;G47,B47,"")</f>
        <v/>
      </c>
      <c r="J47" s="81"/>
      <c r="K47" s="6"/>
    </row>
    <row r="48" customFormat="false" ht="12.75" hidden="false" customHeight="false" outlineLevel="0" collapsed="false">
      <c r="A48" s="83" t="s">
        <v>160</v>
      </c>
      <c r="B48" s="67" t="n">
        <v>11</v>
      </c>
      <c r="C48" s="81" t="n">
        <v>2458577</v>
      </c>
      <c r="D48" s="81" t="n">
        <v>1462330</v>
      </c>
      <c r="E48" s="90" t="s">
        <v>325</v>
      </c>
      <c r="F48" s="67" t="n">
        <f aca="false">IF(D48&gt;G48,B48,"")</f>
        <v>11</v>
      </c>
      <c r="G48" s="81" t="n">
        <v>960709</v>
      </c>
      <c r="H48" s="90" t="s">
        <v>326</v>
      </c>
      <c r="I48" s="67" t="str">
        <f aca="false">IF(D48&lt;G48,B48,"")</f>
        <v/>
      </c>
      <c r="J48" s="81"/>
      <c r="K48" s="6"/>
    </row>
    <row r="49" customFormat="false" ht="12.75" hidden="false" customHeight="false" outlineLevel="0" collapsed="false">
      <c r="A49" s="83" t="s">
        <v>161</v>
      </c>
      <c r="B49" s="67" t="n">
        <v>38</v>
      </c>
      <c r="C49" s="81" t="n">
        <v>7993851</v>
      </c>
      <c r="D49" s="81" t="n">
        <v>4569843</v>
      </c>
      <c r="E49" s="90" t="s">
        <v>327</v>
      </c>
      <c r="F49" s="67" t="n">
        <f aca="false">IF(D49&gt;G49,B49,"")</f>
        <v>38</v>
      </c>
      <c r="G49" s="81" t="n">
        <v>3308124</v>
      </c>
      <c r="H49" s="90" t="s">
        <v>328</v>
      </c>
      <c r="I49" s="67" t="str">
        <f aca="false">IF(D49&lt;G49,B49,"")</f>
        <v/>
      </c>
      <c r="J49" s="81"/>
      <c r="K49" s="6"/>
    </row>
    <row r="50" customFormat="false" ht="12.75" hidden="false" customHeight="false" outlineLevel="0" collapsed="false">
      <c r="A50" s="83" t="s">
        <v>162</v>
      </c>
      <c r="B50" s="67" t="n">
        <v>6</v>
      </c>
      <c r="C50" s="81" t="n">
        <v>1017440</v>
      </c>
      <c r="D50" s="81" t="n">
        <v>740600</v>
      </c>
      <c r="E50" s="90" t="s">
        <v>329</v>
      </c>
      <c r="F50" s="67" t="n">
        <f aca="false">IF(D50&gt;G50,B50,"")</f>
        <v>6</v>
      </c>
      <c r="G50" s="81" t="n">
        <v>251813</v>
      </c>
      <c r="H50" s="90" t="s">
        <v>330</v>
      </c>
      <c r="I50" s="67" t="str">
        <f aca="false">IF(D50&lt;G50,B50,"")</f>
        <v/>
      </c>
      <c r="J50" s="81"/>
      <c r="K50" s="6"/>
    </row>
    <row r="51" customFormat="false" ht="12.75" hidden="false" customHeight="false" outlineLevel="0" collapsed="false">
      <c r="A51" s="83" t="s">
        <v>163</v>
      </c>
      <c r="B51" s="67" t="n">
        <v>3</v>
      </c>
      <c r="C51" s="81" t="n">
        <v>299290</v>
      </c>
      <c r="D51" s="81" t="n">
        <v>92698</v>
      </c>
      <c r="E51" s="90" t="s">
        <v>331</v>
      </c>
      <c r="F51" s="67" t="str">
        <f aca="false">IF(D51&gt;G51,B51,"")</f>
        <v/>
      </c>
      <c r="G51" s="81" t="n">
        <v>199239</v>
      </c>
      <c r="H51" s="90" t="s">
        <v>332</v>
      </c>
      <c r="I51" s="67" t="n">
        <f aca="false">IF(D51&lt;G51,B51,"")</f>
        <v>3</v>
      </c>
      <c r="J51" s="81"/>
      <c r="K51" s="6"/>
    </row>
    <row r="52" customFormat="false" ht="12.75" hidden="false" customHeight="false" outlineLevel="0" collapsed="false">
      <c r="A52" s="83" t="s">
        <v>164</v>
      </c>
      <c r="B52" s="67" t="n">
        <v>13</v>
      </c>
      <c r="C52" s="81" t="n">
        <v>3854490</v>
      </c>
      <c r="D52" s="81" t="n">
        <v>1822522</v>
      </c>
      <c r="E52" s="90" t="s">
        <v>333</v>
      </c>
      <c r="F52" s="67" t="str">
        <f aca="false">IF(D52&gt;G52,B52,"")</f>
        <v/>
      </c>
      <c r="G52" s="81" t="n">
        <v>1971820</v>
      </c>
      <c r="H52" s="90" t="s">
        <v>225</v>
      </c>
      <c r="I52" s="67" t="n">
        <f aca="false">IF(D52&lt;G52,B52,"")</f>
        <v>13</v>
      </c>
      <c r="J52" s="81"/>
      <c r="K52" s="6"/>
    </row>
    <row r="53" customFormat="false" ht="12.75" hidden="false" customHeight="false" outlineLevel="0" collapsed="false">
      <c r="A53" s="83" t="s">
        <v>165</v>
      </c>
      <c r="B53" s="67" t="n">
        <v>12</v>
      </c>
      <c r="C53" s="81" t="n">
        <v>3125516</v>
      </c>
      <c r="D53" s="81" t="n">
        <v>1290670</v>
      </c>
      <c r="E53" s="90" t="s">
        <v>222</v>
      </c>
      <c r="F53" s="67" t="str">
        <f aca="false">IF(D53&gt;G53,B53,"")</f>
        <v/>
      </c>
      <c r="G53" s="81" t="n">
        <v>1755396</v>
      </c>
      <c r="H53" s="90" t="s">
        <v>334</v>
      </c>
      <c r="I53" s="67" t="n">
        <f aca="false">IF(D53&lt;G53,B53,"")</f>
        <v>12</v>
      </c>
      <c r="J53" s="81"/>
      <c r="K53" s="6"/>
    </row>
    <row r="54" customFormat="false" ht="12.75" hidden="false" customHeight="false" outlineLevel="0" collapsed="false">
      <c r="A54" s="83" t="s">
        <v>166</v>
      </c>
      <c r="B54" s="67" t="n">
        <v>5</v>
      </c>
      <c r="C54" s="81" t="n">
        <v>670438</v>
      </c>
      <c r="D54" s="81" t="n">
        <v>417655</v>
      </c>
      <c r="E54" s="90" t="s">
        <v>335</v>
      </c>
      <c r="F54" s="67" t="n">
        <f aca="false">IF(D54&gt;G54,B54,"")</f>
        <v>5</v>
      </c>
      <c r="G54" s="81" t="n">
        <v>238269</v>
      </c>
      <c r="H54" s="90" t="s">
        <v>336</v>
      </c>
      <c r="I54" s="67" t="str">
        <f aca="false">IF(D54&lt;G54,B54,"")</f>
        <v/>
      </c>
      <c r="J54" s="81"/>
      <c r="K54" s="6"/>
    </row>
    <row r="55" customFormat="false" ht="12.75" hidden="false" customHeight="false" outlineLevel="0" collapsed="false">
      <c r="A55" s="83" t="s">
        <v>167</v>
      </c>
      <c r="B55" s="67" t="n">
        <v>10</v>
      </c>
      <c r="C55" s="81" t="n">
        <v>3071434</v>
      </c>
      <c r="D55" s="81" t="n">
        <v>1410966</v>
      </c>
      <c r="E55" s="90" t="s">
        <v>337</v>
      </c>
      <c r="F55" s="67" t="str">
        <f aca="false">IF(D55&gt;G55,B55,"")</f>
        <v/>
      </c>
      <c r="G55" s="81" t="n">
        <v>1620985</v>
      </c>
      <c r="H55" s="90" t="s">
        <v>338</v>
      </c>
      <c r="I55" s="67" t="n">
        <f aca="false">IF(D55&lt;G55,B55,"")</f>
        <v>10</v>
      </c>
      <c r="J55" s="81"/>
      <c r="K55" s="6"/>
    </row>
    <row r="56" customFormat="false" ht="12.75" hidden="false" customHeight="false" outlineLevel="0" collapsed="false">
      <c r="A56" s="83" t="s">
        <v>168</v>
      </c>
      <c r="B56" s="67" t="n">
        <v>3</v>
      </c>
      <c r="C56" s="81" t="n">
        <v>249061</v>
      </c>
      <c r="D56" s="81" t="n">
        <v>170962</v>
      </c>
      <c r="E56" s="90" t="s">
        <v>280</v>
      </c>
      <c r="F56" s="67" t="n">
        <f aca="false">IF(D56&gt;G56,B56,"")</f>
        <v>3</v>
      </c>
      <c r="G56" s="81" t="n">
        <v>69286</v>
      </c>
      <c r="H56" s="90" t="s">
        <v>339</v>
      </c>
      <c r="I56" s="67" t="str">
        <f aca="false">IF(D56&lt;G56,B56,"")</f>
        <v/>
      </c>
      <c r="J56" s="81"/>
      <c r="K56" s="6"/>
    </row>
    <row r="57" customFormat="false" ht="12.75" hidden="false" customHeight="false" outlineLevel="0" collapsed="false">
      <c r="F57" s="6" t="n">
        <f aca="false">SUM(F6:F56)</f>
        <v>206</v>
      </c>
      <c r="I57" s="6" t="n">
        <f aca="false">SUM(I6:I56)</f>
        <v>332</v>
      </c>
    </row>
  </sheetData>
  <mergeCells count="4">
    <mergeCell ref="A4:A5"/>
    <mergeCell ref="C4:C5"/>
    <mergeCell ref="D4:F4"/>
    <mergeCell ref="G4:I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2.75" zeroHeight="false" outlineLevelRow="0" outlineLevelCol="0"/>
  <cols>
    <col collapsed="false" customWidth="true" hidden="false" outlineLevel="0" max="2" min="1" style="1" width="13.86"/>
    <col collapsed="false" customWidth="true" hidden="false" outlineLevel="0" max="6" min="5" style="1" width="13.86"/>
    <col collapsed="false" customWidth="true" hidden="false" outlineLevel="0" max="9" min="8" style="1" width="13.86"/>
  </cols>
  <sheetData>
    <row r="1" customFormat="false" ht="12.75" hidden="false" customHeight="false" outlineLevel="0" collapsed="false">
      <c r="A1" s="66" t="s">
        <v>22</v>
      </c>
      <c r="B1" s="67" t="n">
        <v>2016</v>
      </c>
      <c r="C1" s="68"/>
      <c r="D1" s="68"/>
      <c r="E1" s="68"/>
      <c r="F1" s="68"/>
      <c r="G1" s="89"/>
      <c r="H1" s="68"/>
    </row>
    <row r="2" customFormat="false" ht="12.75" hidden="false" customHeight="false" outlineLevel="0" collapsed="false">
      <c r="A2" s="66" t="s">
        <v>107</v>
      </c>
      <c r="B2" s="82" t="n">
        <f aca="false">SUM(C6:C56)</f>
        <v>136381696</v>
      </c>
      <c r="C2" s="69" t="n">
        <f aca="false">SUM(D6:D56)</f>
        <v>62955340</v>
      </c>
      <c r="D2" s="69" t="n">
        <f aca="false">SUM(G6:G56)</f>
        <v>65788564</v>
      </c>
      <c r="E2" s="68"/>
      <c r="F2" s="68"/>
      <c r="G2" s="89"/>
      <c r="H2" s="68"/>
    </row>
    <row r="3" customFormat="false" ht="12.75" hidden="false" customHeight="false" outlineLevel="0" collapsed="false">
      <c r="A3" s="68"/>
      <c r="B3" s="68"/>
      <c r="C3" s="68"/>
      <c r="D3" s="89"/>
      <c r="E3" s="68"/>
      <c r="F3" s="68"/>
      <c r="G3" s="89"/>
      <c r="H3" s="68"/>
    </row>
    <row r="4" customFormat="false" ht="12.75" hidden="false" customHeight="true" outlineLevel="0" collapsed="false">
      <c r="A4" s="71" t="s">
        <v>108</v>
      </c>
      <c r="C4" s="71" t="s">
        <v>110</v>
      </c>
      <c r="D4" s="72" t="s">
        <v>111</v>
      </c>
      <c r="E4" s="72"/>
      <c r="F4" s="72"/>
      <c r="G4" s="73" t="s">
        <v>112</v>
      </c>
      <c r="H4" s="73"/>
      <c r="I4" s="73"/>
      <c r="J4" s="71" t="s">
        <v>113</v>
      </c>
      <c r="K4" s="71"/>
    </row>
    <row r="5" customFormat="false" ht="12.75" hidden="false" customHeight="false" outlineLevel="0" collapsed="false">
      <c r="A5" s="71"/>
      <c r="B5" s="79" t="s">
        <v>116</v>
      </c>
      <c r="C5" s="71"/>
      <c r="D5" s="74" t="s">
        <v>114</v>
      </c>
      <c r="E5" s="75" t="s">
        <v>115</v>
      </c>
      <c r="F5" s="75" t="s">
        <v>116</v>
      </c>
      <c r="G5" s="76" t="s">
        <v>114</v>
      </c>
      <c r="H5" s="77" t="s">
        <v>115</v>
      </c>
      <c r="I5" s="77" t="s">
        <v>116</v>
      </c>
      <c r="J5" s="78" t="s">
        <v>114</v>
      </c>
      <c r="K5" s="79" t="s">
        <v>115</v>
      </c>
    </row>
    <row r="6" customFormat="false" ht="12.75" hidden="false" customHeight="false" outlineLevel="0" collapsed="false">
      <c r="A6" s="83" t="s">
        <v>117</v>
      </c>
      <c r="B6" s="67" t="n">
        <v>9</v>
      </c>
      <c r="C6" s="91" t="n">
        <v>2123372</v>
      </c>
      <c r="D6" s="91" t="n">
        <v>1318255</v>
      </c>
      <c r="E6" s="90" t="s">
        <v>241</v>
      </c>
      <c r="F6" s="67" t="n">
        <f aca="false">IF(D6&gt;G6,B6,"")</f>
        <v>9</v>
      </c>
      <c r="G6" s="91" t="n">
        <v>729547</v>
      </c>
      <c r="H6" s="90" t="s">
        <v>340</v>
      </c>
      <c r="I6" s="67" t="str">
        <f aca="false">IF(D6&lt;G6,B6,"")</f>
        <v/>
      </c>
      <c r="J6" s="91" t="n">
        <v>44467</v>
      </c>
      <c r="K6" s="90" t="s">
        <v>341</v>
      </c>
      <c r="L6" s="91"/>
    </row>
    <row r="7" customFormat="false" ht="12.75" hidden="false" customHeight="false" outlineLevel="0" collapsed="false">
      <c r="A7" s="83" t="s">
        <v>118</v>
      </c>
      <c r="B7" s="67" t="n">
        <v>3</v>
      </c>
      <c r="C7" s="92" t="n">
        <v>318608</v>
      </c>
      <c r="D7" s="92" t="n">
        <v>163387</v>
      </c>
      <c r="E7" s="93" t="s">
        <v>342</v>
      </c>
      <c r="F7" s="67" t="n">
        <f aca="false">IF(D7&gt;G7,B7,"")</f>
        <v>3</v>
      </c>
      <c r="G7" s="92" t="n">
        <v>116454</v>
      </c>
      <c r="H7" s="90" t="s">
        <v>343</v>
      </c>
      <c r="I7" s="67" t="str">
        <f aca="false">IF(D7&lt;G7,B7,"")</f>
        <v/>
      </c>
      <c r="J7" s="92" t="n">
        <v>18725</v>
      </c>
      <c r="K7" s="93" t="s">
        <v>344</v>
      </c>
      <c r="L7" s="92"/>
    </row>
    <row r="8" customFormat="false" ht="12.75" hidden="false" customHeight="false" outlineLevel="0" collapsed="false">
      <c r="A8" s="83" t="s">
        <v>119</v>
      </c>
      <c r="B8" s="67" t="n">
        <v>11</v>
      </c>
      <c r="C8" s="91" t="n">
        <v>2573165</v>
      </c>
      <c r="D8" s="91" t="n">
        <v>1252401</v>
      </c>
      <c r="E8" s="90" t="s">
        <v>181</v>
      </c>
      <c r="F8" s="67" t="n">
        <f aca="false">IF(D8&gt;G8,B8,"")</f>
        <v>11</v>
      </c>
      <c r="G8" s="91" t="n">
        <v>1161167</v>
      </c>
      <c r="H8" s="90" t="s">
        <v>345</v>
      </c>
      <c r="I8" s="67" t="str">
        <f aca="false">IF(D8&lt;G8,B8,"")</f>
        <v/>
      </c>
      <c r="J8" s="91" t="n">
        <v>106327</v>
      </c>
      <c r="K8" s="90" t="s">
        <v>346</v>
      </c>
      <c r="L8" s="91"/>
    </row>
    <row r="9" customFormat="false" ht="12.75" hidden="false" customHeight="false" outlineLevel="0" collapsed="false">
      <c r="A9" s="83" t="s">
        <v>120</v>
      </c>
      <c r="B9" s="67" t="n">
        <v>6</v>
      </c>
      <c r="C9" s="92" t="n">
        <v>1130635</v>
      </c>
      <c r="D9" s="92" t="n">
        <v>684872</v>
      </c>
      <c r="E9" s="93" t="s">
        <v>347</v>
      </c>
      <c r="F9" s="67" t="n">
        <f aca="false">IF(D9&gt;G9,B9,"")</f>
        <v>6</v>
      </c>
      <c r="G9" s="92" t="n">
        <v>380494</v>
      </c>
      <c r="H9" s="90" t="s">
        <v>189</v>
      </c>
      <c r="I9" s="67" t="str">
        <f aca="false">IF(D9&lt;G9,B9,"")</f>
        <v/>
      </c>
      <c r="J9" s="92" t="n">
        <v>29829</v>
      </c>
      <c r="K9" s="93" t="s">
        <v>348</v>
      </c>
      <c r="L9" s="92"/>
    </row>
    <row r="10" customFormat="false" ht="12.75" hidden="false" customHeight="false" outlineLevel="0" collapsed="false">
      <c r="A10" s="83" t="s">
        <v>121</v>
      </c>
      <c r="B10" s="67" t="n">
        <v>55</v>
      </c>
      <c r="C10" s="91" t="n">
        <v>14181595</v>
      </c>
      <c r="D10" s="91" t="n">
        <v>4483810</v>
      </c>
      <c r="E10" s="90" t="s">
        <v>349</v>
      </c>
      <c r="F10" s="67" t="str">
        <f aca="false">IF(D10&gt;G10,B10,"")</f>
        <v/>
      </c>
      <c r="G10" s="91" t="n">
        <v>8753788</v>
      </c>
      <c r="H10" s="90" t="s">
        <v>350</v>
      </c>
      <c r="I10" s="67" t="n">
        <f aca="false">IF(D10&lt;G10,B10,"")</f>
        <v>55</v>
      </c>
      <c r="J10" s="91" t="n">
        <v>478500</v>
      </c>
      <c r="K10" s="90" t="s">
        <v>351</v>
      </c>
      <c r="L10" s="91"/>
    </row>
    <row r="11" customFormat="false" ht="12.75" hidden="false" customHeight="false" outlineLevel="0" collapsed="false">
      <c r="A11" s="83" t="s">
        <v>122</v>
      </c>
      <c r="B11" s="67" t="n">
        <v>9</v>
      </c>
      <c r="C11" s="92" t="n">
        <v>2780220</v>
      </c>
      <c r="D11" s="92" t="n">
        <v>1202484</v>
      </c>
      <c r="E11" s="93" t="s">
        <v>196</v>
      </c>
      <c r="F11" s="67" t="str">
        <f aca="false">IF(D11&gt;G11,B11,"")</f>
        <v/>
      </c>
      <c r="G11" s="92" t="n">
        <v>1338870</v>
      </c>
      <c r="H11" s="90" t="s">
        <v>352</v>
      </c>
      <c r="I11" s="67" t="n">
        <f aca="false">IF(D11&lt;G11,B11,"")</f>
        <v>9</v>
      </c>
      <c r="J11" s="92" t="n">
        <v>144121</v>
      </c>
      <c r="K11" s="93" t="s">
        <v>353</v>
      </c>
      <c r="L11" s="92"/>
    </row>
    <row r="12" customFormat="false" ht="12.75" hidden="false" customHeight="false" outlineLevel="0" collapsed="false">
      <c r="A12" s="83" t="s">
        <v>123</v>
      </c>
      <c r="B12" s="67" t="n">
        <v>7</v>
      </c>
      <c r="C12" s="91" t="n">
        <v>1644920</v>
      </c>
      <c r="D12" s="91" t="n">
        <v>673215</v>
      </c>
      <c r="E12" s="90" t="s">
        <v>323</v>
      </c>
      <c r="F12" s="67" t="str">
        <f aca="false">IF(D12&gt;G12,B12,"")</f>
        <v/>
      </c>
      <c r="G12" s="91" t="n">
        <v>897572</v>
      </c>
      <c r="H12" s="90" t="s">
        <v>354</v>
      </c>
      <c r="I12" s="67" t="n">
        <f aca="false">IF(D12&lt;G12,B12,"")</f>
        <v>7</v>
      </c>
      <c r="J12" s="91" t="n">
        <v>48676</v>
      </c>
      <c r="K12" s="90" t="s">
        <v>355</v>
      </c>
      <c r="L12" s="91"/>
    </row>
    <row r="13" customFormat="false" ht="12.75" hidden="false" customHeight="false" outlineLevel="0" collapsed="false">
      <c r="A13" s="83" t="s">
        <v>124</v>
      </c>
      <c r="B13" s="67" t="n">
        <v>3</v>
      </c>
      <c r="C13" s="92" t="n">
        <v>441590</v>
      </c>
      <c r="D13" s="92" t="n">
        <v>185127</v>
      </c>
      <c r="E13" s="93" t="s">
        <v>356</v>
      </c>
      <c r="F13" s="67" t="str">
        <f aca="false">IF(D13&gt;G13,B13,"")</f>
        <v/>
      </c>
      <c r="G13" s="92" t="n">
        <v>235603</v>
      </c>
      <c r="H13" s="90" t="s">
        <v>357</v>
      </c>
      <c r="I13" s="67" t="n">
        <f aca="false">IF(D13&lt;G13,B13,"")</f>
        <v>3</v>
      </c>
      <c r="J13" s="92" t="n">
        <v>14757</v>
      </c>
      <c r="K13" s="93" t="s">
        <v>358</v>
      </c>
      <c r="L13" s="92"/>
    </row>
    <row r="14" customFormat="false" ht="12.75" hidden="false" customHeight="false" outlineLevel="0" collapsed="false">
      <c r="A14" s="83" t="s">
        <v>173</v>
      </c>
      <c r="B14" s="67" t="n">
        <v>3</v>
      </c>
      <c r="C14" s="91" t="n">
        <v>311268</v>
      </c>
      <c r="D14" s="91" t="n">
        <v>12723</v>
      </c>
      <c r="E14" s="90" t="s">
        <v>274</v>
      </c>
      <c r="F14" s="67" t="str">
        <f aca="false">IF(D14&gt;G14,B14,"")</f>
        <v/>
      </c>
      <c r="G14" s="91" t="n">
        <v>282830</v>
      </c>
      <c r="H14" s="90" t="s">
        <v>346</v>
      </c>
      <c r="I14" s="67" t="n">
        <f aca="false">IF(D14&lt;G14,B14,"")</f>
        <v>3</v>
      </c>
      <c r="J14" s="91" t="n">
        <v>4906</v>
      </c>
      <c r="K14" s="90" t="s">
        <v>359</v>
      </c>
      <c r="L14" s="91"/>
    </row>
    <row r="15" customFormat="false" ht="12.75" hidden="false" customHeight="false" outlineLevel="0" collapsed="false">
      <c r="A15" s="83" t="s">
        <v>127</v>
      </c>
      <c r="B15" s="67" t="n">
        <v>29</v>
      </c>
      <c r="C15" s="92" t="n">
        <v>9420039</v>
      </c>
      <c r="D15" s="92" t="n">
        <v>4617886</v>
      </c>
      <c r="E15" s="93" t="s">
        <v>360</v>
      </c>
      <c r="F15" s="67" t="n">
        <f aca="false">IF(D15&gt;G15,B15,"")</f>
        <v>29</v>
      </c>
      <c r="G15" s="92" t="n">
        <v>4504975</v>
      </c>
      <c r="H15" s="90" t="s">
        <v>361</v>
      </c>
      <c r="I15" s="67" t="str">
        <f aca="false">IF(D15&lt;G15,B15,"")</f>
        <v/>
      </c>
      <c r="J15" s="92" t="n">
        <v>207043</v>
      </c>
      <c r="K15" s="93" t="s">
        <v>362</v>
      </c>
      <c r="L15" s="92"/>
    </row>
    <row r="16" customFormat="false" ht="12.75" hidden="false" customHeight="false" outlineLevel="0" collapsed="false">
      <c r="A16" s="83" t="s">
        <v>128</v>
      </c>
      <c r="B16" s="67" t="n">
        <v>16</v>
      </c>
      <c r="C16" s="91" t="n">
        <v>4092373</v>
      </c>
      <c r="D16" s="91" t="n">
        <v>2089104</v>
      </c>
      <c r="E16" s="90" t="s">
        <v>363</v>
      </c>
      <c r="F16" s="67" t="n">
        <f aca="false">IF(D16&gt;G16,B16,"")</f>
        <v>16</v>
      </c>
      <c r="G16" s="91" t="n">
        <v>1877963</v>
      </c>
      <c r="H16" s="90" t="s">
        <v>195</v>
      </c>
      <c r="I16" s="67" t="str">
        <f aca="false">IF(D16&lt;G16,B16,"")</f>
        <v/>
      </c>
      <c r="J16" s="91" t="n">
        <v>125306</v>
      </c>
      <c r="K16" s="90" t="s">
        <v>364</v>
      </c>
      <c r="L16" s="91"/>
    </row>
    <row r="17" customFormat="false" ht="12.75" hidden="false" customHeight="false" outlineLevel="0" collapsed="false">
      <c r="A17" s="83" t="s">
        <v>129</v>
      </c>
      <c r="B17" s="67" t="n">
        <v>4</v>
      </c>
      <c r="C17" s="92" t="n">
        <v>428937</v>
      </c>
      <c r="D17" s="92" t="n">
        <v>128847</v>
      </c>
      <c r="E17" s="93" t="s">
        <v>365</v>
      </c>
      <c r="F17" s="67" t="str">
        <f aca="false">IF(D17&gt;G17,B17,"")</f>
        <v/>
      </c>
      <c r="G17" s="92" t="n">
        <v>266891</v>
      </c>
      <c r="H17" s="90" t="s">
        <v>366</v>
      </c>
      <c r="I17" s="67" t="n">
        <f aca="false">IF(D17&lt;G17,B17,"")</f>
        <v>4</v>
      </c>
      <c r="J17" s="92" t="n">
        <v>15954</v>
      </c>
      <c r="K17" s="93" t="s">
        <v>367</v>
      </c>
      <c r="L17" s="92"/>
    </row>
    <row r="18" customFormat="false" ht="12.75" hidden="false" customHeight="false" outlineLevel="0" collapsed="false">
      <c r="A18" s="83" t="s">
        <v>130</v>
      </c>
      <c r="B18" s="67" t="n">
        <v>4</v>
      </c>
      <c r="C18" s="91" t="n">
        <v>690255</v>
      </c>
      <c r="D18" s="91" t="n">
        <v>409055</v>
      </c>
      <c r="E18" s="90" t="s">
        <v>368</v>
      </c>
      <c r="F18" s="67" t="n">
        <f aca="false">IF(D18&gt;G18,B18,"")</f>
        <v>4</v>
      </c>
      <c r="G18" s="91" t="n">
        <v>189765</v>
      </c>
      <c r="H18" s="90" t="s">
        <v>369</v>
      </c>
      <c r="I18" s="67" t="str">
        <f aca="false">IF(D18&lt;G18,B18,"")</f>
        <v/>
      </c>
      <c r="J18" s="91" t="n">
        <v>28331</v>
      </c>
      <c r="K18" s="90" t="s">
        <v>346</v>
      </c>
      <c r="L18" s="91"/>
    </row>
    <row r="19" customFormat="false" ht="12.75" hidden="false" customHeight="false" outlineLevel="0" collapsed="false">
      <c r="A19" s="83" t="s">
        <v>131</v>
      </c>
      <c r="B19" s="67" t="n">
        <v>20</v>
      </c>
      <c r="C19" s="92" t="n">
        <v>5536424</v>
      </c>
      <c r="D19" s="92" t="n">
        <v>2146015</v>
      </c>
      <c r="E19" s="93" t="s">
        <v>370</v>
      </c>
      <c r="F19" s="67" t="str">
        <f aca="false">IF(D19&gt;G19,B19,"")</f>
        <v/>
      </c>
      <c r="G19" s="92" t="n">
        <v>3090729</v>
      </c>
      <c r="H19" s="90" t="s">
        <v>371</v>
      </c>
      <c r="I19" s="67" t="n">
        <f aca="false">IF(D19&lt;G19,B19,"")</f>
        <v>20</v>
      </c>
      <c r="J19" s="92" t="n">
        <v>209596</v>
      </c>
      <c r="K19" s="93" t="s">
        <v>372</v>
      </c>
      <c r="L19" s="92"/>
    </row>
    <row r="20" customFormat="false" ht="12.75" hidden="false" customHeight="false" outlineLevel="0" collapsed="false">
      <c r="A20" s="83" t="s">
        <v>132</v>
      </c>
      <c r="B20" s="67" t="n">
        <v>11</v>
      </c>
      <c r="C20" s="91" t="n">
        <v>2734958</v>
      </c>
      <c r="D20" s="91" t="n">
        <v>1557286</v>
      </c>
      <c r="E20" s="90" t="s">
        <v>289</v>
      </c>
      <c r="F20" s="67" t="n">
        <f aca="false">IF(D20&gt;G20,B20,"")</f>
        <v>11</v>
      </c>
      <c r="G20" s="91" t="n">
        <v>1033126</v>
      </c>
      <c r="H20" s="90" t="s">
        <v>233</v>
      </c>
      <c r="I20" s="67" t="str">
        <f aca="false">IF(D20&lt;G20,B20,"")</f>
        <v/>
      </c>
      <c r="J20" s="91" t="n">
        <v>133993</v>
      </c>
      <c r="K20" s="90" t="s">
        <v>373</v>
      </c>
      <c r="L20" s="91"/>
    </row>
    <row r="21" customFormat="false" ht="12.75" hidden="false" customHeight="false" outlineLevel="0" collapsed="false">
      <c r="A21" s="83" t="s">
        <v>133</v>
      </c>
      <c r="B21" s="67" t="n">
        <v>6</v>
      </c>
      <c r="C21" s="92" t="n">
        <v>1566031</v>
      </c>
      <c r="D21" s="92" t="n">
        <v>800983</v>
      </c>
      <c r="E21" s="93" t="s">
        <v>207</v>
      </c>
      <c r="F21" s="67" t="n">
        <f aca="false">IF(D21&gt;G21,B21,"")</f>
        <v>6</v>
      </c>
      <c r="G21" s="92" t="n">
        <v>653669</v>
      </c>
      <c r="H21" s="90" t="s">
        <v>374</v>
      </c>
      <c r="I21" s="67" t="str">
        <f aca="false">IF(D21&lt;G21,B21,"")</f>
        <v/>
      </c>
      <c r="J21" s="92" t="n">
        <v>59186</v>
      </c>
      <c r="K21" s="93" t="s">
        <v>372</v>
      </c>
      <c r="L21" s="92"/>
    </row>
    <row r="22" customFormat="false" ht="12.75" hidden="false" customHeight="false" outlineLevel="0" collapsed="false">
      <c r="A22" s="83" t="s">
        <v>134</v>
      </c>
      <c r="B22" s="67" t="n">
        <v>6</v>
      </c>
      <c r="C22" s="91" t="n">
        <v>1184402</v>
      </c>
      <c r="D22" s="91" t="n">
        <v>671018</v>
      </c>
      <c r="E22" s="90" t="s">
        <v>201</v>
      </c>
      <c r="F22" s="67" t="n">
        <f aca="false">IF(D22&gt;G22,B22,"")</f>
        <v>6</v>
      </c>
      <c r="G22" s="91" t="n">
        <v>427005</v>
      </c>
      <c r="H22" s="90" t="s">
        <v>243</v>
      </c>
      <c r="I22" s="67" t="str">
        <f aca="false">IF(D22&lt;G22,B22,"")</f>
        <v/>
      </c>
      <c r="J22" s="91" t="n">
        <v>55406</v>
      </c>
      <c r="K22" s="90" t="s">
        <v>375</v>
      </c>
      <c r="L22" s="91"/>
    </row>
    <row r="23" customFormat="false" ht="12.75" hidden="false" customHeight="false" outlineLevel="0" collapsed="false">
      <c r="A23" s="83" t="s">
        <v>135</v>
      </c>
      <c r="B23" s="67" t="n">
        <v>8</v>
      </c>
      <c r="C23" s="92" t="n">
        <v>1924149</v>
      </c>
      <c r="D23" s="92" t="n">
        <v>1202971</v>
      </c>
      <c r="E23" s="93" t="s">
        <v>376</v>
      </c>
      <c r="F23" s="67" t="n">
        <f aca="false">IF(D23&gt;G23,B23,"")</f>
        <v>8</v>
      </c>
      <c r="G23" s="92" t="n">
        <v>628854</v>
      </c>
      <c r="H23" s="90" t="s">
        <v>377</v>
      </c>
      <c r="I23" s="67" t="str">
        <f aca="false">IF(D23&lt;G23,B23,"")</f>
        <v/>
      </c>
      <c r="J23" s="92" t="n">
        <v>53752</v>
      </c>
      <c r="K23" s="93" t="s">
        <v>378</v>
      </c>
      <c r="L23" s="92"/>
    </row>
    <row r="24" customFormat="false" ht="12.75" hidden="false" customHeight="false" outlineLevel="0" collapsed="false">
      <c r="A24" s="83" t="s">
        <v>136</v>
      </c>
      <c r="B24" s="67" t="n">
        <v>8</v>
      </c>
      <c r="C24" s="91" t="n">
        <v>2029032</v>
      </c>
      <c r="D24" s="91" t="n">
        <v>1178638</v>
      </c>
      <c r="E24" s="90" t="s">
        <v>264</v>
      </c>
      <c r="F24" s="67" t="n">
        <f aca="false">IF(D24&gt;G24,B24,"")</f>
        <v>8</v>
      </c>
      <c r="G24" s="91" t="n">
        <v>780154</v>
      </c>
      <c r="H24" s="90" t="s">
        <v>271</v>
      </c>
      <c r="I24" s="67" t="str">
        <f aca="false">IF(D24&lt;G24,B24,"")</f>
        <v/>
      </c>
      <c r="J24" s="91" t="n">
        <v>37978</v>
      </c>
      <c r="K24" s="90" t="s">
        <v>379</v>
      </c>
      <c r="L24" s="91"/>
    </row>
    <row r="25" customFormat="false" ht="12.75" hidden="false" customHeight="false" outlineLevel="0" collapsed="false">
      <c r="A25" s="83" t="s">
        <v>137</v>
      </c>
      <c r="B25" s="6" t="n">
        <v>4</v>
      </c>
      <c r="C25" s="92" t="n">
        <v>747927</v>
      </c>
      <c r="D25" s="92" t="n">
        <v>335593</v>
      </c>
      <c r="E25" s="93" t="s">
        <v>360</v>
      </c>
      <c r="F25" s="67" t="n">
        <v>3</v>
      </c>
      <c r="G25" s="92" t="n">
        <v>357735</v>
      </c>
      <c r="H25" s="90" t="s">
        <v>248</v>
      </c>
      <c r="I25" s="67" t="n">
        <v>1</v>
      </c>
      <c r="J25" s="92" t="n">
        <v>38105</v>
      </c>
      <c r="K25" s="93" t="s">
        <v>380</v>
      </c>
      <c r="L25" s="92"/>
    </row>
    <row r="26" customFormat="false" ht="12.75" hidden="false" customHeight="false" outlineLevel="0" collapsed="false">
      <c r="A26" s="83" t="s">
        <v>138</v>
      </c>
      <c r="B26" s="67" t="n">
        <v>10</v>
      </c>
      <c r="C26" s="91" t="n">
        <v>2781446</v>
      </c>
      <c r="D26" s="91" t="n">
        <v>943169</v>
      </c>
      <c r="E26" s="90" t="s">
        <v>178</v>
      </c>
      <c r="F26" s="67" t="str">
        <f aca="false">IF(D26&gt;G26,B26,"")</f>
        <v/>
      </c>
      <c r="G26" s="91" t="n">
        <v>1677928</v>
      </c>
      <c r="H26" s="90" t="s">
        <v>381</v>
      </c>
      <c r="I26" s="67" t="n">
        <f aca="false">IF(D26&lt;G26,B26,"")</f>
        <v>10</v>
      </c>
      <c r="J26" s="91" t="n">
        <v>79605</v>
      </c>
      <c r="K26" s="90" t="s">
        <v>382</v>
      </c>
      <c r="L26" s="91"/>
    </row>
    <row r="27" customFormat="false" ht="12.75" hidden="false" customHeight="false" outlineLevel="0" collapsed="false">
      <c r="A27" s="83" t="s">
        <v>139</v>
      </c>
      <c r="B27" s="67" t="n">
        <v>11</v>
      </c>
      <c r="C27" s="92" t="n">
        <v>3325046</v>
      </c>
      <c r="D27" s="92" t="n">
        <v>1090893</v>
      </c>
      <c r="E27" s="93" t="s">
        <v>383</v>
      </c>
      <c r="F27" s="67" t="str">
        <f aca="false">IF(D27&gt;G27,B27,"")</f>
        <v/>
      </c>
      <c r="G27" s="92" t="n">
        <v>1995196</v>
      </c>
      <c r="H27" s="90" t="s">
        <v>384</v>
      </c>
      <c r="I27" s="67" t="n">
        <f aca="false">IF(D27&lt;G27,B27,"")</f>
        <v>11</v>
      </c>
      <c r="J27" s="92" t="n">
        <v>138018</v>
      </c>
      <c r="K27" s="93" t="s">
        <v>385</v>
      </c>
      <c r="L27" s="92"/>
    </row>
    <row r="28" customFormat="false" ht="12.75" hidden="false" customHeight="false" outlineLevel="0" collapsed="false">
      <c r="A28" s="83" t="s">
        <v>140</v>
      </c>
      <c r="B28" s="67" t="n">
        <v>16</v>
      </c>
      <c r="C28" s="91" t="n">
        <v>4799284</v>
      </c>
      <c r="D28" s="91" t="n">
        <v>2279543</v>
      </c>
      <c r="E28" s="90" t="s">
        <v>225</v>
      </c>
      <c r="F28" s="67" t="n">
        <f aca="false">IF(D28&gt;G28,B28,"")</f>
        <v>16</v>
      </c>
      <c r="G28" s="91" t="n">
        <v>2268839</v>
      </c>
      <c r="H28" s="90" t="s">
        <v>386</v>
      </c>
      <c r="I28" s="67" t="str">
        <f aca="false">IF(D28&lt;G28,B28,"")</f>
        <v/>
      </c>
      <c r="J28" s="91" t="n">
        <v>172136</v>
      </c>
      <c r="K28" s="90" t="s">
        <v>387</v>
      </c>
      <c r="L28" s="91"/>
    </row>
    <row r="29" customFormat="false" ht="12.75" hidden="false" customHeight="false" outlineLevel="0" collapsed="false">
      <c r="A29" s="83" t="s">
        <v>141</v>
      </c>
      <c r="B29" s="67" t="n">
        <v>10</v>
      </c>
      <c r="C29" s="92" t="n">
        <v>2944813</v>
      </c>
      <c r="D29" s="92" t="n">
        <v>1322951</v>
      </c>
      <c r="E29" s="93" t="s">
        <v>388</v>
      </c>
      <c r="F29" s="67" t="str">
        <f aca="false">IF(D29&gt;G29,B29,"")</f>
        <v/>
      </c>
      <c r="G29" s="92" t="n">
        <v>1367716</v>
      </c>
      <c r="H29" s="90" t="s">
        <v>248</v>
      </c>
      <c r="I29" s="67" t="n">
        <f aca="false">IF(D29&lt;G29,B29,"")</f>
        <v>10</v>
      </c>
      <c r="J29" s="92" t="n">
        <v>112972</v>
      </c>
      <c r="K29" s="93" t="s">
        <v>372</v>
      </c>
      <c r="L29" s="92"/>
    </row>
    <row r="30" customFormat="false" ht="12.75" hidden="false" customHeight="false" outlineLevel="0" collapsed="false">
      <c r="A30" s="83" t="s">
        <v>142</v>
      </c>
      <c r="B30" s="67" t="n">
        <v>6</v>
      </c>
      <c r="C30" s="91" t="n">
        <v>1209357</v>
      </c>
      <c r="D30" s="91" t="n">
        <v>700714</v>
      </c>
      <c r="E30" s="90" t="s">
        <v>389</v>
      </c>
      <c r="F30" s="67" t="n">
        <f aca="false">IF(D30&gt;G30,B30,"")</f>
        <v>6</v>
      </c>
      <c r="G30" s="91" t="n">
        <v>485131</v>
      </c>
      <c r="H30" s="90" t="s">
        <v>324</v>
      </c>
      <c r="I30" s="67" t="str">
        <f aca="false">IF(D30&lt;G30,B30,"")</f>
        <v/>
      </c>
      <c r="J30" s="91" t="n">
        <v>14435</v>
      </c>
      <c r="K30" s="90" t="s">
        <v>390</v>
      </c>
      <c r="L30" s="91"/>
    </row>
    <row r="31" customFormat="false" ht="12.75" hidden="false" customHeight="false" outlineLevel="0" collapsed="false">
      <c r="A31" s="83" t="s">
        <v>143</v>
      </c>
      <c r="B31" s="67" t="n">
        <v>10</v>
      </c>
      <c r="C31" s="92" t="n">
        <v>2808605</v>
      </c>
      <c r="D31" s="92" t="n">
        <v>1594511</v>
      </c>
      <c r="E31" s="93" t="s">
        <v>391</v>
      </c>
      <c r="F31" s="67" t="n">
        <f aca="false">IF(D31&gt;G31,B31,"")</f>
        <v>10</v>
      </c>
      <c r="G31" s="92" t="n">
        <v>1071068</v>
      </c>
      <c r="H31" s="90" t="s">
        <v>392</v>
      </c>
      <c r="I31" s="67" t="str">
        <f aca="false">IF(D31&lt;G31,B31,"")</f>
        <v/>
      </c>
      <c r="J31" s="92" t="n">
        <v>97359</v>
      </c>
      <c r="K31" s="93" t="s">
        <v>393</v>
      </c>
      <c r="L31" s="92"/>
    </row>
    <row r="32" customFormat="false" ht="12.75" hidden="false" customHeight="false" outlineLevel="0" collapsed="false">
      <c r="A32" s="83" t="s">
        <v>144</v>
      </c>
      <c r="B32" s="67" t="n">
        <v>3</v>
      </c>
      <c r="C32" s="91" t="n">
        <v>494526</v>
      </c>
      <c r="D32" s="91" t="n">
        <v>279240</v>
      </c>
      <c r="E32" s="90" t="s">
        <v>294</v>
      </c>
      <c r="F32" s="67" t="n">
        <f aca="false">IF(D32&gt;G32,B32,"")</f>
        <v>3</v>
      </c>
      <c r="G32" s="91" t="n">
        <v>177709</v>
      </c>
      <c r="H32" s="90" t="s">
        <v>228</v>
      </c>
      <c r="I32" s="67" t="str">
        <f aca="false">IF(D32&lt;G32,B32,"")</f>
        <v/>
      </c>
      <c r="J32" s="91" t="n">
        <v>28037</v>
      </c>
      <c r="K32" s="90" t="s">
        <v>394</v>
      </c>
      <c r="L32" s="91"/>
    </row>
    <row r="33" customFormat="false" ht="12.75" hidden="false" customHeight="false" outlineLevel="0" collapsed="false">
      <c r="A33" s="83" t="s">
        <v>145</v>
      </c>
      <c r="B33" s="67" t="n">
        <v>5</v>
      </c>
      <c r="C33" s="92" t="n">
        <v>844227</v>
      </c>
      <c r="D33" s="92" t="n">
        <v>495961</v>
      </c>
      <c r="E33" s="93" t="s">
        <v>347</v>
      </c>
      <c r="F33" s="67" t="n">
        <f aca="false">IF(D33&gt;G33,B33,"")</f>
        <v>5</v>
      </c>
      <c r="G33" s="92" t="n">
        <v>284494</v>
      </c>
      <c r="H33" s="90" t="s">
        <v>184</v>
      </c>
      <c r="I33" s="67" t="str">
        <f aca="false">IF(D33&lt;G33,B33,"")</f>
        <v/>
      </c>
      <c r="J33" s="92" t="n">
        <v>38946</v>
      </c>
      <c r="K33" s="93" t="s">
        <v>395</v>
      </c>
      <c r="L33" s="92"/>
    </row>
    <row r="34" customFormat="false" ht="12.75" hidden="false" customHeight="false" outlineLevel="0" collapsed="false">
      <c r="A34" s="83" t="s">
        <v>146</v>
      </c>
      <c r="B34" s="67" t="n">
        <v>6</v>
      </c>
      <c r="C34" s="91" t="n">
        <v>1125385</v>
      </c>
      <c r="D34" s="91" t="n">
        <v>512058</v>
      </c>
      <c r="E34" s="90" t="s">
        <v>396</v>
      </c>
      <c r="F34" s="67" t="str">
        <f aca="false">IF(D34&gt;G34,B34,"")</f>
        <v/>
      </c>
      <c r="G34" s="91" t="n">
        <v>539260</v>
      </c>
      <c r="H34" s="90" t="s">
        <v>278</v>
      </c>
      <c r="I34" s="67" t="n">
        <f aca="false">IF(D34&lt;G34,B34,"")</f>
        <v>6</v>
      </c>
      <c r="J34" s="91" t="n">
        <v>37384</v>
      </c>
      <c r="K34" s="90" t="s">
        <v>358</v>
      </c>
      <c r="L34" s="91"/>
    </row>
    <row r="35" customFormat="false" ht="12.75" hidden="false" customHeight="false" outlineLevel="0" collapsed="false">
      <c r="A35" s="83" t="s">
        <v>147</v>
      </c>
      <c r="B35" s="67" t="n">
        <v>4</v>
      </c>
      <c r="C35" s="92" t="n">
        <v>744296</v>
      </c>
      <c r="D35" s="92" t="n">
        <v>345790</v>
      </c>
      <c r="E35" s="93" t="s">
        <v>397</v>
      </c>
      <c r="F35" s="67" t="str">
        <f aca="false">IF(D35&gt;G35,B35,"")</f>
        <v/>
      </c>
      <c r="G35" s="92" t="n">
        <v>348526</v>
      </c>
      <c r="H35" s="90" t="s">
        <v>307</v>
      </c>
      <c r="I35" s="67" t="n">
        <f aca="false">IF(D35&lt;G35,B35,"")</f>
        <v>4</v>
      </c>
      <c r="J35" s="92" t="n">
        <v>30777</v>
      </c>
      <c r="K35" s="93" t="s">
        <v>346</v>
      </c>
      <c r="L35" s="92"/>
    </row>
    <row r="36" customFormat="false" ht="12.75" hidden="false" customHeight="false" outlineLevel="0" collapsed="false">
      <c r="A36" s="83" t="s">
        <v>148</v>
      </c>
      <c r="B36" s="67" t="n">
        <v>14</v>
      </c>
      <c r="C36" s="91" t="n">
        <v>3874046</v>
      </c>
      <c r="D36" s="91" t="n">
        <v>1601933</v>
      </c>
      <c r="E36" s="90" t="s">
        <v>252</v>
      </c>
      <c r="F36" s="67" t="str">
        <f aca="false">IF(D36&gt;G36,B36,"")</f>
        <v/>
      </c>
      <c r="G36" s="91" t="n">
        <v>2148278</v>
      </c>
      <c r="H36" s="90" t="s">
        <v>327</v>
      </c>
      <c r="I36" s="67" t="n">
        <f aca="false">IF(D36&lt;G36,B36,"")</f>
        <v>14</v>
      </c>
      <c r="J36" s="91" t="n">
        <v>72477</v>
      </c>
      <c r="K36" s="90" t="s">
        <v>379</v>
      </c>
      <c r="L36" s="91"/>
    </row>
    <row r="37" customFormat="false" ht="12.75" hidden="false" customHeight="false" outlineLevel="0" collapsed="false">
      <c r="A37" s="83" t="s">
        <v>149</v>
      </c>
      <c r="B37" s="67" t="n">
        <v>5</v>
      </c>
      <c r="C37" s="92" t="n">
        <v>798318</v>
      </c>
      <c r="D37" s="92" t="n">
        <v>319666</v>
      </c>
      <c r="E37" s="93" t="s">
        <v>398</v>
      </c>
      <c r="F37" s="67" t="str">
        <f aca="false">IF(D37&gt;G37,B37,"")</f>
        <v/>
      </c>
      <c r="G37" s="92" t="n">
        <v>385234</v>
      </c>
      <c r="H37" s="90" t="s">
        <v>273</v>
      </c>
      <c r="I37" s="67" t="n">
        <f aca="false">IF(D37&lt;G37,B37,"")</f>
        <v>5</v>
      </c>
      <c r="J37" s="92" t="n">
        <v>74541</v>
      </c>
      <c r="K37" s="93" t="s">
        <v>399</v>
      </c>
      <c r="L37" s="92"/>
    </row>
    <row r="38" customFormat="false" ht="12.75" hidden="false" customHeight="false" outlineLevel="0" collapsed="false">
      <c r="A38" s="83" t="s">
        <v>150</v>
      </c>
      <c r="B38" s="67" t="n">
        <v>29</v>
      </c>
      <c r="C38" s="91" t="n">
        <v>7622328</v>
      </c>
      <c r="D38" s="91" t="n">
        <v>2790073</v>
      </c>
      <c r="E38" s="90" t="s">
        <v>400</v>
      </c>
      <c r="F38" s="67" t="str">
        <f aca="false">IF(D38&gt;G38,B38,"")</f>
        <v/>
      </c>
      <c r="G38" s="91" t="n">
        <v>4491191</v>
      </c>
      <c r="H38" s="90" t="s">
        <v>342</v>
      </c>
      <c r="I38" s="67" t="n">
        <f aca="false">IF(D38&lt;G38,B38,"")</f>
        <v>29</v>
      </c>
      <c r="J38" s="91" t="n">
        <v>174951</v>
      </c>
      <c r="K38" s="90" t="s">
        <v>401</v>
      </c>
      <c r="L38" s="91"/>
    </row>
    <row r="39" customFormat="false" ht="12.75" hidden="false" customHeight="false" outlineLevel="0" collapsed="false">
      <c r="A39" s="83" t="s">
        <v>151</v>
      </c>
      <c r="B39" s="67" t="n">
        <v>15</v>
      </c>
      <c r="C39" s="92" t="n">
        <v>4741558</v>
      </c>
      <c r="D39" s="92" t="n">
        <v>2362628</v>
      </c>
      <c r="E39" s="93" t="s">
        <v>286</v>
      </c>
      <c r="F39" s="67" t="n">
        <f aca="false">IF(D39&gt;G39,B39,"")</f>
        <v>15</v>
      </c>
      <c r="G39" s="92" t="n">
        <v>2189313</v>
      </c>
      <c r="H39" s="90" t="s">
        <v>402</v>
      </c>
      <c r="I39" s="67" t="str">
        <f aca="false">IF(D39&lt;G39,B39,"")</f>
        <v/>
      </c>
      <c r="J39" s="92" t="n">
        <v>130127</v>
      </c>
      <c r="K39" s="93" t="s">
        <v>403</v>
      </c>
      <c r="L39" s="92"/>
    </row>
    <row r="40" customFormat="false" ht="12.75" hidden="false" customHeight="false" outlineLevel="0" collapsed="false">
      <c r="A40" s="83" t="s">
        <v>152</v>
      </c>
      <c r="B40" s="67" t="n">
        <v>3</v>
      </c>
      <c r="C40" s="91" t="n">
        <v>344360</v>
      </c>
      <c r="D40" s="91" t="n">
        <v>216794</v>
      </c>
      <c r="E40" s="90" t="s">
        <v>404</v>
      </c>
      <c r="F40" s="67" t="n">
        <f aca="false">IF(D40&gt;G40,B40,"")</f>
        <v>3</v>
      </c>
      <c r="G40" s="91" t="n">
        <v>93758</v>
      </c>
      <c r="H40" s="90" t="s">
        <v>405</v>
      </c>
      <c r="I40" s="67" t="str">
        <f aca="false">IF(D40&lt;G40,B40,"")</f>
        <v/>
      </c>
      <c r="J40" s="91" t="n">
        <v>21434</v>
      </c>
      <c r="K40" s="90" t="s">
        <v>406</v>
      </c>
      <c r="L40" s="91"/>
    </row>
    <row r="41" customFormat="false" ht="12.75" hidden="false" customHeight="false" outlineLevel="0" collapsed="false">
      <c r="A41" s="83" t="s">
        <v>153</v>
      </c>
      <c r="B41" s="67" t="n">
        <v>18</v>
      </c>
      <c r="C41" s="92" t="n">
        <v>5496487</v>
      </c>
      <c r="D41" s="92" t="n">
        <v>2841005</v>
      </c>
      <c r="E41" s="93" t="s">
        <v>407</v>
      </c>
      <c r="F41" s="67" t="n">
        <f aca="false">IF(D41&gt;G41,B41,"")</f>
        <v>18</v>
      </c>
      <c r="G41" s="92" t="n">
        <v>2394164</v>
      </c>
      <c r="H41" s="90" t="s">
        <v>408</v>
      </c>
      <c r="I41" s="67" t="str">
        <f aca="false">IF(D41&lt;G41,B41,"")</f>
        <v/>
      </c>
      <c r="J41" s="92" t="n">
        <v>174498</v>
      </c>
      <c r="K41" s="93" t="s">
        <v>409</v>
      </c>
      <c r="L41" s="92"/>
    </row>
    <row r="42" customFormat="false" ht="12.75" hidden="false" customHeight="false" outlineLevel="0" collapsed="false">
      <c r="A42" s="83" t="s">
        <v>154</v>
      </c>
      <c r="B42" s="67" t="n">
        <v>7</v>
      </c>
      <c r="C42" s="91" t="n">
        <v>1452992</v>
      </c>
      <c r="D42" s="91" t="n">
        <v>949136</v>
      </c>
      <c r="E42" s="90" t="s">
        <v>410</v>
      </c>
      <c r="F42" s="67" t="n">
        <f aca="false">IF(D42&gt;G42,B42,"")</f>
        <v>7</v>
      </c>
      <c r="G42" s="91" t="n">
        <v>420375</v>
      </c>
      <c r="H42" s="90" t="s">
        <v>411</v>
      </c>
      <c r="I42" s="67" t="str">
        <f aca="false">IF(D42&lt;G42,B42,"")</f>
        <v/>
      </c>
      <c r="J42" s="91" t="n">
        <v>83481</v>
      </c>
      <c r="K42" s="90" t="s">
        <v>394</v>
      </c>
      <c r="L42" s="91"/>
    </row>
    <row r="43" customFormat="false" ht="12.75" hidden="false" customHeight="false" outlineLevel="0" collapsed="false">
      <c r="A43" s="83" t="s">
        <v>155</v>
      </c>
      <c r="B43" s="67" t="n">
        <v>7</v>
      </c>
      <c r="C43" s="92" t="n">
        <v>2001336</v>
      </c>
      <c r="D43" s="92" t="n">
        <v>782403</v>
      </c>
      <c r="E43" s="93" t="s">
        <v>412</v>
      </c>
      <c r="F43" s="67" t="str">
        <f aca="false">IF(D43&gt;G43,B43,"")</f>
        <v/>
      </c>
      <c r="G43" s="92" t="n">
        <v>1002106</v>
      </c>
      <c r="H43" s="90" t="s">
        <v>325</v>
      </c>
      <c r="I43" s="67" t="n">
        <f aca="false">IF(D43&lt;G43,B43,"")</f>
        <v>7</v>
      </c>
      <c r="J43" s="92" t="n">
        <v>94231</v>
      </c>
      <c r="K43" s="93" t="s">
        <v>375</v>
      </c>
      <c r="L43" s="92"/>
    </row>
    <row r="44" customFormat="false" ht="12.75" hidden="false" customHeight="false" outlineLevel="0" collapsed="false">
      <c r="A44" s="83" t="s">
        <v>156</v>
      </c>
      <c r="B44" s="67" t="n">
        <v>20</v>
      </c>
      <c r="C44" s="91" t="n">
        <v>6115402</v>
      </c>
      <c r="D44" s="91" t="n">
        <v>2970733</v>
      </c>
      <c r="E44" s="90" t="s">
        <v>396</v>
      </c>
      <c r="F44" s="67" t="n">
        <f aca="false">IF(D44&gt;G44,B44,"")</f>
        <v>20</v>
      </c>
      <c r="G44" s="91" t="n">
        <v>2926441</v>
      </c>
      <c r="H44" s="90" t="s">
        <v>413</v>
      </c>
      <c r="I44" s="67" t="str">
        <f aca="false">IF(D44&lt;G44,B44,"")</f>
        <v/>
      </c>
      <c r="J44" s="91" t="n">
        <v>146715</v>
      </c>
      <c r="K44" s="90" t="s">
        <v>414</v>
      </c>
      <c r="L44" s="91"/>
    </row>
    <row r="45" customFormat="false" ht="12.75" hidden="false" customHeight="false" outlineLevel="0" collapsed="false">
      <c r="A45" s="83" t="s">
        <v>157</v>
      </c>
      <c r="B45" s="67" t="n">
        <v>4</v>
      </c>
      <c r="C45" s="92" t="n">
        <v>464144</v>
      </c>
      <c r="D45" s="92" t="n">
        <v>180543</v>
      </c>
      <c r="E45" s="93" t="s">
        <v>231</v>
      </c>
      <c r="F45" s="67" t="str">
        <f aca="false">IF(D45&gt;G45,B45,"")</f>
        <v/>
      </c>
      <c r="G45" s="92" t="n">
        <v>252525</v>
      </c>
      <c r="H45" s="90" t="s">
        <v>183</v>
      </c>
      <c r="I45" s="67" t="n">
        <f aca="false">IF(D45&lt;G45,B45,"")</f>
        <v>4</v>
      </c>
      <c r="J45" s="92" t="n">
        <v>14746</v>
      </c>
      <c r="K45" s="93" t="s">
        <v>409</v>
      </c>
      <c r="L45" s="92"/>
    </row>
    <row r="46" customFormat="false" ht="12.75" hidden="false" customHeight="false" outlineLevel="0" collapsed="false">
      <c r="A46" s="83" t="s">
        <v>158</v>
      </c>
      <c r="B46" s="67" t="n">
        <v>9</v>
      </c>
      <c r="C46" s="91" t="n">
        <v>2103027</v>
      </c>
      <c r="D46" s="91" t="n">
        <v>1155389</v>
      </c>
      <c r="E46" s="90" t="s">
        <v>272</v>
      </c>
      <c r="F46" s="67" t="n">
        <f aca="false">IF(D46&gt;G46,B46,"")</f>
        <v>9</v>
      </c>
      <c r="G46" s="91" t="n">
        <v>855373</v>
      </c>
      <c r="H46" s="90" t="s">
        <v>415</v>
      </c>
      <c r="I46" s="67" t="str">
        <f aca="false">IF(D46&lt;G46,B46,"")</f>
        <v/>
      </c>
      <c r="J46" s="91" t="n">
        <v>49204</v>
      </c>
      <c r="K46" s="90" t="s">
        <v>401</v>
      </c>
      <c r="L46" s="91"/>
    </row>
    <row r="47" customFormat="false" ht="12.75" hidden="false" customHeight="false" outlineLevel="0" collapsed="false">
      <c r="A47" s="83" t="s">
        <v>159</v>
      </c>
      <c r="B47" s="67" t="n">
        <v>3</v>
      </c>
      <c r="C47" s="92" t="n">
        <v>370047</v>
      </c>
      <c r="D47" s="92" t="n">
        <v>227701</v>
      </c>
      <c r="E47" s="93" t="s">
        <v>416</v>
      </c>
      <c r="F47" s="67" t="n">
        <f aca="false">IF(D47&gt;G47,B47,"")</f>
        <v>3</v>
      </c>
      <c r="G47" s="92" t="n">
        <v>117442</v>
      </c>
      <c r="H47" s="90" t="s">
        <v>202</v>
      </c>
      <c r="I47" s="67" t="str">
        <f aca="false">IF(D47&lt;G47,B47,"")</f>
        <v/>
      </c>
      <c r="J47" s="92" t="n">
        <v>20845</v>
      </c>
      <c r="K47" s="93" t="s">
        <v>417</v>
      </c>
      <c r="L47" s="92"/>
    </row>
    <row r="48" customFormat="false" ht="12.75" hidden="false" customHeight="false" outlineLevel="0" collapsed="false">
      <c r="A48" s="83" t="s">
        <v>160</v>
      </c>
      <c r="B48" s="67" t="n">
        <v>11</v>
      </c>
      <c r="C48" s="91" t="n">
        <v>2508027</v>
      </c>
      <c r="D48" s="91" t="n">
        <v>1522925</v>
      </c>
      <c r="E48" s="90" t="s">
        <v>418</v>
      </c>
      <c r="F48" s="67" t="n">
        <f aca="false">IF(D48&gt;G48,B48,"")</f>
        <v>11</v>
      </c>
      <c r="G48" s="91" t="n">
        <v>870695</v>
      </c>
      <c r="H48" s="90" t="s">
        <v>295</v>
      </c>
      <c r="I48" s="67" t="str">
        <f aca="false">IF(D48&lt;G48,B48,"")</f>
        <v/>
      </c>
      <c r="J48" s="91" t="n">
        <v>70397</v>
      </c>
      <c r="K48" s="90" t="s">
        <v>378</v>
      </c>
      <c r="L48" s="91"/>
    </row>
    <row r="49" customFormat="false" ht="12.75" hidden="false" customHeight="false" outlineLevel="0" collapsed="false">
      <c r="A49" s="83" t="s">
        <v>161</v>
      </c>
      <c r="B49" s="67" t="n">
        <v>38</v>
      </c>
      <c r="C49" s="92" t="n">
        <v>8969226</v>
      </c>
      <c r="D49" s="92" t="n">
        <v>4685047</v>
      </c>
      <c r="E49" s="93" t="s">
        <v>419</v>
      </c>
      <c r="F49" s="67" t="n">
        <f aca="false">IF(D49&gt;G49,B49,"")</f>
        <v>38</v>
      </c>
      <c r="G49" s="92" t="n">
        <v>3877868</v>
      </c>
      <c r="H49" s="90" t="s">
        <v>198</v>
      </c>
      <c r="I49" s="67" t="str">
        <f aca="false">IF(D49&lt;G49,B49,"")</f>
        <v/>
      </c>
      <c r="J49" s="92" t="n">
        <v>283492</v>
      </c>
      <c r="K49" s="93" t="s">
        <v>409</v>
      </c>
      <c r="L49" s="92"/>
    </row>
    <row r="50" customFormat="false" ht="12.75" hidden="false" customHeight="false" outlineLevel="0" collapsed="false">
      <c r="A50" s="83" t="s">
        <v>162</v>
      </c>
      <c r="B50" s="67" t="n">
        <v>6</v>
      </c>
      <c r="C50" s="91" t="n">
        <v>1131430</v>
      </c>
      <c r="D50" s="91" t="n">
        <v>515231</v>
      </c>
      <c r="E50" s="90" t="s">
        <v>368</v>
      </c>
      <c r="F50" s="67" t="n">
        <f aca="false">IF(D50&gt;G50,B50,"")</f>
        <v>6</v>
      </c>
      <c r="G50" s="91" t="n">
        <v>310676</v>
      </c>
      <c r="H50" s="90" t="s">
        <v>278</v>
      </c>
      <c r="I50" s="67" t="str">
        <f aca="false">IF(D50&lt;G50,B50,"")</f>
        <v/>
      </c>
      <c r="J50" s="91" t="n">
        <v>39608</v>
      </c>
      <c r="K50" s="90" t="s">
        <v>393</v>
      </c>
      <c r="L50" s="91"/>
    </row>
    <row r="51" customFormat="false" ht="12.75" hidden="false" customHeight="false" outlineLevel="0" collapsed="false">
      <c r="A51" s="83" t="s">
        <v>163</v>
      </c>
      <c r="B51" s="67" t="n">
        <v>3</v>
      </c>
      <c r="C51" s="91" t="n">
        <v>315067</v>
      </c>
      <c r="D51" s="91" t="n">
        <v>95369</v>
      </c>
      <c r="E51" s="90" t="s">
        <v>243</v>
      </c>
      <c r="F51" s="67" t="str">
        <f aca="false">IF(D51&gt;G51,B51,"")</f>
        <v/>
      </c>
      <c r="G51" s="91" t="n">
        <v>178573</v>
      </c>
      <c r="H51" s="90" t="s">
        <v>420</v>
      </c>
      <c r="I51" s="67" t="n">
        <f aca="false">IF(D51&lt;G51,B51,"")</f>
        <v>3</v>
      </c>
      <c r="J51" s="91" t="n">
        <v>10078</v>
      </c>
      <c r="K51" s="90" t="s">
        <v>409</v>
      </c>
      <c r="L51" s="91"/>
    </row>
    <row r="52" customFormat="false" ht="12.75" hidden="false" customHeight="false" outlineLevel="0" collapsed="false">
      <c r="A52" s="83" t="s">
        <v>164</v>
      </c>
      <c r="B52" s="67" t="n">
        <v>13</v>
      </c>
      <c r="C52" s="91" t="n">
        <v>3982752</v>
      </c>
      <c r="D52" s="91" t="n">
        <v>1769443</v>
      </c>
      <c r="E52" s="90" t="s">
        <v>402</v>
      </c>
      <c r="F52" s="67" t="str">
        <f aca="false">IF(D52&gt;G52,B52,"")</f>
        <v/>
      </c>
      <c r="G52" s="91" t="n">
        <v>1981473</v>
      </c>
      <c r="H52" s="90" t="s">
        <v>301</v>
      </c>
      <c r="I52" s="67" t="n">
        <f aca="false">IF(D52&lt;G52,B52,"")</f>
        <v>13</v>
      </c>
      <c r="J52" s="91" t="n">
        <v>118274</v>
      </c>
      <c r="K52" s="90" t="s">
        <v>355</v>
      </c>
      <c r="L52" s="91"/>
    </row>
    <row r="53" customFormat="false" ht="12.75" hidden="false" customHeight="false" outlineLevel="0" collapsed="false">
      <c r="A53" s="83" t="s">
        <v>165</v>
      </c>
      <c r="B53" s="67" t="n">
        <v>12</v>
      </c>
      <c r="C53" s="92" t="n">
        <v>3209214</v>
      </c>
      <c r="D53" s="92" t="n">
        <v>1221747</v>
      </c>
      <c r="E53" s="93" t="s">
        <v>244</v>
      </c>
      <c r="F53" s="67" t="str">
        <f aca="false">IF(D53&gt;G53,B53,"")</f>
        <v/>
      </c>
      <c r="G53" s="92" t="n">
        <v>1742718</v>
      </c>
      <c r="H53" s="90" t="s">
        <v>391</v>
      </c>
      <c r="I53" s="67" t="n">
        <f aca="false">IF(D53&lt;G53,B53,"")</f>
        <v>12</v>
      </c>
      <c r="J53" s="92" t="n">
        <v>160879</v>
      </c>
      <c r="K53" s="93" t="s">
        <v>421</v>
      </c>
      <c r="L53" s="92"/>
    </row>
    <row r="54" customFormat="false" ht="12.75" hidden="false" customHeight="false" outlineLevel="0" collapsed="false">
      <c r="A54" s="83" t="s">
        <v>166</v>
      </c>
      <c r="B54" s="67" t="n">
        <v>5</v>
      </c>
      <c r="C54" s="91" t="n">
        <v>713051</v>
      </c>
      <c r="D54" s="91" t="n">
        <v>489371</v>
      </c>
      <c r="E54" s="90" t="s">
        <v>422</v>
      </c>
      <c r="F54" s="67" t="n">
        <f aca="false">IF(D54&gt;G54,B54,"")</f>
        <v>5</v>
      </c>
      <c r="G54" s="91" t="n">
        <v>188794</v>
      </c>
      <c r="H54" s="90" t="s">
        <v>339</v>
      </c>
      <c r="I54" s="67" t="str">
        <f aca="false">IF(D54&lt;G54,B54,"")</f>
        <v/>
      </c>
      <c r="J54" s="91" t="n">
        <v>23004</v>
      </c>
      <c r="K54" s="90" t="s">
        <v>409</v>
      </c>
      <c r="L54" s="91"/>
    </row>
    <row r="55" customFormat="false" ht="12.75" hidden="false" customHeight="false" outlineLevel="0" collapsed="false">
      <c r="A55" s="83" t="s">
        <v>167</v>
      </c>
      <c r="B55" s="67" t="n">
        <v>10</v>
      </c>
      <c r="C55" s="92" t="n">
        <v>2976150</v>
      </c>
      <c r="D55" s="92" t="n">
        <v>1405284</v>
      </c>
      <c r="E55" s="93" t="s">
        <v>307</v>
      </c>
      <c r="F55" s="67" t="n">
        <f aca="false">IF(D55&gt;G55,B55,"")</f>
        <v>10</v>
      </c>
      <c r="G55" s="92" t="n">
        <v>1382536</v>
      </c>
      <c r="H55" s="90" t="s">
        <v>423</v>
      </c>
      <c r="I55" s="67" t="str">
        <f aca="false">IF(D55&lt;G55,B55,"")</f>
        <v/>
      </c>
      <c r="J55" s="92" t="n">
        <v>106674</v>
      </c>
      <c r="K55" s="93" t="s">
        <v>387</v>
      </c>
      <c r="L55" s="92"/>
    </row>
    <row r="56" customFormat="false" ht="12.75" hidden="false" customHeight="false" outlineLevel="0" collapsed="false">
      <c r="A56" s="83" t="s">
        <v>168</v>
      </c>
      <c r="B56" s="67" t="n">
        <v>3</v>
      </c>
      <c r="C56" s="91" t="n">
        <v>255849</v>
      </c>
      <c r="D56" s="91" t="n">
        <v>174419</v>
      </c>
      <c r="E56" s="90" t="s">
        <v>424</v>
      </c>
      <c r="F56" s="67" t="n">
        <f aca="false">IF(D56&gt;G56,B56,"")</f>
        <v>3</v>
      </c>
      <c r="G56" s="91" t="n">
        <v>55973</v>
      </c>
      <c r="H56" s="90" t="s">
        <v>425</v>
      </c>
      <c r="I56" s="67" t="str">
        <f aca="false">IF(D56&lt;G56,B56,"")</f>
        <v/>
      </c>
      <c r="J56" s="91" t="n">
        <v>13287</v>
      </c>
      <c r="K56" s="90" t="s">
        <v>353</v>
      </c>
      <c r="L56" s="91"/>
    </row>
    <row r="57" customFormat="false" ht="12.75" hidden="false" customHeight="true" outlineLevel="0" collapsed="false">
      <c r="F57" s="6" t="n">
        <f aca="false">SUM(F6:F56)</f>
        <v>308</v>
      </c>
      <c r="I57" s="6" t="n">
        <f aca="false">SUM(I6:I56)</f>
        <v>230</v>
      </c>
    </row>
    <row r="59" customFormat="false" ht="12.75" hidden="false" customHeight="true" outlineLevel="0" collapsed="false"/>
    <row r="60" customFormat="false" ht="12.75" hidden="false" customHeight="true" outlineLevel="0" collapsed="false"/>
    <row r="61" customFormat="false" ht="12.75" hidden="false" customHeight="false" outlineLevel="0" collapsed="false">
      <c r="A61" s="83" t="s">
        <v>426</v>
      </c>
    </row>
    <row r="62" customFormat="false" ht="12.75" hidden="false" customHeight="true" outlineLevel="0" collapsed="false"/>
  </sheetData>
  <mergeCells count="5">
    <mergeCell ref="A4:A5"/>
    <mergeCell ref="C4:C5"/>
    <mergeCell ref="D4:F4"/>
    <mergeCell ref="G4:I4"/>
    <mergeCell ref="J4:K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1.5703125" defaultRowHeight="12.75" zeroHeight="false" outlineLevelRow="0" outlineLevelCol="0"/>
  <cols>
    <col collapsed="false" customWidth="true" hidden="false" outlineLevel="0" max="1" min="1" style="1" width="20.71"/>
    <col collapsed="false" customWidth="true" hidden="false" outlineLevel="0" max="2" min="2" style="1" width="13.86"/>
    <col collapsed="false" customWidth="true" hidden="false" outlineLevel="0" max="6" min="5" style="1" width="13.86"/>
    <col collapsed="false" customWidth="true" hidden="false" outlineLevel="0" max="9" min="8" style="1" width="13.86"/>
    <col collapsed="false" customWidth="false" hidden="false" outlineLevel="0" max="12" min="12" style="1" width="11.57"/>
    <col collapsed="false" customWidth="true" hidden="false" outlineLevel="0" max="13" min="13" style="1" width="9.14"/>
    <col collapsed="false" customWidth="true" hidden="false" outlineLevel="0" max="15" min="14" style="1" width="13.86"/>
  </cols>
  <sheetData>
    <row r="1" customFormat="false" ht="12.75" hidden="false" customHeight="false" outlineLevel="0" collapsed="false">
      <c r="A1" s="66" t="s">
        <v>22</v>
      </c>
      <c r="B1" s="67" t="n">
        <v>2020</v>
      </c>
      <c r="C1" s="68"/>
      <c r="D1" s="68"/>
      <c r="E1" s="68"/>
      <c r="F1" s="68"/>
      <c r="G1" s="89"/>
      <c r="H1" s="68"/>
    </row>
    <row r="2" customFormat="false" ht="12.75" hidden="false" customHeight="false" outlineLevel="0" collapsed="false">
      <c r="A2" s="66" t="s">
        <v>107</v>
      </c>
      <c r="B2" s="82" t="n">
        <f aca="false">SUM(C6:C56)</f>
        <v>158376434</v>
      </c>
      <c r="C2" s="94" t="n">
        <f aca="false">SUM(D6:D56)</f>
        <v>74216728</v>
      </c>
      <c r="D2" s="82" t="n">
        <f aca="false">SUM(G6:G56)</f>
        <v>81268773</v>
      </c>
      <c r="E2" s="68"/>
      <c r="F2" s="68"/>
      <c r="G2" s="89"/>
      <c r="H2" s="68"/>
    </row>
    <row r="3" customFormat="false" ht="12.75" hidden="false" customHeight="false" outlineLevel="0" collapsed="false">
      <c r="A3" s="68"/>
      <c r="B3" s="68"/>
      <c r="C3" s="68"/>
      <c r="D3" s="89"/>
      <c r="E3" s="68"/>
      <c r="F3" s="68"/>
      <c r="G3" s="89"/>
      <c r="H3" s="68"/>
    </row>
    <row r="4" customFormat="false" ht="12.75" hidden="false" customHeight="true" outlineLevel="0" collapsed="false">
      <c r="A4" s="71" t="s">
        <v>108</v>
      </c>
      <c r="C4" s="71" t="s">
        <v>110</v>
      </c>
      <c r="D4" s="72" t="s">
        <v>111</v>
      </c>
      <c r="E4" s="72"/>
      <c r="F4" s="72"/>
      <c r="G4" s="73" t="s">
        <v>112</v>
      </c>
      <c r="H4" s="73"/>
      <c r="I4" s="73"/>
      <c r="J4" s="71" t="s">
        <v>113</v>
      </c>
      <c r="K4" s="71"/>
      <c r="L4" s="11" t="s">
        <v>169</v>
      </c>
      <c r="M4" s="11" t="s">
        <v>170</v>
      </c>
      <c r="N4" s="11" t="s">
        <v>171</v>
      </c>
      <c r="O4" s="11" t="s">
        <v>427</v>
      </c>
    </row>
    <row r="5" customFormat="false" ht="12.75" hidden="false" customHeight="false" outlineLevel="0" collapsed="false">
      <c r="A5" s="71"/>
      <c r="B5" s="79" t="s">
        <v>116</v>
      </c>
      <c r="C5" s="71"/>
      <c r="D5" s="74" t="s">
        <v>114</v>
      </c>
      <c r="E5" s="75" t="s">
        <v>115</v>
      </c>
      <c r="F5" s="75" t="s">
        <v>116</v>
      </c>
      <c r="G5" s="76" t="s">
        <v>114</v>
      </c>
      <c r="H5" s="77" t="s">
        <v>115</v>
      </c>
      <c r="I5" s="77" t="s">
        <v>116</v>
      </c>
      <c r="J5" s="78" t="s">
        <v>114</v>
      </c>
      <c r="K5" s="79" t="s">
        <v>115</v>
      </c>
      <c r="L5" s="11"/>
      <c r="M5" s="11"/>
      <c r="N5" s="11"/>
      <c r="O5" s="11"/>
    </row>
    <row r="6" customFormat="false" ht="12.75" hidden="false" customHeight="false" outlineLevel="0" collapsed="false">
      <c r="A6" s="83" t="s">
        <v>117</v>
      </c>
      <c r="B6" s="67" t="n">
        <v>9</v>
      </c>
      <c r="C6" s="81" t="n">
        <v>2323282</v>
      </c>
      <c r="D6" s="81" t="n">
        <v>1441170</v>
      </c>
      <c r="E6" s="95" t="n">
        <f aca="false">D6/$C6</f>
        <v>0.620316431668648</v>
      </c>
      <c r="F6" s="67" t="n">
        <f aca="false">IF(D6&gt;G6,B6,"")</f>
        <v>9</v>
      </c>
      <c r="G6" s="81" t="n">
        <v>849624</v>
      </c>
      <c r="H6" s="95" t="n">
        <f aca="false">G6/$C6</f>
        <v>0.365699902121223</v>
      </c>
      <c r="I6" s="67" t="str">
        <f aca="false">IF(D6&lt;G6,B6,"")</f>
        <v/>
      </c>
      <c r="J6" s="81" t="n">
        <v>32488</v>
      </c>
      <c r="K6" s="90" t="s">
        <v>428</v>
      </c>
      <c r="L6" s="17" t="n">
        <f aca="false">IF(EXACT(Analysis!K195,"novelty"),1,0)</f>
        <v>0</v>
      </c>
      <c r="M6" s="6" t="n">
        <f aca="false">L6*$B6</f>
        <v>0</v>
      </c>
      <c r="N6" s="17" t="n">
        <f aca="false">IF(EXACT(Analysis!L195,"anti-novelty"),1,0)</f>
        <v>0</v>
      </c>
      <c r="O6" s="6" t="n">
        <f aca="false">N6*$B6</f>
        <v>0</v>
      </c>
    </row>
    <row r="7" customFormat="false" ht="12.75" hidden="false" customHeight="false" outlineLevel="0" collapsed="false">
      <c r="A7" s="83" t="s">
        <v>118</v>
      </c>
      <c r="B7" s="67" t="n">
        <v>3</v>
      </c>
      <c r="C7" s="81" t="n">
        <v>359530</v>
      </c>
      <c r="D7" s="81" t="n">
        <v>189951</v>
      </c>
      <c r="E7" s="95" t="n">
        <f aca="false">D7/$C7</f>
        <v>0.528331432703808</v>
      </c>
      <c r="F7" s="67" t="n">
        <f aca="false">IF(D7&gt;G7,B7,"")</f>
        <v>3</v>
      </c>
      <c r="G7" s="81" t="n">
        <v>153778</v>
      </c>
      <c r="H7" s="95" t="n">
        <f aca="false">G7/$C7</f>
        <v>0.427719522710205</v>
      </c>
      <c r="I7" s="67" t="str">
        <f aca="false">IF(D7&lt;G7,B7,"")</f>
        <v/>
      </c>
      <c r="J7" s="81" t="n">
        <v>15801</v>
      </c>
      <c r="K7" s="90" t="s">
        <v>429</v>
      </c>
      <c r="L7" s="17" t="n">
        <f aca="false">IF(EXACT(Analysis!K196,"novelty"),1,0)</f>
        <v>0</v>
      </c>
      <c r="M7" s="6" t="n">
        <f aca="false">L7*$B7</f>
        <v>0</v>
      </c>
      <c r="N7" s="17" t="n">
        <f aca="false">IF(EXACT(Analysis!L196,"anti-novelty"),1,0)</f>
        <v>0</v>
      </c>
      <c r="O7" s="6" t="n">
        <f aca="false">N7*$B7</f>
        <v>0</v>
      </c>
    </row>
    <row r="8" customFormat="false" ht="12.75" hidden="false" customHeight="false" outlineLevel="0" collapsed="false">
      <c r="A8" s="83" t="s">
        <v>119</v>
      </c>
      <c r="B8" s="6" t="n">
        <v>11</v>
      </c>
      <c r="C8" s="81" t="n">
        <v>3387326</v>
      </c>
      <c r="D8" s="81" t="n">
        <v>1661686</v>
      </c>
      <c r="E8" s="95" t="n">
        <f aca="false">D8/$C8</f>
        <v>0.490559810304647</v>
      </c>
      <c r="F8" s="67" t="str">
        <f aca="false">IF(D8&gt;G8,B8,"")</f>
        <v/>
      </c>
      <c r="G8" s="81" t="n">
        <v>1672143</v>
      </c>
      <c r="H8" s="95" t="n">
        <f aca="false">G8/$C8</f>
        <v>0.493646906143666</v>
      </c>
      <c r="I8" s="67" t="n">
        <f aca="false">IF(D8&lt;G8,B8,"")</f>
        <v>11</v>
      </c>
      <c r="J8" s="81" t="n">
        <v>53497</v>
      </c>
      <c r="K8" s="90" t="s">
        <v>430</v>
      </c>
      <c r="L8" s="17" t="n">
        <f aca="false">IF(EXACT(Analysis!K197,"novelty"),1,0)</f>
        <v>1</v>
      </c>
      <c r="M8" s="6" t="n">
        <f aca="false">L8*$B8</f>
        <v>11</v>
      </c>
      <c r="N8" s="17" t="n">
        <f aca="false">IF(EXACT(Analysis!L197,"anti-novelty"),1,0)</f>
        <v>0</v>
      </c>
      <c r="O8" s="6" t="n">
        <f aca="false">N8*$B8</f>
        <v>0</v>
      </c>
    </row>
    <row r="9" customFormat="false" ht="12.75" hidden="false" customHeight="false" outlineLevel="0" collapsed="false">
      <c r="A9" s="83" t="s">
        <v>120</v>
      </c>
      <c r="B9" s="6" t="n">
        <v>6</v>
      </c>
      <c r="C9" s="81" t="n">
        <v>1219069</v>
      </c>
      <c r="D9" s="81" t="n">
        <v>760647</v>
      </c>
      <c r="E9" s="95" t="n">
        <f aca="false">D9/$C9</f>
        <v>0.623957298561443</v>
      </c>
      <c r="F9" s="67" t="n">
        <f aca="false">IF(D9&gt;G9,B9,"")</f>
        <v>6</v>
      </c>
      <c r="G9" s="81" t="n">
        <v>423932</v>
      </c>
      <c r="H9" s="95" t="n">
        <f aca="false">G9/$C9</f>
        <v>0.34775061953015</v>
      </c>
      <c r="I9" s="67" t="str">
        <f aca="false">IF(D9&lt;G9,B9,"")</f>
        <v/>
      </c>
      <c r="J9" s="81" t="n">
        <v>34490</v>
      </c>
      <c r="K9" s="90" t="s">
        <v>431</v>
      </c>
      <c r="L9" s="17" t="n">
        <f aca="false">IF(EXACT(Analysis!K198,"novelty"),1,0)</f>
        <v>0</v>
      </c>
      <c r="M9" s="6" t="n">
        <f aca="false">L9*$B9</f>
        <v>0</v>
      </c>
      <c r="N9" s="17" t="n">
        <f aca="false">IF(EXACT(Analysis!L198,"anti-novelty"),1,0)</f>
        <v>0</v>
      </c>
      <c r="O9" s="6" t="n">
        <f aca="false">N9*$B9</f>
        <v>0</v>
      </c>
    </row>
    <row r="10" customFormat="false" ht="12.75" hidden="false" customHeight="false" outlineLevel="0" collapsed="false">
      <c r="A10" s="83" t="s">
        <v>121</v>
      </c>
      <c r="B10" s="67" t="n">
        <v>55</v>
      </c>
      <c r="C10" s="81" t="n">
        <v>17500881</v>
      </c>
      <c r="D10" s="81" t="n">
        <v>6006429</v>
      </c>
      <c r="E10" s="95" t="n">
        <f aca="false">D10/$C10</f>
        <v>0.343207236252849</v>
      </c>
      <c r="F10" s="67" t="str">
        <f aca="false">IF(D10&gt;G10,B10,"")</f>
        <v/>
      </c>
      <c r="G10" s="81" t="n">
        <v>11110250</v>
      </c>
      <c r="H10" s="95" t="n">
        <f aca="false">G10/$C10</f>
        <v>0.634839468938735</v>
      </c>
      <c r="I10" s="67" t="n">
        <f aca="false">IF(D10&lt;G10,B10,"")</f>
        <v>55</v>
      </c>
      <c r="J10" s="81" t="n">
        <v>384202</v>
      </c>
      <c r="K10" s="90" t="s">
        <v>432</v>
      </c>
      <c r="L10" s="17" t="n">
        <f aca="false">IF(EXACT(Analysis!K199,"novelty"),1,0)</f>
        <v>0</v>
      </c>
      <c r="M10" s="6" t="n">
        <f aca="false">L10*$B10</f>
        <v>0</v>
      </c>
      <c r="N10" s="17" t="n">
        <f aca="false">IF(EXACT(Analysis!L199,"anti-novelty"),1,0)</f>
        <v>0</v>
      </c>
      <c r="O10" s="6" t="n">
        <f aca="false">N10*$B10</f>
        <v>0</v>
      </c>
    </row>
    <row r="11" customFormat="false" ht="12.75" hidden="false" customHeight="false" outlineLevel="0" collapsed="false">
      <c r="A11" s="83" t="s">
        <v>122</v>
      </c>
      <c r="B11" s="67" t="n">
        <v>9</v>
      </c>
      <c r="C11" s="81" t="n">
        <v>3256952</v>
      </c>
      <c r="D11" s="81" t="n">
        <v>1364607</v>
      </c>
      <c r="E11" s="95" t="n">
        <f aca="false">D11/$C11</f>
        <v>0.418982840398016</v>
      </c>
      <c r="F11" s="67" t="str">
        <f aca="false">IF(D11&gt;G11,B11,"")</f>
        <v/>
      </c>
      <c r="G11" s="81" t="n">
        <v>1804352</v>
      </c>
      <c r="H11" s="95" t="n">
        <f aca="false">G11/$C11</f>
        <v>0.554000181765037</v>
      </c>
      <c r="I11" s="67" t="n">
        <f aca="false">IF(D11&lt;G11,B11,"")</f>
        <v>9</v>
      </c>
      <c r="J11" s="81" t="n">
        <v>87993</v>
      </c>
      <c r="K11" s="90" t="s">
        <v>433</v>
      </c>
      <c r="L11" s="17" t="n">
        <f aca="false">IF(EXACT(Analysis!K200,"novelty"),1,0)</f>
        <v>0</v>
      </c>
      <c r="M11" s="6" t="n">
        <f aca="false">L11*$B11</f>
        <v>0</v>
      </c>
      <c r="N11" s="17" t="n">
        <f aca="false">IF(EXACT(Analysis!L200,"anti-novelty"),1,0)</f>
        <v>0</v>
      </c>
      <c r="O11" s="6" t="n">
        <f aca="false">N11*$B11</f>
        <v>0</v>
      </c>
    </row>
    <row r="12" customFormat="false" ht="12.75" hidden="false" customHeight="false" outlineLevel="0" collapsed="false">
      <c r="A12" s="83" t="s">
        <v>123</v>
      </c>
      <c r="B12" s="67" t="n">
        <v>7</v>
      </c>
      <c r="C12" s="81" t="n">
        <v>1824280</v>
      </c>
      <c r="D12" s="81" t="n">
        <v>715291</v>
      </c>
      <c r="E12" s="95" t="n">
        <f aca="false">D12/$C12</f>
        <v>0.392094963492446</v>
      </c>
      <c r="F12" s="67" t="str">
        <f aca="false">IF(D12&gt;G12,B12,"")</f>
        <v/>
      </c>
      <c r="G12" s="81" t="n">
        <v>1080680</v>
      </c>
      <c r="H12" s="95" t="n">
        <f aca="false">G12/$C12</f>
        <v>0.59238713355406</v>
      </c>
      <c r="I12" s="67" t="n">
        <f aca="false">IF(D12&lt;G12,B12,"")</f>
        <v>7</v>
      </c>
      <c r="J12" s="81" t="n">
        <v>28309</v>
      </c>
      <c r="K12" s="90" t="s">
        <v>434</v>
      </c>
      <c r="L12" s="17" t="n">
        <f aca="false">IF(EXACT(Analysis!K201,"novelty"),1,0)</f>
        <v>0</v>
      </c>
      <c r="M12" s="6" t="n">
        <f aca="false">L12*$B12</f>
        <v>0</v>
      </c>
      <c r="N12" s="17" t="n">
        <f aca="false">IF(EXACT(Analysis!L201,"anti-novelty"),1,0)</f>
        <v>0</v>
      </c>
      <c r="O12" s="6" t="n">
        <f aca="false">N12*$B12</f>
        <v>0</v>
      </c>
    </row>
    <row r="13" customFormat="false" ht="12.75" hidden="false" customHeight="false" outlineLevel="0" collapsed="false">
      <c r="A13" s="83" t="s">
        <v>124</v>
      </c>
      <c r="B13" s="67" t="n">
        <v>3</v>
      </c>
      <c r="C13" s="81" t="n">
        <v>504010</v>
      </c>
      <c r="D13" s="81" t="n">
        <v>200603</v>
      </c>
      <c r="E13" s="95" t="n">
        <f aca="false">D13/$C13</f>
        <v>0.398013928295074</v>
      </c>
      <c r="F13" s="67" t="str">
        <f aca="false">IF(D13&gt;G13,B13,"")</f>
        <v/>
      </c>
      <c r="G13" s="81" t="n">
        <v>296268</v>
      </c>
      <c r="H13" s="95" t="n">
        <f aca="false">G13/$C13</f>
        <v>0.587821670204956</v>
      </c>
      <c r="I13" s="67" t="n">
        <f aca="false">IF(D13&lt;G13,B13,"")</f>
        <v>3</v>
      </c>
      <c r="J13" s="81" t="n">
        <v>7139</v>
      </c>
      <c r="K13" s="90" t="s">
        <v>435</v>
      </c>
      <c r="L13" s="17" t="n">
        <f aca="false">IF(EXACT(Analysis!K202,"novelty"),1,0)</f>
        <v>0</v>
      </c>
      <c r="M13" s="6" t="n">
        <f aca="false">L13*$B13</f>
        <v>0</v>
      </c>
      <c r="N13" s="17" t="n">
        <f aca="false">IF(EXACT(Analysis!L202,"anti-novelty"),1,0)</f>
        <v>0</v>
      </c>
      <c r="O13" s="6" t="n">
        <f aca="false">N13*$B13</f>
        <v>0</v>
      </c>
    </row>
    <row r="14" customFormat="false" ht="12.75" hidden="false" customHeight="false" outlineLevel="0" collapsed="false">
      <c r="A14" s="83" t="s">
        <v>173</v>
      </c>
      <c r="B14" s="67" t="n">
        <v>3</v>
      </c>
      <c r="C14" s="81" t="n">
        <v>344356</v>
      </c>
      <c r="D14" s="81" t="n">
        <v>18586</v>
      </c>
      <c r="E14" s="95" t="n">
        <f aca="false">D14/$C14</f>
        <v>0.053973213767148</v>
      </c>
      <c r="F14" s="67" t="str">
        <f aca="false">IF(D14&gt;G14,B14,"")</f>
        <v/>
      </c>
      <c r="G14" s="81" t="n">
        <v>317323</v>
      </c>
      <c r="H14" s="95" t="n">
        <f aca="false">G14/$C14</f>
        <v>0.921496939214069</v>
      </c>
      <c r="I14" s="67" t="n">
        <f aca="false">IF(D14&lt;G14,B14,"")</f>
        <v>3</v>
      </c>
      <c r="J14" s="81" t="n">
        <v>8447</v>
      </c>
      <c r="K14" s="90" t="s">
        <v>436</v>
      </c>
      <c r="L14" s="17" t="n">
        <f aca="false">IF(EXACT(Analysis!K203,"novelty"),1,0)</f>
        <v>0</v>
      </c>
      <c r="M14" s="6" t="n">
        <f aca="false">L14*$B14</f>
        <v>0</v>
      </c>
      <c r="N14" s="17" t="n">
        <f aca="false">IF(EXACT(Analysis!L203,"anti-novelty"),1,0)</f>
        <v>0</v>
      </c>
      <c r="O14" s="6" t="n">
        <f aca="false">N14*$B14</f>
        <v>0</v>
      </c>
    </row>
    <row r="15" customFormat="false" ht="12.75" hidden="false" customHeight="false" outlineLevel="0" collapsed="false">
      <c r="A15" s="83" t="s">
        <v>127</v>
      </c>
      <c r="B15" s="67" t="n">
        <v>29</v>
      </c>
      <c r="C15" s="81" t="n">
        <v>11067456</v>
      </c>
      <c r="D15" s="81" t="n">
        <v>5668731</v>
      </c>
      <c r="E15" s="95" t="n">
        <f aca="false">D15/$C15</f>
        <v>0.51219819622504</v>
      </c>
      <c r="F15" s="67" t="n">
        <f aca="false">IF(D15&gt;G15,B15,"")</f>
        <v>29</v>
      </c>
      <c r="G15" s="81" t="n">
        <v>5297045</v>
      </c>
      <c r="H15" s="95" t="n">
        <f aca="false">G15/$C15</f>
        <v>0.478614507254422</v>
      </c>
      <c r="I15" s="67" t="str">
        <f aca="false">IF(D15&lt;G15,B15,"")</f>
        <v/>
      </c>
      <c r="J15" s="81" t="n">
        <v>101680</v>
      </c>
      <c r="K15" s="90" t="s">
        <v>437</v>
      </c>
      <c r="L15" s="17" t="n">
        <f aca="false">IF(EXACT(Analysis!K204,"novelty"),1,0)</f>
        <v>0</v>
      </c>
      <c r="M15" s="6" t="n">
        <f aca="false">L15*$B15</f>
        <v>0</v>
      </c>
      <c r="N15" s="17" t="n">
        <f aca="false">IF(EXACT(Analysis!L204,"anti-novelty"),1,0)</f>
        <v>1</v>
      </c>
      <c r="O15" s="6" t="n">
        <f aca="false">N15*$B15</f>
        <v>29</v>
      </c>
    </row>
    <row r="16" customFormat="false" ht="12.75" hidden="false" customHeight="false" outlineLevel="0" collapsed="false">
      <c r="A16" s="83" t="s">
        <v>128</v>
      </c>
      <c r="B16" s="67" t="n">
        <v>16</v>
      </c>
      <c r="C16" s="81" t="n">
        <v>4997716</v>
      </c>
      <c r="D16" s="81" t="n">
        <v>2461854</v>
      </c>
      <c r="E16" s="95" t="n">
        <f aca="false">D16/$C16</f>
        <v>0.492595817769557</v>
      </c>
      <c r="F16" s="67" t="str">
        <f aca="false">IF(D16&gt;G16,B16,"")</f>
        <v/>
      </c>
      <c r="G16" s="81" t="n">
        <v>2473633</v>
      </c>
      <c r="H16" s="95" t="n">
        <f aca="false">G16/$C16</f>
        <v>0.494952694390798</v>
      </c>
      <c r="I16" s="67" t="n">
        <f aca="false">IF(D16&lt;G16,B16,"")</f>
        <v>16</v>
      </c>
      <c r="J16" s="81" t="n">
        <v>62229</v>
      </c>
      <c r="K16" s="90" t="s">
        <v>438</v>
      </c>
      <c r="L16" s="17" t="n">
        <f aca="false">IF(EXACT(Analysis!K205,"novelty"),1,0)</f>
        <v>1</v>
      </c>
      <c r="M16" s="6" t="n">
        <f aca="false">L16*$B16</f>
        <v>16</v>
      </c>
      <c r="N16" s="17" t="n">
        <f aca="false">IF(EXACT(Analysis!L205,"anti-novelty"),1,0)</f>
        <v>0</v>
      </c>
      <c r="O16" s="6" t="n">
        <f aca="false">N16*$B16</f>
        <v>0</v>
      </c>
    </row>
    <row r="17" customFormat="false" ht="12.75" hidden="false" customHeight="false" outlineLevel="0" collapsed="false">
      <c r="A17" s="83" t="s">
        <v>129</v>
      </c>
      <c r="B17" s="67" t="n">
        <v>4</v>
      </c>
      <c r="C17" s="81" t="n">
        <v>574469</v>
      </c>
      <c r="D17" s="81" t="n">
        <v>196864</v>
      </c>
      <c r="E17" s="95" t="n">
        <f aca="false">D17/$C17</f>
        <v>0.342688639421797</v>
      </c>
      <c r="F17" s="67" t="str">
        <f aca="false">IF(D17&gt;G17,B17,"")</f>
        <v/>
      </c>
      <c r="G17" s="81" t="n">
        <v>366130</v>
      </c>
      <c r="H17" s="95" t="n">
        <f aca="false">G17/$C17</f>
        <v>0.63733639239019</v>
      </c>
      <c r="I17" s="67" t="n">
        <f aca="false">IF(D17&lt;G17,B17,"")</f>
        <v>4</v>
      </c>
      <c r="J17" s="81" t="n">
        <v>11475</v>
      </c>
      <c r="K17" s="90" t="s">
        <v>439</v>
      </c>
      <c r="L17" s="17" t="n">
        <f aca="false">IF(EXACT(Analysis!K206,"novelty"),1,0)</f>
        <v>0</v>
      </c>
      <c r="M17" s="6" t="n">
        <f aca="false">L17*$B17</f>
        <v>0</v>
      </c>
      <c r="N17" s="17" t="n">
        <f aca="false">IF(EXACT(Analysis!L206,"anti-novelty"),1,0)</f>
        <v>0</v>
      </c>
      <c r="O17" s="6" t="n">
        <f aca="false">N17*$B17</f>
        <v>0</v>
      </c>
    </row>
    <row r="18" customFormat="false" ht="12.75" hidden="false" customHeight="false" outlineLevel="0" collapsed="false">
      <c r="A18" s="83" t="s">
        <v>130</v>
      </c>
      <c r="B18" s="67" t="n">
        <v>4</v>
      </c>
      <c r="C18" s="81" t="n">
        <v>868014</v>
      </c>
      <c r="D18" s="81" t="n">
        <v>554119</v>
      </c>
      <c r="E18" s="95" t="n">
        <f aca="false">D18/$C18</f>
        <v>0.638375648319036</v>
      </c>
      <c r="F18" s="67" t="n">
        <f aca="false">IF(D18&gt;G18,B18,"")</f>
        <v>4</v>
      </c>
      <c r="G18" s="81" t="n">
        <v>287021</v>
      </c>
      <c r="H18" s="95" t="n">
        <f aca="false">G18/$C18</f>
        <v>0.33066402154804</v>
      </c>
      <c r="I18" s="67" t="str">
        <f aca="false">IF(D18&lt;G18,B18,"")</f>
        <v/>
      </c>
      <c r="J18" s="81" t="n">
        <v>26874</v>
      </c>
      <c r="K18" s="90" t="s">
        <v>440</v>
      </c>
      <c r="L18" s="17" t="n">
        <f aca="false">IF(EXACT(Analysis!K207,"novelty"),1,0)</f>
        <v>0</v>
      </c>
      <c r="M18" s="6" t="n">
        <f aca="false">L18*$B18</f>
        <v>0</v>
      </c>
      <c r="N18" s="17" t="n">
        <f aca="false">IF(EXACT(Analysis!L207,"anti-novelty"),1,0)</f>
        <v>0</v>
      </c>
      <c r="O18" s="6" t="n">
        <f aca="false">N18*$B18</f>
        <v>0</v>
      </c>
    </row>
    <row r="19" customFormat="false" ht="12.75" hidden="false" customHeight="false" outlineLevel="0" collapsed="false">
      <c r="A19" s="83" t="s">
        <v>131</v>
      </c>
      <c r="B19" s="67" t="n">
        <v>20</v>
      </c>
      <c r="C19" s="81" t="n">
        <v>6033744</v>
      </c>
      <c r="D19" s="81" t="n">
        <v>2446891</v>
      </c>
      <c r="E19" s="95" t="n">
        <f aca="false">D19/$C19</f>
        <v>0.405534440970648</v>
      </c>
      <c r="F19" s="67" t="str">
        <f aca="false">IF(D19&gt;G19,B19,"")</f>
        <v/>
      </c>
      <c r="G19" s="81" t="n">
        <v>3471915</v>
      </c>
      <c r="H19" s="95" t="n">
        <f aca="false">G19/$C19</f>
        <v>0.575416358400356</v>
      </c>
      <c r="I19" s="67" t="n">
        <f aca="false">IF(D19&lt;G19,B19,"")</f>
        <v>20</v>
      </c>
      <c r="J19" s="81" t="n">
        <v>114938</v>
      </c>
      <c r="K19" s="90" t="s">
        <v>441</v>
      </c>
      <c r="L19" s="17" t="n">
        <f aca="false">IF(EXACT(Analysis!K208,"novelty"),1,0)</f>
        <v>0</v>
      </c>
      <c r="M19" s="6" t="n">
        <f aca="false">L19*$B19</f>
        <v>0</v>
      </c>
      <c r="N19" s="17" t="n">
        <f aca="false">IF(EXACT(Analysis!L208,"anti-novelty"),1,0)</f>
        <v>0</v>
      </c>
      <c r="O19" s="6" t="n">
        <f aca="false">N19*$B19</f>
        <v>0</v>
      </c>
    </row>
    <row r="20" customFormat="false" ht="12.75" hidden="false" customHeight="false" outlineLevel="0" collapsed="false">
      <c r="A20" s="83" t="s">
        <v>132</v>
      </c>
      <c r="B20" s="67" t="n">
        <v>11</v>
      </c>
      <c r="C20" s="81" t="n">
        <v>3033121</v>
      </c>
      <c r="D20" s="81" t="n">
        <v>1729519</v>
      </c>
      <c r="E20" s="95" t="n">
        <f aca="false">D20/$C20</f>
        <v>0.570211013672056</v>
      </c>
      <c r="F20" s="67" t="n">
        <f aca="false">IF(D20&gt;G20,B20,"")</f>
        <v>11</v>
      </c>
      <c r="G20" s="81" t="n">
        <v>1242416</v>
      </c>
      <c r="H20" s="95" t="n">
        <f aca="false">G20/$C20</f>
        <v>0.409616365453274</v>
      </c>
      <c r="I20" s="67" t="str">
        <f aca="false">IF(D20&lt;G20,B20,"")</f>
        <v/>
      </c>
      <c r="J20" s="81" t="n">
        <v>61186</v>
      </c>
      <c r="K20" s="90" t="s">
        <v>442</v>
      </c>
      <c r="L20" s="17" t="n">
        <f aca="false">IF(EXACT(Analysis!K209,"novelty"),1,0)</f>
        <v>0</v>
      </c>
      <c r="M20" s="6" t="n">
        <f aca="false">L20*$B20</f>
        <v>0</v>
      </c>
      <c r="N20" s="17" t="n">
        <f aca="false">IF(EXACT(Analysis!L209,"anti-novelty"),1,0)</f>
        <v>0</v>
      </c>
      <c r="O20" s="6" t="n">
        <f aca="false">N20*$B20</f>
        <v>0</v>
      </c>
    </row>
    <row r="21" customFormat="false" ht="12.75" hidden="false" customHeight="false" outlineLevel="0" collapsed="false">
      <c r="A21" s="83" t="s">
        <v>133</v>
      </c>
      <c r="B21" s="67" t="n">
        <v>6</v>
      </c>
      <c r="C21" s="81" t="n">
        <v>1690871</v>
      </c>
      <c r="D21" s="81" t="n">
        <v>897672</v>
      </c>
      <c r="E21" s="95" t="n">
        <f aca="false">D21/$C21</f>
        <v>0.530893249692023</v>
      </c>
      <c r="F21" s="67" t="n">
        <f aca="false">IF(D21&gt;G21,B21,"")</f>
        <v>6</v>
      </c>
      <c r="G21" s="81" t="n">
        <v>759061</v>
      </c>
      <c r="H21" s="95" t="n">
        <f aca="false">G21/$C21</f>
        <v>0.448917155714422</v>
      </c>
      <c r="I21" s="67" t="str">
        <f aca="false">IF(D21&lt;G21,B21,"")</f>
        <v/>
      </c>
      <c r="J21" s="81" t="n">
        <v>34138</v>
      </c>
      <c r="K21" s="90" t="s">
        <v>442</v>
      </c>
      <c r="L21" s="17" t="n">
        <f aca="false">IF(EXACT(Analysis!K210,"novelty"),1,0)</f>
        <v>0</v>
      </c>
      <c r="M21" s="6" t="n">
        <f aca="false">L21*$B21</f>
        <v>0</v>
      </c>
      <c r="N21" s="17" t="n">
        <f aca="false">IF(EXACT(Analysis!L210,"anti-novelty"),1,0)</f>
        <v>0</v>
      </c>
      <c r="O21" s="6" t="n">
        <f aca="false">N21*$B21</f>
        <v>0</v>
      </c>
    </row>
    <row r="22" customFormat="false" ht="12.75" hidden="false" customHeight="false" outlineLevel="0" collapsed="false">
      <c r="A22" s="83" t="s">
        <v>134</v>
      </c>
      <c r="B22" s="67" t="n">
        <v>6</v>
      </c>
      <c r="C22" s="81" t="n">
        <v>1372303</v>
      </c>
      <c r="D22" s="81" t="n">
        <v>771406</v>
      </c>
      <c r="E22" s="95" t="n">
        <f aca="false">D22/$C22</f>
        <v>0.562125128342647</v>
      </c>
      <c r="F22" s="67" t="n">
        <f aca="false">IF(D22&gt;G22,B22,"")</f>
        <v>6</v>
      </c>
      <c r="G22" s="81" t="n">
        <v>570323</v>
      </c>
      <c r="H22" s="95" t="n">
        <f aca="false">G22/$C22</f>
        <v>0.415595535388322</v>
      </c>
      <c r="I22" s="67" t="str">
        <f aca="false">IF(D22&lt;G22,B22,"")</f>
        <v/>
      </c>
      <c r="J22" s="81" t="n">
        <v>30574</v>
      </c>
      <c r="K22" s="90" t="s">
        <v>443</v>
      </c>
      <c r="L22" s="17" t="n">
        <f aca="false">IF(EXACT(Analysis!K211,"novelty"),1,0)</f>
        <v>0</v>
      </c>
      <c r="M22" s="6" t="n">
        <f aca="false">L22*$B22</f>
        <v>0</v>
      </c>
      <c r="N22" s="17" t="n">
        <f aca="false">IF(EXACT(Analysis!L211,"anti-novelty"),1,0)</f>
        <v>0</v>
      </c>
      <c r="O22" s="6" t="n">
        <f aca="false">N22*$B22</f>
        <v>0</v>
      </c>
    </row>
    <row r="23" customFormat="false" ht="12.75" hidden="false" customHeight="false" outlineLevel="0" collapsed="false">
      <c r="A23" s="83" t="s">
        <v>135</v>
      </c>
      <c r="B23" s="67" t="n">
        <v>8</v>
      </c>
      <c r="C23" s="81" t="n">
        <v>2136768</v>
      </c>
      <c r="D23" s="81" t="n">
        <v>1326646</v>
      </c>
      <c r="E23" s="95" t="n">
        <f aca="false">D23/$C23</f>
        <v>0.620865718692904</v>
      </c>
      <c r="F23" s="67" t="n">
        <f aca="false">IF(D23&gt;G23,B23,"")</f>
        <v>8</v>
      </c>
      <c r="G23" s="81" t="n">
        <v>772474</v>
      </c>
      <c r="H23" s="95" t="n">
        <f aca="false">G23/$C23</f>
        <v>0.36151514811154</v>
      </c>
      <c r="I23" s="67" t="str">
        <f aca="false">IF(D23&lt;G23,B23,"")</f>
        <v/>
      </c>
      <c r="J23" s="81" t="n">
        <v>37648</v>
      </c>
      <c r="K23" s="90" t="s">
        <v>444</v>
      </c>
      <c r="L23" s="17" t="n">
        <f aca="false">IF(EXACT(Analysis!K212,"novelty"),1,0)</f>
        <v>0</v>
      </c>
      <c r="M23" s="6" t="n">
        <f aca="false">L23*$B23</f>
        <v>0</v>
      </c>
      <c r="N23" s="17" t="n">
        <f aca="false">IF(EXACT(Analysis!L212,"anti-novelty"),1,0)</f>
        <v>0</v>
      </c>
      <c r="O23" s="6" t="n">
        <f aca="false">N23*$B23</f>
        <v>0</v>
      </c>
    </row>
    <row r="24" customFormat="false" ht="12.75" hidden="false" customHeight="false" outlineLevel="0" collapsed="false">
      <c r="A24" s="83" t="s">
        <v>136</v>
      </c>
      <c r="B24" s="67" t="n">
        <v>8</v>
      </c>
      <c r="C24" s="81" t="n">
        <v>2148062</v>
      </c>
      <c r="D24" s="81" t="n">
        <v>1255776</v>
      </c>
      <c r="E24" s="95" t="n">
        <f aca="false">D24/$C24</f>
        <v>0.584608824140085</v>
      </c>
      <c r="F24" s="67" t="n">
        <f aca="false">IF(D24&gt;G24,B24,"")</f>
        <v>8</v>
      </c>
      <c r="G24" s="81" t="n">
        <v>856034</v>
      </c>
      <c r="H24" s="95" t="n">
        <f aca="false">G24/$C24</f>
        <v>0.398514568015262</v>
      </c>
      <c r="I24" s="67" t="str">
        <f aca="false">IF(D24&lt;G24,B24,"")</f>
        <v/>
      </c>
      <c r="J24" s="81" t="n">
        <v>36252</v>
      </c>
      <c r="K24" s="90" t="s">
        <v>445</v>
      </c>
      <c r="L24" s="17" t="n">
        <f aca="false">IF(EXACT(Analysis!K213,"novelty"),1,0)</f>
        <v>0</v>
      </c>
      <c r="M24" s="6" t="n">
        <f aca="false">L24*$B24</f>
        <v>0</v>
      </c>
      <c r="N24" s="17" t="n">
        <f aca="false">IF(EXACT(Analysis!L213,"anti-novelty"),1,0)</f>
        <v>0</v>
      </c>
      <c r="O24" s="6" t="n">
        <f aca="false">N24*$B24</f>
        <v>0</v>
      </c>
    </row>
    <row r="25" customFormat="false" ht="12.75" hidden="false" customHeight="false" outlineLevel="0" collapsed="false">
      <c r="A25" s="83" t="s">
        <v>137</v>
      </c>
      <c r="B25" s="67" t="n">
        <v>4</v>
      </c>
      <c r="C25" s="81" t="n">
        <v>819461</v>
      </c>
      <c r="D25" s="81" t="n">
        <v>360737</v>
      </c>
      <c r="E25" s="95" t="n">
        <f aca="false">D25/$C25</f>
        <v>0.440212529943463</v>
      </c>
      <c r="F25" s="67" t="n">
        <v>1</v>
      </c>
      <c r="G25" s="81" t="n">
        <v>435072</v>
      </c>
      <c r="H25" s="95" t="n">
        <f aca="false">G25/$C25</f>
        <v>0.530924595557324</v>
      </c>
      <c r="I25" s="67" t="n">
        <v>3</v>
      </c>
      <c r="J25" s="81" t="n">
        <v>23652</v>
      </c>
      <c r="K25" s="90" t="s">
        <v>446</v>
      </c>
      <c r="L25" s="17" t="n">
        <f aca="false">IF(EXACT(Analysis!K214,"novelty"),1,0)</f>
        <v>0</v>
      </c>
      <c r="M25" s="6" t="n">
        <f aca="false">L25*$B25</f>
        <v>0</v>
      </c>
      <c r="N25" s="17" t="n">
        <f aca="false">IF(EXACT(Analysis!L214,"anti-novelty"),1,0)</f>
        <v>0</v>
      </c>
      <c r="O25" s="6" t="n">
        <f aca="false">N25*$B25</f>
        <v>0</v>
      </c>
    </row>
    <row r="26" customFormat="false" ht="12.75" hidden="false" customHeight="false" outlineLevel="0" collapsed="false">
      <c r="A26" s="83" t="s">
        <v>138</v>
      </c>
      <c r="B26" s="67" t="n">
        <v>10</v>
      </c>
      <c r="C26" s="81" t="n">
        <v>3037030</v>
      </c>
      <c r="D26" s="81" t="n">
        <v>976414</v>
      </c>
      <c r="E26" s="95" t="n">
        <f aca="false">D26/$C26</f>
        <v>0.321502915677488</v>
      </c>
      <c r="F26" s="67" t="str">
        <f aca="false">IF(D26&gt;G26,B26,"")</f>
        <v/>
      </c>
      <c r="G26" s="81" t="n">
        <v>1985023</v>
      </c>
      <c r="H26" s="95" t="n">
        <f aca="false">G26/$C26</f>
        <v>0.653606648600771</v>
      </c>
      <c r="I26" s="67" t="n">
        <f aca="false">IF(D26&lt;G26,B26,"")</f>
        <v>10</v>
      </c>
      <c r="J26" s="81" t="n">
        <v>75593</v>
      </c>
      <c r="K26" s="90" t="s">
        <v>447</v>
      </c>
      <c r="L26" s="17" t="n">
        <f aca="false">IF(EXACT(Analysis!K215,"novelty"),1,0)</f>
        <v>0</v>
      </c>
      <c r="M26" s="6" t="n">
        <f aca="false">L26*$B26</f>
        <v>0</v>
      </c>
      <c r="N26" s="17" t="n">
        <f aca="false">IF(EXACT(Analysis!L215,"anti-novelty"),1,0)</f>
        <v>0</v>
      </c>
      <c r="O26" s="6" t="n">
        <f aca="false">N26*$B26</f>
        <v>0</v>
      </c>
    </row>
    <row r="27" customFormat="false" ht="12.75" hidden="false" customHeight="false" outlineLevel="0" collapsed="false">
      <c r="A27" s="83" t="s">
        <v>139</v>
      </c>
      <c r="B27" s="67" t="n">
        <v>11</v>
      </c>
      <c r="C27" s="81" t="n">
        <v>3631403</v>
      </c>
      <c r="D27" s="81" t="n">
        <v>1167202</v>
      </c>
      <c r="E27" s="95" t="n">
        <f aca="false">D27/$C27</f>
        <v>0.321419021794056</v>
      </c>
      <c r="F27" s="67" t="str">
        <f aca="false">IF(D27&gt;G27,B27,"")</f>
        <v/>
      </c>
      <c r="G27" s="81" t="n">
        <v>2382202</v>
      </c>
      <c r="H27" s="95" t="n">
        <f aca="false">G27/$C27</f>
        <v>0.656000449413078</v>
      </c>
      <c r="I27" s="67" t="n">
        <f aca="false">IF(D27&lt;G27,B27,"")</f>
        <v>11</v>
      </c>
      <c r="J27" s="81" t="n">
        <v>81999</v>
      </c>
      <c r="K27" s="90" t="s">
        <v>448</v>
      </c>
      <c r="L27" s="17" t="n">
        <f aca="false">IF(EXACT(Analysis!K216,"novelty"),1,0)</f>
        <v>0</v>
      </c>
      <c r="M27" s="6" t="n">
        <f aca="false">L27*$B27</f>
        <v>0</v>
      </c>
      <c r="N27" s="17" t="n">
        <f aca="false">IF(EXACT(Analysis!L216,"anti-novelty"),1,0)</f>
        <v>0</v>
      </c>
      <c r="O27" s="6" t="n">
        <f aca="false">N27*$B27</f>
        <v>0</v>
      </c>
    </row>
    <row r="28" customFormat="false" ht="12.75" hidden="false" customHeight="false" outlineLevel="0" collapsed="false">
      <c r="A28" s="83" t="s">
        <v>140</v>
      </c>
      <c r="B28" s="67" t="n">
        <v>16</v>
      </c>
      <c r="C28" s="81" t="n">
        <v>5539301</v>
      </c>
      <c r="D28" s="81" t="n">
        <v>2649852</v>
      </c>
      <c r="E28" s="95" t="n">
        <f aca="false">D28/$C28</f>
        <v>0.478372993271173</v>
      </c>
      <c r="F28" s="67" t="str">
        <f aca="false">IF(D28&gt;G28,B28,"")</f>
        <v/>
      </c>
      <c r="G28" s="81" t="n">
        <v>2804040</v>
      </c>
      <c r="H28" s="95" t="n">
        <f aca="false">G28/$C28</f>
        <v>0.506208274293092</v>
      </c>
      <c r="I28" s="67" t="n">
        <f aca="false">IF(D28&lt;G28,B28,"")</f>
        <v>16</v>
      </c>
      <c r="J28" s="81" t="n">
        <v>85409</v>
      </c>
      <c r="K28" s="90" t="s">
        <v>449</v>
      </c>
      <c r="L28" s="17" t="n">
        <f aca="false">IF(EXACT(Analysis!K217,"novelty"),1,0)</f>
        <v>1</v>
      </c>
      <c r="M28" s="6" t="n">
        <f aca="false">L28*$B28</f>
        <v>16</v>
      </c>
      <c r="N28" s="17" t="n">
        <f aca="false">IF(EXACT(Analysis!L217,"anti-novelty"),1,0)</f>
        <v>0</v>
      </c>
      <c r="O28" s="6" t="n">
        <f aca="false">N28*$B28</f>
        <v>0</v>
      </c>
    </row>
    <row r="29" customFormat="false" ht="12.75" hidden="false" customHeight="false" outlineLevel="0" collapsed="false">
      <c r="A29" s="83" t="s">
        <v>141</v>
      </c>
      <c r="B29" s="67" t="n">
        <v>10</v>
      </c>
      <c r="C29" s="81" t="n">
        <v>3277171</v>
      </c>
      <c r="D29" s="81" t="n">
        <v>1484065</v>
      </c>
      <c r="E29" s="95" t="n">
        <f aca="false">D29/$C29</f>
        <v>0.452849424091694</v>
      </c>
      <c r="F29" s="67" t="str">
        <f aca="false">IF(D29&gt;G29,B29,"")</f>
        <v/>
      </c>
      <c r="G29" s="81" t="n">
        <v>1717077</v>
      </c>
      <c r="H29" s="95" t="n">
        <f aca="false">G29/$C29</f>
        <v>0.5239509930974</v>
      </c>
      <c r="I29" s="67" t="n">
        <f aca="false">IF(D29&lt;G29,B29,"")</f>
        <v>10</v>
      </c>
      <c r="J29" s="81" t="n">
        <v>76029</v>
      </c>
      <c r="K29" s="90" t="s">
        <v>450</v>
      </c>
      <c r="L29" s="17" t="n">
        <f aca="false">IF(EXACT(Analysis!K218,"novelty"),1,0)</f>
        <v>0</v>
      </c>
      <c r="M29" s="6" t="n">
        <f aca="false">L29*$B29</f>
        <v>0</v>
      </c>
      <c r="N29" s="17" t="n">
        <f aca="false">IF(EXACT(Analysis!L218,"anti-novelty"),1,0)</f>
        <v>0</v>
      </c>
      <c r="O29" s="6" t="n">
        <f aca="false">N29*$B29</f>
        <v>0</v>
      </c>
    </row>
    <row r="30" customFormat="false" ht="12.75" hidden="false" customHeight="false" outlineLevel="0" collapsed="false">
      <c r="A30" s="83" t="s">
        <v>142</v>
      </c>
      <c r="B30" s="67" t="n">
        <v>6</v>
      </c>
      <c r="C30" s="81" t="n">
        <v>1313759</v>
      </c>
      <c r="D30" s="81" t="n">
        <v>756764</v>
      </c>
      <c r="E30" s="95" t="n">
        <f aca="false">D30/$C30</f>
        <v>0.576029545753826</v>
      </c>
      <c r="F30" s="67" t="n">
        <f aca="false">IF(D30&gt;G30,B30,"")</f>
        <v>6</v>
      </c>
      <c r="G30" s="81" t="n">
        <v>539398</v>
      </c>
      <c r="H30" s="95" t="n">
        <f aca="false">G30/$C30</f>
        <v>0.410576064559786</v>
      </c>
      <c r="I30" s="67" t="str">
        <f aca="false">IF(D30&lt;G30,B30,"")</f>
        <v/>
      </c>
      <c r="J30" s="81" t="n">
        <v>17597</v>
      </c>
      <c r="K30" s="90" t="s">
        <v>451</v>
      </c>
      <c r="L30" s="17" t="n">
        <f aca="false">IF(EXACT(Analysis!K219,"novelty"),1,0)</f>
        <v>0</v>
      </c>
      <c r="M30" s="6" t="n">
        <f aca="false">L30*$B30</f>
        <v>0</v>
      </c>
      <c r="N30" s="17" t="n">
        <f aca="false">IF(EXACT(Analysis!L219,"anti-novelty"),1,0)</f>
        <v>0</v>
      </c>
      <c r="O30" s="6" t="n">
        <f aca="false">N30*$B30</f>
        <v>0</v>
      </c>
    </row>
    <row r="31" customFormat="false" ht="12.75" hidden="false" customHeight="false" outlineLevel="0" collapsed="false">
      <c r="A31" s="83" t="s">
        <v>143</v>
      </c>
      <c r="B31" s="67" t="n">
        <v>10</v>
      </c>
      <c r="C31" s="81" t="n">
        <v>3025962</v>
      </c>
      <c r="D31" s="81" t="n">
        <v>1718736</v>
      </c>
      <c r="E31" s="95" t="n">
        <f aca="false">D31/$C31</f>
        <v>0.567996557788895</v>
      </c>
      <c r="F31" s="67" t="n">
        <f aca="false">IF(D31&gt;G31,B31,"")</f>
        <v>10</v>
      </c>
      <c r="G31" s="81" t="n">
        <v>1253014</v>
      </c>
      <c r="H31" s="95" t="n">
        <f aca="false">G31/$C31</f>
        <v>0.414087817361884</v>
      </c>
      <c r="I31" s="67" t="str">
        <f aca="false">IF(D31&lt;G31,B31,"")</f>
        <v/>
      </c>
      <c r="J31" s="81" t="n">
        <v>54212</v>
      </c>
      <c r="K31" s="90" t="s">
        <v>452</v>
      </c>
      <c r="L31" s="17" t="n">
        <f aca="false">IF(EXACT(Analysis!K220,"novelty"),1,0)</f>
        <v>0</v>
      </c>
      <c r="M31" s="6" t="n">
        <f aca="false">L31*$B31</f>
        <v>0</v>
      </c>
      <c r="N31" s="17" t="n">
        <f aca="false">IF(EXACT(Analysis!L220,"anti-novelty"),1,0)</f>
        <v>0</v>
      </c>
      <c r="O31" s="6" t="n">
        <f aca="false">N31*$B31</f>
        <v>0</v>
      </c>
    </row>
    <row r="32" customFormat="false" ht="12.75" hidden="false" customHeight="false" outlineLevel="0" collapsed="false">
      <c r="A32" s="83" t="s">
        <v>144</v>
      </c>
      <c r="B32" s="67" t="n">
        <v>3</v>
      </c>
      <c r="C32" s="81" t="n">
        <v>603640</v>
      </c>
      <c r="D32" s="81" t="n">
        <v>343602</v>
      </c>
      <c r="E32" s="95" t="n">
        <f aca="false">D32/$C32</f>
        <v>0.569216751706315</v>
      </c>
      <c r="F32" s="67" t="n">
        <f aca="false">IF(D32&gt;G32,B32,"")</f>
        <v>3</v>
      </c>
      <c r="G32" s="81" t="n">
        <v>244786</v>
      </c>
      <c r="H32" s="95" t="n">
        <f aca="false">G32/$C32</f>
        <v>0.405516533032934</v>
      </c>
      <c r="I32" s="67" t="str">
        <f aca="false">IF(D32&lt;G32,B32,"")</f>
        <v/>
      </c>
      <c r="J32" s="81" t="n">
        <v>15252</v>
      </c>
      <c r="K32" s="90" t="s">
        <v>453</v>
      </c>
      <c r="L32" s="17" t="n">
        <f aca="false">IF(EXACT(Analysis!K221,"novelty"),1,0)</f>
        <v>0</v>
      </c>
      <c r="M32" s="6" t="n">
        <f aca="false">L32*$B32</f>
        <v>0</v>
      </c>
      <c r="N32" s="17" t="n">
        <f aca="false">IF(EXACT(Analysis!L221,"anti-novelty"),1,0)</f>
        <v>0</v>
      </c>
      <c r="O32" s="6" t="n">
        <f aca="false">N32*$B32</f>
        <v>0</v>
      </c>
    </row>
    <row r="33" customFormat="false" ht="12.75" hidden="false" customHeight="false" outlineLevel="0" collapsed="false">
      <c r="A33" s="83" t="s">
        <v>145</v>
      </c>
      <c r="B33" s="67" t="n">
        <v>5</v>
      </c>
      <c r="C33" s="81" t="n">
        <v>951712</v>
      </c>
      <c r="D33" s="81" t="n">
        <v>556846</v>
      </c>
      <c r="E33" s="95" t="n">
        <f aca="false">D33/$C33</f>
        <v>0.585099273729868</v>
      </c>
      <c r="F33" s="67" t="n">
        <v>4</v>
      </c>
      <c r="G33" s="81" t="n">
        <v>374583</v>
      </c>
      <c r="H33" s="95" t="n">
        <f aca="false">G33/$C33</f>
        <v>0.393588606637302</v>
      </c>
      <c r="I33" s="67" t="n">
        <v>1</v>
      </c>
      <c r="J33" s="81" t="n">
        <v>20283</v>
      </c>
      <c r="K33" s="90" t="s">
        <v>454</v>
      </c>
      <c r="L33" s="17" t="n">
        <f aca="false">IF(EXACT(Analysis!K222,"novelty"),1,0)</f>
        <v>0</v>
      </c>
      <c r="M33" s="6" t="n">
        <f aca="false">L33*$B33</f>
        <v>0</v>
      </c>
      <c r="N33" s="17" t="n">
        <f aca="false">IF(EXACT(Analysis!L222,"anti-novelty"),1,0)</f>
        <v>0</v>
      </c>
      <c r="O33" s="6" t="n">
        <f aca="false">N33*$B33</f>
        <v>0</v>
      </c>
    </row>
    <row r="34" customFormat="false" ht="12.75" hidden="false" customHeight="false" outlineLevel="0" collapsed="false">
      <c r="A34" s="83" t="s">
        <v>146</v>
      </c>
      <c r="B34" s="67" t="n">
        <v>6</v>
      </c>
      <c r="C34" s="81" t="n">
        <v>1405376</v>
      </c>
      <c r="D34" s="81" t="n">
        <v>669890</v>
      </c>
      <c r="E34" s="95" t="n">
        <f aca="false">D34/$C34</f>
        <v>0.476662473245594</v>
      </c>
      <c r="F34" s="67" t="str">
        <f aca="false">IF(D34&gt;G34,B34,"")</f>
        <v/>
      </c>
      <c r="G34" s="81" t="n">
        <v>703486</v>
      </c>
      <c r="H34" s="95" t="n">
        <f aca="false">G34/$C34</f>
        <v>0.50056781957284</v>
      </c>
      <c r="I34" s="67" t="n">
        <f aca="false">IF(D34&lt;G34,B34,"")</f>
        <v>6</v>
      </c>
      <c r="J34" s="81" t="n">
        <v>32000</v>
      </c>
      <c r="K34" s="90" t="s">
        <v>455</v>
      </c>
      <c r="L34" s="17" t="n">
        <f aca="false">IF(EXACT(Analysis!K223,"novelty"),1,0)</f>
        <v>0</v>
      </c>
      <c r="M34" s="6" t="n">
        <f aca="false">L34*$B34</f>
        <v>0</v>
      </c>
      <c r="N34" s="17" t="n">
        <f aca="false">IF(EXACT(Analysis!L223,"anti-novelty"),1,0)</f>
        <v>0</v>
      </c>
      <c r="O34" s="6" t="n">
        <f aca="false">N34*$B34</f>
        <v>0</v>
      </c>
    </row>
    <row r="35" customFormat="false" ht="12.75" hidden="false" customHeight="false" outlineLevel="0" collapsed="false">
      <c r="A35" s="83" t="s">
        <v>147</v>
      </c>
      <c r="B35" s="67" t="n">
        <v>4</v>
      </c>
      <c r="C35" s="81" t="n">
        <v>806205</v>
      </c>
      <c r="D35" s="81" t="n">
        <v>365660</v>
      </c>
      <c r="E35" s="95" t="n">
        <f aca="false">D35/$C35</f>
        <v>0.453557097760495</v>
      </c>
      <c r="F35" s="67" t="str">
        <f aca="false">IF(D35&gt;G35,B35,"")</f>
        <v/>
      </c>
      <c r="G35" s="81" t="n">
        <v>424937</v>
      </c>
      <c r="H35" s="95" t="n">
        <f aca="false">G35/$C35</f>
        <v>0.52708306200036</v>
      </c>
      <c r="I35" s="67" t="n">
        <f aca="false">IF(D35&lt;G35,B35,"")</f>
        <v>4</v>
      </c>
      <c r="J35" s="81" t="n">
        <v>15608</v>
      </c>
      <c r="K35" s="90" t="s">
        <v>456</v>
      </c>
      <c r="L35" s="17" t="n">
        <f aca="false">IF(EXACT(Analysis!K224,"novelty"),1,0)</f>
        <v>0</v>
      </c>
      <c r="M35" s="6" t="n">
        <f aca="false">L35*$B35</f>
        <v>0</v>
      </c>
      <c r="N35" s="17" t="n">
        <f aca="false">IF(EXACT(Analysis!L224,"anti-novelty"),1,0)</f>
        <v>0</v>
      </c>
      <c r="O35" s="6" t="n">
        <f aca="false">N35*$B35</f>
        <v>0</v>
      </c>
    </row>
    <row r="36" customFormat="false" ht="12.75" hidden="false" customHeight="false" outlineLevel="0" collapsed="false">
      <c r="A36" s="83" t="s">
        <v>148</v>
      </c>
      <c r="B36" s="67" t="n">
        <v>14</v>
      </c>
      <c r="C36" s="81" t="n">
        <v>4549353</v>
      </c>
      <c r="D36" s="81" t="n">
        <v>1883274</v>
      </c>
      <c r="E36" s="95" t="n">
        <f aca="false">D36/$C36</f>
        <v>0.413965238573485</v>
      </c>
      <c r="F36" s="67" t="str">
        <f aca="false">IF(D36&gt;G36,B36,"")</f>
        <v/>
      </c>
      <c r="G36" s="81" t="n">
        <v>2608335</v>
      </c>
      <c r="H36" s="95" t="n">
        <f aca="false">G36/$C36</f>
        <v>0.57334196752813</v>
      </c>
      <c r="I36" s="67" t="n">
        <f aca="false">IF(D36&lt;G36,B36,"")</f>
        <v>14</v>
      </c>
      <c r="J36" s="81" t="n">
        <v>57744</v>
      </c>
      <c r="K36" s="90" t="s">
        <v>457</v>
      </c>
      <c r="L36" s="17" t="n">
        <f aca="false">IF(EXACT(Analysis!K225,"novelty"),1,0)</f>
        <v>0</v>
      </c>
      <c r="M36" s="6" t="n">
        <f aca="false">L36*$B36</f>
        <v>0</v>
      </c>
      <c r="N36" s="17" t="n">
        <f aca="false">IF(EXACT(Analysis!L225,"anti-novelty"),1,0)</f>
        <v>0</v>
      </c>
      <c r="O36" s="6" t="n">
        <f aca="false">N36*$B36</f>
        <v>0</v>
      </c>
    </row>
    <row r="37" customFormat="false" ht="12.75" hidden="false" customHeight="false" outlineLevel="0" collapsed="false">
      <c r="A37" s="83" t="s">
        <v>149</v>
      </c>
      <c r="B37" s="67" t="n">
        <v>5</v>
      </c>
      <c r="C37" s="81" t="n">
        <v>923965</v>
      </c>
      <c r="D37" s="81" t="n">
        <v>401894</v>
      </c>
      <c r="E37" s="95" t="n">
        <f aca="false">D37/$C37</f>
        <v>0.434966692461295</v>
      </c>
      <c r="F37" s="67" t="str">
        <f aca="false">IF(D37&gt;G37,B37,"")</f>
        <v/>
      </c>
      <c r="G37" s="81" t="n">
        <v>501614</v>
      </c>
      <c r="H37" s="95" t="n">
        <f aca="false">G37/$C37</f>
        <v>0.542892858495722</v>
      </c>
      <c r="I37" s="67" t="n">
        <f aca="false">IF(D37&lt;G37,B37,"")</f>
        <v>5</v>
      </c>
      <c r="J37" s="81" t="n">
        <v>20457</v>
      </c>
      <c r="K37" s="90" t="s">
        <v>458</v>
      </c>
      <c r="L37" s="17" t="n">
        <f aca="false">IF(EXACT(Analysis!K226,"novelty"),1,0)</f>
        <v>0</v>
      </c>
      <c r="M37" s="6" t="n">
        <f aca="false">L37*$B37</f>
        <v>0</v>
      </c>
      <c r="N37" s="17" t="n">
        <f aca="false">IF(EXACT(Analysis!L226,"anti-novelty"),1,0)</f>
        <v>0</v>
      </c>
      <c r="O37" s="6" t="n">
        <f aca="false">N37*$B37</f>
        <v>0</v>
      </c>
    </row>
    <row r="38" customFormat="false" ht="12.75" hidden="false" customHeight="false" outlineLevel="0" collapsed="false">
      <c r="A38" s="83" t="s">
        <v>150</v>
      </c>
      <c r="B38" s="67" t="n">
        <v>29</v>
      </c>
      <c r="C38" s="81" t="n">
        <v>8594826</v>
      </c>
      <c r="D38" s="81" t="n">
        <v>3244798</v>
      </c>
      <c r="E38" s="95" t="n">
        <f aca="false">D38/$C38</f>
        <v>0.3775292251408</v>
      </c>
      <c r="F38" s="67" t="str">
        <f aca="false">IF(D38&gt;G38,B38,"")</f>
        <v/>
      </c>
      <c r="G38" s="81" t="n">
        <v>5230985</v>
      </c>
      <c r="H38" s="95" t="n">
        <f aca="false">G38/$C38</f>
        <v>0.608620232684175</v>
      </c>
      <c r="I38" s="67" t="n">
        <f aca="false">IF(D38&lt;G38,B38,"")</f>
        <v>29</v>
      </c>
      <c r="J38" s="81" t="n">
        <v>119043</v>
      </c>
      <c r="K38" s="90" t="s">
        <v>459</v>
      </c>
      <c r="L38" s="17" t="n">
        <f aca="false">IF(EXACT(Analysis!K227,"novelty"),1,0)</f>
        <v>0</v>
      </c>
      <c r="M38" s="6" t="n">
        <f aca="false">L38*$B38</f>
        <v>0</v>
      </c>
      <c r="N38" s="17" t="n">
        <f aca="false">IF(EXACT(Analysis!L227,"anti-novelty"),1,0)</f>
        <v>0</v>
      </c>
      <c r="O38" s="6" t="n">
        <f aca="false">N38*$B38</f>
        <v>0</v>
      </c>
    </row>
    <row r="39" customFormat="false" ht="12.75" hidden="false" customHeight="false" outlineLevel="0" collapsed="false">
      <c r="A39" s="83" t="s">
        <v>151</v>
      </c>
      <c r="B39" s="67" t="n">
        <v>15</v>
      </c>
      <c r="C39" s="81" t="n">
        <v>5524804</v>
      </c>
      <c r="D39" s="81" t="n">
        <v>2758775</v>
      </c>
      <c r="E39" s="95" t="n">
        <f aca="false">D39/$C39</f>
        <v>0.49934350612257</v>
      </c>
      <c r="F39" s="67" t="n">
        <f aca="false">IF(D39&gt;G39,B39,"")</f>
        <v>15</v>
      </c>
      <c r="G39" s="81" t="n">
        <v>2684292</v>
      </c>
      <c r="H39" s="95" t="n">
        <f aca="false">G39/$C39</f>
        <v>0.485861941889703</v>
      </c>
      <c r="I39" s="67" t="str">
        <f aca="false">IF(D39&lt;G39,B39,"")</f>
        <v/>
      </c>
      <c r="J39" s="81" t="n">
        <v>81737</v>
      </c>
      <c r="K39" s="90" t="s">
        <v>460</v>
      </c>
      <c r="L39" s="17" t="n">
        <f aca="false">IF(EXACT(Analysis!K228,"novelty"),1,0)</f>
        <v>0</v>
      </c>
      <c r="M39" s="6" t="n">
        <f aca="false">L39*$B39</f>
        <v>0</v>
      </c>
      <c r="N39" s="17" t="n">
        <f aca="false">IF(EXACT(Analysis!L228,"anti-novelty"),1,0)</f>
        <v>1</v>
      </c>
      <c r="O39" s="6" t="n">
        <f aca="false">N39*$B39</f>
        <v>15</v>
      </c>
    </row>
    <row r="40" customFormat="false" ht="12.75" hidden="false" customHeight="false" outlineLevel="0" collapsed="false">
      <c r="A40" s="83" t="s">
        <v>152</v>
      </c>
      <c r="B40" s="67" t="n">
        <v>3</v>
      </c>
      <c r="C40" s="81" t="n">
        <v>361819</v>
      </c>
      <c r="D40" s="81" t="n">
        <v>235595</v>
      </c>
      <c r="E40" s="95" t="n">
        <f aca="false">D40/$C40</f>
        <v>0.651140487370757</v>
      </c>
      <c r="F40" s="67" t="n">
        <f aca="false">IF(D40&gt;G40,B40,"")</f>
        <v>3</v>
      </c>
      <c r="G40" s="81" t="n">
        <v>114902</v>
      </c>
      <c r="H40" s="95" t="n">
        <f aca="false">G40/$C40</f>
        <v>0.317567623590801</v>
      </c>
      <c r="I40" s="67" t="str">
        <f aca="false">IF(D40&lt;G40,B40,"")</f>
        <v/>
      </c>
      <c r="J40" s="81" t="n">
        <v>11322</v>
      </c>
      <c r="K40" s="90" t="s">
        <v>461</v>
      </c>
      <c r="L40" s="17" t="n">
        <f aca="false">IF(EXACT(Analysis!K229,"novelty"),1,0)</f>
        <v>0</v>
      </c>
      <c r="M40" s="6" t="n">
        <f aca="false">L40*$B40</f>
        <v>0</v>
      </c>
      <c r="N40" s="17" t="n">
        <f aca="false">IF(EXACT(Analysis!L229,"anti-novelty"),1,0)</f>
        <v>0</v>
      </c>
      <c r="O40" s="6" t="n">
        <f aca="false">N40*$B40</f>
        <v>0</v>
      </c>
    </row>
    <row r="41" customFormat="false" ht="12.75" hidden="false" customHeight="false" outlineLevel="0" collapsed="false">
      <c r="A41" s="83" t="s">
        <v>153</v>
      </c>
      <c r="B41" s="67" t="n">
        <v>18</v>
      </c>
      <c r="C41" s="81" t="n">
        <v>5922202</v>
      </c>
      <c r="D41" s="81" t="n">
        <v>3154834</v>
      </c>
      <c r="E41" s="95" t="n">
        <f aca="false">D41/$C41</f>
        <v>0.532713001008746</v>
      </c>
      <c r="F41" s="67" t="n">
        <f aca="false">IF(D41&gt;G41,B41,"")</f>
        <v>18</v>
      </c>
      <c r="G41" s="81" t="n">
        <v>2679165</v>
      </c>
      <c r="H41" s="95" t="n">
        <f aca="false">G41/$C41</f>
        <v>0.45239338340705</v>
      </c>
      <c r="I41" s="67" t="str">
        <f aca="false">IF(D41&lt;G41,B41,"")</f>
        <v/>
      </c>
      <c r="J41" s="81" t="n">
        <v>88203</v>
      </c>
      <c r="K41" s="90" t="s">
        <v>462</v>
      </c>
      <c r="L41" s="17" t="n">
        <f aca="false">IF(EXACT(Analysis!K230,"novelty"),1,0)</f>
        <v>0</v>
      </c>
      <c r="M41" s="6" t="n">
        <f aca="false">L41*$B41</f>
        <v>0</v>
      </c>
      <c r="N41" s="17" t="n">
        <f aca="false">IF(EXACT(Analysis!L230,"anti-novelty"),1,0)</f>
        <v>0</v>
      </c>
      <c r="O41" s="6" t="n">
        <f aca="false">N41*$B41</f>
        <v>0</v>
      </c>
    </row>
    <row r="42" customFormat="false" ht="12.75" hidden="false" customHeight="false" outlineLevel="0" collapsed="false">
      <c r="A42" s="83" t="s">
        <v>154</v>
      </c>
      <c r="B42" s="67" t="n">
        <v>7</v>
      </c>
      <c r="C42" s="81" t="n">
        <v>1560699</v>
      </c>
      <c r="D42" s="81" t="n">
        <v>1020280</v>
      </c>
      <c r="E42" s="95" t="n">
        <f aca="false">D42/$C42</f>
        <v>0.65373271848063</v>
      </c>
      <c r="F42" s="67" t="n">
        <f aca="false">IF(D42&gt;G42,B42,"")</f>
        <v>7</v>
      </c>
      <c r="G42" s="81" t="n">
        <v>503890</v>
      </c>
      <c r="H42" s="95" t="n">
        <f aca="false">G42/$C42</f>
        <v>0.322861743359866</v>
      </c>
      <c r="I42" s="67" t="str">
        <f aca="false">IF(D42&lt;G42,B42,"")</f>
        <v/>
      </c>
      <c r="J42" s="81" t="n">
        <v>36529</v>
      </c>
      <c r="K42" s="90" t="s">
        <v>463</v>
      </c>
      <c r="L42" s="17" t="n">
        <f aca="false">IF(EXACT(Analysis!K231,"novelty"),1,0)</f>
        <v>0</v>
      </c>
      <c r="M42" s="6" t="n">
        <f aca="false">L42*$B42</f>
        <v>0</v>
      </c>
      <c r="N42" s="17" t="n">
        <f aca="false">IF(EXACT(Analysis!L231,"anti-novelty"),1,0)</f>
        <v>0</v>
      </c>
      <c r="O42" s="6" t="n">
        <f aca="false">N42*$B42</f>
        <v>0</v>
      </c>
    </row>
    <row r="43" customFormat="false" ht="12.75" hidden="false" customHeight="false" outlineLevel="0" collapsed="false">
      <c r="A43" s="83" t="s">
        <v>155</v>
      </c>
      <c r="B43" s="67" t="n">
        <v>7</v>
      </c>
      <c r="C43" s="81" t="n">
        <v>2374321</v>
      </c>
      <c r="D43" s="81" t="n">
        <v>958448</v>
      </c>
      <c r="E43" s="95" t="n">
        <f aca="false">D43/$C43</f>
        <v>0.403672460463434</v>
      </c>
      <c r="F43" s="67" t="str">
        <f aca="false">IF(D43&gt;G43,B43,"")</f>
        <v/>
      </c>
      <c r="G43" s="81" t="n">
        <v>1340383</v>
      </c>
      <c r="H43" s="95" t="n">
        <f aca="false">G43/$C43</f>
        <v>0.564533186540489</v>
      </c>
      <c r="I43" s="67" t="n">
        <f aca="false">IF(D43&lt;G43,B43,"")</f>
        <v>7</v>
      </c>
      <c r="J43" s="81" t="n">
        <v>75490</v>
      </c>
      <c r="K43" s="90" t="s">
        <v>464</v>
      </c>
      <c r="L43" s="17" t="n">
        <f aca="false">IF(EXACT(Analysis!K232,"novelty"),1,0)</f>
        <v>0</v>
      </c>
      <c r="M43" s="6" t="n">
        <f aca="false">L43*$B43</f>
        <v>0</v>
      </c>
      <c r="N43" s="17" t="n">
        <f aca="false">IF(EXACT(Analysis!L232,"anti-novelty"),1,0)</f>
        <v>0</v>
      </c>
      <c r="O43" s="6" t="n">
        <f aca="false">N43*$B43</f>
        <v>0</v>
      </c>
    </row>
    <row r="44" customFormat="false" ht="12.75" hidden="false" customHeight="false" outlineLevel="0" collapsed="false">
      <c r="A44" s="83" t="s">
        <v>156</v>
      </c>
      <c r="B44" s="67" t="n">
        <v>20</v>
      </c>
      <c r="C44" s="81" t="n">
        <v>6915283</v>
      </c>
      <c r="D44" s="81" t="n">
        <v>3377674</v>
      </c>
      <c r="E44" s="95" t="n">
        <f aca="false">D44/$C44</f>
        <v>0.488436120401725</v>
      </c>
      <c r="F44" s="67" t="str">
        <f aca="false">IF(D44&gt;G44,B44,"")</f>
        <v/>
      </c>
      <c r="G44" s="81" t="n">
        <v>3458229</v>
      </c>
      <c r="H44" s="95" t="n">
        <f aca="false">G44/$C44</f>
        <v>0.500084956754481</v>
      </c>
      <c r="I44" s="67" t="n">
        <f aca="false">IF(D44&lt;G44,B44,"")</f>
        <v>20</v>
      </c>
      <c r="J44" s="81" t="n">
        <v>79380</v>
      </c>
      <c r="K44" s="90" t="s">
        <v>465</v>
      </c>
      <c r="L44" s="17" t="n">
        <f aca="false">IF(EXACT(Analysis!K233,"novelty"),1,0)</f>
        <v>1</v>
      </c>
      <c r="M44" s="6" t="n">
        <f aca="false">L44*$B44</f>
        <v>20</v>
      </c>
      <c r="N44" s="17" t="n">
        <f aca="false">IF(EXACT(Analysis!L233,"anti-novelty"),1,0)</f>
        <v>0</v>
      </c>
      <c r="O44" s="6" t="n">
        <f aca="false">N44*$B44</f>
        <v>0</v>
      </c>
    </row>
    <row r="45" customFormat="false" ht="12.75" hidden="false" customHeight="false" outlineLevel="0" collapsed="false">
      <c r="A45" s="83" t="s">
        <v>157</v>
      </c>
      <c r="B45" s="67" t="n">
        <v>4</v>
      </c>
      <c r="C45" s="81" t="n">
        <v>517757</v>
      </c>
      <c r="D45" s="81" t="n">
        <v>199922</v>
      </c>
      <c r="E45" s="95" t="n">
        <f aca="false">D45/$C45</f>
        <v>0.386130945598032</v>
      </c>
      <c r="F45" s="67" t="str">
        <f aca="false">IF(D45&gt;G45,B45,"")</f>
        <v/>
      </c>
      <c r="G45" s="81" t="n">
        <v>307486</v>
      </c>
      <c r="H45" s="95" t="n">
        <f aca="false">G45/$C45</f>
        <v>0.593880913246948</v>
      </c>
      <c r="I45" s="67" t="n">
        <f aca="false">IF(D45&lt;G45,B45,"")</f>
        <v>4</v>
      </c>
      <c r="J45" s="81" t="n">
        <v>10349</v>
      </c>
      <c r="K45" s="90" t="s">
        <v>439</v>
      </c>
      <c r="L45" s="17" t="n">
        <f aca="false">IF(EXACT(Analysis!K234,"novelty"),1,0)</f>
        <v>0</v>
      </c>
      <c r="M45" s="6" t="n">
        <f aca="false">L45*$B45</f>
        <v>0</v>
      </c>
      <c r="N45" s="17" t="n">
        <f aca="false">IF(EXACT(Analysis!L234,"anti-novelty"),1,0)</f>
        <v>0</v>
      </c>
      <c r="O45" s="6" t="n">
        <f aca="false">N45*$B45</f>
        <v>0</v>
      </c>
    </row>
    <row r="46" customFormat="false" ht="12.75" hidden="false" customHeight="false" outlineLevel="0" collapsed="false">
      <c r="A46" s="83" t="s">
        <v>158</v>
      </c>
      <c r="B46" s="67" t="n">
        <v>9</v>
      </c>
      <c r="C46" s="81" t="n">
        <v>2513329</v>
      </c>
      <c r="D46" s="81" t="n">
        <v>1385103</v>
      </c>
      <c r="E46" s="95" t="n">
        <f aca="false">D46/$C46</f>
        <v>0.551102939567402</v>
      </c>
      <c r="F46" s="67" t="n">
        <f aca="false">IF(D46&gt;G46,B46,"")</f>
        <v>9</v>
      </c>
      <c r="G46" s="81" t="n">
        <v>1091541</v>
      </c>
      <c r="H46" s="95" t="n">
        <f aca="false">G46/$C46</f>
        <v>0.434300881420618</v>
      </c>
      <c r="I46" s="67" t="str">
        <f aca="false">IF(D46&lt;G46,B46,"")</f>
        <v/>
      </c>
      <c r="J46" s="81" t="n">
        <v>36685</v>
      </c>
      <c r="K46" s="90" t="s">
        <v>466</v>
      </c>
      <c r="L46" s="17" t="n">
        <f aca="false">IF(EXACT(Analysis!K235,"novelty"),1,0)</f>
        <v>0</v>
      </c>
      <c r="M46" s="6" t="n">
        <f aca="false">L46*$B46</f>
        <v>0</v>
      </c>
      <c r="N46" s="17" t="n">
        <f aca="false">IF(EXACT(Analysis!L235,"anti-novelty"),1,0)</f>
        <v>0</v>
      </c>
      <c r="O46" s="6" t="n">
        <f aca="false">N46*$B46</f>
        <v>0</v>
      </c>
    </row>
    <row r="47" customFormat="false" ht="12.75" hidden="false" customHeight="false" outlineLevel="0" collapsed="false">
      <c r="A47" s="83" t="s">
        <v>159</v>
      </c>
      <c r="B47" s="67" t="n">
        <v>3</v>
      </c>
      <c r="C47" s="81" t="n">
        <v>422609</v>
      </c>
      <c r="D47" s="81" t="n">
        <v>261043</v>
      </c>
      <c r="E47" s="95" t="n">
        <f aca="false">D47/$C47</f>
        <v>0.617693896722502</v>
      </c>
      <c r="F47" s="67" t="n">
        <f aca="false">IF(D47&gt;G47,B47,"")</f>
        <v>3</v>
      </c>
      <c r="G47" s="81" t="n">
        <v>150471</v>
      </c>
      <c r="H47" s="95" t="n">
        <f aca="false">G47/$C47</f>
        <v>0.356052521361353</v>
      </c>
      <c r="I47" s="67" t="str">
        <f aca="false">IF(D47&lt;G47,B47,"")</f>
        <v/>
      </c>
      <c r="J47" s="81" t="n">
        <v>11095</v>
      </c>
      <c r="K47" s="90" t="s">
        <v>467</v>
      </c>
      <c r="L47" s="17" t="n">
        <f aca="false">IF(EXACT(Analysis!K236,"novelty"),1,0)</f>
        <v>0</v>
      </c>
      <c r="M47" s="6" t="n">
        <f aca="false">L47*$B47</f>
        <v>0</v>
      </c>
      <c r="N47" s="17" t="n">
        <f aca="false">IF(EXACT(Analysis!L236,"anti-novelty"),1,0)</f>
        <v>0</v>
      </c>
      <c r="O47" s="6" t="n">
        <f aca="false">N47*$B47</f>
        <v>0</v>
      </c>
    </row>
    <row r="48" customFormat="false" ht="12.75" hidden="false" customHeight="false" outlineLevel="0" collapsed="false">
      <c r="A48" s="83" t="s">
        <v>160</v>
      </c>
      <c r="B48" s="67" t="n">
        <v>11</v>
      </c>
      <c r="C48" s="81" t="n">
        <v>3053851</v>
      </c>
      <c r="D48" s="81" t="n">
        <v>1852475</v>
      </c>
      <c r="E48" s="95" t="n">
        <f aca="false">D48/$C48</f>
        <v>0.606602941662838</v>
      </c>
      <c r="F48" s="67" t="n">
        <f aca="false">IF(D48&gt;G48,B48,"")</f>
        <v>11</v>
      </c>
      <c r="G48" s="81" t="n">
        <v>1143711</v>
      </c>
      <c r="H48" s="95" t="n">
        <f aca="false">G48/$C48</f>
        <v>0.374514342710237</v>
      </c>
      <c r="I48" s="67" t="str">
        <f aca="false">IF(D48&lt;G48,B48,"")</f>
        <v/>
      </c>
      <c r="J48" s="81" t="n">
        <v>57665</v>
      </c>
      <c r="K48" s="90" t="s">
        <v>468</v>
      </c>
      <c r="L48" s="17" t="n">
        <f aca="false">IF(EXACT(Analysis!K237,"novelty"),1,0)</f>
        <v>0</v>
      </c>
      <c r="M48" s="6" t="n">
        <f aca="false">L48*$B48</f>
        <v>0</v>
      </c>
      <c r="N48" s="17" t="n">
        <f aca="false">IF(EXACT(Analysis!L237,"anti-novelty"),1,0)</f>
        <v>0</v>
      </c>
      <c r="O48" s="6" t="n">
        <f aca="false">N48*$B48</f>
        <v>0</v>
      </c>
    </row>
    <row r="49" customFormat="false" ht="12.75" hidden="false" customHeight="false" outlineLevel="0" collapsed="false">
      <c r="A49" s="83" t="s">
        <v>161</v>
      </c>
      <c r="B49" s="67" t="n">
        <v>38</v>
      </c>
      <c r="C49" s="81" t="n">
        <v>11315056</v>
      </c>
      <c r="D49" s="81" t="n">
        <v>5890347</v>
      </c>
      <c r="E49" s="95" t="n">
        <f aca="false">D49/$C49</f>
        <v>0.520576036035527</v>
      </c>
      <c r="F49" s="67" t="n">
        <f aca="false">IF(D49&gt;G49,B49,"")</f>
        <v>38</v>
      </c>
      <c r="G49" s="81" t="n">
        <v>5259126</v>
      </c>
      <c r="H49" s="95" t="n">
        <f aca="false">G49/$C49</f>
        <v>0.464790099138705</v>
      </c>
      <c r="I49" s="67" t="str">
        <f aca="false">IF(D49&lt;G49,B49,"")</f>
        <v/>
      </c>
      <c r="J49" s="81" t="n">
        <v>165583</v>
      </c>
      <c r="K49" s="90" t="s">
        <v>466</v>
      </c>
      <c r="L49" s="17" t="n">
        <f aca="false">IF(EXACT(Analysis!K238,"novelty"),1,0)</f>
        <v>0</v>
      </c>
      <c r="M49" s="6" t="n">
        <f aca="false">L49*$B49</f>
        <v>0</v>
      </c>
      <c r="N49" s="17" t="n">
        <f aca="false">IF(EXACT(Analysis!L238,"anti-novelty"),1,0)</f>
        <v>1</v>
      </c>
      <c r="O49" s="6" t="n">
        <f aca="false">N49*$B49</f>
        <v>38</v>
      </c>
    </row>
    <row r="50" customFormat="false" ht="12.75" hidden="false" customHeight="false" outlineLevel="0" collapsed="false">
      <c r="A50" s="83" t="s">
        <v>162</v>
      </c>
      <c r="B50" s="67" t="n">
        <v>6</v>
      </c>
      <c r="C50" s="81" t="n">
        <v>1488289</v>
      </c>
      <c r="D50" s="81" t="n">
        <v>865140</v>
      </c>
      <c r="E50" s="95" t="n">
        <f aca="false">D50/$C50</f>
        <v>0.581298390299196</v>
      </c>
      <c r="F50" s="67" t="n">
        <f aca="false">IF(D50&gt;G50,B50,"")</f>
        <v>6</v>
      </c>
      <c r="G50" s="81" t="n">
        <v>560282</v>
      </c>
      <c r="H50" s="95" t="n">
        <f aca="false">G50/$C50</f>
        <v>0.376460485833061</v>
      </c>
      <c r="I50" s="67" t="str">
        <f aca="false">IF(D50&lt;G50,B50,"")</f>
        <v/>
      </c>
      <c r="J50" s="81" t="n">
        <v>62867</v>
      </c>
      <c r="K50" s="90" t="s">
        <v>469</v>
      </c>
      <c r="L50" s="17" t="n">
        <f aca="false">IF(EXACT(Analysis!K239,"novelty"),1,0)</f>
        <v>0</v>
      </c>
      <c r="M50" s="6" t="n">
        <f aca="false">L50*$B50</f>
        <v>0</v>
      </c>
      <c r="N50" s="17" t="n">
        <f aca="false">IF(EXACT(Analysis!L239,"anti-novelty"),1,0)</f>
        <v>0</v>
      </c>
      <c r="O50" s="6" t="n">
        <f aca="false">N50*$B50</f>
        <v>0</v>
      </c>
    </row>
    <row r="51" customFormat="false" ht="12.75" hidden="false" customHeight="false" outlineLevel="0" collapsed="false">
      <c r="A51" s="83" t="s">
        <v>163</v>
      </c>
      <c r="B51" s="67" t="n">
        <v>3</v>
      </c>
      <c r="C51" s="81" t="n">
        <v>367428</v>
      </c>
      <c r="D51" s="81" t="n">
        <v>112704</v>
      </c>
      <c r="E51" s="95" t="n">
        <f aca="false">D51/$C51</f>
        <v>0.306737646559326</v>
      </c>
      <c r="F51" s="67" t="str">
        <f aca="false">IF(D51&gt;G51,B51,"")</f>
        <v/>
      </c>
      <c r="G51" s="81" t="n">
        <v>242820</v>
      </c>
      <c r="H51" s="95" t="n">
        <f aca="false">G51/$C51</f>
        <v>0.66086416930664</v>
      </c>
      <c r="I51" s="67" t="n">
        <f aca="false">IF(D51&lt;G51,B51,"")</f>
        <v>3</v>
      </c>
      <c r="J51" s="81" t="n">
        <v>11904</v>
      </c>
      <c r="K51" s="90" t="s">
        <v>470</v>
      </c>
      <c r="L51" s="17" t="n">
        <f aca="false">IF(EXACT(Analysis!K240,"novelty"),1,0)</f>
        <v>0</v>
      </c>
      <c r="M51" s="6" t="n">
        <f aca="false">L51*$B51</f>
        <v>0</v>
      </c>
      <c r="N51" s="17" t="n">
        <f aca="false">IF(EXACT(Analysis!L240,"anti-novelty"),1,0)</f>
        <v>0</v>
      </c>
      <c r="O51" s="6" t="n">
        <f aca="false">N51*$B51</f>
        <v>0</v>
      </c>
    </row>
    <row r="52" customFormat="false" ht="12.75" hidden="false" customHeight="false" outlineLevel="0" collapsed="false">
      <c r="A52" s="83" t="s">
        <v>164</v>
      </c>
      <c r="B52" s="67" t="n">
        <v>13</v>
      </c>
      <c r="C52" s="81" t="n">
        <v>4460524</v>
      </c>
      <c r="D52" s="81" t="n">
        <v>1962430</v>
      </c>
      <c r="E52" s="95" t="n">
        <f aca="false">D52/$C52</f>
        <v>0.439955036672821</v>
      </c>
      <c r="F52" s="67" t="str">
        <f aca="false">IF(D52&gt;G52,B52,"")</f>
        <v/>
      </c>
      <c r="G52" s="81" t="n">
        <v>2413568</v>
      </c>
      <c r="H52" s="95" t="n">
        <f aca="false">G52/$C52</f>
        <v>0.541095171778024</v>
      </c>
      <c r="I52" s="67" t="n">
        <f aca="false">IF(D52&lt;G52,B52,"")</f>
        <v>13</v>
      </c>
      <c r="J52" s="81" t="n">
        <v>84526</v>
      </c>
      <c r="K52" s="90" t="s">
        <v>468</v>
      </c>
      <c r="L52" s="17" t="n">
        <f aca="false">IF(EXACT(Analysis!K241,"novelty"),1,0)</f>
        <v>0</v>
      </c>
      <c r="M52" s="6" t="n">
        <f aca="false">L52*$B52</f>
        <v>0</v>
      </c>
      <c r="N52" s="17" t="n">
        <f aca="false">IF(EXACT(Analysis!L241,"anti-novelty"),1,0)</f>
        <v>0</v>
      </c>
      <c r="O52" s="6" t="n">
        <f aca="false">N52*$B52</f>
        <v>0</v>
      </c>
    </row>
    <row r="53" customFormat="false" ht="12.75" hidden="false" customHeight="false" outlineLevel="0" collapsed="false">
      <c r="A53" s="83" t="s">
        <v>165</v>
      </c>
      <c r="B53" s="67" t="n">
        <v>12</v>
      </c>
      <c r="C53" s="81" t="n">
        <v>4087631</v>
      </c>
      <c r="D53" s="81" t="n">
        <v>1584651</v>
      </c>
      <c r="E53" s="95" t="n">
        <f aca="false">D53/$C53</f>
        <v>0.387669777433433</v>
      </c>
      <c r="F53" s="67" t="str">
        <f aca="false">IF(D53&gt;G53,B53,"")</f>
        <v/>
      </c>
      <c r="G53" s="81" t="n">
        <v>2369612</v>
      </c>
      <c r="H53" s="95" t="n">
        <f aca="false">G53/$C53</f>
        <v>0.579703011353031</v>
      </c>
      <c r="I53" s="67" t="n">
        <f aca="false">IF(D53&lt;G53,B53,"")</f>
        <v>12</v>
      </c>
      <c r="J53" s="81" t="n">
        <v>133368</v>
      </c>
      <c r="K53" s="90" t="s">
        <v>471</v>
      </c>
      <c r="L53" s="17" t="n">
        <f aca="false">IF(EXACT(Analysis!K242,"novelty"),1,0)</f>
        <v>0</v>
      </c>
      <c r="M53" s="6" t="n">
        <f aca="false">L53*$B53</f>
        <v>0</v>
      </c>
      <c r="N53" s="17" t="n">
        <f aca="false">IF(EXACT(Analysis!L242,"anti-novelty"),1,0)</f>
        <v>0</v>
      </c>
      <c r="O53" s="6" t="n">
        <f aca="false">N53*$B53</f>
        <v>0</v>
      </c>
    </row>
    <row r="54" customFormat="false" ht="12.75" hidden="false" customHeight="false" outlineLevel="0" collapsed="false">
      <c r="A54" s="83" t="s">
        <v>166</v>
      </c>
      <c r="B54" s="67" t="n">
        <v>5</v>
      </c>
      <c r="C54" s="81" t="n">
        <v>794652</v>
      </c>
      <c r="D54" s="81" t="n">
        <v>545382</v>
      </c>
      <c r="E54" s="95" t="n">
        <f aca="false">D54/$C54</f>
        <v>0.686315519246161</v>
      </c>
      <c r="F54" s="67" t="n">
        <f aca="false">IF(D54&gt;G54,B54,"")</f>
        <v>5</v>
      </c>
      <c r="G54" s="81" t="n">
        <v>235984</v>
      </c>
      <c r="H54" s="95" t="n">
        <f aca="false">G54/$C54</f>
        <v>0.296965212445196</v>
      </c>
      <c r="I54" s="67" t="str">
        <f aca="false">IF(D54&lt;G54,B54,"")</f>
        <v/>
      </c>
      <c r="J54" s="81" t="n">
        <v>13286</v>
      </c>
      <c r="K54" s="90" t="s">
        <v>472</v>
      </c>
      <c r="L54" s="17" t="n">
        <f aca="false">IF(EXACT(Analysis!K243,"novelty"),1,0)</f>
        <v>0</v>
      </c>
      <c r="M54" s="6" t="n">
        <f aca="false">L54*$B54</f>
        <v>0</v>
      </c>
      <c r="N54" s="17" t="n">
        <f aca="false">IF(EXACT(Analysis!L243,"anti-novelty"),1,0)</f>
        <v>0</v>
      </c>
      <c r="O54" s="6" t="n">
        <f aca="false">N54*$B54</f>
        <v>0</v>
      </c>
    </row>
    <row r="55" customFormat="false" ht="12.75" hidden="false" customHeight="false" outlineLevel="0" collapsed="false">
      <c r="A55" s="83" t="s">
        <v>167</v>
      </c>
      <c r="B55" s="67" t="n">
        <v>10</v>
      </c>
      <c r="C55" s="81" t="n">
        <v>3298041</v>
      </c>
      <c r="D55" s="81" t="n">
        <v>1610184</v>
      </c>
      <c r="E55" s="95" t="n">
        <f aca="false">D55/$C55</f>
        <v>0.488224373196088</v>
      </c>
      <c r="F55" s="67" t="str">
        <f aca="false">IF(D55&gt;G55,B55,"")</f>
        <v/>
      </c>
      <c r="G55" s="81" t="n">
        <v>1630866</v>
      </c>
      <c r="H55" s="95" t="n">
        <f aca="false">G55/$C55</f>
        <v>0.494495368614277</v>
      </c>
      <c r="I55" s="67" t="n">
        <f aca="false">IF(D55&lt;G55,B55,"")</f>
        <v>10</v>
      </c>
      <c r="J55" s="81" t="n">
        <v>56991</v>
      </c>
      <c r="K55" s="90" t="s">
        <v>473</v>
      </c>
      <c r="L55" s="17" t="n">
        <f aca="false">IF(EXACT(Analysis!K244,"novelty"),1,0)</f>
        <v>0</v>
      </c>
      <c r="M55" s="6" t="n">
        <f aca="false">L55*$B55</f>
        <v>0</v>
      </c>
      <c r="N55" s="17" t="n">
        <f aca="false">IF(EXACT(Analysis!L244,"anti-novelty"),1,0)</f>
        <v>0</v>
      </c>
      <c r="O55" s="6" t="n">
        <f aca="false">N55*$B55</f>
        <v>0</v>
      </c>
    </row>
    <row r="56" customFormat="false" ht="12.75" hidden="false" customHeight="false" outlineLevel="0" collapsed="false">
      <c r="A56" s="83" t="s">
        <v>168</v>
      </c>
      <c r="B56" s="67" t="n">
        <v>3</v>
      </c>
      <c r="C56" s="81" t="n">
        <v>276765</v>
      </c>
      <c r="D56" s="81" t="n">
        <v>193559</v>
      </c>
      <c r="E56" s="95" t="n">
        <f aca="false">D56/$C56</f>
        <v>0.699362274854118</v>
      </c>
      <c r="F56" s="67" t="n">
        <f aca="false">IF(D56&gt;G56,B56,"")</f>
        <v>3</v>
      </c>
      <c r="G56" s="81" t="n">
        <v>73491</v>
      </c>
      <c r="H56" s="95" t="n">
        <f aca="false">G56/$C56</f>
        <v>0.265535743320145</v>
      </c>
      <c r="I56" s="67" t="str">
        <f aca="false">IF(D56&lt;G56,B56,"")</f>
        <v/>
      </c>
      <c r="J56" s="81" t="n">
        <v>9715</v>
      </c>
      <c r="K56" s="90" t="s">
        <v>474</v>
      </c>
      <c r="L56" s="17" t="n">
        <f aca="false">IF(EXACT(Analysis!K245,"novelty"),1,0)</f>
        <v>0</v>
      </c>
      <c r="M56" s="6" t="n">
        <f aca="false">L56*$B56</f>
        <v>0</v>
      </c>
      <c r="N56" s="17" t="n">
        <f aca="false">IF(EXACT(Analysis!L245,"anti-novelty"),1,0)</f>
        <v>0</v>
      </c>
      <c r="O56" s="6" t="n">
        <f aca="false">N56*$B56</f>
        <v>0</v>
      </c>
    </row>
    <row r="57" customFormat="false" ht="12.75" hidden="false" customHeight="false" outlineLevel="0" collapsed="false">
      <c r="A57" s="29" t="s">
        <v>475</v>
      </c>
      <c r="B57" s="86" t="n">
        <f aca="false">SUM(B6:B56)</f>
        <v>538</v>
      </c>
      <c r="E57" s="16"/>
      <c r="H57" s="16"/>
      <c r="M57" s="86" t="n">
        <f aca="false">SUM(M6:M56)</f>
        <v>63</v>
      </c>
      <c r="O57" s="86" t="n">
        <f aca="false">SUM(O6:O56)</f>
        <v>82</v>
      </c>
    </row>
    <row r="58" customFormat="false" ht="12.75" hidden="false" customHeight="false" outlineLevel="0" collapsed="false">
      <c r="A58" s="32" t="s">
        <v>175</v>
      </c>
      <c r="B58" s="32"/>
      <c r="C58" s="32"/>
      <c r="D58" s="32"/>
      <c r="E58" s="32"/>
      <c r="F58" s="86" t="n">
        <f aca="false">SUM(F6:F56)</f>
        <v>232</v>
      </c>
      <c r="H58" s="16"/>
      <c r="I58" s="86" t="n">
        <f aca="false">SUM(I6:I56)</f>
        <v>306</v>
      </c>
      <c r="J58" s="1" t="s">
        <v>476</v>
      </c>
      <c r="M58" s="86"/>
      <c r="O58" s="86"/>
    </row>
    <row r="59" customFormat="false" ht="12.75" hidden="false" customHeight="false" outlineLevel="0" collapsed="false">
      <c r="A59" s="96" t="s">
        <v>477</v>
      </c>
      <c r="E59" s="16"/>
      <c r="F59" s="87" t="n">
        <f aca="false">F58+M57</f>
        <v>295</v>
      </c>
      <c r="H59" s="16"/>
      <c r="I59" s="87" t="n">
        <f aca="false">I58-M57</f>
        <v>243</v>
      </c>
      <c r="J59" s="1" t="s">
        <v>478</v>
      </c>
    </row>
    <row r="60" customFormat="false" ht="12.75" hidden="false" customHeight="false" outlineLevel="0" collapsed="false">
      <c r="A60" s="96" t="s">
        <v>479</v>
      </c>
      <c r="E60" s="16"/>
      <c r="F60" s="88" t="n">
        <f aca="false">F58</f>
        <v>232</v>
      </c>
      <c r="H60" s="16"/>
      <c r="I60" s="88" t="n">
        <f aca="false">I58</f>
        <v>306</v>
      </c>
      <c r="J60" s="1" t="s">
        <v>476</v>
      </c>
    </row>
    <row r="61" customFormat="false" ht="12.75" hidden="false" customHeight="false" outlineLevel="0" collapsed="false">
      <c r="A61" s="96" t="s">
        <v>480</v>
      </c>
      <c r="F61" s="88" t="n">
        <f aca="false">F60-O57</f>
        <v>150</v>
      </c>
      <c r="I61" s="88" t="n">
        <f aca="false">I60+O57</f>
        <v>388</v>
      </c>
      <c r="J61" s="1" t="s">
        <v>481</v>
      </c>
    </row>
  </sheetData>
  <mergeCells count="10">
    <mergeCell ref="A4:A5"/>
    <mergeCell ref="C4:C5"/>
    <mergeCell ref="D4:F4"/>
    <mergeCell ref="G4:I4"/>
    <mergeCell ref="J4:K4"/>
    <mergeCell ref="L4:L5"/>
    <mergeCell ref="M4:M5"/>
    <mergeCell ref="N4:N5"/>
    <mergeCell ref="O4:O5"/>
    <mergeCell ref="A58:E58"/>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2.75" zeroHeight="false" outlineLevelRow="0" outlineLevelCol="0"/>
  <cols>
    <col collapsed="false" customWidth="true" hidden="false" outlineLevel="0" max="1" min="1" style="16" width="13.86"/>
    <col collapsed="false" customWidth="true" hidden="false" outlineLevel="0" max="2" min="2" style="1" width="13.86"/>
    <col collapsed="false" customWidth="true" hidden="false" outlineLevel="0" max="5" min="5" style="16" width="13.86"/>
    <col collapsed="false" customWidth="true" hidden="false" outlineLevel="0" max="6" min="6" style="1" width="13.86"/>
    <col collapsed="false" customWidth="true" hidden="false" outlineLevel="0" max="8" min="8" style="16" width="13.86"/>
    <col collapsed="false" customWidth="true" hidden="false" outlineLevel="0" max="9" min="9" style="1" width="13.86"/>
  </cols>
  <sheetData>
    <row r="1" customFormat="false" ht="12.75" hidden="false" customHeight="false" outlineLevel="0" collapsed="false">
      <c r="A1" s="66" t="s">
        <v>22</v>
      </c>
      <c r="B1" s="67" t="n">
        <v>2024</v>
      </c>
      <c r="C1" s="68"/>
      <c r="D1" s="68"/>
      <c r="E1" s="68"/>
      <c r="F1" s="68"/>
      <c r="G1" s="89"/>
      <c r="H1" s="68"/>
    </row>
    <row r="2" customFormat="false" ht="12.75" hidden="false" customHeight="false" outlineLevel="0" collapsed="false">
      <c r="A2" s="66" t="s">
        <v>107</v>
      </c>
      <c r="B2" s="69" t="n">
        <f aca="false">SUM(C6:C56)</f>
        <v>153125656</v>
      </c>
      <c r="C2" s="69" t="n">
        <f aca="false">SUM(D6:D56)</f>
        <v>76441305</v>
      </c>
      <c r="D2" s="69" t="n">
        <f aca="false">SUM(G6:G56)</f>
        <v>73777014</v>
      </c>
      <c r="E2" s="68"/>
      <c r="F2" s="68"/>
      <c r="G2" s="89"/>
      <c r="H2" s="68"/>
    </row>
    <row r="3" customFormat="false" ht="12.75" hidden="false" customHeight="false" outlineLevel="0" collapsed="false">
      <c r="A3" s="68"/>
      <c r="B3" s="68"/>
      <c r="C3" s="68"/>
      <c r="D3" s="89"/>
      <c r="E3" s="68"/>
      <c r="F3" s="68"/>
      <c r="G3" s="89"/>
      <c r="H3" s="68"/>
    </row>
    <row r="4" customFormat="false" ht="13.5" hidden="false" customHeight="true" outlineLevel="0" collapsed="false">
      <c r="A4" s="71" t="s">
        <v>108</v>
      </c>
      <c r="C4" s="71" t="s">
        <v>110</v>
      </c>
      <c r="D4" s="72" t="s">
        <v>111</v>
      </c>
      <c r="E4" s="72"/>
      <c r="F4" s="72"/>
      <c r="G4" s="73" t="s">
        <v>112</v>
      </c>
      <c r="H4" s="73"/>
      <c r="I4" s="73"/>
      <c r="J4" s="71" t="s">
        <v>113</v>
      </c>
      <c r="K4" s="71"/>
    </row>
    <row r="5" customFormat="false" ht="12.75" hidden="false" customHeight="false" outlineLevel="0" collapsed="false">
      <c r="A5" s="71"/>
      <c r="B5" s="79" t="s">
        <v>116</v>
      </c>
      <c r="C5" s="71"/>
      <c r="D5" s="74" t="s">
        <v>114</v>
      </c>
      <c r="E5" s="75" t="s">
        <v>115</v>
      </c>
      <c r="F5" s="75" t="s">
        <v>116</v>
      </c>
      <c r="G5" s="76" t="s">
        <v>114</v>
      </c>
      <c r="H5" s="77" t="s">
        <v>115</v>
      </c>
      <c r="I5" s="77" t="s">
        <v>116</v>
      </c>
      <c r="J5" s="78" t="s">
        <v>114</v>
      </c>
      <c r="K5" s="79" t="s">
        <v>115</v>
      </c>
    </row>
    <row r="6" customFormat="false" ht="12.75" hidden="false" customHeight="false" outlineLevel="0" collapsed="false">
      <c r="A6" s="97" t="s">
        <v>117</v>
      </c>
      <c r="B6" s="6" t="n">
        <v>9</v>
      </c>
      <c r="C6" s="18" t="n">
        <v>2257052</v>
      </c>
      <c r="D6" s="18" t="n">
        <v>1457704</v>
      </c>
      <c r="E6" s="95" t="n">
        <f aca="false">D6/C6</f>
        <v>0.645844225121973</v>
      </c>
      <c r="F6" s="67" t="n">
        <f aca="false">IF(D6&gt;G6,B6,"")</f>
        <v>9</v>
      </c>
      <c r="G6" s="18" t="n">
        <v>769391</v>
      </c>
      <c r="H6" s="98" t="n">
        <f aca="false">G6/C6</f>
        <v>0.340883152005359</v>
      </c>
      <c r="I6" s="67" t="str">
        <f aca="false">IF(D6&lt;G6,B6,"")</f>
        <v/>
      </c>
      <c r="J6" s="99"/>
      <c r="K6" s="99"/>
      <c r="O6" s="16" t="n">
        <v>29957</v>
      </c>
    </row>
    <row r="7" customFormat="false" ht="12.75" hidden="false" customHeight="false" outlineLevel="0" collapsed="false">
      <c r="A7" s="97" t="s">
        <v>118</v>
      </c>
      <c r="B7" s="6" t="n">
        <v>3</v>
      </c>
      <c r="C7" s="18" t="n">
        <v>302024</v>
      </c>
      <c r="D7" s="18" t="n">
        <v>166383</v>
      </c>
      <c r="E7" s="95" t="n">
        <f aca="false">D7/C7</f>
        <v>0.550893306492199</v>
      </c>
      <c r="F7" s="67" t="n">
        <f aca="false">IF(D7&gt;G7,B7,"")</f>
        <v>3</v>
      </c>
      <c r="G7" s="18" t="n">
        <v>123626</v>
      </c>
      <c r="H7" s="98" t="n">
        <f aca="false">G7/C7</f>
        <v>0.409325086748073</v>
      </c>
      <c r="I7" s="67" t="str">
        <f aca="false">IF(D7&lt;G7,B7,"")</f>
        <v/>
      </c>
      <c r="J7" s="16"/>
      <c r="L7" s="99"/>
      <c r="M7" s="99"/>
      <c r="N7" s="99"/>
      <c r="Q7" s="16" t="n">
        <v>12015</v>
      </c>
    </row>
    <row r="8" customFormat="false" ht="12.75" hidden="false" customHeight="false" outlineLevel="0" collapsed="false">
      <c r="A8" s="97" t="s">
        <v>119</v>
      </c>
      <c r="B8" s="6" t="n">
        <v>11</v>
      </c>
      <c r="C8" s="18" t="n">
        <v>3378651</v>
      </c>
      <c r="D8" s="18" t="n">
        <v>1764862</v>
      </c>
      <c r="E8" s="95" t="n">
        <f aca="false">D8/C8</f>
        <v>0.522356999879538</v>
      </c>
      <c r="F8" s="67" t="n">
        <f aca="false">IF(D8&gt;G8,B8,"")</f>
        <v>11</v>
      </c>
      <c r="G8" s="18" t="n">
        <v>1577729</v>
      </c>
      <c r="H8" s="98" t="n">
        <f aca="false">G8/C8</f>
        <v>0.466970101380699</v>
      </c>
      <c r="I8" s="67" t="str">
        <f aca="false">IF(D8&lt;G8,B8,"")</f>
        <v/>
      </c>
      <c r="J8" s="16"/>
      <c r="L8" s="99"/>
      <c r="M8" s="99"/>
      <c r="N8" s="99"/>
      <c r="Q8" s="16" t="n">
        <v>36060</v>
      </c>
    </row>
    <row r="9" customFormat="false" ht="12.75" hidden="false" customHeight="false" outlineLevel="0" collapsed="false">
      <c r="A9" s="97" t="s">
        <v>120</v>
      </c>
      <c r="B9" s="6" t="n">
        <v>6</v>
      </c>
      <c r="C9" s="18" t="n">
        <v>1180847</v>
      </c>
      <c r="D9" s="18" t="n">
        <v>758349</v>
      </c>
      <c r="E9" s="95" t="n">
        <f aca="false">D9/C9</f>
        <v>0.642207669579548</v>
      </c>
      <c r="F9" s="67" t="n">
        <f aca="false">IF(D9&gt;G9,B9,"")</f>
        <v>6</v>
      </c>
      <c r="G9" s="18" t="n">
        <v>396016</v>
      </c>
      <c r="H9" s="98" t="n">
        <f aca="false">G9/C9</f>
        <v>0.335366055043541</v>
      </c>
      <c r="I9" s="67" t="str">
        <f aca="false">IF(D9&lt;G9,B9,"")</f>
        <v/>
      </c>
      <c r="J9" s="16"/>
      <c r="L9" s="99"/>
      <c r="M9" s="99"/>
      <c r="N9" s="99"/>
      <c r="Q9" s="16" t="n">
        <v>26482</v>
      </c>
    </row>
    <row r="10" customFormat="false" ht="12.75" hidden="false" customHeight="false" outlineLevel="0" collapsed="false">
      <c r="A10" s="97" t="s">
        <v>121</v>
      </c>
      <c r="B10" s="6" t="n">
        <v>54</v>
      </c>
      <c r="C10" s="18" t="n">
        <v>15063546</v>
      </c>
      <c r="D10" s="18" t="n">
        <v>5730001</v>
      </c>
      <c r="E10" s="95" t="n">
        <f aca="false">D10/C10</f>
        <v>0.380388588450555</v>
      </c>
      <c r="F10" s="67" t="str">
        <f aca="false">IF(D10&gt;G10,B10,"")</f>
        <v/>
      </c>
      <c r="G10" s="18" t="n">
        <v>8857783</v>
      </c>
      <c r="H10" s="98" t="n">
        <f aca="false">G10/C10</f>
        <v>0.588027745923835</v>
      </c>
      <c r="I10" s="67" t="n">
        <f aca="false">IF(D10&lt;G10,B10,"")</f>
        <v>54</v>
      </c>
      <c r="J10" s="16"/>
      <c r="L10" s="99"/>
      <c r="M10" s="99"/>
      <c r="N10" s="99"/>
      <c r="Q10" s="16" t="n">
        <v>475762</v>
      </c>
    </row>
    <row r="11" customFormat="false" ht="12.75" hidden="false" customHeight="false" outlineLevel="0" collapsed="false">
      <c r="A11" s="97" t="s">
        <v>122</v>
      </c>
      <c r="B11" s="6" t="n">
        <v>10</v>
      </c>
      <c r="C11" s="18" t="n">
        <v>3189512</v>
      </c>
      <c r="D11" s="18" t="n">
        <v>1376905</v>
      </c>
      <c r="E11" s="95" t="n">
        <f aca="false">D11/C11</f>
        <v>0.431697701717379</v>
      </c>
      <c r="F11" s="67" t="str">
        <f aca="false">IF(D11&gt;G11,B11,"")</f>
        <v/>
      </c>
      <c r="G11" s="18" t="n">
        <v>1727379</v>
      </c>
      <c r="H11" s="98" t="n">
        <f aca="false">G11/C11</f>
        <v>0.541580969126312</v>
      </c>
      <c r="I11" s="67" t="n">
        <f aca="false">IF(D11&lt;G11,B11,"")</f>
        <v>10</v>
      </c>
      <c r="J11" s="16"/>
      <c r="L11" s="99"/>
      <c r="M11" s="99"/>
      <c r="N11" s="99"/>
      <c r="Q11" s="16" t="n">
        <v>85228</v>
      </c>
    </row>
    <row r="12" customFormat="false" ht="12.75" hidden="false" customHeight="false" outlineLevel="0" collapsed="false">
      <c r="A12" s="97" t="s">
        <v>123</v>
      </c>
      <c r="B12" s="6" t="n">
        <v>7</v>
      </c>
      <c r="C12" s="18" t="n">
        <v>1758106</v>
      </c>
      <c r="D12" s="18" t="n">
        <v>736885</v>
      </c>
      <c r="E12" s="95" t="n">
        <f aca="false">D12/C12</f>
        <v>0.41913570626572</v>
      </c>
      <c r="F12" s="67" t="str">
        <f aca="false">IF(D12&gt;G12,B12,"")</f>
        <v/>
      </c>
      <c r="G12" s="18" t="n">
        <v>991206</v>
      </c>
      <c r="H12" s="98" t="n">
        <f aca="false">G12/C12</f>
        <v>0.563791944285498</v>
      </c>
      <c r="I12" s="67" t="n">
        <f aca="false">IF(D12&lt;G12,B12,"")</f>
        <v>7</v>
      </c>
      <c r="J12" s="16"/>
      <c r="L12" s="99"/>
      <c r="M12" s="99"/>
      <c r="N12" s="99"/>
      <c r="Q12" s="16" t="n">
        <v>30015</v>
      </c>
    </row>
    <row r="13" customFormat="false" ht="12.75" hidden="false" customHeight="false" outlineLevel="0" collapsed="false">
      <c r="A13" s="97" t="s">
        <v>124</v>
      </c>
      <c r="B13" s="6" t="n">
        <v>3</v>
      </c>
      <c r="C13" s="18" t="n">
        <v>512912</v>
      </c>
      <c r="D13" s="18" t="n">
        <v>214351</v>
      </c>
      <c r="E13" s="95" t="n">
        <f aca="false">D13/C13</f>
        <v>0.417909894874754</v>
      </c>
      <c r="F13" s="67" t="str">
        <f aca="false">IF(D13&gt;G13,B13,"")</f>
        <v/>
      </c>
      <c r="G13" s="18" t="n">
        <v>289758</v>
      </c>
      <c r="H13" s="98" t="n">
        <f aca="false">G13/C13</f>
        <v>0.564927316966653</v>
      </c>
      <c r="I13" s="67" t="n">
        <f aca="false">IF(D13&lt;G13,B13,"")</f>
        <v>3</v>
      </c>
      <c r="J13" s="16"/>
      <c r="L13" s="99"/>
      <c r="M13" s="99"/>
      <c r="N13" s="99"/>
      <c r="Q13" s="16" t="n">
        <v>8803</v>
      </c>
    </row>
    <row r="14" customFormat="false" ht="12.75" hidden="false" customHeight="false" outlineLevel="0" collapsed="false">
      <c r="A14" s="97" t="s">
        <v>125</v>
      </c>
      <c r="B14" s="6" t="n">
        <v>3</v>
      </c>
      <c r="C14" s="18" t="n">
        <v>317792</v>
      </c>
      <c r="D14" s="18" t="n">
        <v>20659</v>
      </c>
      <c r="E14" s="95" t="n">
        <f aca="false">D14/C14</f>
        <v>0.0650079297150337</v>
      </c>
      <c r="F14" s="67" t="str">
        <f aca="false">IF(D14&gt;G14,B14,"")</f>
        <v/>
      </c>
      <c r="G14" s="18" t="n">
        <v>286787</v>
      </c>
      <c r="H14" s="98" t="n">
        <f aca="false">G14/C14</f>
        <v>0.902436184674252</v>
      </c>
      <c r="I14" s="67" t="n">
        <f aca="false">IF(D14&lt;G14,B14,"")</f>
        <v>3</v>
      </c>
      <c r="J14" s="16"/>
      <c r="L14" s="99"/>
      <c r="M14" s="99"/>
      <c r="N14" s="99"/>
      <c r="Q14" s="16" t="n">
        <v>10346</v>
      </c>
    </row>
    <row r="15" customFormat="false" ht="12.75" hidden="false" customHeight="false" outlineLevel="0" collapsed="false">
      <c r="A15" s="97" t="s">
        <v>127</v>
      </c>
      <c r="B15" s="6" t="n">
        <v>30</v>
      </c>
      <c r="C15" s="18" t="n">
        <v>10932633</v>
      </c>
      <c r="D15" s="18" t="n">
        <v>6109564</v>
      </c>
      <c r="E15" s="95" t="n">
        <f aca="false">D15/C15</f>
        <v>0.558837381626183</v>
      </c>
      <c r="F15" s="67" t="n">
        <f aca="false">IF(D15&gt;G15,B15,"")</f>
        <v>30</v>
      </c>
      <c r="G15" s="18" t="n">
        <v>4680896</v>
      </c>
      <c r="H15" s="98" t="n">
        <f aca="false">G15/C15</f>
        <v>0.42815815732587</v>
      </c>
      <c r="I15" s="67" t="str">
        <f aca="false">IF(D15&lt;G15,B15,"")</f>
        <v/>
      </c>
      <c r="J15" s="16"/>
      <c r="L15" s="99"/>
      <c r="M15" s="99"/>
      <c r="N15" s="99"/>
      <c r="Q15" s="16" t="n">
        <v>142173</v>
      </c>
    </row>
    <row r="16" customFormat="false" ht="12.75" hidden="false" customHeight="false" outlineLevel="0" collapsed="false">
      <c r="A16" s="97" t="s">
        <v>128</v>
      </c>
      <c r="B16" s="6" t="n">
        <v>16</v>
      </c>
      <c r="C16" s="18" t="n">
        <v>5250041</v>
      </c>
      <c r="D16" s="18" t="n">
        <v>2663114</v>
      </c>
      <c r="E16" s="95" t="n">
        <f aca="false">D16/C16</f>
        <v>0.507255848097186</v>
      </c>
      <c r="F16" s="67" t="n">
        <f aca="false">IF(D16&gt;G16,B16,"")</f>
        <v>16</v>
      </c>
      <c r="G16" s="18" t="n">
        <v>2548014</v>
      </c>
      <c r="H16" s="98" t="n">
        <f aca="false">G16/C16</f>
        <v>0.485332209786552</v>
      </c>
      <c r="I16" s="67" t="str">
        <f aca="false">IF(D16&lt;G16,B16,"")</f>
        <v/>
      </c>
      <c r="J16" s="16"/>
      <c r="L16" s="99"/>
      <c r="M16" s="99"/>
      <c r="N16" s="99"/>
      <c r="Q16" s="16" t="n">
        <v>38913</v>
      </c>
    </row>
    <row r="17" customFormat="false" ht="12.75" hidden="false" customHeight="false" outlineLevel="0" collapsed="false">
      <c r="A17" s="97" t="s">
        <v>129</v>
      </c>
      <c r="B17" s="6" t="n">
        <v>4</v>
      </c>
      <c r="C17" s="18" t="n">
        <v>516701</v>
      </c>
      <c r="D17" s="18" t="n">
        <v>193661</v>
      </c>
      <c r="E17" s="95" t="n">
        <f aca="false">D17/C17</f>
        <v>0.374802835682532</v>
      </c>
      <c r="F17" s="67" t="str">
        <f aca="false">IF(D17&gt;G17,B17,"")</f>
        <v/>
      </c>
      <c r="G17" s="18" t="n">
        <v>313044</v>
      </c>
      <c r="H17" s="98" t="n">
        <f aca="false">G17/C17</f>
        <v>0.605851353103633</v>
      </c>
      <c r="I17" s="67" t="n">
        <f aca="false">IF(D17&lt;G17,B17,"")</f>
        <v>4</v>
      </c>
      <c r="J17" s="16"/>
      <c r="L17" s="99"/>
      <c r="M17" s="99"/>
      <c r="N17" s="99"/>
      <c r="Q17" s="16" t="n">
        <v>9996</v>
      </c>
    </row>
    <row r="18" customFormat="false" ht="12.75" hidden="false" customHeight="false" outlineLevel="0" collapsed="false">
      <c r="A18" s="97" t="s">
        <v>130</v>
      </c>
      <c r="B18" s="6" t="n">
        <v>4</v>
      </c>
      <c r="C18" s="18" t="n">
        <v>904964</v>
      </c>
      <c r="D18" s="18" t="n">
        <v>605246</v>
      </c>
      <c r="E18" s="95" t="n">
        <f aca="false">D18/C18</f>
        <v>0.668806714963247</v>
      </c>
      <c r="F18" s="67" t="n">
        <f aca="false">IF(D18&gt;G18,B18,"")</f>
        <v>4</v>
      </c>
      <c r="G18" s="18" t="n">
        <v>274972</v>
      </c>
      <c r="H18" s="98" t="n">
        <f aca="false">G18/C18</f>
        <v>0.303848550881582</v>
      </c>
      <c r="I18" s="67" t="str">
        <f aca="false">IF(D18&lt;G18,B18,"")</f>
        <v/>
      </c>
      <c r="J18" s="16"/>
      <c r="L18" s="99"/>
      <c r="M18" s="99"/>
      <c r="N18" s="99"/>
      <c r="Q18" s="16" t="n">
        <v>24746</v>
      </c>
    </row>
    <row r="19" customFormat="false" ht="12.75" hidden="false" customHeight="false" outlineLevel="0" collapsed="false">
      <c r="A19" s="97" t="s">
        <v>131</v>
      </c>
      <c r="B19" s="6" t="n">
        <v>19</v>
      </c>
      <c r="C19" s="18" t="n">
        <v>5489894</v>
      </c>
      <c r="D19" s="18" t="n">
        <v>2422142</v>
      </c>
      <c r="E19" s="95" t="n">
        <f aca="false">D19/C19</f>
        <v>0.441200139747689</v>
      </c>
      <c r="F19" s="67" t="str">
        <f aca="false">IF(D19&gt;G19,B19,"")</f>
        <v/>
      </c>
      <c r="G19" s="18" t="n">
        <v>2976298</v>
      </c>
      <c r="H19" s="98" t="n">
        <f aca="false">G19/C19</f>
        <v>0.542141250814679</v>
      </c>
      <c r="I19" s="67" t="n">
        <f aca="false">IF(D19&lt;G19,B19,"")</f>
        <v>19</v>
      </c>
      <c r="J19" s="16"/>
      <c r="L19" s="99"/>
      <c r="M19" s="99"/>
      <c r="N19" s="99"/>
      <c r="Q19" s="16" t="n">
        <v>91454</v>
      </c>
    </row>
    <row r="20" customFormat="false" ht="12.75" hidden="false" customHeight="false" outlineLevel="0" collapsed="false">
      <c r="A20" s="97" t="s">
        <v>132</v>
      </c>
      <c r="B20" s="6" t="n">
        <v>11</v>
      </c>
      <c r="C20" s="18" t="n">
        <v>2935043</v>
      </c>
      <c r="D20" s="18" t="n">
        <v>1720033</v>
      </c>
      <c r="E20" s="95" t="n">
        <f aca="false">D20/C20</f>
        <v>0.586033322169386</v>
      </c>
      <c r="F20" s="67" t="n">
        <f aca="false">IF(D20&gt;G20,B20,"")</f>
        <v>11</v>
      </c>
      <c r="G20" s="18" t="n">
        <v>1163174</v>
      </c>
      <c r="H20" s="98" t="n">
        <f aca="false">G20/C20</f>
        <v>0.39630560778837</v>
      </c>
      <c r="I20" s="67" t="str">
        <f aca="false">IF(D20&lt;G20,B20,"")</f>
        <v/>
      </c>
      <c r="J20" s="16"/>
      <c r="L20" s="99"/>
      <c r="M20" s="99"/>
      <c r="N20" s="99"/>
      <c r="Q20" s="16" t="n">
        <v>51836</v>
      </c>
    </row>
    <row r="21" customFormat="false" ht="12.75" hidden="false" customHeight="false" outlineLevel="0" collapsed="false">
      <c r="A21" s="97" t="s">
        <v>133</v>
      </c>
      <c r="B21" s="6" t="n">
        <v>6</v>
      </c>
      <c r="C21" s="18" t="n">
        <v>1663458</v>
      </c>
      <c r="D21" s="18" t="n">
        <v>926983</v>
      </c>
      <c r="E21" s="95" t="n">
        <f aca="false">D21/C21</f>
        <v>0.557262642038452</v>
      </c>
      <c r="F21" s="67" t="n">
        <f aca="false">IF(D21&gt;G21,B21,"")</f>
        <v>6</v>
      </c>
      <c r="G21" s="18" t="n">
        <v>707266</v>
      </c>
      <c r="H21" s="98" t="n">
        <f aca="false">G21/C21</f>
        <v>0.425178152980117</v>
      </c>
      <c r="I21" s="67" t="str">
        <f aca="false">IF(D21&lt;G21,B21,"")</f>
        <v/>
      </c>
      <c r="J21" s="16"/>
      <c r="L21" s="99"/>
      <c r="M21" s="99"/>
      <c r="N21" s="99"/>
      <c r="Q21" s="16" t="n">
        <v>29209</v>
      </c>
    </row>
    <row r="22" customFormat="false" ht="12.75" hidden="false" customHeight="false" outlineLevel="0" collapsed="false">
      <c r="A22" s="97" t="s">
        <v>134</v>
      </c>
      <c r="B22" s="6" t="n">
        <v>6</v>
      </c>
      <c r="C22" s="18" t="n">
        <v>1296665</v>
      </c>
      <c r="D22" s="18" t="n">
        <v>741464</v>
      </c>
      <c r="E22" s="95" t="n">
        <f aca="false">D22/C22</f>
        <v>0.571823871238909</v>
      </c>
      <c r="F22" s="67" t="n">
        <f aca="false">IF(D22&gt;G22,B22,"")</f>
        <v>6</v>
      </c>
      <c r="G22" s="18" t="n">
        <v>531989</v>
      </c>
      <c r="H22" s="98" t="n">
        <f aca="false">G22/C22</f>
        <v>0.410274820404653</v>
      </c>
      <c r="I22" s="67" t="str">
        <f aca="false">IF(D22&lt;G22,B22,"")</f>
        <v/>
      </c>
      <c r="J22" s="16"/>
      <c r="L22" s="99"/>
      <c r="M22" s="99"/>
      <c r="N22" s="99"/>
      <c r="Q22" s="16" t="n">
        <v>23212</v>
      </c>
    </row>
    <row r="23" customFormat="false" ht="12.75" hidden="false" customHeight="false" outlineLevel="0" collapsed="false">
      <c r="A23" s="97" t="s">
        <v>135</v>
      </c>
      <c r="B23" s="6" t="n">
        <v>8</v>
      </c>
      <c r="C23" s="18" t="n">
        <v>2070052</v>
      </c>
      <c r="D23" s="18" t="n">
        <v>1336227</v>
      </c>
      <c r="E23" s="95" t="n">
        <f aca="false">D23/C23</f>
        <v>0.645504074293786</v>
      </c>
      <c r="F23" s="67" t="n">
        <f aca="false">IF(D23&gt;G23,B23,"")</f>
        <v>8</v>
      </c>
      <c r="G23" s="18" t="n">
        <v>700920</v>
      </c>
      <c r="H23" s="98" t="n">
        <f aca="false">G23/C23</f>
        <v>0.338600189753687</v>
      </c>
      <c r="I23" s="67" t="str">
        <f aca="false">IF(D23&lt;G23,B23,"")</f>
        <v/>
      </c>
      <c r="J23" s="16"/>
      <c r="L23" s="99"/>
      <c r="M23" s="99"/>
      <c r="N23" s="99"/>
      <c r="Q23" s="16" t="n">
        <v>32905</v>
      </c>
    </row>
    <row r="24" customFormat="false" ht="12.75" hidden="false" customHeight="false" outlineLevel="0" collapsed="false">
      <c r="A24" s="97" t="s">
        <v>136</v>
      </c>
      <c r="B24" s="6" t="n">
        <v>8</v>
      </c>
      <c r="C24" s="18" t="n">
        <v>2006975</v>
      </c>
      <c r="D24" s="18" t="n">
        <v>1208505</v>
      </c>
      <c r="E24" s="95" t="n">
        <f aca="false">D24/C24</f>
        <v>0.602152493180035</v>
      </c>
      <c r="F24" s="67" t="n">
        <f aca="false">IF(D24&gt;G24,B24,"")</f>
        <v>8</v>
      </c>
      <c r="G24" s="18" t="n">
        <v>766870</v>
      </c>
      <c r="H24" s="98" t="n">
        <f aca="false">G24/C24</f>
        <v>0.38210241781786</v>
      </c>
      <c r="I24" s="67" t="str">
        <f aca="false">IF(D24&lt;G24,B24,"")</f>
        <v/>
      </c>
      <c r="J24" s="16"/>
      <c r="L24" s="99"/>
      <c r="M24" s="99"/>
      <c r="N24" s="99"/>
      <c r="Q24" s="16" t="n">
        <v>31600</v>
      </c>
    </row>
    <row r="25" customFormat="false" ht="12.75" hidden="false" customHeight="false" outlineLevel="0" collapsed="false">
      <c r="A25" s="97" t="s">
        <v>137</v>
      </c>
      <c r="B25" s="6" t="n">
        <v>4</v>
      </c>
      <c r="C25" s="18" t="n">
        <v>825727</v>
      </c>
      <c r="D25" s="18" t="n">
        <v>374453</v>
      </c>
      <c r="E25" s="95" t="n">
        <f aca="false">D25/C25</f>
        <v>0.453482809693761</v>
      </c>
      <c r="F25" s="6" t="n">
        <v>1</v>
      </c>
      <c r="G25" s="18" t="n">
        <v>430512</v>
      </c>
      <c r="H25" s="98" t="n">
        <f aca="false">G25/C25</f>
        <v>0.521373286812712</v>
      </c>
      <c r="I25" s="67" t="n">
        <v>3</v>
      </c>
      <c r="J25" s="16"/>
      <c r="L25" s="99"/>
      <c r="M25" s="99"/>
      <c r="N25" s="99"/>
      <c r="Q25" s="16" t="n">
        <v>20762</v>
      </c>
    </row>
    <row r="26" customFormat="false" ht="12.75" hidden="false" customHeight="false" outlineLevel="0" collapsed="false">
      <c r="A26" s="97" t="s">
        <v>138</v>
      </c>
      <c r="B26" s="6" t="n">
        <v>10</v>
      </c>
      <c r="C26" s="18" t="n">
        <v>2910897</v>
      </c>
      <c r="D26" s="18" t="n">
        <v>1011578</v>
      </c>
      <c r="E26" s="95" t="n">
        <f aca="false">D26/C26</f>
        <v>0.347514185489902</v>
      </c>
      <c r="F26" s="67" t="str">
        <f aca="false">IF(D26&gt;G26,B26,"")</f>
        <v/>
      </c>
      <c r="G26" s="18" t="n">
        <v>1804200</v>
      </c>
      <c r="H26" s="98" t="n">
        <f aca="false">G26/C26</f>
        <v>0.619808945489998</v>
      </c>
      <c r="I26" s="67" t="n">
        <f aca="false">IF(D26&lt;G26,B26,"")</f>
        <v>10</v>
      </c>
      <c r="J26" s="16"/>
      <c r="L26" s="99"/>
      <c r="M26" s="99"/>
      <c r="N26" s="99"/>
      <c r="Q26" s="16" t="n">
        <v>95119</v>
      </c>
    </row>
    <row r="27" customFormat="false" ht="12.75" hidden="false" customHeight="false" outlineLevel="0" collapsed="false">
      <c r="A27" s="97" t="s">
        <v>139</v>
      </c>
      <c r="B27" s="6" t="n">
        <v>11</v>
      </c>
      <c r="C27" s="18" t="n">
        <v>3381110</v>
      </c>
      <c r="D27" s="18" t="n">
        <v>1234783</v>
      </c>
      <c r="E27" s="95" t="n">
        <f aca="false">D27/C27</f>
        <v>0.365200481498679</v>
      </c>
      <c r="F27" s="67" t="str">
        <f aca="false">IF(D27&gt;G27,B27,"")</f>
        <v/>
      </c>
      <c r="G27" s="18" t="n">
        <v>2072304</v>
      </c>
      <c r="H27" s="98" t="n">
        <f aca="false">G27/C27</f>
        <v>0.612906412391197</v>
      </c>
      <c r="I27" s="67" t="n">
        <f aca="false">IF(D27&lt;G27,B27,"")</f>
        <v>11</v>
      </c>
      <c r="J27" s="16"/>
      <c r="L27" s="99"/>
      <c r="M27" s="99"/>
      <c r="N27" s="99"/>
      <c r="Q27" s="16" t="n">
        <v>74023</v>
      </c>
    </row>
    <row r="28" customFormat="false" ht="12.75" hidden="false" customHeight="false" outlineLevel="0" collapsed="false">
      <c r="A28" s="97" t="s">
        <v>140</v>
      </c>
      <c r="B28" s="6" t="n">
        <v>15</v>
      </c>
      <c r="C28" s="18" t="n">
        <v>5651652</v>
      </c>
      <c r="D28" s="18" t="n">
        <v>2810744</v>
      </c>
      <c r="E28" s="95" t="n">
        <f aca="false">D28/C28</f>
        <v>0.497331399739404</v>
      </c>
      <c r="F28" s="67" t="n">
        <f aca="false">IF(D28&gt;G28,B28,"")</f>
        <v>15</v>
      </c>
      <c r="G28" s="18" t="n">
        <v>2731759</v>
      </c>
      <c r="H28" s="98" t="n">
        <f aca="false">G28/C28</f>
        <v>0.483355840026951</v>
      </c>
      <c r="I28" s="67" t="str">
        <f aca="false">IF(D28&lt;G28,B28,"")</f>
        <v/>
      </c>
      <c r="J28" s="16"/>
      <c r="L28" s="99"/>
      <c r="M28" s="99"/>
      <c r="N28" s="99"/>
      <c r="Q28" s="16" t="n">
        <v>109149</v>
      </c>
    </row>
    <row r="29" customFormat="false" ht="12.75" hidden="false" customHeight="false" outlineLevel="0" collapsed="false">
      <c r="A29" s="97" t="s">
        <v>141</v>
      </c>
      <c r="B29" s="6" t="n">
        <v>10</v>
      </c>
      <c r="C29" s="18" t="n">
        <v>3253877</v>
      </c>
      <c r="D29" s="18" t="n">
        <v>1519017</v>
      </c>
      <c r="E29" s="95" t="n">
        <f aca="false">D29/C29</f>
        <v>0.4668329503543</v>
      </c>
      <c r="F29" s="67" t="str">
        <f aca="false">IF(D29&gt;G29,B29,"")</f>
        <v/>
      </c>
      <c r="G29" s="18" t="n">
        <v>1656968</v>
      </c>
      <c r="H29" s="98" t="n">
        <f aca="false">G29/C29</f>
        <v>0.509228836861381</v>
      </c>
      <c r="I29" s="67" t="n">
        <f aca="false">IF(D29&lt;G29,B29,"")</f>
        <v>10</v>
      </c>
      <c r="J29" s="16"/>
      <c r="L29" s="99"/>
      <c r="M29" s="99"/>
      <c r="N29" s="99"/>
      <c r="Q29" s="16" t="n">
        <v>77892</v>
      </c>
    </row>
    <row r="30" customFormat="false" ht="12.75" hidden="false" customHeight="false" outlineLevel="0" collapsed="false">
      <c r="A30" s="97" t="s">
        <v>142</v>
      </c>
      <c r="B30" s="6" t="n">
        <v>6</v>
      </c>
      <c r="C30" s="18" t="n">
        <v>1125079</v>
      </c>
      <c r="D30" s="18" t="n">
        <v>689451</v>
      </c>
      <c r="E30" s="95" t="n">
        <f aca="false">D30/C30</f>
        <v>0.612802300993975</v>
      </c>
      <c r="F30" s="67" t="n">
        <f aca="false">IF(D30&gt;G30,B30,"")</f>
        <v>6</v>
      </c>
      <c r="G30" s="18" t="n">
        <v>420926</v>
      </c>
      <c r="H30" s="98" t="n">
        <f aca="false">G30/C30</f>
        <v>0.374130172192353</v>
      </c>
      <c r="I30" s="67" t="str">
        <f aca="false">IF(D30&lt;G30,B30,"")</f>
        <v/>
      </c>
      <c r="J30" s="16"/>
      <c r="L30" s="99"/>
      <c r="M30" s="99"/>
      <c r="N30" s="99"/>
      <c r="Q30" s="16" t="n">
        <v>14702</v>
      </c>
    </row>
    <row r="31" customFormat="false" ht="12.75" hidden="false" customHeight="false" outlineLevel="0" collapsed="false">
      <c r="A31" s="97" t="s">
        <v>143</v>
      </c>
      <c r="B31" s="6" t="n">
        <v>10</v>
      </c>
      <c r="C31" s="18" t="n">
        <v>2979048</v>
      </c>
      <c r="D31" s="18" t="n">
        <v>1739020</v>
      </c>
      <c r="E31" s="95" t="n">
        <f aca="false">D31/C31</f>
        <v>0.583750245044726</v>
      </c>
      <c r="F31" s="67" t="n">
        <f aca="false">IF(D31&gt;G31,B31,"")</f>
        <v>10</v>
      </c>
      <c r="G31" s="18" t="n">
        <v>1190806</v>
      </c>
      <c r="H31" s="98" t="n">
        <f aca="false">G31/C31</f>
        <v>0.399727026889127</v>
      </c>
      <c r="I31" s="67" t="str">
        <f aca="false">IF(D31&lt;G31,B31,"")</f>
        <v/>
      </c>
      <c r="J31" s="16"/>
      <c r="L31" s="99"/>
      <c r="M31" s="99"/>
      <c r="N31" s="99"/>
      <c r="Q31" s="16" t="n">
        <v>49222</v>
      </c>
    </row>
    <row r="32" customFormat="false" ht="12.75" hidden="false" customHeight="false" outlineLevel="0" collapsed="false">
      <c r="A32" s="97" t="s">
        <v>144</v>
      </c>
      <c r="B32" s="6" t="n">
        <v>4</v>
      </c>
      <c r="C32" s="18" t="n">
        <v>602832</v>
      </c>
      <c r="D32" s="18" t="n">
        <v>351998</v>
      </c>
      <c r="E32" s="95" t="n">
        <f aca="false">D32/C32</f>
        <v>0.58390729092019</v>
      </c>
      <c r="F32" s="67" t="n">
        <f aca="false">IF(D32&gt;G32,B32,"")</f>
        <v>4</v>
      </c>
      <c r="G32" s="18" t="n">
        <v>231858</v>
      </c>
      <c r="H32" s="98" t="n">
        <f aca="false">G32/C32</f>
        <v>0.384614618998328</v>
      </c>
      <c r="I32" s="67" t="str">
        <f aca="false">IF(D32&lt;G32,B32,"")</f>
        <v/>
      </c>
      <c r="J32" s="16"/>
      <c r="L32" s="99"/>
      <c r="M32" s="99"/>
      <c r="N32" s="99"/>
      <c r="Q32" s="16" t="n">
        <v>18976</v>
      </c>
    </row>
    <row r="33" customFormat="false" ht="12.75" hidden="false" customHeight="false" outlineLevel="0" collapsed="false">
      <c r="A33" s="97" t="s">
        <v>145</v>
      </c>
      <c r="B33" s="6" t="n">
        <v>5</v>
      </c>
      <c r="C33" s="18" t="n">
        <v>931163</v>
      </c>
      <c r="D33" s="18" t="n">
        <v>557156</v>
      </c>
      <c r="E33" s="95" t="n">
        <f aca="false">D33/C33</f>
        <v>0.598344221151399</v>
      </c>
      <c r="F33" s="6" t="n">
        <v>4</v>
      </c>
      <c r="G33" s="18" t="n">
        <v>361949</v>
      </c>
      <c r="H33" s="98" t="n">
        <f aca="false">G33/C33</f>
        <v>0.388706381159904</v>
      </c>
      <c r="I33" s="67" t="n">
        <v>1</v>
      </c>
      <c r="J33" s="16"/>
      <c r="L33" s="99"/>
      <c r="M33" s="99"/>
      <c r="N33" s="99"/>
      <c r="Q33" s="16" t="n">
        <v>12058</v>
      </c>
    </row>
    <row r="34" customFormat="false" ht="12.75" hidden="false" customHeight="false" outlineLevel="0" collapsed="false">
      <c r="A34" s="97" t="s">
        <v>146</v>
      </c>
      <c r="B34" s="6" t="n">
        <v>6</v>
      </c>
      <c r="C34" s="18" t="n">
        <v>1484840</v>
      </c>
      <c r="D34" s="18" t="n">
        <v>751205</v>
      </c>
      <c r="E34" s="95" t="n">
        <f aca="false">D34/C34</f>
        <v>0.505916462379785</v>
      </c>
      <c r="F34" s="67" t="n">
        <f aca="false">IF(D34&gt;G34,B34,"")</f>
        <v>6</v>
      </c>
      <c r="G34" s="18" t="n">
        <v>705197</v>
      </c>
      <c r="H34" s="98" t="n">
        <f aca="false">G34/C34</f>
        <v>0.47493130572991</v>
      </c>
      <c r="I34" s="67" t="str">
        <f aca="false">IF(D34&lt;G34,B34,"")</f>
        <v/>
      </c>
      <c r="J34" s="16"/>
      <c r="L34" s="99"/>
      <c r="M34" s="99"/>
      <c r="N34" s="99"/>
      <c r="Q34" s="16" t="n">
        <v>28438</v>
      </c>
    </row>
    <row r="35" customFormat="false" ht="12.75" hidden="false" customHeight="false" outlineLevel="0" collapsed="false">
      <c r="A35" s="97" t="s">
        <v>147</v>
      </c>
      <c r="B35" s="6" t="n">
        <v>4</v>
      </c>
      <c r="C35" s="18" t="n">
        <v>826205</v>
      </c>
      <c r="D35" s="18" t="n">
        <v>395531</v>
      </c>
      <c r="E35" s="95" t="n">
        <f aca="false">D35/C35</f>
        <v>0.478732275887946</v>
      </c>
      <c r="F35" s="67" t="str">
        <f aca="false">IF(D35&gt;G35,B35,"")</f>
        <v/>
      </c>
      <c r="G35" s="18" t="n">
        <v>418496</v>
      </c>
      <c r="H35" s="98" t="n">
        <f aca="false">G35/C35</f>
        <v>0.50652804086153</v>
      </c>
      <c r="I35" s="67" t="n">
        <f aca="false">IF(D35&lt;G35,B35,"")</f>
        <v>4</v>
      </c>
      <c r="J35" s="16"/>
      <c r="L35" s="99"/>
      <c r="M35" s="99"/>
      <c r="N35" s="99"/>
      <c r="Q35" s="16" t="n">
        <v>12178</v>
      </c>
    </row>
    <row r="36" customFormat="false" ht="12.75" hidden="false" customHeight="false" outlineLevel="0" collapsed="false">
      <c r="A36" s="97" t="s">
        <v>148</v>
      </c>
      <c r="B36" s="6" t="n">
        <v>14</v>
      </c>
      <c r="C36" s="18" t="n">
        <v>4223751</v>
      </c>
      <c r="D36" s="18" t="n">
        <v>1944497</v>
      </c>
      <c r="E36" s="95" t="n">
        <f aca="false">D36/C36</f>
        <v>0.460372072122623</v>
      </c>
      <c r="F36" s="67" t="str">
        <f aca="false">IF(D36&gt;G36,B36,"")</f>
        <v/>
      </c>
      <c r="G36" s="18" t="n">
        <v>2184451</v>
      </c>
      <c r="H36" s="98" t="n">
        <f aca="false">G36/C36</f>
        <v>0.517182712711995</v>
      </c>
      <c r="I36" s="67" t="n">
        <f aca="false">IF(D36&lt;G36,B36,"")</f>
        <v>14</v>
      </c>
      <c r="J36" s="16"/>
      <c r="L36" s="99"/>
      <c r="M36" s="99"/>
      <c r="N36" s="99"/>
      <c r="Q36" s="16" t="n">
        <v>94803</v>
      </c>
    </row>
    <row r="37" customFormat="false" ht="12.75" hidden="false" customHeight="false" outlineLevel="0" collapsed="false">
      <c r="A37" s="97" t="s">
        <v>149</v>
      </c>
      <c r="B37" s="6" t="n">
        <v>5</v>
      </c>
      <c r="C37" s="18" t="n">
        <v>923247</v>
      </c>
      <c r="D37" s="18" t="n">
        <v>423327</v>
      </c>
      <c r="E37" s="95" t="n">
        <f aca="false">D37/C37</f>
        <v>0.458519767732795</v>
      </c>
      <c r="F37" s="67" t="str">
        <f aca="false">IF(D37&gt;G37,B37,"")</f>
        <v/>
      </c>
      <c r="G37" s="18" t="n">
        <v>478727</v>
      </c>
      <c r="H37" s="98" t="n">
        <f aca="false">G37/C37</f>
        <v>0.518525378365703</v>
      </c>
      <c r="I37" s="67" t="n">
        <f aca="false">IF(D37&lt;G37,B37,"")</f>
        <v>5</v>
      </c>
      <c r="J37" s="16"/>
      <c r="L37" s="99"/>
      <c r="M37" s="99"/>
      <c r="N37" s="99"/>
      <c r="Q37" s="16" t="n">
        <v>21193</v>
      </c>
    </row>
    <row r="38" customFormat="false" ht="12.75" hidden="false" customHeight="false" outlineLevel="0" collapsed="false">
      <c r="A38" s="97" t="s">
        <v>150</v>
      </c>
      <c r="B38" s="6" t="n">
        <v>28</v>
      </c>
      <c r="C38" s="18" t="n">
        <v>7934842</v>
      </c>
      <c r="D38" s="18" t="n">
        <v>3456869</v>
      </c>
      <c r="E38" s="95" t="n">
        <f aca="false">D38/C38</f>
        <v>0.435656941877356</v>
      </c>
      <c r="F38" s="67" t="str">
        <f aca="false">IF(D38&gt;G38,B38,"")</f>
        <v/>
      </c>
      <c r="G38" s="18" t="n">
        <v>4375377</v>
      </c>
      <c r="H38" s="98" t="n">
        <f aca="false">G38/C38</f>
        <v>0.551413248052072</v>
      </c>
      <c r="I38" s="67" t="n">
        <f aca="false">IF(D38&lt;G38,B38,"")</f>
        <v>28</v>
      </c>
      <c r="J38" s="16"/>
      <c r="L38" s="99"/>
      <c r="M38" s="99"/>
      <c r="N38" s="99"/>
      <c r="Q38" s="16" t="n">
        <v>102596</v>
      </c>
    </row>
    <row r="39" customFormat="false" ht="12.75" hidden="false" customHeight="false" outlineLevel="0" collapsed="false">
      <c r="A39" s="97" t="s">
        <v>151</v>
      </c>
      <c r="B39" s="6" t="n">
        <v>16</v>
      </c>
      <c r="C39" s="18" t="n">
        <v>5658056</v>
      </c>
      <c r="D39" s="18" t="n">
        <v>2880943</v>
      </c>
      <c r="E39" s="95" t="n">
        <f aca="false">D39/C39</f>
        <v>0.509175412897999</v>
      </c>
      <c r="F39" s="67" t="n">
        <f aca="false">IF(D39&gt;G39,B39,"")</f>
        <v>16</v>
      </c>
      <c r="G39" s="18" t="n">
        <v>2692853</v>
      </c>
      <c r="H39" s="98" t="n">
        <f aca="false">G39/C39</f>
        <v>0.475932546443513</v>
      </c>
      <c r="I39" s="67" t="str">
        <f aca="false">IF(D39&lt;G39,B39,"")</f>
        <v/>
      </c>
      <c r="J39" s="16"/>
      <c r="L39" s="99"/>
      <c r="M39" s="99"/>
      <c r="N39" s="99"/>
      <c r="Q39" s="16" t="n">
        <v>84260</v>
      </c>
    </row>
    <row r="40" customFormat="false" ht="12.75" hidden="false" customHeight="false" outlineLevel="0" collapsed="false">
      <c r="A40" s="97" t="s">
        <v>152</v>
      </c>
      <c r="B40" s="6" t="n">
        <v>3</v>
      </c>
      <c r="C40" s="18" t="n">
        <v>367198</v>
      </c>
      <c r="D40" s="18" t="n">
        <v>245943</v>
      </c>
      <c r="E40" s="95" t="n">
        <f aca="false">D40/C40</f>
        <v>0.669783059820587</v>
      </c>
      <c r="F40" s="67" t="n">
        <f aca="false">IF(D40&gt;G40,B40,"")</f>
        <v>3</v>
      </c>
      <c r="G40" s="18" t="n">
        <v>111966</v>
      </c>
      <c r="H40" s="98" t="n">
        <f aca="false">G40/C40</f>
        <v>0.304919961437698</v>
      </c>
      <c r="I40" s="67" t="str">
        <f aca="false">IF(D40&lt;G40,B40,"")</f>
        <v/>
      </c>
      <c r="J40" s="16"/>
      <c r="L40" s="99"/>
      <c r="M40" s="99"/>
      <c r="N40" s="99"/>
      <c r="Q40" s="16" t="n">
        <v>9289</v>
      </c>
    </row>
    <row r="41" customFormat="false" ht="12.75" hidden="false" customHeight="false" outlineLevel="0" collapsed="false">
      <c r="A41" s="97" t="s">
        <v>153</v>
      </c>
      <c r="B41" s="6" t="n">
        <v>17</v>
      </c>
      <c r="C41" s="18" t="n">
        <v>5674445</v>
      </c>
      <c r="D41" s="18" t="n">
        <v>3119751</v>
      </c>
      <c r="E41" s="95" t="n">
        <f aca="false">D41/C41</f>
        <v>0.54978962700317</v>
      </c>
      <c r="F41" s="67" t="n">
        <f aca="false">IF(D41&gt;G41,B41,"")</f>
        <v>17</v>
      </c>
      <c r="G41" s="18" t="n">
        <v>2476816</v>
      </c>
      <c r="H41" s="98" t="n">
        <f aca="false">G41/C41</f>
        <v>0.436486035198156</v>
      </c>
      <c r="I41" s="67" t="str">
        <f aca="false">IF(D41&lt;G41,B41,"")</f>
        <v/>
      </c>
      <c r="J41" s="16"/>
      <c r="L41" s="99"/>
      <c r="M41" s="99"/>
      <c r="N41" s="99"/>
      <c r="Q41" s="16" t="n">
        <v>77878</v>
      </c>
    </row>
    <row r="42" customFormat="false" ht="12.75" hidden="false" customHeight="false" outlineLevel="0" collapsed="false">
      <c r="A42" s="97" t="s">
        <v>154</v>
      </c>
      <c r="B42" s="6" t="n">
        <v>7</v>
      </c>
      <c r="C42" s="18" t="n">
        <v>1566173</v>
      </c>
      <c r="D42" s="18" t="n">
        <v>1036213</v>
      </c>
      <c r="E42" s="95" t="n">
        <f aca="false">D42/C42</f>
        <v>0.66162103420248</v>
      </c>
      <c r="F42" s="67" t="n">
        <f aca="false">IF(D42&gt;G42,B42,"")</f>
        <v>7</v>
      </c>
      <c r="G42" s="18" t="n">
        <v>499599</v>
      </c>
      <c r="H42" s="98" t="n">
        <f aca="false">G42/C42</f>
        <v>0.31899349561</v>
      </c>
      <c r="I42" s="67" t="str">
        <f aca="false">IF(D42&lt;G42,B42,"")</f>
        <v/>
      </c>
      <c r="J42" s="16"/>
      <c r="L42" s="99"/>
      <c r="M42" s="99"/>
      <c r="N42" s="99"/>
      <c r="Q42" s="16" t="n">
        <v>30361</v>
      </c>
    </row>
    <row r="43" customFormat="false" ht="12.75" hidden="false" customHeight="false" outlineLevel="0" collapsed="false">
      <c r="A43" s="97" t="s">
        <v>155</v>
      </c>
      <c r="B43" s="6" t="n">
        <v>8</v>
      </c>
      <c r="C43" s="18" t="n">
        <v>2203461</v>
      </c>
      <c r="D43" s="18" t="n">
        <v>904547</v>
      </c>
      <c r="E43" s="95" t="n">
        <f aca="false">D43/C43</f>
        <v>0.410511917388145</v>
      </c>
      <c r="F43" s="67" t="str">
        <f aca="false">IF(D43&gt;G43,B43,"")</f>
        <v/>
      </c>
      <c r="G43" s="18" t="n">
        <v>1216305</v>
      </c>
      <c r="H43" s="98" t="n">
        <f aca="false">G43/C43</f>
        <v>0.551997516634059</v>
      </c>
      <c r="I43" s="67" t="n">
        <f aca="false">IF(D43&lt;G43,B43,"")</f>
        <v>8</v>
      </c>
      <c r="J43" s="16"/>
      <c r="L43" s="99"/>
      <c r="M43" s="99"/>
      <c r="N43" s="99"/>
      <c r="Q43" s="16" t="n">
        <v>82609</v>
      </c>
    </row>
    <row r="44" customFormat="false" ht="12.75" hidden="false" customHeight="false" outlineLevel="0" collapsed="false">
      <c r="A44" s="97" t="s">
        <v>156</v>
      </c>
      <c r="B44" s="6" t="n">
        <v>19</v>
      </c>
      <c r="C44" s="18" t="n">
        <v>7021540</v>
      </c>
      <c r="D44" s="18" t="n">
        <v>3538342</v>
      </c>
      <c r="E44" s="95" t="n">
        <f aca="false">D44/C44</f>
        <v>0.503926773898603</v>
      </c>
      <c r="F44" s="67" t="n">
        <f aca="false">IF(D44&gt;G44,B44,"")</f>
        <v>19</v>
      </c>
      <c r="G44" s="18" t="n">
        <v>3415514</v>
      </c>
      <c r="H44" s="98" t="n">
        <f aca="false">G44/C44</f>
        <v>0.486433745303737</v>
      </c>
      <c r="I44" s="67" t="str">
        <f aca="false">IF(D44&lt;G44,B44,"")</f>
        <v/>
      </c>
      <c r="J44" s="16"/>
      <c r="L44" s="99"/>
      <c r="M44" s="99"/>
      <c r="N44" s="99"/>
      <c r="Q44" s="16" t="n">
        <v>67684</v>
      </c>
    </row>
    <row r="45" customFormat="false" ht="12.75" hidden="false" customHeight="false" outlineLevel="0" collapsed="false">
      <c r="A45" s="97" t="s">
        <v>157</v>
      </c>
      <c r="B45" s="6" t="n">
        <v>4</v>
      </c>
      <c r="C45" s="18" t="n">
        <v>513354</v>
      </c>
      <c r="D45" s="18" t="n">
        <v>214398</v>
      </c>
      <c r="E45" s="95" t="n">
        <f aca="false">D45/C45</f>
        <v>0.417641627415</v>
      </c>
      <c r="F45" s="67" t="str">
        <f aca="false">IF(D45&gt;G45,B45,"")</f>
        <v/>
      </c>
      <c r="G45" s="18" t="n">
        <v>285132</v>
      </c>
      <c r="H45" s="98" t="n">
        <f aca="false">G45/C45</f>
        <v>0.555429586601059</v>
      </c>
      <c r="I45" s="67" t="n">
        <f aca="false">IF(D45&lt;G45,B45,"")</f>
        <v>4</v>
      </c>
      <c r="J45" s="16"/>
      <c r="L45" s="99"/>
      <c r="M45" s="99"/>
      <c r="N45" s="99"/>
      <c r="Q45" s="16" t="n">
        <v>13824</v>
      </c>
    </row>
    <row r="46" customFormat="false" ht="12.75" hidden="false" customHeight="false" outlineLevel="0" collapsed="false">
      <c r="A46" s="97" t="s">
        <v>158</v>
      </c>
      <c r="B46" s="6" t="n">
        <v>9</v>
      </c>
      <c r="C46" s="18" t="n">
        <v>2548140</v>
      </c>
      <c r="D46" s="18" t="n">
        <v>1483747</v>
      </c>
      <c r="E46" s="95" t="n">
        <f aca="false">D46/C46</f>
        <v>0.582286295101525</v>
      </c>
      <c r="F46" s="67" t="n">
        <f aca="false">IF(D46&gt;G46,B46,"")</f>
        <v>9</v>
      </c>
      <c r="G46" s="18" t="n">
        <v>1028452</v>
      </c>
      <c r="H46" s="98" t="n">
        <f aca="false">G46/C46</f>
        <v>0.403608906888946</v>
      </c>
      <c r="I46" s="67" t="str">
        <f aca="false">IF(D46&lt;G46,B46,"")</f>
        <v/>
      </c>
      <c r="J46" s="16"/>
      <c r="L46" s="99"/>
      <c r="M46" s="99"/>
      <c r="N46" s="99"/>
      <c r="Q46" s="16" t="n">
        <v>35941</v>
      </c>
    </row>
    <row r="47" customFormat="false" ht="12.75" hidden="false" customHeight="false" outlineLevel="0" collapsed="false">
      <c r="A47" s="97" t="s">
        <v>159</v>
      </c>
      <c r="B47" s="6" t="n">
        <v>3</v>
      </c>
      <c r="C47" s="18" t="n">
        <v>428922</v>
      </c>
      <c r="D47" s="18" t="n">
        <v>272081</v>
      </c>
      <c r="E47" s="95" t="n">
        <f aca="false">D47/C47</f>
        <v>0.634336779181296</v>
      </c>
      <c r="F47" s="67" t="n">
        <f aca="false">IF(D47&gt;G47,B47,"")</f>
        <v>3</v>
      </c>
      <c r="G47" s="18" t="n">
        <v>146859</v>
      </c>
      <c r="H47" s="98" t="n">
        <f aca="false">G47/C47</f>
        <v>0.342390924223985</v>
      </c>
      <c r="I47" s="67" t="str">
        <f aca="false">IF(D47&lt;G47,B47,"")</f>
        <v/>
      </c>
      <c r="J47" s="16"/>
      <c r="L47" s="99"/>
      <c r="M47" s="99"/>
      <c r="N47" s="99"/>
      <c r="Q47" s="16" t="n">
        <v>9982</v>
      </c>
    </row>
    <row r="48" customFormat="false" ht="12.75" hidden="false" customHeight="false" outlineLevel="0" collapsed="false">
      <c r="A48" s="97" t="s">
        <v>160</v>
      </c>
      <c r="B48" s="6" t="n">
        <v>11</v>
      </c>
      <c r="C48" s="18" t="n">
        <v>3060293</v>
      </c>
      <c r="D48" s="18" t="n">
        <v>1964499</v>
      </c>
      <c r="E48" s="95" t="n">
        <f aca="false">D48/C48</f>
        <v>0.641931671248472</v>
      </c>
      <c r="F48" s="67" t="n">
        <f aca="false">IF(D48&gt;G48,B48,"")</f>
        <v>11</v>
      </c>
      <c r="G48" s="18" t="n">
        <v>1055039</v>
      </c>
      <c r="H48" s="98" t="n">
        <f aca="false">G48/C48</f>
        <v>0.34475097645879</v>
      </c>
      <c r="I48" s="67" t="str">
        <f aca="false">IF(D48&lt;G48,B48,"")</f>
        <v/>
      </c>
      <c r="J48" s="16"/>
      <c r="L48" s="99"/>
      <c r="M48" s="99"/>
      <c r="N48" s="99"/>
      <c r="Q48" s="16" t="n">
        <v>40755</v>
      </c>
    </row>
    <row r="49" customFormat="false" ht="12.75" hidden="false" customHeight="false" outlineLevel="0" collapsed="false">
      <c r="A49" s="97" t="s">
        <v>161</v>
      </c>
      <c r="B49" s="6" t="n">
        <v>40</v>
      </c>
      <c r="C49" s="18" t="n">
        <v>11340202</v>
      </c>
      <c r="D49" s="18" t="n">
        <v>6375318</v>
      </c>
      <c r="E49" s="95" t="n">
        <f aca="false">D49/C49</f>
        <v>0.562187340225509</v>
      </c>
      <c r="F49" s="67" t="n">
        <f aca="false">IF(D49&gt;G49,B49,"")</f>
        <v>40</v>
      </c>
      <c r="G49" s="18" t="n">
        <v>4806441</v>
      </c>
      <c r="H49" s="98" t="n">
        <f aca="false">G49/C49</f>
        <v>0.423840862799446</v>
      </c>
      <c r="I49" s="67" t="str">
        <f aca="false">IF(D49&lt;G49,B49,"")</f>
        <v/>
      </c>
      <c r="J49" s="16"/>
      <c r="L49" s="99"/>
      <c r="M49" s="99"/>
      <c r="N49" s="99"/>
      <c r="Q49" s="16" t="n">
        <v>158443</v>
      </c>
    </row>
    <row r="50" customFormat="false" ht="12.75" hidden="false" customHeight="false" outlineLevel="0" collapsed="false">
      <c r="A50" s="97" t="s">
        <v>162</v>
      </c>
      <c r="B50" s="6" t="n">
        <v>6</v>
      </c>
      <c r="C50" s="18" t="n">
        <v>1472488</v>
      </c>
      <c r="D50" s="18" t="n">
        <v>873330</v>
      </c>
      <c r="E50" s="95" t="n">
        <f aca="false">D50/C50</f>
        <v>0.593098212005802</v>
      </c>
      <c r="F50" s="67" t="n">
        <f aca="false">IF(D50&gt;G50,B50,"")</f>
        <v>6</v>
      </c>
      <c r="G50" s="18" t="n">
        <v>557407</v>
      </c>
      <c r="H50" s="98" t="n">
        <f aca="false">G50/C50</f>
        <v>0.378547736891574</v>
      </c>
      <c r="I50" s="67" t="str">
        <f aca="false">IF(D50&lt;G50,B50,"")</f>
        <v/>
      </c>
      <c r="J50" s="16"/>
      <c r="L50" s="99"/>
      <c r="M50" s="99"/>
      <c r="N50" s="99"/>
      <c r="Q50" s="16" t="n">
        <v>41751</v>
      </c>
    </row>
    <row r="51" customFormat="false" ht="12.75" hidden="false" customHeight="false" outlineLevel="0" collapsed="false">
      <c r="A51" s="97" t="s">
        <v>163</v>
      </c>
      <c r="B51" s="6" t="n">
        <v>3</v>
      </c>
      <c r="C51" s="18" t="n">
        <v>369422</v>
      </c>
      <c r="D51" s="18" t="n">
        <v>119395</v>
      </c>
      <c r="E51" s="95" t="n">
        <f aca="false">D51/C51</f>
        <v>0.323194070737531</v>
      </c>
      <c r="F51" s="67" t="str">
        <f aca="false">IF(D51&gt;G51,B51,"")</f>
        <v/>
      </c>
      <c r="G51" s="18" t="n">
        <v>235791</v>
      </c>
      <c r="H51" s="98" t="n">
        <f aca="false">G51/C51</f>
        <v>0.638270054301043</v>
      </c>
      <c r="I51" s="67" t="n">
        <f aca="false">IF(D51&lt;G51,B51,"")</f>
        <v>3</v>
      </c>
      <c r="J51" s="16"/>
      <c r="L51" s="99"/>
      <c r="M51" s="99"/>
      <c r="N51" s="99"/>
      <c r="Q51" s="16" t="n">
        <v>14236</v>
      </c>
    </row>
    <row r="52" customFormat="false" ht="12.75" hidden="false" customHeight="false" outlineLevel="0" collapsed="false">
      <c r="A52" s="97" t="s">
        <v>164</v>
      </c>
      <c r="B52" s="6" t="n">
        <v>13</v>
      </c>
      <c r="C52" s="18" t="n">
        <v>4502344</v>
      </c>
      <c r="D52" s="18" t="n">
        <v>2073845</v>
      </c>
      <c r="E52" s="95" t="n">
        <f aca="false">D52/C52</f>
        <v>0.46061451546128</v>
      </c>
      <c r="F52" s="67" t="str">
        <f aca="false">IF(D52&gt;G52,B52,"")</f>
        <v/>
      </c>
      <c r="G52" s="18" t="n">
        <v>2333126</v>
      </c>
      <c r="H52" s="98" t="n">
        <f aca="false">G52/C52</f>
        <v>0.518202518510358</v>
      </c>
      <c r="I52" s="67" t="n">
        <f aca="false">IF(D52&lt;G52,B52,"")</f>
        <v>13</v>
      </c>
      <c r="J52" s="16"/>
      <c r="L52" s="99"/>
      <c r="M52" s="99"/>
      <c r="N52" s="99"/>
      <c r="Q52" s="16" t="n">
        <v>95373</v>
      </c>
    </row>
    <row r="53" customFormat="false" ht="12.75" hidden="false" customHeight="false" outlineLevel="0" collapsed="false">
      <c r="A53" s="97" t="s">
        <v>165</v>
      </c>
      <c r="B53" s="6" t="n">
        <v>12</v>
      </c>
      <c r="C53" s="18" t="n">
        <v>3870770</v>
      </c>
      <c r="D53" s="18" t="n">
        <v>1505207</v>
      </c>
      <c r="E53" s="95" t="n">
        <f aca="false">D53/C53</f>
        <v>0.388865006187399</v>
      </c>
      <c r="F53" s="67" t="str">
        <f aca="false">IF(D53&gt;G53,B53,"")</f>
        <v/>
      </c>
      <c r="G53" s="18" t="n">
        <v>2221254</v>
      </c>
      <c r="H53" s="98" t="n">
        <f aca="false">G53/C53</f>
        <v>0.573853264337587</v>
      </c>
      <c r="I53" s="67" t="n">
        <f aca="false">IF(D53&lt;G53,B53,"")</f>
        <v>12</v>
      </c>
      <c r="J53" s="16"/>
      <c r="L53" s="99"/>
      <c r="M53" s="99"/>
      <c r="N53" s="99"/>
      <c r="Q53" s="16" t="n">
        <v>144309</v>
      </c>
    </row>
    <row r="54" customFormat="false" ht="12.75" hidden="false" customHeight="false" outlineLevel="0" collapsed="false">
      <c r="A54" s="97" t="s">
        <v>166</v>
      </c>
      <c r="B54" s="6" t="n">
        <v>4</v>
      </c>
      <c r="C54" s="18" t="n">
        <v>762390</v>
      </c>
      <c r="D54" s="18" t="n">
        <v>533556</v>
      </c>
      <c r="E54" s="95" t="n">
        <f aca="false">D54/C54</f>
        <v>0.69984653523787</v>
      </c>
      <c r="F54" s="67" t="n">
        <f aca="false">IF(D54&gt;G54,B54,"")</f>
        <v>4</v>
      </c>
      <c r="G54" s="18" t="n">
        <v>214309</v>
      </c>
      <c r="H54" s="98" t="n">
        <f aca="false">G54/C54</f>
        <v>0.281101535959286</v>
      </c>
      <c r="I54" s="67" t="str">
        <f aca="false">IF(D54&lt;G54,B54,"")</f>
        <v/>
      </c>
      <c r="J54" s="16"/>
      <c r="L54" s="99"/>
      <c r="M54" s="99"/>
      <c r="N54" s="99"/>
      <c r="Q54" s="16" t="n">
        <v>14525</v>
      </c>
    </row>
    <row r="55" customFormat="false" ht="12.75" hidden="false" customHeight="false" outlineLevel="0" collapsed="false">
      <c r="A55" s="97" t="s">
        <v>167</v>
      </c>
      <c r="B55" s="6" t="n">
        <v>10</v>
      </c>
      <c r="C55" s="18" t="n">
        <v>3416272</v>
      </c>
      <c r="D55" s="18" t="n">
        <v>1694890</v>
      </c>
      <c r="E55" s="95" t="n">
        <f aca="false">D55/C55</f>
        <v>0.496122674072791</v>
      </c>
      <c r="F55" s="67" t="n">
        <f aca="false">IF(D55&gt;G55,B55,"")</f>
        <v>10</v>
      </c>
      <c r="G55" s="18" t="n">
        <v>1663976</v>
      </c>
      <c r="H55" s="98" t="n">
        <f aca="false">G55/C55</f>
        <v>0.487073628797707</v>
      </c>
      <c r="I55" s="67" t="str">
        <f aca="false">IF(D55&lt;G55,B55,"")</f>
        <v/>
      </c>
      <c r="J55" s="16"/>
      <c r="L55" s="99"/>
      <c r="M55" s="99"/>
      <c r="N55" s="99"/>
      <c r="Q55" s="16" t="n">
        <v>57406</v>
      </c>
    </row>
    <row r="56" customFormat="false" ht="12.75" hidden="false" customHeight="false" outlineLevel="0" collapsed="false">
      <c r="A56" s="97" t="s">
        <v>168</v>
      </c>
      <c r="B56" s="6" t="n">
        <v>3</v>
      </c>
      <c r="C56" s="18" t="n">
        <v>269048</v>
      </c>
      <c r="D56" s="18" t="n">
        <v>192633</v>
      </c>
      <c r="E56" s="95" t="n">
        <f aca="false">D56/C56</f>
        <v>0.715980048169843</v>
      </c>
      <c r="F56" s="67" t="n">
        <f aca="false">IF(D56&gt;G56,B56,"")</f>
        <v>3</v>
      </c>
      <c r="G56" s="18" t="n">
        <v>69527</v>
      </c>
      <c r="H56" s="98" t="n">
        <f aca="false">G56/C56</f>
        <v>0.258418572150694</v>
      </c>
      <c r="I56" s="67" t="str">
        <f aca="false">IF(D56&lt;G56,B56,"")</f>
        <v/>
      </c>
      <c r="J56" s="16"/>
      <c r="L56" s="99"/>
      <c r="M56" s="99"/>
      <c r="N56" s="99"/>
      <c r="Q56" s="16" t="n">
        <v>6888</v>
      </c>
    </row>
    <row r="57" customFormat="false" ht="12.75" hidden="false" customHeight="false" outlineLevel="0" collapsed="false">
      <c r="A57" s="29" t="s">
        <v>95</v>
      </c>
      <c r="B57" s="86" t="n">
        <f aca="false">SUM(B6:B56)</f>
        <v>538</v>
      </c>
      <c r="F57" s="86" t="n">
        <f aca="false">SUM(F6:F56)</f>
        <v>312</v>
      </c>
      <c r="I57" s="86" t="n">
        <f aca="false">SUM(I6:I56)</f>
        <v>226</v>
      </c>
    </row>
  </sheetData>
  <mergeCells count="5">
    <mergeCell ref="A4:A5"/>
    <mergeCell ref="C4:C5"/>
    <mergeCell ref="D4:F4"/>
    <mergeCell ref="G4:I4"/>
    <mergeCell ref="J4:K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G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3" activeCellId="0" sqref="C13"/>
    </sheetView>
  </sheetViews>
  <sheetFormatPr defaultColWidth="11.53515625" defaultRowHeight="12.8" zeroHeight="false" outlineLevelRow="0" outlineLevelCol="0"/>
  <cols>
    <col collapsed="false" customWidth="true" hidden="false" outlineLevel="0" max="7" min="7" style="0" width="16.14"/>
  </cols>
  <sheetData>
    <row r="1" customFormat="false" ht="12.8" hidden="false" customHeight="true" outlineLevel="0" collapsed="false">
      <c r="B1" s="100"/>
      <c r="C1" s="100"/>
      <c r="D1" s="101" t="s">
        <v>482</v>
      </c>
      <c r="E1" s="100" t="s">
        <v>483</v>
      </c>
      <c r="F1" s="100"/>
      <c r="G1" s="102" t="s">
        <v>484</v>
      </c>
    </row>
    <row r="2" customFormat="false" ht="12.8" hidden="false" customHeight="false" outlineLevel="0" collapsed="false">
      <c r="B2" s="100" t="s">
        <v>485</v>
      </c>
      <c r="C2" s="100" t="s">
        <v>48</v>
      </c>
      <c r="D2" s="103" t="n">
        <f aca="false">F13/C13</f>
        <v>0.736842105263158</v>
      </c>
      <c r="E2" s="104"/>
      <c r="F2" s="100" t="s">
        <v>53</v>
      </c>
      <c r="G2" s="102"/>
    </row>
    <row r="3" customFormat="false" ht="12.8" hidden="false" customHeight="true" outlineLevel="0" collapsed="false">
      <c r="B3" s="105" t="n">
        <v>-0.05</v>
      </c>
      <c r="C3" s="104" t="n">
        <v>6</v>
      </c>
      <c r="D3" s="104" t="n">
        <f aca="false">_xlfn.FLOOR.MATH(D$2*C3)</f>
        <v>4</v>
      </c>
      <c r="E3" s="104" t="n">
        <v>0</v>
      </c>
      <c r="F3" s="104" t="n">
        <v>0</v>
      </c>
      <c r="G3" s="106" t="s">
        <v>486</v>
      </c>
    </row>
    <row r="4" customFormat="false" ht="12.8" hidden="false" customHeight="false" outlineLevel="0" collapsed="false">
      <c r="B4" s="105" t="n">
        <v>0</v>
      </c>
      <c r="C4" s="104" t="n">
        <v>20</v>
      </c>
      <c r="D4" s="104" t="n">
        <f aca="false">_xlfn.FLOOR.MATH(D$2*C4)</f>
        <v>14</v>
      </c>
      <c r="E4" s="104" t="n">
        <f aca="false">D3</f>
        <v>4</v>
      </c>
      <c r="F4" s="104" t="n">
        <v>10</v>
      </c>
      <c r="G4" s="106"/>
    </row>
    <row r="5" customFormat="false" ht="12.8" hidden="false" customHeight="false" outlineLevel="0" collapsed="false">
      <c r="B5" s="105" t="n">
        <v>0.05</v>
      </c>
      <c r="C5" s="104" t="n">
        <v>12</v>
      </c>
      <c r="D5" s="104" t="n">
        <f aca="false">_xlfn.FLOOR.MATH(D$2*C5)</f>
        <v>8</v>
      </c>
      <c r="E5" s="104" t="n">
        <f aca="false">D4</f>
        <v>14</v>
      </c>
      <c r="F5" s="104" t="n">
        <v>9</v>
      </c>
      <c r="G5" s="106"/>
    </row>
    <row r="6" customFormat="false" ht="12.8" hidden="false" customHeight="false" outlineLevel="0" collapsed="false">
      <c r="B6" s="105" t="n">
        <f aca="false">B5+0.05</f>
        <v>0.1</v>
      </c>
      <c r="C6" s="104" t="n">
        <v>3</v>
      </c>
      <c r="D6" s="104" t="n">
        <f aca="false">_xlfn.FLOOR.MATH(D$2*C6)</f>
        <v>2</v>
      </c>
      <c r="E6" s="104" t="n">
        <f aca="false">D5</f>
        <v>8</v>
      </c>
      <c r="F6" s="104" t="n">
        <v>9</v>
      </c>
      <c r="G6" s="106"/>
    </row>
    <row r="7" customFormat="false" ht="12.8" hidden="false" customHeight="false" outlineLevel="0" collapsed="false">
      <c r="B7" s="105" t="n">
        <f aca="false">B6+0.05</f>
        <v>0.15</v>
      </c>
      <c r="C7" s="104" t="n">
        <v>5</v>
      </c>
      <c r="D7" s="104" t="n">
        <f aca="false">_xlfn.FLOOR.MATH(D$2*C7)</f>
        <v>3</v>
      </c>
      <c r="E7" s="104" t="n">
        <f aca="false">D6</f>
        <v>2</v>
      </c>
      <c r="F7" s="104" t="n">
        <v>5</v>
      </c>
      <c r="G7" s="106"/>
    </row>
    <row r="8" customFormat="false" ht="12.8" hidden="false" customHeight="false" outlineLevel="0" collapsed="false">
      <c r="B8" s="105" t="n">
        <f aca="false">B7+0.05</f>
        <v>0.2</v>
      </c>
      <c r="C8" s="104" t="n">
        <v>2</v>
      </c>
      <c r="D8" s="104" t="n">
        <f aca="false">_xlfn.FLOOR.MATH(D$2*C8)</f>
        <v>1</v>
      </c>
      <c r="E8" s="104" t="n">
        <f aca="false">D7</f>
        <v>3</v>
      </c>
      <c r="F8" s="104" t="n">
        <v>1</v>
      </c>
      <c r="G8" s="106"/>
    </row>
    <row r="9" customFormat="false" ht="12.8" hidden="false" customHeight="false" outlineLevel="0" collapsed="false">
      <c r="B9" s="105" t="n">
        <f aca="false">B8+0.05</f>
        <v>0.25</v>
      </c>
      <c r="C9" s="104" t="n">
        <v>1</v>
      </c>
      <c r="D9" s="104" t="n">
        <f aca="false">_xlfn.FLOOR.MATH(D$2*C9)</f>
        <v>0</v>
      </c>
      <c r="E9" s="104" t="n">
        <f aca="false">D8</f>
        <v>1</v>
      </c>
      <c r="F9" s="104" t="n">
        <v>4</v>
      </c>
      <c r="G9" s="106"/>
    </row>
    <row r="10" customFormat="false" ht="12.8" hidden="false" customHeight="false" outlineLevel="0" collapsed="false">
      <c r="B10" s="105" t="n">
        <f aca="false">B9+0.05</f>
        <v>0.3</v>
      </c>
      <c r="C10" s="104"/>
      <c r="D10" s="104"/>
    </row>
    <row r="12" customFormat="false" ht="12.8" hidden="false" customHeight="false" outlineLevel="0" collapsed="false">
      <c r="B12" s="100" t="s">
        <v>487</v>
      </c>
      <c r="C12" s="107" t="n">
        <f aca="false">51-SUM(C3:C9)</f>
        <v>2</v>
      </c>
      <c r="E12" s="107" t="n">
        <f aca="false">51-SUM(E3:E9)</f>
        <v>19</v>
      </c>
      <c r="F12" s="107" t="n">
        <f aca="false">51-SUM(F3:F9)</f>
        <v>13</v>
      </c>
    </row>
    <row r="13" customFormat="false" ht="12.8" hidden="false" customHeight="false" outlineLevel="0" collapsed="false">
      <c r="C13" s="104" t="n">
        <f aca="false">SUM(C3:C5)</f>
        <v>38</v>
      </c>
      <c r="F13" s="104" t="n">
        <f aca="false">SUM(F3:F6)</f>
        <v>28</v>
      </c>
    </row>
    <row r="15" customFormat="false" ht="12.8" hidden="false" customHeight="false" outlineLevel="0" collapsed="false">
      <c r="C15" s="0" t="n">
        <f aca="false">(1-28/46)*51</f>
        <v>19.9565217391304</v>
      </c>
    </row>
  </sheetData>
  <mergeCells count="2">
    <mergeCell ref="G1:G2"/>
    <mergeCell ref="G3:G9"/>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1936</TotalTime>
  <Application>LibreOffice/7.6.2.1$Linux_X86_64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2025-02-02T09:04:40Z</dcterms:created>
  <dc:creator/>
  <dc:description/>
  <cp:keywords>USA Presidential Elections Time-series Analysis</cp:keywords>
  <dc:language>en-US</dc:language>
  <cp:lastModifiedBy/>
  <dcterms:modified xsi:type="dcterms:W3CDTF">2025-02-09T21:48:03Z</dcterms:modified>
  <cp:revision>56</cp:revision>
  <dc:subject/>
  <dc:title>The USA Presidential Elections 2000CE to 2024CE Analysis</dc:title>
</cp:coreProperties>
</file>

<file path=docProps/custom.xml><?xml version="1.0" encoding="utf-8"?>
<Properties xmlns="http://schemas.openxmlformats.org/officeDocument/2006/custom-properties" xmlns:vt="http://schemas.openxmlformats.org/officeDocument/2006/docPropsVTypes"/>
</file>