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12fd7399b4a612/computers/caerdydd/Documents/git/github.com/sql-sith/cdc-2024/high-school-cdc/"/>
    </mc:Choice>
  </mc:AlternateContent>
  <xr:revisionPtr revIDLastSave="229" documentId="8_{A5AE9669-2BC9-4312-A743-D9712EF8D1E2}" xr6:coauthVersionLast="47" xr6:coauthVersionMax="47" xr10:uidLastSave="{5009B718-47EC-4E67-9376-F7DFE0D0C631}"/>
  <bookViews>
    <workbookView xWindow="-93" yWindow="-93" windowWidth="23226" windowHeight="13866" tabRatio="470" xr2:uid="{D92D8F65-F754-49DA-8109-7AA795423479}"/>
  </bookViews>
  <sheets>
    <sheet name="CDC 2024 Results - All" sheetId="1" r:id="rId1"/>
    <sheet name="Uptime" sheetId="2" r:id="rId2"/>
    <sheet name="Flags" sheetId="3" r:id="rId3"/>
    <sheet name="Usability" sheetId="4" r:id="rId4"/>
    <sheet name="Anomalies" sheetId="5" r:id="rId5"/>
    <sheet name="Intrusion Reports" sheetId="6" r:id="rId6"/>
    <sheet name="Documentation" sheetId="7" r:id="rId7"/>
    <sheet name="Red Team Evaluation" sheetId="8" r:id="rId8"/>
  </sheets>
  <definedNames>
    <definedName name="VictoryMargin">'CDC 2024 Results - All'!$B$17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8" l="1" a="1"/>
  <c r="A3" i="8" s="1"/>
  <c r="J3" i="7" a="1"/>
  <c r="J3" i="7" s="1"/>
  <c r="A3" i="7" a="1"/>
  <c r="A3" i="7" s="1"/>
  <c r="A3" i="6" a="1"/>
  <c r="A3" i="6" s="1"/>
  <c r="A3" i="5" a="1"/>
  <c r="A3" i="5" s="1"/>
  <c r="A3" i="4" a="1"/>
  <c r="A3" i="4" s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J3" i="3" a="1"/>
  <c r="J3" i="3" s="1"/>
  <c r="A3" i="3" a="1"/>
  <c r="A3" i="3" s="1"/>
  <c r="A3" i="2" a="1"/>
  <c r="A3" i="2" s="1"/>
  <c r="CE15" i="1"/>
  <c r="CE14" i="1"/>
  <c r="CE13" i="1"/>
  <c r="CE12" i="1"/>
  <c r="CE11" i="1"/>
  <c r="CE10" i="1"/>
  <c r="CE9" i="1"/>
  <c r="CE8" i="1"/>
  <c r="CE7" i="1"/>
  <c r="CE6" i="1"/>
  <c r="CE5" i="1"/>
  <c r="CE4" i="1"/>
  <c r="CE3" i="1"/>
  <c r="CD15" i="1"/>
  <c r="CD14" i="1"/>
  <c r="CD13" i="1"/>
  <c r="CD12" i="1"/>
  <c r="CD11" i="1"/>
  <c r="CD10" i="1"/>
  <c r="CD9" i="1"/>
  <c r="CD8" i="1"/>
  <c r="CD7" i="1"/>
  <c r="CD6" i="1"/>
  <c r="CD5" i="1"/>
  <c r="CD4" i="1"/>
  <c r="CD3" i="1"/>
  <c r="CB3" i="1"/>
  <c r="CB4" i="1"/>
  <c r="CB5" i="1"/>
  <c r="CB6" i="1"/>
  <c r="CB7" i="1"/>
  <c r="CB8" i="1"/>
  <c r="CB9" i="1"/>
  <c r="CB10" i="1"/>
  <c r="CB11" i="1"/>
  <c r="CB12" i="1"/>
  <c r="CB13" i="1"/>
  <c r="CB14" i="1"/>
  <c r="CB15" i="1"/>
  <c r="BW15" i="1"/>
  <c r="BW14" i="1"/>
  <c r="BW13" i="1"/>
  <c r="BW12" i="1"/>
  <c r="BW11" i="1"/>
  <c r="BW10" i="1"/>
  <c r="BW9" i="1"/>
  <c r="BW8" i="1"/>
  <c r="BW7" i="1"/>
  <c r="BW6" i="1"/>
  <c r="BW5" i="1"/>
  <c r="BW4" i="1"/>
  <c r="BW3" i="1"/>
  <c r="BV15" i="1"/>
  <c r="BV14" i="1"/>
  <c r="BV13" i="1"/>
  <c r="BV12" i="1"/>
  <c r="BV11" i="1"/>
  <c r="BV10" i="1"/>
  <c r="BV9" i="1"/>
  <c r="BV8" i="1"/>
  <c r="BV7" i="1"/>
  <c r="BV6" i="1"/>
  <c r="BV5" i="1"/>
  <c r="BV4" i="1"/>
  <c r="BV3" i="1"/>
  <c r="BT3" i="1"/>
  <c r="BT4" i="1"/>
  <c r="BT5" i="1"/>
  <c r="BT6" i="1"/>
  <c r="BT7" i="1"/>
  <c r="BT8" i="1"/>
  <c r="BT9" i="1"/>
  <c r="BT10" i="1"/>
  <c r="BT11" i="1"/>
  <c r="BT12" i="1"/>
  <c r="BT13" i="1"/>
  <c r="BT14" i="1"/>
  <c r="BT15" i="1"/>
  <c r="BO15" i="1"/>
  <c r="BO14" i="1"/>
  <c r="BO13" i="1"/>
  <c r="BO12" i="1"/>
  <c r="BO11" i="1"/>
  <c r="BO10" i="1"/>
  <c r="BO9" i="1"/>
  <c r="BO8" i="1"/>
  <c r="BO7" i="1"/>
  <c r="BO6" i="1"/>
  <c r="BO5" i="1"/>
  <c r="BO4" i="1"/>
  <c r="BO3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F15" i="1"/>
  <c r="BF14" i="1"/>
  <c r="BF13" i="1"/>
  <c r="BF12" i="1"/>
  <c r="BF11" i="1"/>
  <c r="BF10" i="1"/>
  <c r="BF9" i="1"/>
  <c r="BF8" i="1"/>
  <c r="BF7" i="1"/>
  <c r="BF6" i="1"/>
  <c r="BF5" i="1"/>
  <c r="BF4" i="1"/>
  <c r="BF3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AY15" i="1"/>
  <c r="AY14" i="1"/>
  <c r="AY13" i="1"/>
  <c r="AY12" i="1"/>
  <c r="AY11" i="1"/>
  <c r="AY10" i="1"/>
  <c r="AY9" i="1"/>
  <c r="AY8" i="1"/>
  <c r="AY7" i="1"/>
  <c r="AY6" i="1"/>
  <c r="AY5" i="1"/>
  <c r="AY4" i="1"/>
  <c r="AY3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CC15" i="1"/>
  <c r="CC14" i="1"/>
  <c r="CC13" i="1"/>
  <c r="CC12" i="1"/>
  <c r="CC11" i="1"/>
  <c r="CC10" i="1"/>
  <c r="CC9" i="1"/>
  <c r="CC8" i="1"/>
  <c r="CC7" i="1"/>
  <c r="CC6" i="1"/>
  <c r="CC5" i="1"/>
  <c r="CC4" i="1"/>
  <c r="CC3" i="1"/>
  <c r="BU15" i="1"/>
  <c r="BU14" i="1"/>
  <c r="BU13" i="1"/>
  <c r="BU12" i="1"/>
  <c r="BU11" i="1"/>
  <c r="BU10" i="1"/>
  <c r="BU9" i="1"/>
  <c r="BU8" i="1"/>
  <c r="BU7" i="1"/>
  <c r="BU6" i="1"/>
  <c r="BU5" i="1"/>
  <c r="BU4" i="1"/>
  <c r="BU3" i="1"/>
  <c r="BM15" i="1"/>
  <c r="BM14" i="1"/>
  <c r="BM13" i="1"/>
  <c r="BM12" i="1"/>
  <c r="BM11" i="1"/>
  <c r="BM10" i="1"/>
  <c r="BM9" i="1"/>
  <c r="BM8" i="1"/>
  <c r="BM7" i="1"/>
  <c r="BM6" i="1"/>
  <c r="BM5" i="1"/>
  <c r="BM4" i="1"/>
  <c r="BM3" i="1"/>
  <c r="BE15" i="1"/>
  <c r="BE14" i="1"/>
  <c r="BE13" i="1"/>
  <c r="BE12" i="1"/>
  <c r="BE11" i="1"/>
  <c r="BE10" i="1"/>
  <c r="BE9" i="1"/>
  <c r="BE8" i="1"/>
  <c r="BE7" i="1"/>
  <c r="BE6" i="1"/>
  <c r="BE5" i="1"/>
  <c r="BE4" i="1"/>
  <c r="BE3" i="1"/>
  <c r="AW15" i="1"/>
  <c r="AW14" i="1"/>
  <c r="AW13" i="1"/>
  <c r="AW12" i="1"/>
  <c r="AW11" i="1"/>
  <c r="AW10" i="1"/>
  <c r="AW9" i="1"/>
  <c r="AW8" i="1"/>
  <c r="AW7" i="1"/>
  <c r="AW6" i="1"/>
  <c r="AW5" i="1"/>
  <c r="AW4" i="1"/>
  <c r="AW3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R15" i="1"/>
  <c r="R14" i="1"/>
  <c r="R13" i="1"/>
  <c r="R12" i="1"/>
  <c r="R11" i="1"/>
  <c r="R10" i="1"/>
  <c r="R9" i="1"/>
  <c r="R8" i="1"/>
  <c r="R7" i="1"/>
  <c r="R6" i="1"/>
  <c r="R5" i="1"/>
  <c r="R4" i="1"/>
  <c r="R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<sst xmlns="http://schemas.openxmlformats.org/spreadsheetml/2006/main" count="129" uniqueCount="121">
  <si>
    <t>xz developers</t>
  </si>
  <si>
    <t>6th</t>
  </si>
  <si>
    <t>TeamName</t>
  </si>
  <si>
    <t>TeamNumber</t>
  </si>
  <si>
    <t>Place</t>
  </si>
  <si>
    <t>TotalScore</t>
  </si>
  <si>
    <t>FlagsLost</t>
  </si>
  <si>
    <t>FlagsTotal</t>
  </si>
  <si>
    <t>AvailabilityPercent</t>
  </si>
  <si>
    <t>UsabilityPercent</t>
  </si>
  <si>
    <t>AnomaliesCompleted</t>
  </si>
  <si>
    <t>AnomaliesAccepted</t>
  </si>
  <si>
    <t>TotalRepeated</t>
  </si>
  <si>
    <t>sudo stop-hacking-me --force</t>
  </si>
  <si>
    <t>5th</t>
  </si>
  <si>
    <t>npm install everything</t>
  </si>
  <si>
    <t>8th</t>
  </si>
  <si>
    <t>LeBonBon Fan Club</t>
  </si>
  <si>
    <t>13th</t>
  </si>
  <si>
    <t>CDC Team 5</t>
  </si>
  <si>
    <t>Blue Flags</t>
  </si>
  <si>
    <t>Red Flags</t>
  </si>
  <si>
    <t>Usability</t>
  </si>
  <si>
    <t>Anomalies</t>
  </si>
  <si>
    <t>Intrusion Reports</t>
  </si>
  <si>
    <t>White Documentation</t>
  </si>
  <si>
    <t>Green Documentation</t>
  </si>
  <si>
    <t>1st</t>
  </si>
  <si>
    <t>Marc Hermon</t>
  </si>
  <si>
    <t>7th</t>
  </si>
  <si>
    <t>We ❤ Red Team</t>
  </si>
  <si>
    <t>10th</t>
  </si>
  <si>
    <t>Northwest Wolves'); DROP TABLE users; --</t>
  </si>
  <si>
    <t>9th</t>
  </si>
  <si>
    <t>The Real LeBonBon Fan Club</t>
  </si>
  <si>
    <t>12th</t>
  </si>
  <si>
    <t>Bash Bunnies</t>
  </si>
  <si>
    <t>3rd</t>
  </si>
  <si>
    <t>Team E</t>
  </si>
  <si>
    <t>11th</t>
  </si>
  <si>
    <t>Debian Sid</t>
  </si>
  <si>
    <t>2nd</t>
  </si>
  <si>
    <t>CDC Team 13</t>
  </si>
  <si>
    <t>4th</t>
  </si>
  <si>
    <t>Header Info on Team Dashboard</t>
  </si>
  <si>
    <t>Uptime</t>
  </si>
  <si>
    <t>UT Possible</t>
  </si>
  <si>
    <t>UT Weight</t>
  </si>
  <si>
    <t>UT Pct of Possible</t>
  </si>
  <si>
    <t>UT Rank</t>
  </si>
  <si>
    <t>UT Pct of Total</t>
  </si>
  <si>
    <t>BF Possible</t>
  </si>
  <si>
    <t>BF Weight</t>
  </si>
  <si>
    <t>BF Rank</t>
  </si>
  <si>
    <t>BF Pct of Total</t>
  </si>
  <si>
    <t>BF Pct of Possible</t>
  </si>
  <si>
    <t>Points Behind</t>
  </si>
  <si>
    <t>UT Margin</t>
  </si>
  <si>
    <t>BF Margin</t>
  </si>
  <si>
    <t>RF Raw</t>
  </si>
  <si>
    <t>RF Possible</t>
  </si>
  <si>
    <t>RF Weight</t>
  </si>
  <si>
    <t>RF Pct of Possible</t>
  </si>
  <si>
    <t>RF Rank</t>
  </si>
  <si>
    <t>RF Pct of Total</t>
  </si>
  <si>
    <t>RF Margin</t>
  </si>
  <si>
    <t>RF Weighted</t>
  </si>
  <si>
    <t>BF Weighted</t>
  </si>
  <si>
    <t>BF Raw</t>
  </si>
  <si>
    <t>UT Weighted</t>
  </si>
  <si>
    <t>UT Raw</t>
  </si>
  <si>
    <t>US Raw</t>
  </si>
  <si>
    <t>US Possible</t>
  </si>
  <si>
    <t>US Weight</t>
  </si>
  <si>
    <t>US Weighted</t>
  </si>
  <si>
    <t>US Pct of Possible</t>
  </si>
  <si>
    <t>US Rank</t>
  </si>
  <si>
    <t>US Pct of Total</t>
  </si>
  <si>
    <t>US Margin</t>
  </si>
  <si>
    <t>AN Raw</t>
  </si>
  <si>
    <t>AN Possible</t>
  </si>
  <si>
    <t>AN Weight</t>
  </si>
  <si>
    <t>AN Weighted</t>
  </si>
  <si>
    <t>AN Pct of Possible</t>
  </si>
  <si>
    <t>AN Rank</t>
  </si>
  <si>
    <t>AN Pct of Total</t>
  </si>
  <si>
    <t>AN Margin</t>
  </si>
  <si>
    <t>IR Raw</t>
  </si>
  <si>
    <t>IR Possible</t>
  </si>
  <si>
    <t>IR Weight</t>
  </si>
  <si>
    <t>IR Weighted</t>
  </si>
  <si>
    <t>IR Pct of Possible</t>
  </si>
  <si>
    <t>IR Rank</t>
  </si>
  <si>
    <t>IR Pct of Total</t>
  </si>
  <si>
    <t>IR Margin</t>
  </si>
  <si>
    <t>WD Raw</t>
  </si>
  <si>
    <t>WD Possible</t>
  </si>
  <si>
    <t>WD Weight</t>
  </si>
  <si>
    <t>WD Weighted</t>
  </si>
  <si>
    <t>WD Pct of Possible</t>
  </si>
  <si>
    <t>WD Rank</t>
  </si>
  <si>
    <t>WD Pct of Total</t>
  </si>
  <si>
    <t>WD Margin</t>
  </si>
  <si>
    <t>GD Raw</t>
  </si>
  <si>
    <t>GD Possible</t>
  </si>
  <si>
    <t>GD Weight</t>
  </si>
  <si>
    <t>GD Weighted</t>
  </si>
  <si>
    <t>GD Pct of Possible</t>
  </si>
  <si>
    <t>GD Rank</t>
  </si>
  <si>
    <t>GD Pct of Total</t>
  </si>
  <si>
    <t>GD Margin</t>
  </si>
  <si>
    <t>Red Team Evaluation</t>
  </si>
  <si>
    <t>RT Raw</t>
  </si>
  <si>
    <t>RT Possible</t>
  </si>
  <si>
    <t>RT Weight</t>
  </si>
  <si>
    <t>RT Weighted</t>
  </si>
  <si>
    <t>RT Pct of Possible</t>
  </si>
  <si>
    <t>RT Rank</t>
  </si>
  <si>
    <t>RT Pct of Total</t>
  </si>
  <si>
    <t>RT Margin</t>
  </si>
  <si>
    <t>Blue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</si>
</sst>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);\(#,##0.0\)"/>
    <numFmt numFmtId="165" formatCode="#,##0.0"/>
    <numFmt numFmtId="166" formatCode="#,##0.0_);[Red]\(#,##0.0\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3" borderId="1" xfId="0" applyFont="1" applyFill="1" applyBorder="1"/>
    <xf numFmtId="0" fontId="0" fillId="0" borderId="1" xfId="0" applyBorder="1" applyAlignment="1">
      <alignment horizontal="center"/>
    </xf>
    <xf numFmtId="37" fontId="0" fillId="0" borderId="0" xfId="1" applyNumberFormat="1" applyFont="1" applyAlignment="1">
      <alignment horizontal="center"/>
    </xf>
    <xf numFmtId="37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0" xfId="0" applyFont="1"/>
    <xf numFmtId="166" fontId="0" fillId="0" borderId="0" xfId="0" applyNumberFormat="1" applyAlignment="1">
      <alignment horizontal="center"/>
    </xf>
    <xf numFmtId="0" fontId="2" fillId="2" borderId="0" xfId="0" applyFont="1" applyFill="1"/>
    <xf numFmtId="0" fontId="0" fillId="3" borderId="0" xfId="0" applyFill="1"/>
    <xf numFmtId="0" fontId="2" fillId="3" borderId="2" xfId="0" applyFont="1" applyFill="1" applyBorder="1"/>
    <xf numFmtId="37" fontId="0" fillId="4" borderId="2" xfId="1" applyNumberFormat="1" applyFont="1" applyFill="1" applyBorder="1" applyAlignment="1">
      <alignment horizontal="center"/>
    </xf>
    <xf numFmtId="37" fontId="0" fillId="0" borderId="2" xfId="1" applyNumberFormat="1" applyFon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4" borderId="2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37" fontId="0" fillId="4" borderId="2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37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84">
    <dxf>
      <alignment horizontal="center" vertical="bottom" textRotation="0" wrapText="0" indent="0" justifyLastLine="0" shrinkToFit="0" readingOrder="0"/>
    </dxf>
    <dxf>
      <numFmt numFmtId="166" formatCode="#,##0.0_);[Red]\(#,##0.0\)"/>
      <alignment horizontal="center" vertical="bottom" textRotation="0" wrapText="0" indent="0" justifyLastLine="0" shrinkToFit="0" readingOrder="0"/>
    </dxf>
    <dxf>
      <numFmt numFmtId="165" formatCode="#,##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,##0.0_);\(#,##0.0\)"/>
      <alignment horizontal="center" vertical="bottom" textRotation="0" wrapText="0" indent="0" justifyLastLine="0" shrinkToFit="0" readingOrder="0"/>
    </dxf>
    <dxf>
      <numFmt numFmtId="164" formatCode="#,##0.0_);\(#,##0.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numFmt numFmtId="166" formatCode="#,##0.0_);[Red]\(#,##0.0\)"/>
      <alignment horizontal="center" vertical="bottom" textRotation="0" wrapText="0" indent="0" justifyLastLine="0" shrinkToFit="0" readingOrder="0"/>
    </dxf>
    <dxf>
      <numFmt numFmtId="165" formatCode="#,##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,##0.0_);\(#,##0.0\)"/>
      <alignment horizontal="center" vertical="bottom" textRotation="0" wrapText="0" indent="0" justifyLastLine="0" shrinkToFit="0" readingOrder="0"/>
    </dxf>
    <dxf>
      <numFmt numFmtId="164" formatCode="#,##0.0_);\(#,##0.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numFmt numFmtId="166" formatCode="#,##0.0_);[Red]\(#,##0.0\)"/>
      <alignment horizontal="center" vertical="bottom" textRotation="0" wrapText="0" indent="0" justifyLastLine="0" shrinkToFit="0" readingOrder="0"/>
    </dxf>
    <dxf>
      <numFmt numFmtId="165" formatCode="#,##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,##0.0_);\(#,##0.0\)"/>
      <alignment horizontal="center" vertical="bottom" textRotation="0" wrapText="0" indent="0" justifyLastLine="0" shrinkToFit="0" readingOrder="0"/>
    </dxf>
    <dxf>
      <numFmt numFmtId="164" formatCode="#,##0.0_);\(#,##0.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numFmt numFmtId="166" formatCode="#,##0.0_);[Red]\(#,##0.0\)"/>
      <alignment horizontal="center" vertical="bottom" textRotation="0" wrapText="0" indent="0" justifyLastLine="0" shrinkToFit="0" readingOrder="0"/>
    </dxf>
    <dxf>
      <numFmt numFmtId="165" formatCode="#,##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,##0.0_);\(#,##0.0\)"/>
      <alignment horizontal="center" vertical="bottom" textRotation="0" wrapText="0" indent="0" justifyLastLine="0" shrinkToFit="0" readingOrder="0"/>
    </dxf>
    <dxf>
      <numFmt numFmtId="164" formatCode="#,##0.0_);\(#,##0.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numFmt numFmtId="166" formatCode="#,##0.0_);[Red]\(#,##0.0\)"/>
      <alignment horizontal="center" vertical="bottom" textRotation="0" wrapText="0" indent="0" justifyLastLine="0" shrinkToFit="0" readingOrder="0"/>
    </dxf>
    <dxf>
      <numFmt numFmtId="165" formatCode="#,##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,##0.0_);\(#,##0.0\)"/>
      <alignment horizontal="center" vertical="bottom" textRotation="0" wrapText="0" indent="0" justifyLastLine="0" shrinkToFit="0" readingOrder="0"/>
    </dxf>
    <dxf>
      <numFmt numFmtId="164" formatCode="#,##0.0_);\(#,##0.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numFmt numFmtId="166" formatCode="#,##0.0_);[Red]\(#,##0.0\)"/>
      <alignment horizontal="center" vertical="bottom" textRotation="0" wrapText="0" indent="0" justifyLastLine="0" shrinkToFit="0" readingOrder="0"/>
    </dxf>
    <dxf>
      <numFmt numFmtId="165" formatCode="#,##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,##0.0_);\(#,##0.0\)"/>
      <alignment horizontal="center" vertical="bottom" textRotation="0" wrapText="0" indent="0" justifyLastLine="0" shrinkToFit="0" readingOrder="0"/>
    </dxf>
    <dxf>
      <numFmt numFmtId="164" formatCode="#,##0.0_);\(#,##0.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numFmt numFmtId="166" formatCode="#,##0.0_);[Red]\(#,##0.0\)"/>
      <alignment horizontal="center" vertical="bottom" textRotation="0" wrapText="0" indent="0" justifyLastLine="0" shrinkToFit="0" readingOrder="0"/>
    </dxf>
    <dxf>
      <numFmt numFmtId="165" formatCode="#,##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,##0.0_);\(#,##0.0\)"/>
      <alignment horizontal="center" vertical="bottom" textRotation="0" wrapText="0" indent="0" justifyLastLine="0" shrinkToFit="0" readingOrder="0"/>
    </dxf>
    <dxf>
      <numFmt numFmtId="164" formatCode="#,##0.0_);\(#,##0.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numFmt numFmtId="166" formatCode="#,##0.0_);[Red]\(#,##0.0\)"/>
      <alignment horizontal="center" vertical="bottom" textRotation="0" wrapText="0" indent="0" justifyLastLine="0" shrinkToFit="0" readingOrder="0"/>
    </dxf>
    <dxf>
      <numFmt numFmtId="165" formatCode="#,##0.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#,##0.0_);\(#,##0.0\)"/>
      <alignment horizontal="center" vertical="bottom" textRotation="0" wrapText="0" indent="0" justifyLastLine="0" shrinkToFit="0" readingOrder="0"/>
    </dxf>
    <dxf>
      <numFmt numFmtId="164" formatCode="#,##0.0_);\(#,##0.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numFmt numFmtId="166" formatCode="#,##0.0_);[Red]\(#,##0.0\)"/>
      <alignment horizontal="center" vertical="bottom" textRotation="0" wrapText="0" indent="0" justifyLastLine="0" shrinkToFit="0" readingOrder="0"/>
    </dxf>
    <dxf>
      <numFmt numFmtId="165" formatCode="#,##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#,##0.0_);\(#,##0.0\)"/>
      <alignment horizontal="center" vertical="bottom" textRotation="0" wrapText="0" indent="0" justifyLastLine="0" shrinkToFit="0" readingOrder="0"/>
    </dxf>
    <dxf>
      <numFmt numFmtId="164" formatCode="#,##0.0_);\(#,##0.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54FFA-6CDB-4822-8B3A-9EC03E83081C}" name="Table1" displayName="Table1" ref="A2:CF15" totalsRowShown="0" headerRowDxfId="83">
  <autoFilter ref="A2:CF15" xr:uid="{48C54FFA-6CDB-4822-8B3A-9EC03E83081C}"/>
  <sortState xmlns:xlrd2="http://schemas.microsoft.com/office/spreadsheetml/2017/richdata2" ref="A3:CF15">
    <sortCondition descending="1" ref="D2:D15"/>
  </sortState>
  <tableColumns count="84">
    <tableColumn id="1" xr3:uid="{B19CB55A-2851-44F4-A5F3-195B7C2D40D8}" name="TeamName"/>
    <tableColumn id="2" xr3:uid="{51A0E414-7191-484E-B66B-B5E1C0AD7322}" name="TeamNumber" dataDxfId="82"/>
    <tableColumn id="3" xr3:uid="{B14C247B-2656-4DF2-821B-9295A75F6CFD}" name="Place" dataDxfId="81"/>
    <tableColumn id="4" xr3:uid="{FB6B1FAC-1155-4FF8-8868-D81919068FD3}" name="TotalScore" dataDxfId="80"/>
    <tableColumn id="90" xr3:uid="{F16D7FDE-07C2-4A16-91D1-E093F6497047}" name="Points Behind" dataDxfId="79">
      <calculatedColumnFormula>D$3-Table1[[#This Row],[TotalScore]]</calculatedColumnFormula>
    </tableColumn>
    <tableColumn id="5" xr3:uid="{D258E71B-F17B-4DAC-B463-37AFCFB14AF0}" name="FlagsLost" dataDxfId="78"/>
    <tableColumn id="6" xr3:uid="{9BA8E315-905A-4123-AA8B-0D648342143B}" name="FlagsTotal" dataDxfId="77"/>
    <tableColumn id="7" xr3:uid="{24FED3F3-3D99-4DE6-B4CE-1B6764DD497D}" name="AvailabilityPercent" dataDxfId="76"/>
    <tableColumn id="8" xr3:uid="{C88F036C-EC51-4F6D-9448-C96A1D2A0EB4}" name="UsabilityPercent" dataDxfId="75"/>
    <tableColumn id="9" xr3:uid="{97756157-E349-4814-98EA-02DD21C2C442}" name="AnomaliesCompleted" dataDxfId="74"/>
    <tableColumn id="10" xr3:uid="{CAA886AE-3681-4885-8748-9DA2FBD363F4}" name="AnomaliesAccepted" dataDxfId="73"/>
    <tableColumn id="11" xr3:uid="{7002E0DA-C47F-493B-B38C-92ACADD485A7}" name="UT Raw" dataDxfId="72" dataCellStyle="Comma"/>
    <tableColumn id="12" xr3:uid="{1B2D0FA4-C4BF-4EBA-854A-BCA24CCD1272}" name="UT Possible" dataDxfId="71" dataCellStyle="Comma"/>
    <tableColumn id="13" xr3:uid="{2BD1B9CD-DCC2-4924-8F2E-0127C0821C6D}" name="UT Weight" dataDxfId="70"/>
    <tableColumn id="14" xr3:uid="{6DD03361-EEC2-4B77-B4A7-C13DCE8DCF79}" name="UT Weighted" dataDxfId="69" dataCellStyle="Comma"/>
    <tableColumn id="81" xr3:uid="{675745F8-6BD5-431E-A407-CFF520584D8F}" name="UT Pct of Possible" dataDxfId="68" dataCellStyle="Comma">
      <calculatedColumnFormula>100 * Table1[[#This Row],[UT Raw]]/Table1[[#This Row],[UT Possible]]</calculatedColumnFormula>
    </tableColumn>
    <tableColumn id="15" xr3:uid="{2C4BCCB6-6141-4ED3-96AC-A4235243DE83}" name="UT Rank" dataDxfId="67"/>
    <tableColumn id="16" xr3:uid="{38505BC9-B76C-4296-91EB-032DCFFF69F5}" name="UT Pct of Total" dataDxfId="66"/>
    <tableColumn id="17" xr3:uid="{0DB45B22-BF7B-4C04-B581-56D20B2DA481}" name="UT Margin" dataDxfId="65"/>
    <tableColumn id="18" xr3:uid="{BCB5049A-BEAE-40B3-8923-DEE12353BF19}" name="BF Raw" dataDxfId="64"/>
    <tableColumn id="19" xr3:uid="{A64B1437-44C0-4C5C-8F78-57DC5AD21928}" name="BF Possible" dataDxfId="63"/>
    <tableColumn id="20" xr3:uid="{F01990E5-2D49-465D-B2DA-770C01A46422}" name="BF Weight" dataDxfId="62"/>
    <tableColumn id="21" xr3:uid="{60CFC919-E9EB-491C-8F20-D545B21098D8}" name="BF Weighted" dataDxfId="61"/>
    <tableColumn id="82" xr3:uid="{FB3FFAD0-B3AD-4D1A-84C9-195D0D92D79D}" name="BF Pct of Possible" dataDxfId="60" dataCellStyle="Comma">
      <calculatedColumnFormula>100 * Table1[[#This Row],[BF Raw]]/Table1[[#This Row],[BF Possible]]</calculatedColumnFormula>
    </tableColumn>
    <tableColumn id="22" xr3:uid="{352CE1CD-56D5-4BE0-BFFD-F313C170D15E}" name="BF Rank" dataDxfId="59">
      <calculatedColumnFormula>RANK(W3, W$3:W$15, 0)</calculatedColumnFormula>
    </tableColumn>
    <tableColumn id="23" xr3:uid="{ECDB42FF-4441-4391-BF53-A9C4E0CB492D}" name="BF Pct of Total" dataDxfId="58">
      <calculatedColumnFormula>100 * W3/$D3</calculatedColumnFormula>
    </tableColumn>
    <tableColumn id="24" xr3:uid="{B79AB6A3-4C86-40F5-9FF2-F8E3DD0455CE}" name="BF Margin" dataDxfId="57">
      <calculatedColumnFormula>W$3-W3</calculatedColumnFormula>
    </tableColumn>
    <tableColumn id="25" xr3:uid="{690E3C2C-863D-4A0F-A9F7-3E35EAC26094}" name="RF Raw" dataDxfId="56"/>
    <tableColumn id="26" xr3:uid="{92E5269F-35DE-4F36-B519-EE1A8DD49EFC}" name="RF Possible" dataDxfId="55"/>
    <tableColumn id="27" xr3:uid="{81457F2D-EFCA-4914-82C0-EFF4E809260E}" name="RF Weight" dataDxfId="54"/>
    <tableColumn id="28" xr3:uid="{04EBAAB7-3232-4DC7-9010-DD6ED89989A1}" name="RF Weighted" dataDxfId="53"/>
    <tableColumn id="83" xr3:uid="{1D4DEF72-1AE2-47BE-B9CF-33EB22C04C70}" name="RF Pct of Possible" dataDxfId="52">
      <calculatedColumnFormula>100 * Table1[[#This Row],[RF Raw]]/Table1[[#This Row],[RF Possible]]</calculatedColumnFormula>
    </tableColumn>
    <tableColumn id="29" xr3:uid="{F79D35E9-DEAC-412C-B0B2-B631126B5472}" name="RF Rank" dataDxfId="51">
      <calculatedColumnFormula>RANK(AE3, AE$3:AE$15, 0)</calculatedColumnFormula>
    </tableColumn>
    <tableColumn id="30" xr3:uid="{5F7DBFA1-96AB-4A3A-835C-0D28C56D7343}" name="RF Pct of Total" dataDxfId="50">
      <calculatedColumnFormula>100 * AE3/$D3</calculatedColumnFormula>
    </tableColumn>
    <tableColumn id="31" xr3:uid="{AF106030-4B47-4D7D-A8AB-9046C57D05F6}" name="RF Margin" dataDxfId="49">
      <calculatedColumnFormula>AE$3-AE3</calculatedColumnFormula>
    </tableColumn>
    <tableColumn id="32" xr3:uid="{D7E37892-A840-490A-B611-0EDE2958A442}" name="US Raw" dataDxfId="48"/>
    <tableColumn id="33" xr3:uid="{2AFE09E5-BEC7-4F6F-91B2-FEB780A51B89}" name="US Possible" dataDxfId="47"/>
    <tableColumn id="34" xr3:uid="{8CE621F6-A413-4F53-9E3F-ED3DA4CAC386}" name="US Weight" dataDxfId="46"/>
    <tableColumn id="35" xr3:uid="{DD6F1E10-74A7-4CA7-B63C-EAE7B33EE891}" name="US Weighted" dataDxfId="45"/>
    <tableColumn id="84" xr3:uid="{077E3805-C1E5-4D16-A910-4ED272677C36}" name="US Pct of Possible" dataDxfId="44">
      <calculatedColumnFormula>100 * Table1[[#This Row],[US Raw]]/Table1[[#This Row],[US Possible]]</calculatedColumnFormula>
    </tableColumn>
    <tableColumn id="36" xr3:uid="{6A8C7E3B-9296-4F33-A739-04D5151CD8A5}" name="US Rank" dataDxfId="43">
      <calculatedColumnFormula>RANK(AM3, AM$3:AM$15, 0)</calculatedColumnFormula>
    </tableColumn>
    <tableColumn id="37" xr3:uid="{3B87AAD4-CCAE-4AA7-A33A-248290EB9533}" name="US Pct of Total" dataDxfId="42">
      <calculatedColumnFormula>100 * AM3/$D3</calculatedColumnFormula>
    </tableColumn>
    <tableColumn id="38" xr3:uid="{9304BF73-815E-4E93-875A-D917AB3DE344}" name="US Margin" dataDxfId="41">
      <calculatedColumnFormula>AM$3-AM3</calculatedColumnFormula>
    </tableColumn>
    <tableColumn id="39" xr3:uid="{A7F0907C-DB69-4193-9F3E-12D4C2BDD111}" name="AN Raw" dataDxfId="40"/>
    <tableColumn id="40" xr3:uid="{D886F438-8F9B-4FA0-A4C4-0FDE631AB887}" name="AN Possible" dataDxfId="39"/>
    <tableColumn id="41" xr3:uid="{56DBB467-93A5-4D73-B837-622F31CD1B90}" name="AN Weight" dataDxfId="38"/>
    <tableColumn id="42" xr3:uid="{79502603-D927-4F5C-9117-843D1AE1132F}" name="AN Weighted" dataDxfId="37"/>
    <tableColumn id="85" xr3:uid="{03109805-4877-4A9E-9018-BBBF736CA1D8}" name="AN Pct of Possible" dataDxfId="36">
      <calculatedColumnFormula>100 * Table1[[#This Row],[AN Raw]]/Table1[[#This Row],[AN Possible]]</calculatedColumnFormula>
    </tableColumn>
    <tableColumn id="43" xr3:uid="{616A4C4E-0F53-4324-8DB5-4A911C83FF10}" name="AN Rank" dataDxfId="35">
      <calculatedColumnFormula>RANK(AU3, AU$3:AU$15, 0)</calculatedColumnFormula>
    </tableColumn>
    <tableColumn id="44" xr3:uid="{E684D2A4-390B-4DDA-99AB-C182CF56C319}" name="AN Pct of Total" dataDxfId="34"/>
    <tableColumn id="45" xr3:uid="{6F16551E-F0DB-4BBF-8787-83A0697C0A1B}" name="AN Margin" dataDxfId="33">
      <calculatedColumnFormula>AU$3-AU3</calculatedColumnFormula>
    </tableColumn>
    <tableColumn id="46" xr3:uid="{46657ED4-8A5F-44F3-A7F0-62D06D90E539}" name="IR Raw" dataDxfId="32"/>
    <tableColumn id="47" xr3:uid="{D67C9C84-42ED-43E8-BCF1-80EEE3C19A7B}" name="IR Possible" dataDxfId="31"/>
    <tableColumn id="48" xr3:uid="{C59015C2-0CF5-4658-8178-5FDFD9EC5EA2}" name="IR Weight" dataDxfId="30"/>
    <tableColumn id="49" xr3:uid="{A3A860DE-EC06-4DCA-8381-E67BE74E5CF2}" name="IR Weighted" dataDxfId="29"/>
    <tableColumn id="86" xr3:uid="{1EC0C0F8-69F7-44FC-8781-E06850DDCC0C}" name="IR Pct of Possible" dataDxfId="28">
      <calculatedColumnFormula>100 * Table1[[#This Row],[IR Raw]]/Table1[[#This Row],[IR Possible]]</calculatedColumnFormula>
    </tableColumn>
    <tableColumn id="50" xr3:uid="{574DFAA1-9C70-44DF-BC6D-A202728480C2}" name="IR Rank" dataDxfId="27">
      <calculatedColumnFormula>RANK(BC3, BC$3:BC$15, 0)</calculatedColumnFormula>
    </tableColumn>
    <tableColumn id="51" xr3:uid="{81A22BC6-496D-4A48-8E46-BA08495E55E3}" name="IR Pct of Total" dataDxfId="26"/>
    <tableColumn id="52" xr3:uid="{FDF596AD-9FDB-47F9-9295-9DC0D0281550}" name="IR Margin" dataDxfId="25">
      <calculatedColumnFormula>BC$3-BC3</calculatedColumnFormula>
    </tableColumn>
    <tableColumn id="53" xr3:uid="{0918FD0D-C526-4D70-9D11-298F81993046}" name="WD Raw" dataDxfId="24"/>
    <tableColumn id="54" xr3:uid="{9A58EEBB-6DED-44FE-8030-AECB3C9A3CF5}" name="WD Possible" dataDxfId="23"/>
    <tableColumn id="55" xr3:uid="{CA3682AD-4BEA-4368-8F26-CBF88DB96FA7}" name="WD Weight" dataDxfId="22"/>
    <tableColumn id="56" xr3:uid="{609016BE-DBFB-4D49-AE01-F10657E3BB22}" name="WD Weighted" dataDxfId="21"/>
    <tableColumn id="87" xr3:uid="{E41BDEDB-1652-4B87-A193-5343C0CF817B}" name="WD Pct of Possible" dataDxfId="20">
      <calculatedColumnFormula>100 * Table1[[#This Row],[WD Raw]]/Table1[[#This Row],[WD Possible]]</calculatedColumnFormula>
    </tableColumn>
    <tableColumn id="57" xr3:uid="{2CD87EA3-261D-4FD8-86B8-75459B4170DC}" name="WD Rank" dataDxfId="19">
      <calculatedColumnFormula>RANK(BK3, BK$3:BK$15, 0)</calculatedColumnFormula>
    </tableColumn>
    <tableColumn id="58" xr3:uid="{B101925F-734C-40AF-9021-10892AF00525}" name="WD Pct of Total" dataDxfId="18"/>
    <tableColumn id="59" xr3:uid="{E1DB4215-4C7D-46DC-9466-787C22AADAB1}" name="WD Margin" dataDxfId="17">
      <calculatedColumnFormula>BK$3-BK3</calculatedColumnFormula>
    </tableColumn>
    <tableColumn id="60" xr3:uid="{EDC52E3D-5D04-4B28-9801-557553F94A3E}" name="GD Raw" dataDxfId="16"/>
    <tableColumn id="61" xr3:uid="{3872B8CA-311E-485D-9F87-E508AFDE877A}" name="GD Possible" dataDxfId="15"/>
    <tableColumn id="62" xr3:uid="{EF4A9AC5-BDDC-41B0-A82B-99F85062F75A}" name="GD Weight" dataDxfId="14"/>
    <tableColumn id="63" xr3:uid="{4C559F1D-8C6C-4C7B-9BA7-7E11BB4EF751}" name="GD Weighted" dataDxfId="13"/>
    <tableColumn id="88" xr3:uid="{C6F55392-B311-4835-BF9E-7D671BE7D834}" name="GD Pct of Possible" dataDxfId="12">
      <calculatedColumnFormula>100 * Table1[[#This Row],[GD Raw]]/Table1[[#This Row],[GD Possible]]</calculatedColumnFormula>
    </tableColumn>
    <tableColumn id="64" xr3:uid="{5B712013-3C13-447A-81CE-1EABFA3F29FF}" name="GD Rank" dataDxfId="11">
      <calculatedColumnFormula>RANK(BS3, BS$3:BS$15, 0)</calculatedColumnFormula>
    </tableColumn>
    <tableColumn id="65" xr3:uid="{B38E2FE0-A8B0-4221-9160-7ABFAE57967E}" name="GD Pct of Total" dataDxfId="10"/>
    <tableColumn id="66" xr3:uid="{E9AD6573-AADE-41C7-9242-7171371214BD}" name="GD Margin" dataDxfId="9">
      <calculatedColumnFormula>BS$3-BS3</calculatedColumnFormula>
    </tableColumn>
    <tableColumn id="67" xr3:uid="{F24A78B9-DCCD-4B83-BFBA-1156EB052FFA}" name="RT Raw" dataDxfId="8"/>
    <tableColumn id="68" xr3:uid="{61D340E1-D420-4942-BA35-C3BA6A8AA982}" name="RT Possible" dataDxfId="7"/>
    <tableColumn id="69" xr3:uid="{FEB3D9DD-682F-44C3-8691-227E16681F66}" name="RT Weight" dataDxfId="6"/>
    <tableColumn id="70" xr3:uid="{DAE18304-A478-4705-AC2C-9604FD82669A}" name="RT Weighted" dataDxfId="5"/>
    <tableColumn id="89" xr3:uid="{3AAF02BF-29EC-4DEF-9900-B29C9AB34BB2}" name="RT Pct of Possible" dataDxfId="4">
      <calculatedColumnFormula xml:space="preserve"> 100 * Table1[[#This Row],[RT Raw]]/Table1[[#This Row],[RT Possible]]</calculatedColumnFormula>
    </tableColumn>
    <tableColumn id="71" xr3:uid="{60774C7E-73F9-4B1E-9F7E-D1ABE8458A1C}" name="RT Rank" dataDxfId="3">
      <calculatedColumnFormula>RANK(CA3, CA$3:CA$15, 0)</calculatedColumnFormula>
    </tableColumn>
    <tableColumn id="72" xr3:uid="{C5C3CB67-F9C6-461D-8485-23F45A1333EB}" name="RT Pct of Total" dataDxfId="2"/>
    <tableColumn id="73" xr3:uid="{B5F320D5-5F5C-4C9D-8EA6-6B76F9EADF66}" name="RT Margin" dataDxfId="1">
      <calculatedColumnFormula>CA$3-CA3</calculatedColumnFormula>
    </tableColumn>
    <tableColumn id="80" xr3:uid="{1DB03B19-B36B-47FF-861D-1CB2D9481B69}" name="TotalRepeat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D518-E937-4B3A-AE97-2686154B2127}">
  <dimension ref="A1:CF17"/>
  <sheetViews>
    <sheetView tabSelected="1" topLeftCell="BS1" zoomScale="90" zoomScaleNormal="90" workbookViewId="0">
      <selection activeCell="Q3" sqref="Q3"/>
    </sheetView>
  </sheetViews>
  <sheetFormatPr defaultRowHeight="14.35" x14ac:dyDescent="0.5"/>
  <cols>
    <col min="1" max="1" width="33.8203125" bestFit="1" customWidth="1"/>
    <col min="2" max="2" width="13.41015625" customWidth="1"/>
    <col min="4" max="4" width="11.17578125" customWidth="1"/>
    <col min="5" max="5" width="14.41015625" bestFit="1" customWidth="1"/>
    <col min="6" max="6" width="10.1171875" customWidth="1"/>
    <col min="7" max="7" width="10.703125" customWidth="1"/>
    <col min="8" max="8" width="17.64453125" customWidth="1"/>
    <col min="9" max="9" width="15.8203125" customWidth="1"/>
    <col min="10" max="10" width="20" customWidth="1"/>
    <col min="11" max="11" width="18.5859375" customWidth="1"/>
    <col min="12" max="12" width="11.76171875" customWidth="1"/>
    <col min="13" max="13" width="9.76171875" bestFit="1" customWidth="1"/>
    <col min="14" max="14" width="8.5859375" bestFit="1" customWidth="1"/>
    <col min="15" max="15" width="15.64453125" bestFit="1" customWidth="1"/>
    <col min="16" max="16" width="14.703125" bestFit="1" customWidth="1"/>
    <col min="17" max="17" width="9.3515625" bestFit="1" customWidth="1"/>
    <col min="18" max="18" width="15.5859375" bestFit="1" customWidth="1"/>
    <col min="19" max="19" width="11.17578125" bestFit="1" customWidth="1"/>
    <col min="20" max="20" width="8.87890625" bestFit="1" customWidth="1"/>
    <col min="21" max="21" width="12.46875" bestFit="1" customWidth="1"/>
    <col min="22" max="22" width="10.9375" bestFit="1" customWidth="1"/>
    <col min="23" max="23" width="13.234375" bestFit="1" customWidth="1"/>
    <col min="24" max="24" width="17.1171875" bestFit="1" customWidth="1"/>
    <col min="25" max="25" width="9.52734375" bestFit="1" customWidth="1"/>
    <col min="26" max="26" width="14.5859375" bestFit="1" customWidth="1"/>
    <col min="27" max="27" width="11.05859375" bestFit="1" customWidth="1"/>
    <col min="28" max="28" width="8.87890625" bestFit="1" customWidth="1"/>
    <col min="29" max="29" width="12.46875" bestFit="1" customWidth="1"/>
    <col min="30" max="30" width="11.234375" bestFit="1" customWidth="1"/>
    <col min="31" max="31" width="12.8203125" bestFit="1" customWidth="1"/>
    <col min="32" max="32" width="17.46875" customWidth="1"/>
    <col min="33" max="33" width="9.52734375" bestFit="1" customWidth="1"/>
    <col min="34" max="34" width="14.5859375" bestFit="1" customWidth="1"/>
    <col min="35" max="35" width="11.05859375" bestFit="1" customWidth="1"/>
    <col min="36" max="36" width="9.1171875" bestFit="1" customWidth="1"/>
    <col min="37" max="37" width="12.76171875" bestFit="1" customWidth="1"/>
    <col min="38" max="38" width="11.46875" bestFit="1" customWidth="1"/>
    <col min="39" max="39" width="13.52734375" bestFit="1" customWidth="1"/>
    <col min="40" max="40" width="17.76171875" bestFit="1" customWidth="1"/>
    <col min="41" max="41" width="9.8203125" bestFit="1" customWidth="1"/>
    <col min="42" max="42" width="14.8203125" bestFit="1" customWidth="1"/>
    <col min="43" max="43" width="11.29296875" bestFit="1" customWidth="1"/>
    <col min="44" max="44" width="9.234375" bestFit="1" customWidth="1"/>
    <col min="45" max="45" width="12.8203125" bestFit="1" customWidth="1"/>
    <col min="46" max="46" width="11.5859375" bestFit="1" customWidth="1"/>
    <col min="47" max="47" width="13.5859375" bestFit="1" customWidth="1"/>
    <col min="48" max="48" width="17.8203125" bestFit="1" customWidth="1"/>
    <col min="49" max="49" width="9.87890625" bestFit="1" customWidth="1"/>
    <col min="50" max="50" width="14.9375" bestFit="1" customWidth="1"/>
    <col min="51" max="51" width="11.3515625" bestFit="1" customWidth="1"/>
    <col min="52" max="52" width="8.46875" bestFit="1" customWidth="1"/>
    <col min="53" max="53" width="12.05859375" bestFit="1" customWidth="1"/>
    <col min="54" max="54" width="10.8203125" bestFit="1" customWidth="1"/>
    <col min="55" max="55" width="12.87890625" bestFit="1" customWidth="1"/>
    <col min="56" max="56" width="17.1171875" bestFit="1" customWidth="1"/>
    <col min="57" max="57" width="9.1171875" bestFit="1" customWidth="1"/>
    <col min="58" max="58" width="14.17578125" bestFit="1" customWidth="1"/>
    <col min="59" max="59" width="10.64453125" bestFit="1" customWidth="1"/>
    <col min="60" max="60" width="9.703125" bestFit="1" customWidth="1"/>
    <col min="61" max="61" width="13.3515625" bestFit="1" customWidth="1"/>
    <col min="62" max="62" width="12.05859375" bestFit="1" customWidth="1"/>
    <col min="63" max="63" width="14.1171875" bestFit="1" customWidth="1"/>
    <col min="64" max="64" width="18.3515625" bestFit="1" customWidth="1"/>
    <col min="65" max="65" width="10.41015625" bestFit="1" customWidth="1"/>
    <col min="66" max="66" width="15.46875" bestFit="1" customWidth="1"/>
    <col min="67" max="67" width="11.87890625" bestFit="1" customWidth="1"/>
    <col min="68" max="68" width="9.3515625" bestFit="1" customWidth="1"/>
    <col min="69" max="69" width="12.9375" bestFit="1" customWidth="1"/>
    <col min="70" max="70" width="11.703125" bestFit="1" customWidth="1"/>
    <col min="71" max="71" width="13.703125" bestFit="1" customWidth="1"/>
    <col min="72" max="72" width="17.9375" bestFit="1" customWidth="1"/>
    <col min="73" max="73" width="10" bestFit="1" customWidth="1"/>
    <col min="74" max="74" width="15.1171875" bestFit="1" customWidth="1"/>
    <col min="75" max="75" width="11.46875" bestFit="1" customWidth="1"/>
    <col min="76" max="76" width="8.87890625" bestFit="1" customWidth="1"/>
    <col min="77" max="77" width="12.46875" bestFit="1" customWidth="1"/>
    <col min="78" max="78" width="11.234375" bestFit="1" customWidth="1"/>
    <col min="79" max="79" width="13.234375" bestFit="1" customWidth="1"/>
    <col min="80" max="80" width="17.52734375" bestFit="1" customWidth="1"/>
    <col min="81" max="81" width="9.52734375" bestFit="1" customWidth="1"/>
    <col min="82" max="82" width="14.5859375" bestFit="1" customWidth="1"/>
    <col min="83" max="83" width="11.05859375" bestFit="1" customWidth="1"/>
    <col min="84" max="84" width="14.234375" customWidth="1"/>
  </cols>
  <sheetData>
    <row r="1" spans="1:84" ht="15.7" x14ac:dyDescent="0.55000000000000004">
      <c r="A1" s="15"/>
      <c r="B1" s="15"/>
      <c r="C1" s="15"/>
      <c r="D1" s="15"/>
      <c r="E1" s="15"/>
      <c r="F1" s="29" t="s">
        <v>44</v>
      </c>
      <c r="G1" s="29"/>
      <c r="H1" s="29"/>
      <c r="I1" s="29"/>
      <c r="J1" s="29"/>
      <c r="K1" s="29"/>
      <c r="L1" s="30" t="s">
        <v>45</v>
      </c>
      <c r="M1" s="30"/>
      <c r="N1" s="30"/>
      <c r="O1" s="30"/>
      <c r="P1" s="30"/>
      <c r="Q1" s="30"/>
      <c r="R1" s="30"/>
      <c r="S1" s="30"/>
      <c r="T1" s="29" t="s">
        <v>20</v>
      </c>
      <c r="U1" s="29"/>
      <c r="V1" s="29"/>
      <c r="W1" s="29"/>
      <c r="X1" s="29"/>
      <c r="Y1" s="29"/>
      <c r="Z1" s="29"/>
      <c r="AA1" s="29"/>
      <c r="AB1" s="30" t="s">
        <v>21</v>
      </c>
      <c r="AC1" s="30"/>
      <c r="AD1" s="30"/>
      <c r="AE1" s="30"/>
      <c r="AF1" s="30"/>
      <c r="AG1" s="30"/>
      <c r="AH1" s="30"/>
      <c r="AI1" s="30"/>
      <c r="AJ1" s="29" t="s">
        <v>22</v>
      </c>
      <c r="AK1" s="29"/>
      <c r="AL1" s="29"/>
      <c r="AM1" s="29"/>
      <c r="AN1" s="29"/>
      <c r="AO1" s="29"/>
      <c r="AP1" s="29"/>
      <c r="AQ1" s="29"/>
      <c r="AR1" s="30" t="s">
        <v>23</v>
      </c>
      <c r="AS1" s="30"/>
      <c r="AT1" s="30"/>
      <c r="AU1" s="30"/>
      <c r="AV1" s="30"/>
      <c r="AW1" s="30"/>
      <c r="AX1" s="30"/>
      <c r="AY1" s="30"/>
      <c r="AZ1" s="29" t="s">
        <v>24</v>
      </c>
      <c r="BA1" s="29"/>
      <c r="BB1" s="29"/>
      <c r="BC1" s="29"/>
      <c r="BD1" s="29"/>
      <c r="BE1" s="29"/>
      <c r="BF1" s="29"/>
      <c r="BG1" s="29"/>
      <c r="BH1" s="31" t="s">
        <v>25</v>
      </c>
      <c r="BI1" s="31"/>
      <c r="BJ1" s="31"/>
      <c r="BK1" s="31"/>
      <c r="BL1" s="31"/>
      <c r="BM1" s="31"/>
      <c r="BN1" s="31"/>
      <c r="BO1" s="31"/>
      <c r="BP1" s="29" t="s">
        <v>26</v>
      </c>
      <c r="BQ1" s="29"/>
      <c r="BR1" s="29"/>
      <c r="BS1" s="29"/>
      <c r="BT1" s="29"/>
      <c r="BU1" s="29"/>
      <c r="BV1" s="29"/>
      <c r="BW1" s="29"/>
      <c r="BX1" s="31" t="s">
        <v>111</v>
      </c>
      <c r="BY1" s="31"/>
      <c r="BZ1" s="31"/>
      <c r="CA1" s="31"/>
      <c r="CB1" s="31"/>
      <c r="CC1" s="31"/>
      <c r="CD1" s="31"/>
      <c r="CE1" s="31"/>
    </row>
    <row r="2" spans="1:84" s="2" customFormat="1" x14ac:dyDescent="0.5">
      <c r="A2" s="4" t="s">
        <v>2</v>
      </c>
      <c r="B2" s="4" t="s">
        <v>3</v>
      </c>
      <c r="C2" s="4" t="s">
        <v>4</v>
      </c>
      <c r="D2" s="5" t="s">
        <v>5</v>
      </c>
      <c r="E2" s="4" t="s">
        <v>56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 t="s">
        <v>70</v>
      </c>
      <c r="M2" s="4" t="s">
        <v>46</v>
      </c>
      <c r="N2" s="4" t="s">
        <v>47</v>
      </c>
      <c r="O2" s="4" t="s">
        <v>69</v>
      </c>
      <c r="P2" s="4" t="s">
        <v>48</v>
      </c>
      <c r="Q2" s="4" t="s">
        <v>49</v>
      </c>
      <c r="R2" s="4" t="s">
        <v>50</v>
      </c>
      <c r="S2" s="4" t="s">
        <v>57</v>
      </c>
      <c r="T2" s="3" t="s">
        <v>68</v>
      </c>
      <c r="U2" s="3" t="s">
        <v>51</v>
      </c>
      <c r="V2" s="3" t="s">
        <v>52</v>
      </c>
      <c r="W2" s="3" t="s">
        <v>67</v>
      </c>
      <c r="X2" s="3" t="s">
        <v>55</v>
      </c>
      <c r="Y2" s="3" t="s">
        <v>53</v>
      </c>
      <c r="Z2" s="3" t="s">
        <v>54</v>
      </c>
      <c r="AA2" s="3" t="s">
        <v>58</v>
      </c>
      <c r="AB2" s="4" t="s">
        <v>59</v>
      </c>
      <c r="AC2" s="4" t="s">
        <v>60</v>
      </c>
      <c r="AD2" s="4" t="s">
        <v>61</v>
      </c>
      <c r="AE2" s="4" t="s">
        <v>66</v>
      </c>
      <c r="AF2" s="4" t="s">
        <v>62</v>
      </c>
      <c r="AG2" s="4" t="s">
        <v>63</v>
      </c>
      <c r="AH2" s="4" t="s">
        <v>64</v>
      </c>
      <c r="AI2" s="4" t="s">
        <v>65</v>
      </c>
      <c r="AJ2" s="14" t="s">
        <v>71</v>
      </c>
      <c r="AK2" s="14" t="s">
        <v>72</v>
      </c>
      <c r="AL2" s="14" t="s">
        <v>73</v>
      </c>
      <c r="AM2" s="14" t="s">
        <v>74</v>
      </c>
      <c r="AN2" s="14" t="s">
        <v>75</v>
      </c>
      <c r="AO2" s="14" t="s">
        <v>76</v>
      </c>
      <c r="AP2" s="14" t="s">
        <v>77</v>
      </c>
      <c r="AQ2" s="14" t="s">
        <v>78</v>
      </c>
      <c r="AR2" s="4" t="s">
        <v>79</v>
      </c>
      <c r="AS2" s="4" t="s">
        <v>80</v>
      </c>
      <c r="AT2" s="4" t="s">
        <v>81</v>
      </c>
      <c r="AU2" s="4" t="s">
        <v>82</v>
      </c>
      <c r="AV2" s="4" t="s">
        <v>83</v>
      </c>
      <c r="AW2" s="4" t="s">
        <v>84</v>
      </c>
      <c r="AX2" s="4" t="s">
        <v>85</v>
      </c>
      <c r="AY2" s="4" t="s">
        <v>86</v>
      </c>
      <c r="AZ2" s="3" t="s">
        <v>87</v>
      </c>
      <c r="BA2" s="3" t="s">
        <v>88</v>
      </c>
      <c r="BB2" s="3" t="s">
        <v>89</v>
      </c>
      <c r="BC2" s="3" t="s">
        <v>90</v>
      </c>
      <c r="BD2" s="3" t="s">
        <v>91</v>
      </c>
      <c r="BE2" s="3" t="s">
        <v>92</v>
      </c>
      <c r="BF2" s="3" t="s">
        <v>93</v>
      </c>
      <c r="BG2" s="3" t="s">
        <v>94</v>
      </c>
      <c r="BH2" s="4" t="s">
        <v>95</v>
      </c>
      <c r="BI2" s="4" t="s">
        <v>96</v>
      </c>
      <c r="BJ2" s="4" t="s">
        <v>97</v>
      </c>
      <c r="BK2" s="4" t="s">
        <v>98</v>
      </c>
      <c r="BL2" s="4" t="s">
        <v>99</v>
      </c>
      <c r="BM2" s="4" t="s">
        <v>100</v>
      </c>
      <c r="BN2" s="4" t="s">
        <v>101</v>
      </c>
      <c r="BO2" s="4" t="s">
        <v>102</v>
      </c>
      <c r="BP2" s="14" t="s">
        <v>103</v>
      </c>
      <c r="BQ2" s="14" t="s">
        <v>104</v>
      </c>
      <c r="BR2" s="14" t="s">
        <v>105</v>
      </c>
      <c r="BS2" s="14" t="s">
        <v>106</v>
      </c>
      <c r="BT2" s="14" t="s">
        <v>107</v>
      </c>
      <c r="BU2" s="14" t="s">
        <v>108</v>
      </c>
      <c r="BV2" s="14" t="s">
        <v>109</v>
      </c>
      <c r="BW2" s="14" t="s">
        <v>110</v>
      </c>
      <c r="BX2" s="4" t="s">
        <v>112</v>
      </c>
      <c r="BY2" s="4" t="s">
        <v>113</v>
      </c>
      <c r="BZ2" s="4" t="s">
        <v>114</v>
      </c>
      <c r="CA2" s="4" t="s">
        <v>115</v>
      </c>
      <c r="CB2" s="4" t="s">
        <v>116</v>
      </c>
      <c r="CC2" s="4" t="s">
        <v>117</v>
      </c>
      <c r="CD2" s="4" t="s">
        <v>118</v>
      </c>
      <c r="CE2" s="4" t="s">
        <v>119</v>
      </c>
      <c r="CF2" s="4" t="s">
        <v>12</v>
      </c>
    </row>
    <row r="3" spans="1:84" x14ac:dyDescent="0.5">
      <c r="A3" t="s">
        <v>19</v>
      </c>
      <c r="B3" s="1">
        <v>5</v>
      </c>
      <c r="C3" s="1" t="s">
        <v>27</v>
      </c>
      <c r="D3" s="6">
        <v>877.3</v>
      </c>
      <c r="E3" s="1">
        <f>D$3-Table1[[#This Row],[TotalScore]]</f>
        <v>0</v>
      </c>
      <c r="F3" s="1">
        <v>2</v>
      </c>
      <c r="G3" s="1">
        <v>9</v>
      </c>
      <c r="H3" s="1">
        <v>99.5</v>
      </c>
      <c r="I3" s="1">
        <v>100</v>
      </c>
      <c r="J3" s="1">
        <v>29</v>
      </c>
      <c r="K3" s="6">
        <v>29</v>
      </c>
      <c r="L3" s="7">
        <v>5850</v>
      </c>
      <c r="M3" s="7">
        <v>5880</v>
      </c>
      <c r="N3" s="1">
        <v>20</v>
      </c>
      <c r="O3" s="9">
        <v>198.9796</v>
      </c>
      <c r="P3" s="9">
        <f>100 * Table1[[#This Row],[UT Raw]]/Table1[[#This Row],[UT Possible]]</f>
        <v>99.489795918367349</v>
      </c>
      <c r="Q3" s="1">
        <f t="shared" ref="Q3:Q15" si="0">RANK(O3, O$3:O$15, 0)</f>
        <v>7</v>
      </c>
      <c r="R3" s="11">
        <f t="shared" ref="R3:R15" si="1">100 * O3/$D3</f>
        <v>22.680907329305825</v>
      </c>
      <c r="S3" s="13">
        <f>O$3-O3</f>
        <v>0</v>
      </c>
      <c r="T3" s="8">
        <v>145</v>
      </c>
      <c r="U3" s="8">
        <v>200</v>
      </c>
      <c r="V3" s="1">
        <v>10</v>
      </c>
      <c r="W3" s="10">
        <v>72.5</v>
      </c>
      <c r="X3" s="9">
        <f>100 * Table1[[#This Row],[BF Raw]]/Table1[[#This Row],[BF Possible]]</f>
        <v>72.5</v>
      </c>
      <c r="Y3" s="1">
        <f t="shared" ref="Y3:Y15" si="2">RANK(W3, W$3:W$15, 0)</f>
        <v>4</v>
      </c>
      <c r="Z3" s="11">
        <f t="shared" ref="Z3:Z15" si="3">100 * W3/$D3</f>
        <v>8.2639917930012547</v>
      </c>
      <c r="AA3" s="13">
        <f t="shared" ref="AA3:AA15" si="4">W$3-W3</f>
        <v>0</v>
      </c>
      <c r="AB3" s="8">
        <v>640</v>
      </c>
      <c r="AC3" s="8">
        <v>700</v>
      </c>
      <c r="AD3" s="1">
        <v>10</v>
      </c>
      <c r="AE3" s="10">
        <v>91.428600000000003</v>
      </c>
      <c r="AF3" s="10">
        <f>100 * Table1[[#This Row],[RF Raw]]/Table1[[#This Row],[RF Possible]]</f>
        <v>91.428571428571431</v>
      </c>
      <c r="AG3" s="1">
        <f t="shared" ref="AG3:AG15" si="5">RANK(AE3, AE$3:AE$15, 0)</f>
        <v>1</v>
      </c>
      <c r="AH3" s="11">
        <f t="shared" ref="AH3:AH15" si="6">100 * AE3/$D3</f>
        <v>10.421588966146132</v>
      </c>
      <c r="AI3" s="13">
        <f t="shared" ref="AI3:AI15" si="7">AE$3-AE3</f>
        <v>0</v>
      </c>
      <c r="AJ3" s="8">
        <v>375</v>
      </c>
      <c r="AK3" s="8">
        <v>375</v>
      </c>
      <c r="AL3" s="1">
        <v>20</v>
      </c>
      <c r="AM3" s="10">
        <v>200</v>
      </c>
      <c r="AN3" s="10">
        <f>100 * Table1[[#This Row],[US Raw]]/Table1[[#This Row],[US Possible]]</f>
        <v>100</v>
      </c>
      <c r="AO3" s="1">
        <f t="shared" ref="AO3:AO15" si="8">RANK(AM3, AM$3:AM$15, 0)</f>
        <v>1</v>
      </c>
      <c r="AP3" s="11">
        <f t="shared" ref="AP3:AP15" si="9">100 * AM3/$D3</f>
        <v>22.797218739313806</v>
      </c>
      <c r="AQ3" s="13">
        <f t="shared" ref="AQ3:AQ15" si="10">AM$3-AM3</f>
        <v>0</v>
      </c>
      <c r="AR3" s="8">
        <v>136</v>
      </c>
      <c r="AS3" s="8">
        <v>230</v>
      </c>
      <c r="AT3" s="1">
        <v>15</v>
      </c>
      <c r="AU3" s="10">
        <v>88.695700000000002</v>
      </c>
      <c r="AV3" s="10">
        <f>100 * Table1[[#This Row],[AN Raw]]/Table1[[#This Row],[AN Possible]]</f>
        <v>59.130434782608695</v>
      </c>
      <c r="AW3" s="1">
        <f t="shared" ref="AW3:AW15" si="11">RANK(AU3, AU$3:AU$15, 0)</f>
        <v>1</v>
      </c>
      <c r="AX3" s="11">
        <f>100 * Table1[[#This Row],[AN Weighted]]/Table1[[#This Row],[TotalScore]]</f>
        <v>10.110076370682776</v>
      </c>
      <c r="AY3" s="13">
        <f t="shared" ref="AY3:AY15" si="12">AU$3-AU3</f>
        <v>0</v>
      </c>
      <c r="AZ3" s="8">
        <v>58</v>
      </c>
      <c r="BA3" s="8">
        <v>75</v>
      </c>
      <c r="BB3" s="1">
        <v>5</v>
      </c>
      <c r="BC3" s="10">
        <v>38.666699999999999</v>
      </c>
      <c r="BD3" s="10">
        <f>100 * Table1[[#This Row],[IR Raw]]/Table1[[#This Row],[IR Possible]]</f>
        <v>77.333333333333329</v>
      </c>
      <c r="BE3" s="1">
        <f t="shared" ref="BE3:BE15" si="13">RANK(BC3, BC$3:BC$15, 0)</f>
        <v>9</v>
      </c>
      <c r="BF3" s="11">
        <f>100 * Table1[[#This Row],[IR Weighted]] / Table1[[#This Row],[TotalScore]]</f>
        <v>4.4074660891371256</v>
      </c>
      <c r="BG3" s="13">
        <f t="shared" ref="BG3:BG15" si="14">BC$3-BC3</f>
        <v>0</v>
      </c>
      <c r="BH3" s="8">
        <v>95</v>
      </c>
      <c r="BI3" s="8">
        <v>100</v>
      </c>
      <c r="BJ3" s="1">
        <v>5</v>
      </c>
      <c r="BK3" s="10">
        <v>47.5</v>
      </c>
      <c r="BL3" s="10">
        <f>100 * Table1[[#This Row],[WD Raw]]/Table1[[#This Row],[WD Possible]]</f>
        <v>95</v>
      </c>
      <c r="BM3" s="1">
        <f t="shared" ref="BM3:BM15" si="15">RANK(BK3, BK$3:BK$15, 0)</f>
        <v>6</v>
      </c>
      <c r="BN3" s="11">
        <f>100 * Table1[[#This Row],[WD Weighted]]/Table1[[#This Row],[TotalScore]]</f>
        <v>5.414339450587029</v>
      </c>
      <c r="BO3" s="13">
        <f t="shared" ref="BO3:BO15" si="16">BK$3-BK3</f>
        <v>0</v>
      </c>
      <c r="BP3" s="8">
        <v>95</v>
      </c>
      <c r="BQ3" s="8">
        <v>100</v>
      </c>
      <c r="BR3" s="1">
        <v>5</v>
      </c>
      <c r="BS3" s="10">
        <v>47.5</v>
      </c>
      <c r="BT3" s="10">
        <f>100 * Table1[[#This Row],[GD Raw]]/Table1[[#This Row],[GD Possible]]</f>
        <v>95</v>
      </c>
      <c r="BU3" s="1">
        <f t="shared" ref="BU3:BU15" si="17">RANK(BS3, BS$3:BS$15, 0)</f>
        <v>4</v>
      </c>
      <c r="BV3" s="11">
        <f xml:space="preserve"> 100 * Table1[[#This Row],[GD Weighted]] / Table1[[#This Row],[TotalScore]]</f>
        <v>5.414339450587029</v>
      </c>
      <c r="BW3" s="13">
        <f t="shared" ref="BW3:BW15" si="18">BS$3-BS3</f>
        <v>0</v>
      </c>
      <c r="BX3" s="8">
        <v>230</v>
      </c>
      <c r="BY3" s="8">
        <v>250</v>
      </c>
      <c r="BZ3" s="1">
        <v>10</v>
      </c>
      <c r="CA3" s="10">
        <v>92</v>
      </c>
      <c r="CB3" s="10">
        <f xml:space="preserve"> 100 * Table1[[#This Row],[RT Raw]]/Table1[[#This Row],[RT Possible]]</f>
        <v>92</v>
      </c>
      <c r="CC3" s="1">
        <f t="shared" ref="CC3:CC15" si="19">RANK(CA3, CA$3:CA$15, 0)</f>
        <v>1</v>
      </c>
      <c r="CD3" s="11">
        <f xml:space="preserve"> 100 * Table1[[#This Row],[RT Weighted]]/ Table1[[#This Row],[TotalScore]]</f>
        <v>10.48672062008435</v>
      </c>
      <c r="CE3" s="13">
        <f t="shared" ref="CE3:CE15" si="20">CA$3-CA3</f>
        <v>0</v>
      </c>
      <c r="CF3" s="1">
        <v>877.3</v>
      </c>
    </row>
    <row r="4" spans="1:84" x14ac:dyDescent="0.5">
      <c r="A4" t="s">
        <v>40</v>
      </c>
      <c r="B4" s="1">
        <v>12</v>
      </c>
      <c r="C4" s="1" t="s">
        <v>41</v>
      </c>
      <c r="D4" s="6">
        <v>832.6</v>
      </c>
      <c r="E4" s="1">
        <f>D$3-Table1[[#This Row],[TotalScore]]</f>
        <v>44.699999999999932</v>
      </c>
      <c r="F4" s="1">
        <v>1</v>
      </c>
      <c r="G4" s="1">
        <v>9</v>
      </c>
      <c r="H4" s="1">
        <v>100</v>
      </c>
      <c r="I4" s="1">
        <v>82.1</v>
      </c>
      <c r="J4" s="1">
        <v>27</v>
      </c>
      <c r="K4" s="6">
        <v>29</v>
      </c>
      <c r="L4" s="7">
        <v>5880</v>
      </c>
      <c r="M4" s="7">
        <v>5880</v>
      </c>
      <c r="N4" s="1">
        <v>20</v>
      </c>
      <c r="O4" s="9">
        <v>200</v>
      </c>
      <c r="P4" s="9">
        <f>100 * Table1[[#This Row],[UT Raw]]/Table1[[#This Row],[UT Possible]]</f>
        <v>100</v>
      </c>
      <c r="Q4" s="1">
        <f t="shared" si="0"/>
        <v>1</v>
      </c>
      <c r="R4" s="11">
        <f t="shared" si="1"/>
        <v>24.021138601969731</v>
      </c>
      <c r="S4" s="13">
        <f t="shared" ref="S4:S15" si="21">O$3-O4</f>
        <v>-1.0203999999999951</v>
      </c>
      <c r="T4" s="8">
        <v>200</v>
      </c>
      <c r="U4" s="8">
        <v>200</v>
      </c>
      <c r="V4" s="1">
        <v>10</v>
      </c>
      <c r="W4" s="10">
        <v>100</v>
      </c>
      <c r="X4" s="9">
        <f>100 * Table1[[#This Row],[BF Raw]]/Table1[[#This Row],[BF Possible]]</f>
        <v>100</v>
      </c>
      <c r="Y4" s="1">
        <f t="shared" si="2"/>
        <v>1</v>
      </c>
      <c r="Z4" s="11">
        <f t="shared" si="3"/>
        <v>12.010569300984866</v>
      </c>
      <c r="AA4" s="13">
        <f t="shared" si="4"/>
        <v>-27.5</v>
      </c>
      <c r="AB4" s="8">
        <v>600</v>
      </c>
      <c r="AC4" s="8">
        <v>700</v>
      </c>
      <c r="AD4" s="1">
        <v>10</v>
      </c>
      <c r="AE4" s="10">
        <v>85.714299999999994</v>
      </c>
      <c r="AF4" s="10">
        <f>100 * Table1[[#This Row],[RF Raw]]/Table1[[#This Row],[RF Possible]]</f>
        <v>85.714285714285708</v>
      </c>
      <c r="AG4" s="1">
        <f t="shared" si="5"/>
        <v>4</v>
      </c>
      <c r="AH4" s="11">
        <f t="shared" si="6"/>
        <v>10.294775402354071</v>
      </c>
      <c r="AI4" s="13">
        <f t="shared" si="7"/>
        <v>5.7143000000000086</v>
      </c>
      <c r="AJ4" s="8">
        <v>308</v>
      </c>
      <c r="AK4" s="8">
        <v>375</v>
      </c>
      <c r="AL4" s="1">
        <v>20</v>
      </c>
      <c r="AM4" s="10">
        <v>164.26669999999999</v>
      </c>
      <c r="AN4" s="10">
        <f>100 * Table1[[#This Row],[US Raw]]/Table1[[#This Row],[US Possible]]</f>
        <v>82.13333333333334</v>
      </c>
      <c r="AO4" s="1">
        <f t="shared" si="8"/>
        <v>9</v>
      </c>
      <c r="AP4" s="11">
        <f t="shared" si="9"/>
        <v>19.729365841940904</v>
      </c>
      <c r="AQ4" s="13">
        <f t="shared" si="10"/>
        <v>35.733300000000014</v>
      </c>
      <c r="AR4" s="8">
        <v>81</v>
      </c>
      <c r="AS4" s="8">
        <v>230</v>
      </c>
      <c r="AT4" s="1">
        <v>15</v>
      </c>
      <c r="AU4" s="10">
        <v>52.826099999999997</v>
      </c>
      <c r="AV4" s="10">
        <f>100 * Table1[[#This Row],[AN Raw]]/Table1[[#This Row],[AN Possible]]</f>
        <v>35.217391304347828</v>
      </c>
      <c r="AW4" s="1">
        <f t="shared" si="11"/>
        <v>11</v>
      </c>
      <c r="AX4" s="11">
        <f>100 * Table1[[#This Row],[AN Weighted]]/Table1[[#This Row],[TotalScore]]</f>
        <v>6.3447153495075659</v>
      </c>
      <c r="AY4" s="13">
        <f t="shared" si="12"/>
        <v>35.869600000000005</v>
      </c>
      <c r="AZ4" s="8">
        <v>71</v>
      </c>
      <c r="BA4" s="8">
        <v>75</v>
      </c>
      <c r="BB4" s="1">
        <v>5</v>
      </c>
      <c r="BC4" s="10">
        <v>47.333300000000001</v>
      </c>
      <c r="BD4" s="10">
        <f>100 * Table1[[#This Row],[IR Raw]]/Table1[[#This Row],[IR Possible]]</f>
        <v>94.666666666666671</v>
      </c>
      <c r="BE4" s="1">
        <f t="shared" si="13"/>
        <v>4</v>
      </c>
      <c r="BF4" s="11">
        <f>100 * Table1[[#This Row],[IR Weighted]] / Table1[[#This Row],[TotalScore]]</f>
        <v>5.6849987989430693</v>
      </c>
      <c r="BG4" s="13">
        <f t="shared" si="14"/>
        <v>-8.6666000000000025</v>
      </c>
      <c r="BH4" s="8">
        <v>100</v>
      </c>
      <c r="BI4" s="8">
        <v>100</v>
      </c>
      <c r="BJ4" s="1">
        <v>5</v>
      </c>
      <c r="BK4" s="10">
        <v>50</v>
      </c>
      <c r="BL4" s="10">
        <f>100 * Table1[[#This Row],[WD Raw]]/Table1[[#This Row],[WD Possible]]</f>
        <v>100</v>
      </c>
      <c r="BM4" s="1">
        <f t="shared" si="15"/>
        <v>1</v>
      </c>
      <c r="BN4" s="11">
        <f>100 * Table1[[#This Row],[WD Weighted]]/Table1[[#This Row],[TotalScore]]</f>
        <v>6.0052846504924329</v>
      </c>
      <c r="BO4" s="13">
        <f t="shared" si="16"/>
        <v>-2.5</v>
      </c>
      <c r="BP4" s="8">
        <v>97</v>
      </c>
      <c r="BQ4" s="8">
        <v>100</v>
      </c>
      <c r="BR4" s="1">
        <v>5</v>
      </c>
      <c r="BS4" s="10">
        <v>48.5</v>
      </c>
      <c r="BT4" s="10">
        <f>100 * Table1[[#This Row],[GD Raw]]/Table1[[#This Row],[GD Possible]]</f>
        <v>97</v>
      </c>
      <c r="BU4" s="1">
        <f t="shared" si="17"/>
        <v>2</v>
      </c>
      <c r="BV4" s="11">
        <f xml:space="preserve"> 100 * Table1[[#This Row],[GD Weighted]] / Table1[[#This Row],[TotalScore]]</f>
        <v>5.82512611097766</v>
      </c>
      <c r="BW4" s="13">
        <f t="shared" si="18"/>
        <v>-1</v>
      </c>
      <c r="BX4" s="8">
        <v>210</v>
      </c>
      <c r="BY4" s="8">
        <v>250</v>
      </c>
      <c r="BZ4" s="1">
        <v>10</v>
      </c>
      <c r="CA4" s="10">
        <v>84</v>
      </c>
      <c r="CB4" s="10">
        <f xml:space="preserve"> 100 * Table1[[#This Row],[RT Raw]]/Table1[[#This Row],[RT Possible]]</f>
        <v>84</v>
      </c>
      <c r="CC4" s="1">
        <f t="shared" si="19"/>
        <v>3</v>
      </c>
      <c r="CD4" s="11">
        <f xml:space="preserve"> 100 * Table1[[#This Row],[RT Weighted]]/ Table1[[#This Row],[TotalScore]]</f>
        <v>10.088878212827288</v>
      </c>
      <c r="CE4" s="13">
        <f t="shared" si="20"/>
        <v>8</v>
      </c>
      <c r="CF4" s="1">
        <v>832.6</v>
      </c>
    </row>
    <row r="5" spans="1:84" x14ac:dyDescent="0.5">
      <c r="A5" t="s">
        <v>36</v>
      </c>
      <c r="B5" s="1">
        <v>10</v>
      </c>
      <c r="C5" s="1" t="s">
        <v>37</v>
      </c>
      <c r="D5" s="6">
        <v>810.3</v>
      </c>
      <c r="E5" s="1">
        <f>D$3-Table1[[#This Row],[TotalScore]]</f>
        <v>67</v>
      </c>
      <c r="F5" s="1">
        <v>1</v>
      </c>
      <c r="G5" s="1">
        <v>9</v>
      </c>
      <c r="H5" s="1">
        <v>99.8</v>
      </c>
      <c r="I5" s="1">
        <v>58.9</v>
      </c>
      <c r="J5" s="1">
        <v>29</v>
      </c>
      <c r="K5" s="6">
        <v>29</v>
      </c>
      <c r="L5" s="7">
        <v>5870</v>
      </c>
      <c r="M5" s="7">
        <v>5880</v>
      </c>
      <c r="N5" s="1">
        <v>20</v>
      </c>
      <c r="O5" s="9">
        <v>199.65989999999999</v>
      </c>
      <c r="P5" s="9">
        <f>100 * Table1[[#This Row],[UT Raw]]/Table1[[#This Row],[UT Possible]]</f>
        <v>99.829931972789112</v>
      </c>
      <c r="Q5" s="1">
        <f t="shared" si="0"/>
        <v>3</v>
      </c>
      <c r="R5" s="11">
        <f t="shared" si="1"/>
        <v>24.640244353942983</v>
      </c>
      <c r="S5" s="13">
        <f t="shared" si="21"/>
        <v>-0.68029999999998836</v>
      </c>
      <c r="T5" s="8">
        <v>200</v>
      </c>
      <c r="U5" s="8">
        <v>200</v>
      </c>
      <c r="V5" s="1">
        <v>10</v>
      </c>
      <c r="W5" s="10">
        <v>100</v>
      </c>
      <c r="X5" s="9">
        <f>100 * Table1[[#This Row],[BF Raw]]/Table1[[#This Row],[BF Possible]]</f>
        <v>100</v>
      </c>
      <c r="Y5" s="1">
        <f t="shared" si="2"/>
        <v>1</v>
      </c>
      <c r="Z5" s="11">
        <f t="shared" si="3"/>
        <v>12.341108231519192</v>
      </c>
      <c r="AA5" s="13">
        <f t="shared" si="4"/>
        <v>-27.5</v>
      </c>
      <c r="AB5" s="8">
        <v>605</v>
      </c>
      <c r="AC5" s="8">
        <v>700</v>
      </c>
      <c r="AD5" s="1">
        <v>10</v>
      </c>
      <c r="AE5" s="10">
        <v>86.428600000000003</v>
      </c>
      <c r="AF5" s="10">
        <f>100 * Table1[[#This Row],[RF Raw]]/Table1[[#This Row],[RF Possible]]</f>
        <v>86.428571428571431</v>
      </c>
      <c r="AG5" s="1">
        <f t="shared" si="5"/>
        <v>3</v>
      </c>
      <c r="AH5" s="11">
        <f t="shared" si="6"/>
        <v>10.666247068986797</v>
      </c>
      <c r="AI5" s="13">
        <f t="shared" si="7"/>
        <v>5</v>
      </c>
      <c r="AJ5" s="8">
        <v>221</v>
      </c>
      <c r="AK5" s="8">
        <v>375</v>
      </c>
      <c r="AL5" s="1">
        <v>20</v>
      </c>
      <c r="AM5" s="10">
        <v>117.86669999999999</v>
      </c>
      <c r="AN5" s="10">
        <f>100 * Table1[[#This Row],[US Raw]]/Table1[[#This Row],[US Possible]]</f>
        <v>58.93333333333333</v>
      </c>
      <c r="AO5" s="1">
        <f t="shared" si="8"/>
        <v>12</v>
      </c>
      <c r="AP5" s="11">
        <f t="shared" si="9"/>
        <v>14.546057015920031</v>
      </c>
      <c r="AQ5" s="13">
        <f t="shared" si="10"/>
        <v>82.133300000000006</v>
      </c>
      <c r="AR5" s="8">
        <v>129</v>
      </c>
      <c r="AS5" s="8">
        <v>230</v>
      </c>
      <c r="AT5" s="1">
        <v>15</v>
      </c>
      <c r="AU5" s="10">
        <v>84.130399999999995</v>
      </c>
      <c r="AV5" s="10">
        <f>100 * Table1[[#This Row],[AN Raw]]/Table1[[#This Row],[AN Possible]]</f>
        <v>56.086956521739133</v>
      </c>
      <c r="AW5" s="1">
        <f t="shared" si="11"/>
        <v>4</v>
      </c>
      <c r="AX5" s="11">
        <f>100 * Table1[[#This Row],[AN Weighted]]/Table1[[#This Row],[TotalScore]]</f>
        <v>10.38262371961002</v>
      </c>
      <c r="AY5" s="13">
        <f t="shared" si="12"/>
        <v>4.5653000000000077</v>
      </c>
      <c r="AZ5" s="8">
        <v>67</v>
      </c>
      <c r="BA5" s="8">
        <v>75</v>
      </c>
      <c r="BB5" s="1">
        <v>5</v>
      </c>
      <c r="BC5" s="10">
        <v>44.666699999999999</v>
      </c>
      <c r="BD5" s="10">
        <f>100 * Table1[[#This Row],[IR Raw]]/Table1[[#This Row],[IR Possible]]</f>
        <v>89.333333333333329</v>
      </c>
      <c r="BE5" s="1">
        <f t="shared" si="13"/>
        <v>7</v>
      </c>
      <c r="BF5" s="11">
        <f>100 * Table1[[#This Row],[IR Weighted]] / Table1[[#This Row],[TotalScore]]</f>
        <v>5.5123657904479826</v>
      </c>
      <c r="BG5" s="13">
        <f t="shared" si="14"/>
        <v>-6</v>
      </c>
      <c r="BH5" s="8">
        <v>100</v>
      </c>
      <c r="BI5" s="8">
        <v>100</v>
      </c>
      <c r="BJ5" s="1">
        <v>5</v>
      </c>
      <c r="BK5" s="10">
        <v>50</v>
      </c>
      <c r="BL5" s="10">
        <f>100 * Table1[[#This Row],[WD Raw]]/Table1[[#This Row],[WD Possible]]</f>
        <v>100</v>
      </c>
      <c r="BM5" s="1">
        <f t="shared" si="15"/>
        <v>1</v>
      </c>
      <c r="BN5" s="11">
        <f>100 * Table1[[#This Row],[WD Weighted]]/Table1[[#This Row],[TotalScore]]</f>
        <v>6.1705541157595958</v>
      </c>
      <c r="BO5" s="13">
        <f t="shared" si="16"/>
        <v>-2.5</v>
      </c>
      <c r="BP5" s="8">
        <v>87</v>
      </c>
      <c r="BQ5" s="8">
        <v>100</v>
      </c>
      <c r="BR5" s="1">
        <v>5</v>
      </c>
      <c r="BS5" s="10">
        <v>43.5</v>
      </c>
      <c r="BT5" s="10">
        <f>100 * Table1[[#This Row],[GD Raw]]/Table1[[#This Row],[GD Possible]]</f>
        <v>87</v>
      </c>
      <c r="BU5" s="1">
        <f t="shared" si="17"/>
        <v>7</v>
      </c>
      <c r="BV5" s="11">
        <f xml:space="preserve"> 100 * Table1[[#This Row],[GD Weighted]] / Table1[[#This Row],[TotalScore]]</f>
        <v>5.3683820807108482</v>
      </c>
      <c r="BW5" s="13">
        <f t="shared" si="18"/>
        <v>4</v>
      </c>
      <c r="BX5" s="8">
        <v>210</v>
      </c>
      <c r="BY5" s="8">
        <v>250</v>
      </c>
      <c r="BZ5" s="1">
        <v>10</v>
      </c>
      <c r="CA5" s="10">
        <v>84</v>
      </c>
      <c r="CB5" s="10">
        <f xml:space="preserve"> 100 * Table1[[#This Row],[RT Raw]]/Table1[[#This Row],[RT Possible]]</f>
        <v>84</v>
      </c>
      <c r="CC5" s="1">
        <f t="shared" si="19"/>
        <v>3</v>
      </c>
      <c r="CD5" s="11">
        <f xml:space="preserve"> 100 * Table1[[#This Row],[RT Weighted]]/ Table1[[#This Row],[TotalScore]]</f>
        <v>10.366530914476121</v>
      </c>
      <c r="CE5" s="13">
        <f t="shared" si="20"/>
        <v>8</v>
      </c>
      <c r="CF5" s="1">
        <v>810.3</v>
      </c>
    </row>
    <row r="6" spans="1:84" x14ac:dyDescent="0.5">
      <c r="A6" t="s">
        <v>42</v>
      </c>
      <c r="B6" s="1">
        <v>13</v>
      </c>
      <c r="C6" s="1" t="s">
        <v>43</v>
      </c>
      <c r="D6" s="6">
        <v>783.5</v>
      </c>
      <c r="E6" s="1">
        <f>D$3-Table1[[#This Row],[TotalScore]]</f>
        <v>93.799999999999955</v>
      </c>
      <c r="F6" s="1">
        <v>2</v>
      </c>
      <c r="G6" s="1">
        <v>9</v>
      </c>
      <c r="H6" s="1">
        <v>99.8</v>
      </c>
      <c r="I6" s="1">
        <v>92.5</v>
      </c>
      <c r="J6" s="1">
        <v>28</v>
      </c>
      <c r="K6" s="6">
        <v>29</v>
      </c>
      <c r="L6" s="7">
        <v>5870</v>
      </c>
      <c r="M6" s="7">
        <v>5880</v>
      </c>
      <c r="N6" s="1">
        <v>20</v>
      </c>
      <c r="O6" s="9">
        <v>199.65989999999999</v>
      </c>
      <c r="P6" s="9">
        <f>100 * Table1[[#This Row],[UT Raw]]/Table1[[#This Row],[UT Possible]]</f>
        <v>99.829931972789112</v>
      </c>
      <c r="Q6" s="1">
        <f t="shared" si="0"/>
        <v>3</v>
      </c>
      <c r="R6" s="11">
        <f t="shared" si="1"/>
        <v>25.483075941289083</v>
      </c>
      <c r="S6" s="13">
        <f t="shared" si="21"/>
        <v>-0.68029999999998836</v>
      </c>
      <c r="T6" s="8">
        <v>100</v>
      </c>
      <c r="U6" s="8">
        <v>200</v>
      </c>
      <c r="V6" s="1">
        <v>10</v>
      </c>
      <c r="W6" s="10">
        <v>50</v>
      </c>
      <c r="X6" s="9">
        <f>100 * Table1[[#This Row],[BF Raw]]/Table1[[#This Row],[BF Possible]]</f>
        <v>50</v>
      </c>
      <c r="Y6" s="1">
        <f t="shared" si="2"/>
        <v>5</v>
      </c>
      <c r="Z6" s="11">
        <f t="shared" si="3"/>
        <v>6.3816209317166557</v>
      </c>
      <c r="AA6" s="13">
        <f t="shared" si="4"/>
        <v>22.5</v>
      </c>
      <c r="AB6" s="8">
        <v>635</v>
      </c>
      <c r="AC6" s="8">
        <v>700</v>
      </c>
      <c r="AD6" s="1">
        <v>10</v>
      </c>
      <c r="AE6" s="10">
        <v>90.714299999999994</v>
      </c>
      <c r="AF6" s="10">
        <f>100 * Table1[[#This Row],[RF Raw]]/Table1[[#This Row],[RF Possible]]</f>
        <v>90.714285714285708</v>
      </c>
      <c r="AG6" s="1">
        <f t="shared" si="5"/>
        <v>2</v>
      </c>
      <c r="AH6" s="11">
        <f t="shared" si="6"/>
        <v>11.578085513720485</v>
      </c>
      <c r="AI6" s="13">
        <f t="shared" si="7"/>
        <v>0.71430000000000859</v>
      </c>
      <c r="AJ6" s="8">
        <v>347</v>
      </c>
      <c r="AK6" s="8">
        <v>375</v>
      </c>
      <c r="AL6" s="1">
        <v>20</v>
      </c>
      <c r="AM6" s="10">
        <v>185.0667</v>
      </c>
      <c r="AN6" s="10">
        <f>100 * Table1[[#This Row],[US Raw]]/Table1[[#This Row],[US Possible]]</f>
        <v>92.533333333333331</v>
      </c>
      <c r="AO6" s="1">
        <f t="shared" si="8"/>
        <v>2</v>
      </c>
      <c r="AP6" s="11">
        <f t="shared" si="9"/>
        <v>23.620510529674537</v>
      </c>
      <c r="AQ6" s="13">
        <f t="shared" si="10"/>
        <v>14.933300000000003</v>
      </c>
      <c r="AR6" s="8">
        <v>113</v>
      </c>
      <c r="AS6" s="8">
        <v>230</v>
      </c>
      <c r="AT6" s="1">
        <v>15</v>
      </c>
      <c r="AU6" s="10">
        <v>73.695700000000002</v>
      </c>
      <c r="AV6" s="10">
        <f>100 * Table1[[#This Row],[AN Raw]]/Table1[[#This Row],[AN Possible]]</f>
        <v>49.130434782608695</v>
      </c>
      <c r="AW6" s="1">
        <f t="shared" si="11"/>
        <v>7</v>
      </c>
      <c r="AX6" s="11">
        <f>100 * Table1[[#This Row],[AN Weighted]]/Table1[[#This Row],[TotalScore]]</f>
        <v>9.4059604339502236</v>
      </c>
      <c r="AY6" s="13">
        <f t="shared" si="12"/>
        <v>15</v>
      </c>
      <c r="AZ6" s="8">
        <v>50</v>
      </c>
      <c r="BA6" s="8">
        <v>75</v>
      </c>
      <c r="BB6" s="1">
        <v>5</v>
      </c>
      <c r="BC6" s="10">
        <v>33.333300000000001</v>
      </c>
      <c r="BD6" s="10">
        <f>100 * Table1[[#This Row],[IR Raw]]/Table1[[#This Row],[IR Possible]]</f>
        <v>66.666666666666671</v>
      </c>
      <c r="BE6" s="1">
        <f t="shared" si="13"/>
        <v>11</v>
      </c>
      <c r="BF6" s="11">
        <f>100 * Table1[[#This Row],[IR Weighted]] / Table1[[#This Row],[TotalScore]]</f>
        <v>4.2544097000638157</v>
      </c>
      <c r="BG6" s="13">
        <f t="shared" si="14"/>
        <v>5.3333999999999975</v>
      </c>
      <c r="BH6" s="8">
        <v>67</v>
      </c>
      <c r="BI6" s="8">
        <v>100</v>
      </c>
      <c r="BJ6" s="1">
        <v>5</v>
      </c>
      <c r="BK6" s="10">
        <v>33.5</v>
      </c>
      <c r="BL6" s="10">
        <f>100 * Table1[[#This Row],[WD Raw]]/Table1[[#This Row],[WD Possible]]</f>
        <v>67</v>
      </c>
      <c r="BM6" s="1">
        <f t="shared" si="15"/>
        <v>10</v>
      </c>
      <c r="BN6" s="11">
        <f>100 * Table1[[#This Row],[WD Weighted]]/Table1[[#This Row],[TotalScore]]</f>
        <v>4.2756860242501595</v>
      </c>
      <c r="BO6" s="13">
        <f t="shared" si="16"/>
        <v>14</v>
      </c>
      <c r="BP6" s="8">
        <v>67</v>
      </c>
      <c r="BQ6" s="8">
        <v>100</v>
      </c>
      <c r="BR6" s="1">
        <v>5</v>
      </c>
      <c r="BS6" s="10">
        <v>33.5</v>
      </c>
      <c r="BT6" s="10">
        <f>100 * Table1[[#This Row],[GD Raw]]/Table1[[#This Row],[GD Possible]]</f>
        <v>67</v>
      </c>
      <c r="BU6" s="1">
        <f t="shared" si="17"/>
        <v>9</v>
      </c>
      <c r="BV6" s="11">
        <f xml:space="preserve"> 100 * Table1[[#This Row],[GD Weighted]] / Table1[[#This Row],[TotalScore]]</f>
        <v>4.2756860242501595</v>
      </c>
      <c r="BW6" s="13">
        <f t="shared" si="18"/>
        <v>14</v>
      </c>
      <c r="BX6" s="8">
        <v>210</v>
      </c>
      <c r="BY6" s="8">
        <v>250</v>
      </c>
      <c r="BZ6" s="1">
        <v>10</v>
      </c>
      <c r="CA6" s="10">
        <v>84</v>
      </c>
      <c r="CB6" s="10">
        <f xml:space="preserve"> 100 * Table1[[#This Row],[RT Raw]]/Table1[[#This Row],[RT Possible]]</f>
        <v>84</v>
      </c>
      <c r="CC6" s="1">
        <f t="shared" si="19"/>
        <v>3</v>
      </c>
      <c r="CD6" s="11">
        <f xml:space="preserve"> 100 * Table1[[#This Row],[RT Weighted]]/ Table1[[#This Row],[TotalScore]]</f>
        <v>10.721123165283982</v>
      </c>
      <c r="CE6" s="13">
        <f t="shared" si="20"/>
        <v>8</v>
      </c>
      <c r="CF6" s="1">
        <v>783.5</v>
      </c>
    </row>
    <row r="7" spans="1:84" x14ac:dyDescent="0.5">
      <c r="A7" t="s">
        <v>13</v>
      </c>
      <c r="B7" s="1">
        <v>2</v>
      </c>
      <c r="C7" s="1" t="s">
        <v>14</v>
      </c>
      <c r="D7" s="6">
        <v>755.2</v>
      </c>
      <c r="E7" s="1">
        <f>D$3-Table1[[#This Row],[TotalScore]]</f>
        <v>122.09999999999991</v>
      </c>
      <c r="F7" s="1">
        <v>8</v>
      </c>
      <c r="G7" s="1">
        <v>9</v>
      </c>
      <c r="H7" s="1">
        <v>95.6</v>
      </c>
      <c r="I7" s="1">
        <v>88.5</v>
      </c>
      <c r="J7" s="1">
        <v>27</v>
      </c>
      <c r="K7" s="6">
        <v>29</v>
      </c>
      <c r="L7" s="7">
        <v>5620</v>
      </c>
      <c r="M7" s="7">
        <v>5880</v>
      </c>
      <c r="N7" s="1">
        <v>20</v>
      </c>
      <c r="O7" s="9">
        <v>191.15649999999999</v>
      </c>
      <c r="P7" s="9">
        <f>100 * Table1[[#This Row],[UT Raw]]/Table1[[#This Row],[UT Possible]]</f>
        <v>95.578231292517003</v>
      </c>
      <c r="Q7" s="1">
        <f t="shared" si="0"/>
        <v>10</v>
      </c>
      <c r="R7" s="11">
        <f t="shared" si="1"/>
        <v>25.312036546610166</v>
      </c>
      <c r="S7" s="13">
        <f t="shared" si="21"/>
        <v>7.8231000000000108</v>
      </c>
      <c r="T7" s="8">
        <v>100</v>
      </c>
      <c r="U7" s="8">
        <v>200</v>
      </c>
      <c r="V7" s="1">
        <v>10</v>
      </c>
      <c r="W7" s="10">
        <v>50</v>
      </c>
      <c r="X7" s="9">
        <f>100 * Table1[[#This Row],[BF Raw]]/Table1[[#This Row],[BF Possible]]</f>
        <v>50</v>
      </c>
      <c r="Y7" s="1">
        <f t="shared" si="2"/>
        <v>5</v>
      </c>
      <c r="Z7" s="11">
        <f t="shared" si="3"/>
        <v>6.6207627118644066</v>
      </c>
      <c r="AA7" s="13">
        <f t="shared" si="4"/>
        <v>22.5</v>
      </c>
      <c r="AB7" s="8">
        <v>275</v>
      </c>
      <c r="AC7" s="8">
        <v>700</v>
      </c>
      <c r="AD7" s="1">
        <v>10</v>
      </c>
      <c r="AE7" s="10">
        <v>39.285699999999999</v>
      </c>
      <c r="AF7" s="10">
        <f>100 * Table1[[#This Row],[RF Raw]]/Table1[[#This Row],[RF Possible]]</f>
        <v>39.285714285714285</v>
      </c>
      <c r="AG7" s="1">
        <f t="shared" si="5"/>
        <v>8</v>
      </c>
      <c r="AH7" s="11">
        <f t="shared" si="6"/>
        <v>5.2020259533898301</v>
      </c>
      <c r="AI7" s="13">
        <f t="shared" si="7"/>
        <v>52.142900000000004</v>
      </c>
      <c r="AJ7" s="8">
        <v>332</v>
      </c>
      <c r="AK7" s="8">
        <v>375</v>
      </c>
      <c r="AL7" s="1">
        <v>20</v>
      </c>
      <c r="AM7" s="10">
        <v>177.0667</v>
      </c>
      <c r="AN7" s="10">
        <f>100 * Table1[[#This Row],[US Raw]]/Table1[[#This Row],[US Possible]]</f>
        <v>88.533333333333331</v>
      </c>
      <c r="AO7" s="1">
        <f t="shared" si="8"/>
        <v>7</v>
      </c>
      <c r="AP7" s="11">
        <f t="shared" si="9"/>
        <v>23.446332097457624</v>
      </c>
      <c r="AQ7" s="13">
        <f t="shared" si="10"/>
        <v>22.933300000000003</v>
      </c>
      <c r="AR7" s="8">
        <v>136</v>
      </c>
      <c r="AS7" s="8">
        <v>230</v>
      </c>
      <c r="AT7" s="1">
        <v>15</v>
      </c>
      <c r="AU7" s="10">
        <v>88.695700000000002</v>
      </c>
      <c r="AV7" s="10">
        <f>100 * Table1[[#This Row],[AN Raw]]/Table1[[#This Row],[AN Possible]]</f>
        <v>59.130434782608695</v>
      </c>
      <c r="AW7" s="1">
        <f t="shared" si="11"/>
        <v>1</v>
      </c>
      <c r="AX7" s="11">
        <f>100 * Table1[[#This Row],[AN Weighted]]/Table1[[#This Row],[TotalScore]]</f>
        <v>11.744663665254237</v>
      </c>
      <c r="AY7" s="13">
        <f t="shared" si="12"/>
        <v>0</v>
      </c>
      <c r="AZ7" s="8">
        <v>75</v>
      </c>
      <c r="BA7" s="8">
        <v>75</v>
      </c>
      <c r="BB7" s="1">
        <v>5</v>
      </c>
      <c r="BC7" s="10">
        <v>50</v>
      </c>
      <c r="BD7" s="10">
        <f>100 * Table1[[#This Row],[IR Raw]]/Table1[[#This Row],[IR Possible]]</f>
        <v>100</v>
      </c>
      <c r="BE7" s="1">
        <f t="shared" si="13"/>
        <v>1</v>
      </c>
      <c r="BF7" s="11">
        <f>100 * Table1[[#This Row],[IR Weighted]] / Table1[[#This Row],[TotalScore]]</f>
        <v>6.6207627118644066</v>
      </c>
      <c r="BG7" s="13">
        <f t="shared" si="14"/>
        <v>-11.333300000000001</v>
      </c>
      <c r="BH7" s="8">
        <v>100</v>
      </c>
      <c r="BI7" s="8">
        <v>100</v>
      </c>
      <c r="BJ7" s="1">
        <v>5</v>
      </c>
      <c r="BK7" s="10">
        <v>50</v>
      </c>
      <c r="BL7" s="10">
        <f>100 * Table1[[#This Row],[WD Raw]]/Table1[[#This Row],[WD Possible]]</f>
        <v>100</v>
      </c>
      <c r="BM7" s="1">
        <f t="shared" si="15"/>
        <v>1</v>
      </c>
      <c r="BN7" s="11">
        <f>100 * Table1[[#This Row],[WD Weighted]]/Table1[[#This Row],[TotalScore]]</f>
        <v>6.6207627118644066</v>
      </c>
      <c r="BO7" s="13">
        <f t="shared" si="16"/>
        <v>-2.5</v>
      </c>
      <c r="BP7" s="8">
        <v>98</v>
      </c>
      <c r="BQ7" s="8">
        <v>100</v>
      </c>
      <c r="BR7" s="1">
        <v>5</v>
      </c>
      <c r="BS7" s="10">
        <v>49</v>
      </c>
      <c r="BT7" s="10">
        <f>100 * Table1[[#This Row],[GD Raw]]/Table1[[#This Row],[GD Possible]]</f>
        <v>98</v>
      </c>
      <c r="BU7" s="1">
        <f t="shared" si="17"/>
        <v>1</v>
      </c>
      <c r="BV7" s="11">
        <f xml:space="preserve"> 100 * Table1[[#This Row],[GD Weighted]] / Table1[[#This Row],[TotalScore]]</f>
        <v>6.4883474576271185</v>
      </c>
      <c r="BW7" s="13">
        <f t="shared" si="18"/>
        <v>-1.5</v>
      </c>
      <c r="BX7" s="8">
        <v>150</v>
      </c>
      <c r="BY7" s="8">
        <v>250</v>
      </c>
      <c r="BZ7" s="1">
        <v>10</v>
      </c>
      <c r="CA7" s="10">
        <v>60</v>
      </c>
      <c r="CB7" s="10">
        <f xml:space="preserve"> 100 * Table1[[#This Row],[RT Raw]]/Table1[[#This Row],[RT Possible]]</f>
        <v>60</v>
      </c>
      <c r="CC7" s="1">
        <f t="shared" si="19"/>
        <v>6</v>
      </c>
      <c r="CD7" s="11">
        <f xml:space="preserve"> 100 * Table1[[#This Row],[RT Weighted]]/ Table1[[#This Row],[TotalScore]]</f>
        <v>7.9449152542372881</v>
      </c>
      <c r="CE7" s="13">
        <f t="shared" si="20"/>
        <v>32</v>
      </c>
      <c r="CF7" s="1">
        <v>755.2</v>
      </c>
    </row>
    <row r="8" spans="1:84" x14ac:dyDescent="0.5">
      <c r="A8" t="s">
        <v>0</v>
      </c>
      <c r="B8" s="1">
        <v>1</v>
      </c>
      <c r="C8" s="1" t="s">
        <v>1</v>
      </c>
      <c r="D8" s="6">
        <v>731.2</v>
      </c>
      <c r="E8" s="1">
        <f>D$3-Table1[[#This Row],[TotalScore]]</f>
        <v>146.09999999999991</v>
      </c>
      <c r="F8" s="1">
        <v>9</v>
      </c>
      <c r="G8" s="1">
        <v>9</v>
      </c>
      <c r="H8" s="1">
        <v>98.8</v>
      </c>
      <c r="I8" s="1">
        <v>90.9</v>
      </c>
      <c r="J8" s="1">
        <v>29</v>
      </c>
      <c r="K8" s="6">
        <v>29</v>
      </c>
      <c r="L8" s="7">
        <v>5810</v>
      </c>
      <c r="M8" s="7">
        <v>5880</v>
      </c>
      <c r="N8" s="1">
        <v>20</v>
      </c>
      <c r="O8" s="9">
        <v>197.6191</v>
      </c>
      <c r="P8" s="9">
        <f>100 * Table1[[#This Row],[UT Raw]]/Table1[[#This Row],[UT Possible]]</f>
        <v>98.80952380952381</v>
      </c>
      <c r="Q8" s="1">
        <f t="shared" si="0"/>
        <v>8</v>
      </c>
      <c r="R8" s="11">
        <f t="shared" si="1"/>
        <v>27.026682166301967</v>
      </c>
      <c r="S8" s="13">
        <f t="shared" si="21"/>
        <v>1.3605000000000018</v>
      </c>
      <c r="T8" s="8">
        <v>20</v>
      </c>
      <c r="U8" s="8">
        <v>200</v>
      </c>
      <c r="V8" s="1">
        <v>10</v>
      </c>
      <c r="W8" s="10">
        <v>10</v>
      </c>
      <c r="X8" s="9">
        <f>100 * Table1[[#This Row],[BF Raw]]/Table1[[#This Row],[BF Possible]]</f>
        <v>10</v>
      </c>
      <c r="Y8" s="1">
        <f t="shared" si="2"/>
        <v>10</v>
      </c>
      <c r="Z8" s="11">
        <f t="shared" si="3"/>
        <v>1.3676148796498906</v>
      </c>
      <c r="AA8" s="13">
        <f t="shared" si="4"/>
        <v>62.5</v>
      </c>
      <c r="AB8" s="8">
        <v>105</v>
      </c>
      <c r="AC8" s="8">
        <v>700</v>
      </c>
      <c r="AD8" s="1">
        <v>10</v>
      </c>
      <c r="AE8" s="10">
        <v>15</v>
      </c>
      <c r="AF8" s="10">
        <f>100 * Table1[[#This Row],[RF Raw]]/Table1[[#This Row],[RF Possible]]</f>
        <v>15</v>
      </c>
      <c r="AG8" s="1">
        <f t="shared" si="5"/>
        <v>10</v>
      </c>
      <c r="AH8" s="11">
        <f t="shared" si="6"/>
        <v>2.0514223194748356</v>
      </c>
      <c r="AI8" s="13">
        <f t="shared" si="7"/>
        <v>76.428600000000003</v>
      </c>
      <c r="AJ8" s="8">
        <v>341</v>
      </c>
      <c r="AK8" s="8">
        <v>375</v>
      </c>
      <c r="AL8" s="1">
        <v>20</v>
      </c>
      <c r="AM8" s="10">
        <v>181.86670000000001</v>
      </c>
      <c r="AN8" s="10">
        <f>100 * Table1[[#This Row],[US Raw]]/Table1[[#This Row],[US Possible]]</f>
        <v>90.933333333333337</v>
      </c>
      <c r="AO8" s="1">
        <f t="shared" si="8"/>
        <v>4</v>
      </c>
      <c r="AP8" s="11">
        <f t="shared" si="9"/>
        <v>24.872360503282277</v>
      </c>
      <c r="AQ8" s="13">
        <f t="shared" si="10"/>
        <v>18.133299999999991</v>
      </c>
      <c r="AR8" s="8">
        <v>133</v>
      </c>
      <c r="AS8" s="8">
        <v>230</v>
      </c>
      <c r="AT8" s="1">
        <v>15</v>
      </c>
      <c r="AU8" s="10">
        <v>86.739099999999993</v>
      </c>
      <c r="AV8" s="10">
        <f>100 * Table1[[#This Row],[AN Raw]]/Table1[[#This Row],[AN Possible]]</f>
        <v>57.826086956521742</v>
      </c>
      <c r="AW8" s="1">
        <f t="shared" si="11"/>
        <v>3</v>
      </c>
      <c r="AX8" s="11">
        <f>100 * Table1[[#This Row],[AN Weighted]]/Table1[[#This Row],[TotalScore]]</f>
        <v>11.862568380743982</v>
      </c>
      <c r="AY8" s="13">
        <f t="shared" si="12"/>
        <v>1.9566000000000088</v>
      </c>
      <c r="AZ8" s="8">
        <v>75</v>
      </c>
      <c r="BA8" s="8">
        <v>75</v>
      </c>
      <c r="BB8" s="1">
        <v>5</v>
      </c>
      <c r="BC8" s="10">
        <v>50</v>
      </c>
      <c r="BD8" s="10">
        <f>100 * Table1[[#This Row],[IR Raw]]/Table1[[#This Row],[IR Possible]]</f>
        <v>100</v>
      </c>
      <c r="BE8" s="1">
        <f t="shared" si="13"/>
        <v>1</v>
      </c>
      <c r="BF8" s="11">
        <f>100 * Table1[[#This Row],[IR Weighted]] / Table1[[#This Row],[TotalScore]]</f>
        <v>6.8380743982494527</v>
      </c>
      <c r="BG8" s="13">
        <f t="shared" si="14"/>
        <v>-11.333300000000001</v>
      </c>
      <c r="BH8" s="8">
        <v>100</v>
      </c>
      <c r="BI8" s="8">
        <v>100</v>
      </c>
      <c r="BJ8" s="1">
        <v>5</v>
      </c>
      <c r="BK8" s="10">
        <v>50</v>
      </c>
      <c r="BL8" s="10">
        <f>100 * Table1[[#This Row],[WD Raw]]/Table1[[#This Row],[WD Possible]]</f>
        <v>100</v>
      </c>
      <c r="BM8" s="1">
        <f t="shared" si="15"/>
        <v>1</v>
      </c>
      <c r="BN8" s="11">
        <f>100 * Table1[[#This Row],[WD Weighted]]/Table1[[#This Row],[TotalScore]]</f>
        <v>6.8380743982494527</v>
      </c>
      <c r="BO8" s="13">
        <f t="shared" si="16"/>
        <v>-2.5</v>
      </c>
      <c r="BP8" s="8">
        <v>96</v>
      </c>
      <c r="BQ8" s="8">
        <v>100</v>
      </c>
      <c r="BR8" s="1">
        <v>5</v>
      </c>
      <c r="BS8" s="10">
        <v>48</v>
      </c>
      <c r="BT8" s="10">
        <f>100 * Table1[[#This Row],[GD Raw]]/Table1[[#This Row],[GD Possible]]</f>
        <v>96</v>
      </c>
      <c r="BU8" s="1">
        <f t="shared" si="17"/>
        <v>3</v>
      </c>
      <c r="BV8" s="11">
        <f xml:space="preserve"> 100 * Table1[[#This Row],[GD Weighted]] / Table1[[#This Row],[TotalScore]]</f>
        <v>6.5645514223194743</v>
      </c>
      <c r="BW8" s="13">
        <f t="shared" si="18"/>
        <v>-0.5</v>
      </c>
      <c r="BX8" s="8">
        <v>230</v>
      </c>
      <c r="BY8" s="8">
        <v>250</v>
      </c>
      <c r="BZ8" s="1">
        <v>10</v>
      </c>
      <c r="CA8" s="10">
        <v>92</v>
      </c>
      <c r="CB8" s="10">
        <f xml:space="preserve"> 100 * Table1[[#This Row],[RT Raw]]/Table1[[#This Row],[RT Possible]]</f>
        <v>92</v>
      </c>
      <c r="CC8" s="1">
        <f t="shared" si="19"/>
        <v>1</v>
      </c>
      <c r="CD8" s="11">
        <f xml:space="preserve"> 100 * Table1[[#This Row],[RT Weighted]]/ Table1[[#This Row],[TotalScore]]</f>
        <v>12.582056892778994</v>
      </c>
      <c r="CE8" s="13">
        <f t="shared" si="20"/>
        <v>0</v>
      </c>
      <c r="CF8" s="1">
        <v>731.2</v>
      </c>
    </row>
    <row r="9" spans="1:84" x14ac:dyDescent="0.5">
      <c r="A9" t="s">
        <v>28</v>
      </c>
      <c r="B9" s="1">
        <v>6</v>
      </c>
      <c r="C9" s="1" t="s">
        <v>29</v>
      </c>
      <c r="D9" s="6">
        <v>672.8</v>
      </c>
      <c r="E9" s="1">
        <f>D$3-Table1[[#This Row],[TotalScore]]</f>
        <v>204.5</v>
      </c>
      <c r="F9" s="1">
        <v>4</v>
      </c>
      <c r="G9" s="1">
        <v>9</v>
      </c>
      <c r="H9" s="1">
        <v>99.7</v>
      </c>
      <c r="I9" s="1">
        <v>76.3</v>
      </c>
      <c r="J9" s="1">
        <v>29</v>
      </c>
      <c r="K9" s="6">
        <v>29</v>
      </c>
      <c r="L9" s="7">
        <v>5860</v>
      </c>
      <c r="M9" s="7">
        <v>5880</v>
      </c>
      <c r="N9" s="1">
        <v>20</v>
      </c>
      <c r="O9" s="9">
        <v>199.31970000000001</v>
      </c>
      <c r="P9" s="9">
        <f>100 * Table1[[#This Row],[UT Raw]]/Table1[[#This Row],[UT Possible]]</f>
        <v>99.659863945578238</v>
      </c>
      <c r="Q9" s="1">
        <f t="shared" si="0"/>
        <v>5</v>
      </c>
      <c r="R9" s="11">
        <f t="shared" si="1"/>
        <v>29.625401307966712</v>
      </c>
      <c r="S9" s="13">
        <f t="shared" si="21"/>
        <v>-0.34010000000000673</v>
      </c>
      <c r="T9" s="8">
        <v>100</v>
      </c>
      <c r="U9" s="8">
        <v>200</v>
      </c>
      <c r="V9" s="1">
        <v>10</v>
      </c>
      <c r="W9" s="10">
        <v>50</v>
      </c>
      <c r="X9" s="9">
        <f>100 * Table1[[#This Row],[BF Raw]]/Table1[[#This Row],[BF Possible]]</f>
        <v>50</v>
      </c>
      <c r="Y9" s="1">
        <f t="shared" si="2"/>
        <v>5</v>
      </c>
      <c r="Z9" s="11">
        <f t="shared" si="3"/>
        <v>7.4316290130796672</v>
      </c>
      <c r="AA9" s="13">
        <f t="shared" si="4"/>
        <v>22.5</v>
      </c>
      <c r="AB9" s="8">
        <v>400</v>
      </c>
      <c r="AC9" s="8">
        <v>700</v>
      </c>
      <c r="AD9" s="1">
        <v>10</v>
      </c>
      <c r="AE9" s="10">
        <v>57.142899999999997</v>
      </c>
      <c r="AF9" s="10">
        <f>100 * Table1[[#This Row],[RF Raw]]/Table1[[#This Row],[RF Possible]]</f>
        <v>57.142857142857146</v>
      </c>
      <c r="AG9" s="1">
        <f t="shared" si="5"/>
        <v>6</v>
      </c>
      <c r="AH9" s="11">
        <f t="shared" si="6"/>
        <v>8.4932966706302029</v>
      </c>
      <c r="AI9" s="13">
        <f t="shared" si="7"/>
        <v>34.285700000000006</v>
      </c>
      <c r="AJ9" s="8">
        <v>286</v>
      </c>
      <c r="AK9" s="8">
        <v>375</v>
      </c>
      <c r="AL9" s="1">
        <v>20</v>
      </c>
      <c r="AM9" s="10">
        <v>152.5333</v>
      </c>
      <c r="AN9" s="10">
        <f>100 * Table1[[#This Row],[US Raw]]/Table1[[#This Row],[US Possible]]</f>
        <v>76.266666666666666</v>
      </c>
      <c r="AO9" s="1">
        <f t="shared" si="8"/>
        <v>11</v>
      </c>
      <c r="AP9" s="11">
        <f t="shared" si="9"/>
        <v>22.671417954815698</v>
      </c>
      <c r="AQ9" s="13">
        <f t="shared" si="10"/>
        <v>47.466700000000003</v>
      </c>
      <c r="AR9" s="8">
        <v>115</v>
      </c>
      <c r="AS9" s="8">
        <v>230</v>
      </c>
      <c r="AT9" s="1">
        <v>15</v>
      </c>
      <c r="AU9" s="10">
        <v>75</v>
      </c>
      <c r="AV9" s="10">
        <f>100 * Table1[[#This Row],[AN Raw]]/Table1[[#This Row],[AN Possible]]</f>
        <v>50</v>
      </c>
      <c r="AW9" s="1">
        <f t="shared" si="11"/>
        <v>6</v>
      </c>
      <c r="AX9" s="11">
        <f>100 * Table1[[#This Row],[AN Weighted]]/Table1[[#This Row],[TotalScore]]</f>
        <v>11.147443519619502</v>
      </c>
      <c r="AY9" s="13">
        <f t="shared" si="12"/>
        <v>13.695700000000002</v>
      </c>
      <c r="AZ9" s="8">
        <v>68</v>
      </c>
      <c r="BA9" s="8">
        <v>75</v>
      </c>
      <c r="BB9" s="1">
        <v>5</v>
      </c>
      <c r="BC9" s="10">
        <v>45.333300000000001</v>
      </c>
      <c r="BD9" s="10">
        <f>100 * Table1[[#This Row],[IR Raw]]/Table1[[#This Row],[IR Possible]]</f>
        <v>90.666666666666671</v>
      </c>
      <c r="BE9" s="1">
        <f t="shared" si="13"/>
        <v>6</v>
      </c>
      <c r="BF9" s="11">
        <f>100 * Table1[[#This Row],[IR Weighted]] / Table1[[#This Row],[TotalScore]]</f>
        <v>6.7380053507728901</v>
      </c>
      <c r="BG9" s="13">
        <f t="shared" si="14"/>
        <v>-6.6666000000000025</v>
      </c>
      <c r="BH9" s="8">
        <v>95</v>
      </c>
      <c r="BI9" s="8">
        <v>100</v>
      </c>
      <c r="BJ9" s="1">
        <v>5</v>
      </c>
      <c r="BK9" s="10">
        <v>47.5</v>
      </c>
      <c r="BL9" s="10">
        <f>100 * Table1[[#This Row],[WD Raw]]/Table1[[#This Row],[WD Possible]]</f>
        <v>95</v>
      </c>
      <c r="BM9" s="1">
        <f t="shared" si="15"/>
        <v>6</v>
      </c>
      <c r="BN9" s="11">
        <f>100 * Table1[[#This Row],[WD Weighted]]/Table1[[#This Row],[TotalScore]]</f>
        <v>7.0600475624256838</v>
      </c>
      <c r="BO9" s="13">
        <f t="shared" si="16"/>
        <v>0</v>
      </c>
      <c r="BP9" s="8">
        <v>92</v>
      </c>
      <c r="BQ9" s="8">
        <v>100</v>
      </c>
      <c r="BR9" s="1">
        <v>5</v>
      </c>
      <c r="BS9" s="10">
        <v>46</v>
      </c>
      <c r="BT9" s="10">
        <f>100 * Table1[[#This Row],[GD Raw]]/Table1[[#This Row],[GD Possible]]</f>
        <v>92</v>
      </c>
      <c r="BU9" s="1">
        <f t="shared" si="17"/>
        <v>5</v>
      </c>
      <c r="BV9" s="11">
        <f xml:space="preserve"> 100 * Table1[[#This Row],[GD Weighted]] / Table1[[#This Row],[TotalScore]]</f>
        <v>6.8370986920332939</v>
      </c>
      <c r="BW9" s="13">
        <f t="shared" si="18"/>
        <v>1.5</v>
      </c>
      <c r="BX9" s="8">
        <v>0</v>
      </c>
      <c r="BY9" s="8">
        <v>250</v>
      </c>
      <c r="BZ9" s="1">
        <v>10</v>
      </c>
      <c r="CA9" s="10">
        <v>0</v>
      </c>
      <c r="CB9" s="10">
        <f xml:space="preserve"> 100 * Table1[[#This Row],[RT Raw]]/Table1[[#This Row],[RT Possible]]</f>
        <v>0</v>
      </c>
      <c r="CC9" s="1">
        <f t="shared" si="19"/>
        <v>13</v>
      </c>
      <c r="CD9" s="11">
        <f xml:space="preserve"> 100 * Table1[[#This Row],[RT Weighted]]/ Table1[[#This Row],[TotalScore]]</f>
        <v>0</v>
      </c>
      <c r="CE9" s="13">
        <f t="shared" si="20"/>
        <v>92</v>
      </c>
      <c r="CF9" s="1">
        <v>672.8</v>
      </c>
    </row>
    <row r="10" spans="1:84" x14ac:dyDescent="0.5">
      <c r="A10" t="s">
        <v>15</v>
      </c>
      <c r="B10" s="1">
        <v>3</v>
      </c>
      <c r="C10" s="1" t="s">
        <v>16</v>
      </c>
      <c r="D10" s="6">
        <v>664.4</v>
      </c>
      <c r="E10" s="1">
        <f>D$3-Table1[[#This Row],[TotalScore]]</f>
        <v>212.89999999999998</v>
      </c>
      <c r="F10" s="1">
        <v>9</v>
      </c>
      <c r="G10" s="1">
        <v>9</v>
      </c>
      <c r="H10" s="1">
        <v>100</v>
      </c>
      <c r="I10" s="1">
        <v>92.5</v>
      </c>
      <c r="J10" s="1">
        <v>29</v>
      </c>
      <c r="K10" s="6">
        <v>29</v>
      </c>
      <c r="L10" s="7">
        <v>5880</v>
      </c>
      <c r="M10" s="7">
        <v>5880</v>
      </c>
      <c r="N10" s="1">
        <v>20</v>
      </c>
      <c r="O10" s="9">
        <v>200</v>
      </c>
      <c r="P10" s="9">
        <f>100 * Table1[[#This Row],[UT Raw]]/Table1[[#This Row],[UT Possible]]</f>
        <v>100</v>
      </c>
      <c r="Q10" s="1">
        <f t="shared" si="0"/>
        <v>1</v>
      </c>
      <c r="R10" s="11">
        <f t="shared" si="1"/>
        <v>30.102347983142685</v>
      </c>
      <c r="S10" s="13">
        <f t="shared" si="21"/>
        <v>-1.0203999999999951</v>
      </c>
      <c r="T10" s="8">
        <v>0</v>
      </c>
      <c r="U10" s="8">
        <v>200</v>
      </c>
      <c r="V10" s="1">
        <v>10</v>
      </c>
      <c r="W10" s="10">
        <v>0</v>
      </c>
      <c r="X10" s="9">
        <f>100 * Table1[[#This Row],[BF Raw]]/Table1[[#This Row],[BF Possible]]</f>
        <v>0</v>
      </c>
      <c r="Y10" s="1">
        <f t="shared" si="2"/>
        <v>11</v>
      </c>
      <c r="Z10" s="11">
        <f t="shared" si="3"/>
        <v>0</v>
      </c>
      <c r="AA10" s="13">
        <f t="shared" si="4"/>
        <v>72.5</v>
      </c>
      <c r="AB10" s="8">
        <v>60</v>
      </c>
      <c r="AC10" s="8">
        <v>700</v>
      </c>
      <c r="AD10" s="1">
        <v>10</v>
      </c>
      <c r="AE10" s="10">
        <v>8.5714000000000006</v>
      </c>
      <c r="AF10" s="10">
        <f>100 * Table1[[#This Row],[RF Raw]]/Table1[[#This Row],[RF Possible]]</f>
        <v>8.5714285714285712</v>
      </c>
      <c r="AG10" s="1">
        <f t="shared" si="5"/>
        <v>12</v>
      </c>
      <c r="AH10" s="11">
        <f t="shared" si="6"/>
        <v>1.2900963275135462</v>
      </c>
      <c r="AI10" s="13">
        <f t="shared" si="7"/>
        <v>82.857200000000006</v>
      </c>
      <c r="AJ10" s="8">
        <v>347</v>
      </c>
      <c r="AK10" s="8">
        <v>375</v>
      </c>
      <c r="AL10" s="1">
        <v>20</v>
      </c>
      <c r="AM10" s="10">
        <v>185.0667</v>
      </c>
      <c r="AN10" s="10">
        <f>100 * Table1[[#This Row],[US Raw]]/Table1[[#This Row],[US Possible]]</f>
        <v>92.533333333333331</v>
      </c>
      <c r="AO10" s="1">
        <f t="shared" si="8"/>
        <v>2</v>
      </c>
      <c r="AP10" s="11">
        <f t="shared" si="9"/>
        <v>27.854711017459358</v>
      </c>
      <c r="AQ10" s="13">
        <f t="shared" si="10"/>
        <v>14.933300000000003</v>
      </c>
      <c r="AR10" s="8">
        <v>117</v>
      </c>
      <c r="AS10" s="8">
        <v>230</v>
      </c>
      <c r="AT10" s="1">
        <v>15</v>
      </c>
      <c r="AU10" s="10">
        <v>76.304299999999998</v>
      </c>
      <c r="AV10" s="10">
        <f>100 * Table1[[#This Row],[AN Raw]]/Table1[[#This Row],[AN Possible]]</f>
        <v>50.869565217391305</v>
      </c>
      <c r="AW10" s="1">
        <f t="shared" si="11"/>
        <v>5</v>
      </c>
      <c r="AX10" s="11">
        <f>100 * Table1[[#This Row],[AN Weighted]]/Table1[[#This Row],[TotalScore]]</f>
        <v>11.484692956050571</v>
      </c>
      <c r="AY10" s="13">
        <f t="shared" si="12"/>
        <v>12.391400000000004</v>
      </c>
      <c r="AZ10" s="8">
        <v>75</v>
      </c>
      <c r="BA10" s="8">
        <v>75</v>
      </c>
      <c r="BB10" s="1">
        <v>5</v>
      </c>
      <c r="BC10" s="10">
        <v>50</v>
      </c>
      <c r="BD10" s="10">
        <f>100 * Table1[[#This Row],[IR Raw]]/Table1[[#This Row],[IR Possible]]</f>
        <v>100</v>
      </c>
      <c r="BE10" s="1">
        <f t="shared" si="13"/>
        <v>1</v>
      </c>
      <c r="BF10" s="11">
        <f>100 * Table1[[#This Row],[IR Weighted]] / Table1[[#This Row],[TotalScore]]</f>
        <v>7.5255869957856714</v>
      </c>
      <c r="BG10" s="13">
        <f t="shared" si="14"/>
        <v>-11.333300000000001</v>
      </c>
      <c r="BH10" s="8">
        <v>100</v>
      </c>
      <c r="BI10" s="8">
        <v>100</v>
      </c>
      <c r="BJ10" s="1">
        <v>5</v>
      </c>
      <c r="BK10" s="10">
        <v>50</v>
      </c>
      <c r="BL10" s="10">
        <f>100 * Table1[[#This Row],[WD Raw]]/Table1[[#This Row],[WD Possible]]</f>
        <v>100</v>
      </c>
      <c r="BM10" s="1">
        <f t="shared" si="15"/>
        <v>1</v>
      </c>
      <c r="BN10" s="11">
        <f>100 * Table1[[#This Row],[WD Weighted]]/Table1[[#This Row],[TotalScore]]</f>
        <v>7.5255869957856714</v>
      </c>
      <c r="BO10" s="13">
        <f t="shared" si="16"/>
        <v>-2.5</v>
      </c>
      <c r="BP10" s="8">
        <v>69</v>
      </c>
      <c r="BQ10" s="8">
        <v>100</v>
      </c>
      <c r="BR10" s="1">
        <v>5</v>
      </c>
      <c r="BS10" s="10">
        <v>34.5</v>
      </c>
      <c r="BT10" s="10">
        <f>100 * Table1[[#This Row],[GD Raw]]/Table1[[#This Row],[GD Possible]]</f>
        <v>69</v>
      </c>
      <c r="BU10" s="1">
        <f t="shared" si="17"/>
        <v>8</v>
      </c>
      <c r="BV10" s="11">
        <f xml:space="preserve"> 100 * Table1[[#This Row],[GD Weighted]] / Table1[[#This Row],[TotalScore]]</f>
        <v>5.1926550270921137</v>
      </c>
      <c r="BW10" s="13">
        <f t="shared" si="18"/>
        <v>13</v>
      </c>
      <c r="BX10" s="8">
        <v>150</v>
      </c>
      <c r="BY10" s="8">
        <v>250</v>
      </c>
      <c r="BZ10" s="1">
        <v>10</v>
      </c>
      <c r="CA10" s="10">
        <v>60</v>
      </c>
      <c r="CB10" s="10">
        <f xml:space="preserve"> 100 * Table1[[#This Row],[RT Raw]]/Table1[[#This Row],[RT Possible]]</f>
        <v>60</v>
      </c>
      <c r="CC10" s="1">
        <f t="shared" si="19"/>
        <v>6</v>
      </c>
      <c r="CD10" s="11">
        <f xml:space="preserve"> 100 * Table1[[#This Row],[RT Weighted]]/ Table1[[#This Row],[TotalScore]]</f>
        <v>9.0307043949428056</v>
      </c>
      <c r="CE10" s="13">
        <f t="shared" si="20"/>
        <v>32</v>
      </c>
      <c r="CF10" s="1">
        <v>664.4</v>
      </c>
    </row>
    <row r="11" spans="1:84" x14ac:dyDescent="0.5">
      <c r="A11" t="s">
        <v>32</v>
      </c>
      <c r="B11" s="1">
        <v>8</v>
      </c>
      <c r="C11" s="1" t="s">
        <v>33</v>
      </c>
      <c r="D11" s="6">
        <v>639.6</v>
      </c>
      <c r="E11" s="1">
        <f>D$3-Table1[[#This Row],[TotalScore]]</f>
        <v>237.69999999999993</v>
      </c>
      <c r="F11" s="1">
        <v>5</v>
      </c>
      <c r="G11" s="1">
        <v>9</v>
      </c>
      <c r="H11" s="1">
        <v>98.8</v>
      </c>
      <c r="I11" s="1">
        <v>88.8</v>
      </c>
      <c r="J11" s="1">
        <v>29</v>
      </c>
      <c r="K11" s="6">
        <v>29</v>
      </c>
      <c r="L11" s="7">
        <v>5810</v>
      </c>
      <c r="M11" s="7">
        <v>5880</v>
      </c>
      <c r="N11" s="1">
        <v>20</v>
      </c>
      <c r="O11" s="9">
        <v>197.6191</v>
      </c>
      <c r="P11" s="9">
        <f>100 * Table1[[#This Row],[UT Raw]]/Table1[[#This Row],[UT Possible]]</f>
        <v>98.80952380952381</v>
      </c>
      <c r="Q11" s="1">
        <f t="shared" si="0"/>
        <v>8</v>
      </c>
      <c r="R11" s="11">
        <f t="shared" si="1"/>
        <v>30.897295184490304</v>
      </c>
      <c r="S11" s="13">
        <f t="shared" si="21"/>
        <v>1.3605000000000018</v>
      </c>
      <c r="T11" s="8">
        <v>100</v>
      </c>
      <c r="U11" s="8">
        <v>200</v>
      </c>
      <c r="V11" s="1">
        <v>10</v>
      </c>
      <c r="W11" s="10">
        <v>50</v>
      </c>
      <c r="X11" s="9">
        <f>100 * Table1[[#This Row],[BF Raw]]/Table1[[#This Row],[BF Possible]]</f>
        <v>50</v>
      </c>
      <c r="Y11" s="1">
        <f t="shared" si="2"/>
        <v>5</v>
      </c>
      <c r="Z11" s="11">
        <f t="shared" si="3"/>
        <v>7.8173858661663536</v>
      </c>
      <c r="AA11" s="13">
        <f t="shared" si="4"/>
        <v>22.5</v>
      </c>
      <c r="AB11" s="8">
        <v>300</v>
      </c>
      <c r="AC11" s="8">
        <v>700</v>
      </c>
      <c r="AD11" s="1">
        <v>10</v>
      </c>
      <c r="AE11" s="10">
        <v>42.857100000000003</v>
      </c>
      <c r="AF11" s="10">
        <f>100 * Table1[[#This Row],[RF Raw]]/Table1[[#This Row],[RF Possible]]</f>
        <v>42.857142857142854</v>
      </c>
      <c r="AG11" s="1">
        <f t="shared" si="5"/>
        <v>7</v>
      </c>
      <c r="AH11" s="11">
        <f t="shared" si="6"/>
        <v>6.7006097560975606</v>
      </c>
      <c r="AI11" s="13">
        <f t="shared" si="7"/>
        <v>48.5715</v>
      </c>
      <c r="AJ11" s="8">
        <v>333</v>
      </c>
      <c r="AK11" s="8">
        <v>375</v>
      </c>
      <c r="AL11" s="1">
        <v>20</v>
      </c>
      <c r="AM11" s="10">
        <v>177.6</v>
      </c>
      <c r="AN11" s="10">
        <f>100 * Table1[[#This Row],[US Raw]]/Table1[[#This Row],[US Possible]]</f>
        <v>88.8</v>
      </c>
      <c r="AO11" s="1">
        <f t="shared" si="8"/>
        <v>6</v>
      </c>
      <c r="AP11" s="11">
        <f t="shared" si="9"/>
        <v>27.767354596622887</v>
      </c>
      <c r="AQ11" s="13">
        <f t="shared" si="10"/>
        <v>22.400000000000006</v>
      </c>
      <c r="AR11" s="8">
        <v>103</v>
      </c>
      <c r="AS11" s="8">
        <v>230</v>
      </c>
      <c r="AT11" s="1">
        <v>15</v>
      </c>
      <c r="AU11" s="10">
        <v>67.173900000000003</v>
      </c>
      <c r="AV11" s="10">
        <f>100 * Table1[[#This Row],[AN Raw]]/Table1[[#This Row],[AN Possible]]</f>
        <v>44.782608695652172</v>
      </c>
      <c r="AW11" s="1">
        <f t="shared" si="11"/>
        <v>8</v>
      </c>
      <c r="AX11" s="11">
        <f>100 * Table1[[#This Row],[AN Weighted]]/Table1[[#This Row],[TotalScore]]</f>
        <v>10.502485928705442</v>
      </c>
      <c r="AY11" s="13">
        <f t="shared" si="12"/>
        <v>21.521799999999999</v>
      </c>
      <c r="AZ11" s="8">
        <v>53</v>
      </c>
      <c r="BA11" s="8">
        <v>75</v>
      </c>
      <c r="BB11" s="1">
        <v>5</v>
      </c>
      <c r="BC11" s="10">
        <v>35.333300000000001</v>
      </c>
      <c r="BD11" s="10">
        <f>100 * Table1[[#This Row],[IR Raw]]/Table1[[#This Row],[IR Possible]]</f>
        <v>70.666666666666671</v>
      </c>
      <c r="BE11" s="1">
        <f t="shared" si="13"/>
        <v>10</v>
      </c>
      <c r="BF11" s="11">
        <f>100 * Table1[[#This Row],[IR Weighted]] / Table1[[#This Row],[TotalScore]]</f>
        <v>5.5242808005003123</v>
      </c>
      <c r="BG11" s="13">
        <f t="shared" si="14"/>
        <v>3.3333999999999975</v>
      </c>
      <c r="BH11" s="8">
        <v>35</v>
      </c>
      <c r="BI11" s="8">
        <v>100</v>
      </c>
      <c r="BJ11" s="1">
        <v>5</v>
      </c>
      <c r="BK11" s="10">
        <v>17.5</v>
      </c>
      <c r="BL11" s="10">
        <f>100 * Table1[[#This Row],[WD Raw]]/Table1[[#This Row],[WD Possible]]</f>
        <v>35</v>
      </c>
      <c r="BM11" s="1">
        <f t="shared" si="15"/>
        <v>11</v>
      </c>
      <c r="BN11" s="11">
        <f>100 * Table1[[#This Row],[WD Weighted]]/Table1[[#This Row],[TotalScore]]</f>
        <v>2.7360850531582237</v>
      </c>
      <c r="BO11" s="13">
        <f t="shared" si="16"/>
        <v>30</v>
      </c>
      <c r="BP11" s="8">
        <v>51</v>
      </c>
      <c r="BQ11" s="8">
        <v>100</v>
      </c>
      <c r="BR11" s="1">
        <v>5</v>
      </c>
      <c r="BS11" s="10">
        <v>25.5</v>
      </c>
      <c r="BT11" s="10">
        <f>100 * Table1[[#This Row],[GD Raw]]/Table1[[#This Row],[GD Possible]]</f>
        <v>51</v>
      </c>
      <c r="BU11" s="1">
        <f t="shared" si="17"/>
        <v>11</v>
      </c>
      <c r="BV11" s="11">
        <f xml:space="preserve"> 100 * Table1[[#This Row],[GD Weighted]] / Table1[[#This Row],[TotalScore]]</f>
        <v>3.9868667917448404</v>
      </c>
      <c r="BW11" s="13">
        <f t="shared" si="18"/>
        <v>22</v>
      </c>
      <c r="BX11" s="8">
        <v>65</v>
      </c>
      <c r="BY11" s="8">
        <v>250</v>
      </c>
      <c r="BZ11" s="1">
        <v>10</v>
      </c>
      <c r="CA11" s="10">
        <v>26</v>
      </c>
      <c r="CB11" s="10">
        <f xml:space="preserve"> 100 * Table1[[#This Row],[RT Raw]]/Table1[[#This Row],[RT Possible]]</f>
        <v>26</v>
      </c>
      <c r="CC11" s="1">
        <f t="shared" si="19"/>
        <v>9</v>
      </c>
      <c r="CD11" s="11">
        <f xml:space="preserve"> 100 * Table1[[#This Row],[RT Weighted]]/ Table1[[#This Row],[TotalScore]]</f>
        <v>4.0650406504065035</v>
      </c>
      <c r="CE11" s="13">
        <f t="shared" si="20"/>
        <v>66</v>
      </c>
      <c r="CF11" s="1">
        <v>639.6</v>
      </c>
    </row>
    <row r="12" spans="1:84" x14ac:dyDescent="0.5">
      <c r="A12" t="s">
        <v>30</v>
      </c>
      <c r="B12" s="1">
        <v>7</v>
      </c>
      <c r="C12" s="1" t="s">
        <v>31</v>
      </c>
      <c r="D12" s="6">
        <v>630.20000000000005</v>
      </c>
      <c r="E12" s="1">
        <f>D$3-Table1[[#This Row],[TotalScore]]</f>
        <v>247.09999999999991</v>
      </c>
      <c r="F12" s="1">
        <v>9</v>
      </c>
      <c r="G12" s="1">
        <v>9</v>
      </c>
      <c r="H12" s="1">
        <v>99.7</v>
      </c>
      <c r="I12" s="1">
        <v>81.900000000000006</v>
      </c>
      <c r="J12" s="1">
        <v>29</v>
      </c>
      <c r="K12" s="6">
        <v>29</v>
      </c>
      <c r="L12" s="7">
        <v>5860</v>
      </c>
      <c r="M12" s="7">
        <v>5880</v>
      </c>
      <c r="N12" s="1">
        <v>20</v>
      </c>
      <c r="O12" s="9">
        <v>199.31970000000001</v>
      </c>
      <c r="P12" s="9">
        <f>100 * Table1[[#This Row],[UT Raw]]/Table1[[#This Row],[UT Possible]]</f>
        <v>99.659863945578238</v>
      </c>
      <c r="Q12" s="1">
        <f t="shared" si="0"/>
        <v>5</v>
      </c>
      <c r="R12" s="11">
        <f t="shared" si="1"/>
        <v>31.628006981910506</v>
      </c>
      <c r="S12" s="13">
        <f t="shared" si="21"/>
        <v>-0.34010000000000673</v>
      </c>
      <c r="T12" s="8">
        <v>30</v>
      </c>
      <c r="U12" s="8">
        <v>200</v>
      </c>
      <c r="V12" s="1">
        <v>10</v>
      </c>
      <c r="W12" s="10">
        <v>15</v>
      </c>
      <c r="X12" s="9">
        <f>100 * Table1[[#This Row],[BF Raw]]/Table1[[#This Row],[BF Possible]]</f>
        <v>15</v>
      </c>
      <c r="Y12" s="1">
        <f t="shared" si="2"/>
        <v>9</v>
      </c>
      <c r="Z12" s="11">
        <f t="shared" si="3"/>
        <v>2.3801967629324023</v>
      </c>
      <c r="AA12" s="13">
        <f t="shared" si="4"/>
        <v>57.5</v>
      </c>
      <c r="AB12" s="8">
        <v>165</v>
      </c>
      <c r="AC12" s="8">
        <v>700</v>
      </c>
      <c r="AD12" s="1">
        <v>10</v>
      </c>
      <c r="AE12" s="10">
        <v>23.571400000000001</v>
      </c>
      <c r="AF12" s="10">
        <f>100 * Table1[[#This Row],[RF Raw]]/Table1[[#This Row],[RF Possible]]</f>
        <v>23.571428571428573</v>
      </c>
      <c r="AG12" s="1">
        <f t="shared" si="5"/>
        <v>9</v>
      </c>
      <c r="AH12" s="11">
        <f t="shared" si="6"/>
        <v>3.7403046651856551</v>
      </c>
      <c r="AI12" s="13">
        <f t="shared" si="7"/>
        <v>67.857200000000006</v>
      </c>
      <c r="AJ12" s="8">
        <v>307</v>
      </c>
      <c r="AK12" s="8">
        <v>375</v>
      </c>
      <c r="AL12" s="1">
        <v>20</v>
      </c>
      <c r="AM12" s="10">
        <v>163.73330000000001</v>
      </c>
      <c r="AN12" s="10">
        <f>100 * Table1[[#This Row],[US Raw]]/Table1[[#This Row],[US Possible]]</f>
        <v>81.86666666666666</v>
      </c>
      <c r="AO12" s="1">
        <f t="shared" si="8"/>
        <v>10</v>
      </c>
      <c r="AP12" s="11">
        <f t="shared" si="9"/>
        <v>25.981164709615996</v>
      </c>
      <c r="AQ12" s="13">
        <f t="shared" si="10"/>
        <v>36.266699999999986</v>
      </c>
      <c r="AR12" s="8">
        <v>100</v>
      </c>
      <c r="AS12" s="8">
        <v>230</v>
      </c>
      <c r="AT12" s="1">
        <v>15</v>
      </c>
      <c r="AU12" s="10">
        <v>65.217399999999998</v>
      </c>
      <c r="AV12" s="10">
        <f>100 * Table1[[#This Row],[AN Raw]]/Table1[[#This Row],[AN Possible]]</f>
        <v>43.478260869565219</v>
      </c>
      <c r="AW12" s="1">
        <f t="shared" si="11"/>
        <v>9</v>
      </c>
      <c r="AX12" s="11">
        <f>100 * Table1[[#This Row],[AN Weighted]]/Table1[[#This Row],[TotalScore]]</f>
        <v>10.348682957791176</v>
      </c>
      <c r="AY12" s="13">
        <f t="shared" si="12"/>
        <v>23.478300000000004</v>
      </c>
      <c r="AZ12" s="8">
        <v>71</v>
      </c>
      <c r="BA12" s="8">
        <v>75</v>
      </c>
      <c r="BB12" s="1">
        <v>5</v>
      </c>
      <c r="BC12" s="10">
        <v>47.333300000000001</v>
      </c>
      <c r="BD12" s="10">
        <f>100 * Table1[[#This Row],[IR Raw]]/Table1[[#This Row],[IR Possible]]</f>
        <v>94.666666666666671</v>
      </c>
      <c r="BE12" s="1">
        <f t="shared" si="13"/>
        <v>4</v>
      </c>
      <c r="BF12" s="11">
        <f>100 * Table1[[#This Row],[IR Weighted]] / Table1[[#This Row],[TotalScore]]</f>
        <v>7.5108378292605513</v>
      </c>
      <c r="BG12" s="13">
        <f t="shared" si="14"/>
        <v>-8.6666000000000025</v>
      </c>
      <c r="BH12" s="8">
        <v>80</v>
      </c>
      <c r="BI12" s="8">
        <v>100</v>
      </c>
      <c r="BJ12" s="1">
        <v>5</v>
      </c>
      <c r="BK12" s="10">
        <v>40</v>
      </c>
      <c r="BL12" s="10">
        <f>100 * Table1[[#This Row],[WD Raw]]/Table1[[#This Row],[WD Possible]]</f>
        <v>80</v>
      </c>
      <c r="BM12" s="1">
        <f t="shared" si="15"/>
        <v>8</v>
      </c>
      <c r="BN12" s="11">
        <f>100 * Table1[[#This Row],[WD Weighted]]/Table1[[#This Row],[TotalScore]]</f>
        <v>6.3471913678197396</v>
      </c>
      <c r="BO12" s="13">
        <f t="shared" si="16"/>
        <v>7.5</v>
      </c>
      <c r="BP12" s="8">
        <v>88</v>
      </c>
      <c r="BQ12" s="8">
        <v>100</v>
      </c>
      <c r="BR12" s="1">
        <v>5</v>
      </c>
      <c r="BS12" s="10">
        <v>44</v>
      </c>
      <c r="BT12" s="10">
        <f>100 * Table1[[#This Row],[GD Raw]]/Table1[[#This Row],[GD Possible]]</f>
        <v>88</v>
      </c>
      <c r="BU12" s="1">
        <f t="shared" si="17"/>
        <v>6</v>
      </c>
      <c r="BV12" s="11">
        <f xml:space="preserve"> 100 * Table1[[#This Row],[GD Weighted]] / Table1[[#This Row],[TotalScore]]</f>
        <v>6.9819105046017134</v>
      </c>
      <c r="BW12" s="13">
        <f t="shared" si="18"/>
        <v>3.5</v>
      </c>
      <c r="BX12" s="8">
        <v>80</v>
      </c>
      <c r="BY12" s="8">
        <v>250</v>
      </c>
      <c r="BZ12" s="1">
        <v>10</v>
      </c>
      <c r="CA12" s="10">
        <v>32</v>
      </c>
      <c r="CB12" s="10">
        <f xml:space="preserve"> 100 * Table1[[#This Row],[RT Raw]]/Table1[[#This Row],[RT Possible]]</f>
        <v>32</v>
      </c>
      <c r="CC12" s="1">
        <f t="shared" si="19"/>
        <v>8</v>
      </c>
      <c r="CD12" s="11">
        <f xml:space="preserve"> 100 * Table1[[#This Row],[RT Weighted]]/ Table1[[#This Row],[TotalScore]]</f>
        <v>5.0777530942557911</v>
      </c>
      <c r="CE12" s="13">
        <f t="shared" si="20"/>
        <v>60</v>
      </c>
      <c r="CF12" s="1">
        <v>630.20000000000005</v>
      </c>
    </row>
    <row r="13" spans="1:84" x14ac:dyDescent="0.5">
      <c r="A13" t="s">
        <v>38</v>
      </c>
      <c r="B13" s="1">
        <v>11</v>
      </c>
      <c r="C13" s="1" t="s">
        <v>39</v>
      </c>
      <c r="D13" s="6">
        <v>516.79999999999995</v>
      </c>
      <c r="E13" s="1">
        <f>D$3-Table1[[#This Row],[TotalScore]]</f>
        <v>360.5</v>
      </c>
      <c r="F13" s="1">
        <v>9</v>
      </c>
      <c r="G13" s="1">
        <v>9</v>
      </c>
      <c r="H13" s="1">
        <v>84.5</v>
      </c>
      <c r="I13" s="1">
        <v>89.3</v>
      </c>
      <c r="J13" s="1">
        <v>29</v>
      </c>
      <c r="K13" s="6">
        <v>29</v>
      </c>
      <c r="L13" s="7">
        <v>4970</v>
      </c>
      <c r="M13" s="7">
        <v>5880</v>
      </c>
      <c r="N13" s="1">
        <v>20</v>
      </c>
      <c r="O13" s="9">
        <v>169.04759999999999</v>
      </c>
      <c r="P13" s="9">
        <f>100 * Table1[[#This Row],[UT Raw]]/Table1[[#This Row],[UT Possible]]</f>
        <v>84.523809523809518</v>
      </c>
      <c r="Q13" s="1">
        <f t="shared" si="0"/>
        <v>12</v>
      </c>
      <c r="R13" s="11">
        <f t="shared" si="1"/>
        <v>32.710448916408666</v>
      </c>
      <c r="S13" s="13">
        <f t="shared" si="21"/>
        <v>29.932000000000016</v>
      </c>
      <c r="T13" s="8">
        <v>0</v>
      </c>
      <c r="U13" s="8">
        <v>200</v>
      </c>
      <c r="V13" s="1">
        <v>10</v>
      </c>
      <c r="W13" s="10">
        <v>0</v>
      </c>
      <c r="X13" s="9">
        <f>100 * Table1[[#This Row],[BF Raw]]/Table1[[#This Row],[BF Possible]]</f>
        <v>0</v>
      </c>
      <c r="Y13" s="1">
        <f t="shared" si="2"/>
        <v>11</v>
      </c>
      <c r="Z13" s="11">
        <f t="shared" si="3"/>
        <v>0</v>
      </c>
      <c r="AA13" s="13">
        <f t="shared" si="4"/>
        <v>72.5</v>
      </c>
      <c r="AB13" s="8">
        <v>80</v>
      </c>
      <c r="AC13" s="8">
        <v>700</v>
      </c>
      <c r="AD13" s="1">
        <v>10</v>
      </c>
      <c r="AE13" s="10">
        <v>11.428599999999999</v>
      </c>
      <c r="AF13" s="10">
        <f>100 * Table1[[#This Row],[RF Raw]]/Table1[[#This Row],[RF Possible]]</f>
        <v>11.428571428571429</v>
      </c>
      <c r="AG13" s="1">
        <f t="shared" si="5"/>
        <v>11</v>
      </c>
      <c r="AH13" s="11">
        <f t="shared" si="6"/>
        <v>2.2114164086687307</v>
      </c>
      <c r="AI13" s="13">
        <f t="shared" si="7"/>
        <v>80</v>
      </c>
      <c r="AJ13" s="8">
        <v>335</v>
      </c>
      <c r="AK13" s="8">
        <v>375</v>
      </c>
      <c r="AL13" s="1">
        <v>20</v>
      </c>
      <c r="AM13" s="10">
        <v>178.66669999999999</v>
      </c>
      <c r="AN13" s="10">
        <f>100 * Table1[[#This Row],[US Raw]]/Table1[[#This Row],[US Possible]]</f>
        <v>89.333333333333329</v>
      </c>
      <c r="AO13" s="1">
        <f t="shared" si="8"/>
        <v>5</v>
      </c>
      <c r="AP13" s="11">
        <f t="shared" si="9"/>
        <v>34.571729876160994</v>
      </c>
      <c r="AQ13" s="13">
        <f t="shared" si="10"/>
        <v>21.333300000000008</v>
      </c>
      <c r="AR13" s="8">
        <v>80</v>
      </c>
      <c r="AS13" s="8">
        <v>230</v>
      </c>
      <c r="AT13" s="1">
        <v>15</v>
      </c>
      <c r="AU13" s="10">
        <v>52.173900000000003</v>
      </c>
      <c r="AV13" s="10">
        <f>100 * Table1[[#This Row],[AN Raw]]/Table1[[#This Row],[AN Possible]]</f>
        <v>34.782608695652172</v>
      </c>
      <c r="AW13" s="1">
        <f t="shared" si="11"/>
        <v>12</v>
      </c>
      <c r="AX13" s="11">
        <f>100 * Table1[[#This Row],[AN Weighted]]/Table1[[#This Row],[TotalScore]]</f>
        <v>10.095568885448918</v>
      </c>
      <c r="AY13" s="13">
        <f t="shared" si="12"/>
        <v>36.521799999999999</v>
      </c>
      <c r="AZ13" s="8">
        <v>60</v>
      </c>
      <c r="BA13" s="8">
        <v>75</v>
      </c>
      <c r="BB13" s="1">
        <v>5</v>
      </c>
      <c r="BC13" s="10">
        <v>40</v>
      </c>
      <c r="BD13" s="10">
        <f>100 * Table1[[#This Row],[IR Raw]]/Table1[[#This Row],[IR Possible]]</f>
        <v>80</v>
      </c>
      <c r="BE13" s="1">
        <f t="shared" si="13"/>
        <v>8</v>
      </c>
      <c r="BF13" s="11">
        <f>100 * Table1[[#This Row],[IR Weighted]] / Table1[[#This Row],[TotalScore]]</f>
        <v>7.7399380804953566</v>
      </c>
      <c r="BG13" s="13">
        <f t="shared" si="14"/>
        <v>-1.3333000000000013</v>
      </c>
      <c r="BH13" s="8">
        <v>28</v>
      </c>
      <c r="BI13" s="8">
        <v>100</v>
      </c>
      <c r="BJ13" s="1">
        <v>5</v>
      </c>
      <c r="BK13" s="10">
        <v>14</v>
      </c>
      <c r="BL13" s="10">
        <f>100 * Table1[[#This Row],[WD Raw]]/Table1[[#This Row],[WD Possible]]</f>
        <v>28</v>
      </c>
      <c r="BM13" s="1">
        <f t="shared" si="15"/>
        <v>12</v>
      </c>
      <c r="BN13" s="11">
        <f>100 * Table1[[#This Row],[WD Weighted]]/Table1[[#This Row],[TotalScore]]</f>
        <v>2.7089783281733748</v>
      </c>
      <c r="BO13" s="13">
        <f t="shared" si="16"/>
        <v>33.5</v>
      </c>
      <c r="BP13" s="8">
        <v>55</v>
      </c>
      <c r="BQ13" s="8">
        <v>100</v>
      </c>
      <c r="BR13" s="1">
        <v>5</v>
      </c>
      <c r="BS13" s="10">
        <v>27.5</v>
      </c>
      <c r="BT13" s="10">
        <f>100 * Table1[[#This Row],[GD Raw]]/Table1[[#This Row],[GD Possible]]</f>
        <v>55</v>
      </c>
      <c r="BU13" s="1">
        <f t="shared" si="17"/>
        <v>10</v>
      </c>
      <c r="BV13" s="11">
        <f xml:space="preserve"> 100 * Table1[[#This Row],[GD Weighted]] / Table1[[#This Row],[TotalScore]]</f>
        <v>5.3212074303405581</v>
      </c>
      <c r="BW13" s="13">
        <f t="shared" si="18"/>
        <v>20</v>
      </c>
      <c r="BX13" s="8">
        <v>60</v>
      </c>
      <c r="BY13" s="8">
        <v>250</v>
      </c>
      <c r="BZ13" s="1">
        <v>10</v>
      </c>
      <c r="CA13" s="10">
        <v>24</v>
      </c>
      <c r="CB13" s="10">
        <f xml:space="preserve"> 100 * Table1[[#This Row],[RT Raw]]/Table1[[#This Row],[RT Possible]]</f>
        <v>24</v>
      </c>
      <c r="CC13" s="1">
        <f t="shared" si="19"/>
        <v>10</v>
      </c>
      <c r="CD13" s="11">
        <f xml:space="preserve"> 100 * Table1[[#This Row],[RT Weighted]]/ Table1[[#This Row],[TotalScore]]</f>
        <v>4.643962848297214</v>
      </c>
      <c r="CE13" s="13">
        <f t="shared" si="20"/>
        <v>68</v>
      </c>
      <c r="CF13" s="1">
        <v>516.79999999999995</v>
      </c>
    </row>
    <row r="14" spans="1:84" x14ac:dyDescent="0.5">
      <c r="A14" t="s">
        <v>34</v>
      </c>
      <c r="B14" s="1">
        <v>9</v>
      </c>
      <c r="C14" s="1" t="s">
        <v>35</v>
      </c>
      <c r="D14" s="6">
        <v>474.6</v>
      </c>
      <c r="E14" s="1">
        <f>D$3-Table1[[#This Row],[TotalScore]]</f>
        <v>402.69999999999993</v>
      </c>
      <c r="F14" s="1">
        <v>9</v>
      </c>
      <c r="G14" s="1">
        <v>9</v>
      </c>
      <c r="H14" s="1">
        <v>95.4</v>
      </c>
      <c r="I14" s="1">
        <v>84</v>
      </c>
      <c r="J14" s="1">
        <v>21</v>
      </c>
      <c r="K14" s="6">
        <v>29</v>
      </c>
      <c r="L14" s="7">
        <v>5610</v>
      </c>
      <c r="M14" s="7">
        <v>5880</v>
      </c>
      <c r="N14" s="1">
        <v>20</v>
      </c>
      <c r="O14" s="9">
        <v>190.81630000000001</v>
      </c>
      <c r="P14" s="9">
        <f>100 * Table1[[#This Row],[UT Raw]]/Table1[[#This Row],[UT Possible]]</f>
        <v>95.408163265306129</v>
      </c>
      <c r="Q14" s="1">
        <f t="shared" si="0"/>
        <v>11</v>
      </c>
      <c r="R14" s="11">
        <f t="shared" si="1"/>
        <v>40.205710071639274</v>
      </c>
      <c r="S14" s="13">
        <f t="shared" si="21"/>
        <v>8.1632999999999925</v>
      </c>
      <c r="T14" s="8">
        <v>0</v>
      </c>
      <c r="U14" s="8">
        <v>200</v>
      </c>
      <c r="V14" s="1">
        <v>10</v>
      </c>
      <c r="W14" s="10">
        <v>0</v>
      </c>
      <c r="X14" s="9">
        <f>100 * Table1[[#This Row],[BF Raw]]/Table1[[#This Row],[BF Possible]]</f>
        <v>0</v>
      </c>
      <c r="Y14" s="1">
        <f t="shared" si="2"/>
        <v>11</v>
      </c>
      <c r="Z14" s="11">
        <f t="shared" si="3"/>
        <v>0</v>
      </c>
      <c r="AA14" s="13">
        <f t="shared" si="4"/>
        <v>72.5</v>
      </c>
      <c r="AB14" s="8">
        <v>0</v>
      </c>
      <c r="AC14" s="8">
        <v>700</v>
      </c>
      <c r="AD14" s="1">
        <v>10</v>
      </c>
      <c r="AE14" s="10">
        <v>0</v>
      </c>
      <c r="AF14" s="10">
        <f>100 * Table1[[#This Row],[RF Raw]]/Table1[[#This Row],[RF Possible]]</f>
        <v>0</v>
      </c>
      <c r="AG14" s="1">
        <f t="shared" si="5"/>
        <v>13</v>
      </c>
      <c r="AH14" s="11">
        <f t="shared" si="6"/>
        <v>0</v>
      </c>
      <c r="AI14" s="13">
        <f t="shared" si="7"/>
        <v>91.428600000000003</v>
      </c>
      <c r="AJ14" s="8">
        <v>315</v>
      </c>
      <c r="AK14" s="8">
        <v>375</v>
      </c>
      <c r="AL14" s="1">
        <v>20</v>
      </c>
      <c r="AM14" s="10">
        <v>168</v>
      </c>
      <c r="AN14" s="10">
        <f>100 * Table1[[#This Row],[US Raw]]/Table1[[#This Row],[US Possible]]</f>
        <v>84</v>
      </c>
      <c r="AO14" s="1">
        <f t="shared" si="8"/>
        <v>8</v>
      </c>
      <c r="AP14" s="11">
        <f t="shared" si="9"/>
        <v>35.398230088495573</v>
      </c>
      <c r="AQ14" s="13">
        <f t="shared" si="10"/>
        <v>32</v>
      </c>
      <c r="AR14" s="8">
        <v>51</v>
      </c>
      <c r="AS14" s="8">
        <v>230</v>
      </c>
      <c r="AT14" s="1">
        <v>15</v>
      </c>
      <c r="AU14" s="10">
        <v>33.260899999999999</v>
      </c>
      <c r="AV14" s="10">
        <f>100 * Table1[[#This Row],[AN Raw]]/Table1[[#This Row],[AN Possible]]</f>
        <v>22.173913043478262</v>
      </c>
      <c r="AW14" s="1">
        <f t="shared" si="11"/>
        <v>13</v>
      </c>
      <c r="AX14" s="11">
        <f>100 * Table1[[#This Row],[AN Weighted]]/Table1[[#This Row],[TotalScore]]</f>
        <v>7.0081963758954906</v>
      </c>
      <c r="AY14" s="13">
        <f t="shared" si="12"/>
        <v>55.434800000000003</v>
      </c>
      <c r="AZ14" s="8">
        <v>0</v>
      </c>
      <c r="BA14" s="8">
        <v>75</v>
      </c>
      <c r="BB14" s="1">
        <v>5</v>
      </c>
      <c r="BC14" s="10">
        <v>0</v>
      </c>
      <c r="BD14" s="10">
        <f>100 * Table1[[#This Row],[IR Raw]]/Table1[[#This Row],[IR Possible]]</f>
        <v>0</v>
      </c>
      <c r="BE14" s="1">
        <f t="shared" si="13"/>
        <v>13</v>
      </c>
      <c r="BF14" s="11">
        <f>100 * Table1[[#This Row],[IR Weighted]] / Table1[[#This Row],[TotalScore]]</f>
        <v>0</v>
      </c>
      <c r="BG14" s="13">
        <f t="shared" si="14"/>
        <v>38.666699999999999</v>
      </c>
      <c r="BH14" s="8">
        <v>80</v>
      </c>
      <c r="BI14" s="8">
        <v>100</v>
      </c>
      <c r="BJ14" s="1">
        <v>5</v>
      </c>
      <c r="BK14" s="10">
        <v>40</v>
      </c>
      <c r="BL14" s="10">
        <f>100 * Table1[[#This Row],[WD Raw]]/Table1[[#This Row],[WD Possible]]</f>
        <v>80</v>
      </c>
      <c r="BM14" s="1">
        <f t="shared" si="15"/>
        <v>8</v>
      </c>
      <c r="BN14" s="11">
        <f>100 * Table1[[#This Row],[WD Weighted]]/Table1[[#This Row],[TotalScore]]</f>
        <v>8.4281500210703744</v>
      </c>
      <c r="BO14" s="13">
        <f t="shared" si="16"/>
        <v>7.5</v>
      </c>
      <c r="BP14" s="8">
        <v>45</v>
      </c>
      <c r="BQ14" s="8">
        <v>100</v>
      </c>
      <c r="BR14" s="1">
        <v>5</v>
      </c>
      <c r="BS14" s="10">
        <v>22.5</v>
      </c>
      <c r="BT14" s="10">
        <f>100 * Table1[[#This Row],[GD Raw]]/Table1[[#This Row],[GD Possible]]</f>
        <v>45</v>
      </c>
      <c r="BU14" s="1">
        <f t="shared" si="17"/>
        <v>12</v>
      </c>
      <c r="BV14" s="11">
        <f xml:space="preserve"> 100 * Table1[[#This Row],[GD Weighted]] / Table1[[#This Row],[TotalScore]]</f>
        <v>4.7408343868520859</v>
      </c>
      <c r="BW14" s="13">
        <f t="shared" si="18"/>
        <v>25</v>
      </c>
      <c r="BX14" s="8">
        <v>50</v>
      </c>
      <c r="BY14" s="8">
        <v>250</v>
      </c>
      <c r="BZ14" s="1">
        <v>10</v>
      </c>
      <c r="CA14" s="10">
        <v>20</v>
      </c>
      <c r="CB14" s="10">
        <f xml:space="preserve"> 100 * Table1[[#This Row],[RT Raw]]/Table1[[#This Row],[RT Possible]]</f>
        <v>20</v>
      </c>
      <c r="CC14" s="1">
        <f t="shared" si="19"/>
        <v>12</v>
      </c>
      <c r="CD14" s="11">
        <f xml:space="preserve"> 100 * Table1[[#This Row],[RT Weighted]]/ Table1[[#This Row],[TotalScore]]</f>
        <v>4.2140750105351872</v>
      </c>
      <c r="CE14" s="13">
        <f t="shared" si="20"/>
        <v>72</v>
      </c>
      <c r="CF14" s="1">
        <v>474.6</v>
      </c>
    </row>
    <row r="15" spans="1:84" x14ac:dyDescent="0.5">
      <c r="A15" t="s">
        <v>17</v>
      </c>
      <c r="B15" s="1">
        <v>4</v>
      </c>
      <c r="C15" s="1" t="s">
        <v>18</v>
      </c>
      <c r="D15" s="6">
        <v>395.6</v>
      </c>
      <c r="E15" s="1">
        <f>D$3-Table1[[#This Row],[TotalScore]]</f>
        <v>481.69999999999993</v>
      </c>
      <c r="F15" s="1">
        <v>1</v>
      </c>
      <c r="G15" s="1">
        <v>9</v>
      </c>
      <c r="H15" s="1">
        <v>24.5</v>
      </c>
      <c r="I15" s="1">
        <v>34.4</v>
      </c>
      <c r="J15" s="1">
        <v>23</v>
      </c>
      <c r="K15" s="6">
        <v>29</v>
      </c>
      <c r="L15" s="7">
        <v>1440</v>
      </c>
      <c r="M15" s="7">
        <v>5880</v>
      </c>
      <c r="N15" s="1">
        <v>20</v>
      </c>
      <c r="O15" s="9">
        <v>48.979599999999998</v>
      </c>
      <c r="P15" s="9">
        <f>100 * Table1[[#This Row],[UT Raw]]/Table1[[#This Row],[UT Possible]]</f>
        <v>24.489795918367346</v>
      </c>
      <c r="Q15" s="1">
        <f t="shared" si="0"/>
        <v>13</v>
      </c>
      <c r="R15" s="11">
        <f t="shared" si="1"/>
        <v>12.381092012133468</v>
      </c>
      <c r="S15" s="13">
        <f t="shared" si="21"/>
        <v>150</v>
      </c>
      <c r="T15" s="8">
        <v>200</v>
      </c>
      <c r="U15" s="8">
        <v>200</v>
      </c>
      <c r="V15" s="1">
        <v>10</v>
      </c>
      <c r="W15" s="10">
        <v>100</v>
      </c>
      <c r="X15" s="9">
        <f>100 * Table1[[#This Row],[BF Raw]]/Table1[[#This Row],[BF Possible]]</f>
        <v>100</v>
      </c>
      <c r="Y15" s="1">
        <f t="shared" si="2"/>
        <v>1</v>
      </c>
      <c r="Z15" s="11">
        <f t="shared" si="3"/>
        <v>25.278058645096056</v>
      </c>
      <c r="AA15" s="13">
        <f t="shared" si="4"/>
        <v>-27.5</v>
      </c>
      <c r="AB15" s="8">
        <v>600</v>
      </c>
      <c r="AC15" s="8">
        <v>700</v>
      </c>
      <c r="AD15" s="1">
        <v>10</v>
      </c>
      <c r="AE15" s="10">
        <v>85.714299999999994</v>
      </c>
      <c r="AF15" s="10">
        <f>100 * Table1[[#This Row],[RF Raw]]/Table1[[#This Row],[RF Possible]]</f>
        <v>85.714285714285708</v>
      </c>
      <c r="AG15" s="1">
        <f t="shared" si="5"/>
        <v>4</v>
      </c>
      <c r="AH15" s="11">
        <f t="shared" si="6"/>
        <v>21.66691102123357</v>
      </c>
      <c r="AI15" s="13">
        <f t="shared" si="7"/>
        <v>5.7143000000000086</v>
      </c>
      <c r="AJ15" s="8">
        <v>129</v>
      </c>
      <c r="AK15" s="8">
        <v>375</v>
      </c>
      <c r="AL15" s="1">
        <v>20</v>
      </c>
      <c r="AM15" s="10">
        <v>68.8</v>
      </c>
      <c r="AN15" s="10">
        <f>100 * Table1[[#This Row],[US Raw]]/Table1[[#This Row],[US Possible]]</f>
        <v>34.4</v>
      </c>
      <c r="AO15" s="1">
        <f t="shared" si="8"/>
        <v>13</v>
      </c>
      <c r="AP15" s="11">
        <f t="shared" si="9"/>
        <v>17.391304347826086</v>
      </c>
      <c r="AQ15" s="13">
        <f t="shared" si="10"/>
        <v>131.19999999999999</v>
      </c>
      <c r="AR15" s="8">
        <v>87</v>
      </c>
      <c r="AS15" s="8">
        <v>230</v>
      </c>
      <c r="AT15" s="1">
        <v>15</v>
      </c>
      <c r="AU15" s="10">
        <v>56.739100000000001</v>
      </c>
      <c r="AV15" s="10">
        <f>100 * Table1[[#This Row],[AN Raw]]/Table1[[#This Row],[AN Possible]]</f>
        <v>37.826086956521742</v>
      </c>
      <c r="AW15" s="1">
        <f t="shared" si="11"/>
        <v>10</v>
      </c>
      <c r="AX15" s="11">
        <f>100 * Table1[[#This Row],[AN Weighted]]/Table1[[#This Row],[TotalScore]]</f>
        <v>14.342542972699695</v>
      </c>
      <c r="AY15" s="13">
        <f t="shared" si="12"/>
        <v>31.956600000000002</v>
      </c>
      <c r="AZ15" s="8">
        <v>20</v>
      </c>
      <c r="BA15" s="8">
        <v>75</v>
      </c>
      <c r="BB15" s="1">
        <v>5</v>
      </c>
      <c r="BC15" s="10">
        <v>13.333299999999999</v>
      </c>
      <c r="BD15" s="10">
        <f>100 * Table1[[#This Row],[IR Raw]]/Table1[[#This Row],[IR Possible]]</f>
        <v>26.666666666666668</v>
      </c>
      <c r="BE15" s="1">
        <f t="shared" si="13"/>
        <v>12</v>
      </c>
      <c r="BF15" s="11">
        <f>100 * Table1[[#This Row],[IR Weighted]] / Table1[[#This Row],[TotalScore]]</f>
        <v>3.3703993933265921</v>
      </c>
      <c r="BG15" s="13">
        <f t="shared" si="14"/>
        <v>25.333399999999997</v>
      </c>
      <c r="BH15" s="8">
        <v>0</v>
      </c>
      <c r="BI15" s="8">
        <v>100</v>
      </c>
      <c r="BJ15" s="1">
        <v>5</v>
      </c>
      <c r="BK15" s="10">
        <v>0</v>
      </c>
      <c r="BL15" s="10">
        <f>100 * Table1[[#This Row],[WD Raw]]/Table1[[#This Row],[WD Possible]]</f>
        <v>0</v>
      </c>
      <c r="BM15" s="1">
        <f t="shared" si="15"/>
        <v>13</v>
      </c>
      <c r="BN15" s="11">
        <f>100 * Table1[[#This Row],[WD Weighted]]/Table1[[#This Row],[TotalScore]]</f>
        <v>0</v>
      </c>
      <c r="BO15" s="13">
        <f t="shared" si="16"/>
        <v>47.5</v>
      </c>
      <c r="BP15" s="8">
        <v>0</v>
      </c>
      <c r="BQ15" s="8">
        <v>100</v>
      </c>
      <c r="BR15" s="1">
        <v>5</v>
      </c>
      <c r="BS15" s="10">
        <v>0</v>
      </c>
      <c r="BT15" s="10">
        <f>100 * Table1[[#This Row],[GD Raw]]/Table1[[#This Row],[GD Possible]]</f>
        <v>0</v>
      </c>
      <c r="BU15" s="1">
        <f t="shared" si="17"/>
        <v>13</v>
      </c>
      <c r="BV15" s="11">
        <f xml:space="preserve"> 100 * Table1[[#This Row],[GD Weighted]] / Table1[[#This Row],[TotalScore]]</f>
        <v>0</v>
      </c>
      <c r="BW15" s="13">
        <f t="shared" si="18"/>
        <v>47.5</v>
      </c>
      <c r="BX15" s="8">
        <v>55</v>
      </c>
      <c r="BY15" s="8">
        <v>250</v>
      </c>
      <c r="BZ15" s="1">
        <v>10</v>
      </c>
      <c r="CA15" s="10">
        <v>22</v>
      </c>
      <c r="CB15" s="10">
        <f xml:space="preserve"> 100 * Table1[[#This Row],[RT Raw]]/Table1[[#This Row],[RT Possible]]</f>
        <v>22</v>
      </c>
      <c r="CC15" s="1">
        <f t="shared" si="19"/>
        <v>11</v>
      </c>
      <c r="CD15" s="11">
        <f xml:space="preserve"> 100 * Table1[[#This Row],[RT Weighted]]/ Table1[[#This Row],[TotalScore]]</f>
        <v>5.5611729019211324</v>
      </c>
      <c r="CE15" s="13">
        <f t="shared" si="20"/>
        <v>70</v>
      </c>
      <c r="CF15" s="1">
        <v>395.6</v>
      </c>
    </row>
    <row r="17" spans="1:2" ht="15.7" x14ac:dyDescent="0.55000000000000004">
      <c r="A17" s="12"/>
      <c r="B17" s="12"/>
    </row>
  </sheetData>
  <mergeCells count="10">
    <mergeCell ref="BX1:CE1"/>
    <mergeCell ref="F1:K1"/>
    <mergeCell ref="L1:S1"/>
    <mergeCell ref="T1:AA1"/>
    <mergeCell ref="AB1:AI1"/>
    <mergeCell ref="AJ1:AQ1"/>
    <mergeCell ref="AR1:AY1"/>
    <mergeCell ref="AZ1:BG1"/>
    <mergeCell ref="BH1:BO1"/>
    <mergeCell ref="BP1:BW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84ED-46AC-4CC6-9677-50384980691A}">
  <dimension ref="A1:H16"/>
  <sheetViews>
    <sheetView workbookViewId="0">
      <selection sqref="A1:H2"/>
    </sheetView>
  </sheetViews>
  <sheetFormatPr defaultRowHeight="14.35" x14ac:dyDescent="0.5"/>
  <cols>
    <col min="1" max="1" width="8.3515625" bestFit="1" customWidth="1"/>
    <col min="2" max="2" width="10.1171875" bestFit="1" customWidth="1"/>
    <col min="3" max="3" width="8.8203125" bestFit="1" customWidth="1"/>
    <col min="4" max="4" width="10.9375" bestFit="1" customWidth="1"/>
    <col min="5" max="5" width="15.17578125" bestFit="1" customWidth="1"/>
    <col min="6" max="6" width="7.234375" bestFit="1" customWidth="1"/>
    <col min="7" max="7" width="12.17578125" bestFit="1" customWidth="1"/>
    <col min="8" max="8" width="8.5859375" bestFit="1" customWidth="1"/>
  </cols>
  <sheetData>
    <row r="1" spans="1:8" ht="18.350000000000001" customHeight="1" x14ac:dyDescent="0.5">
      <c r="A1" s="32" t="s">
        <v>45</v>
      </c>
      <c r="B1" s="32"/>
      <c r="C1" s="32"/>
      <c r="D1" s="32"/>
      <c r="E1" s="32"/>
      <c r="F1" s="32"/>
      <c r="G1" s="32"/>
      <c r="H1" s="32"/>
    </row>
    <row r="2" spans="1:8" ht="18.350000000000001" customHeight="1" x14ac:dyDescent="0.5">
      <c r="A2" s="33"/>
      <c r="B2" s="33"/>
      <c r="C2" s="33"/>
      <c r="D2" s="33"/>
      <c r="E2" s="33"/>
      <c r="F2" s="33"/>
      <c r="G2" s="33"/>
      <c r="H2" s="33"/>
    </row>
    <row r="3" spans="1:8" x14ac:dyDescent="0.5">
      <c r="A3" s="16" t="str" cm="1">
        <f t="array" ref="A3:H16">Table1[[#All],[UT Raw]:[UT Margin]]</f>
        <v>UT Raw</v>
      </c>
      <c r="B3" s="16" t="str">
        <v>UT Possible</v>
      </c>
      <c r="C3" s="16" t="str">
        <v>UT Weight</v>
      </c>
      <c r="D3" s="16" t="str">
        <v>UT Weighted</v>
      </c>
      <c r="E3" s="16" t="str">
        <v>UT Pct of Possible</v>
      </c>
      <c r="F3" s="16" t="str">
        <v>UT Rank</v>
      </c>
      <c r="G3" s="16" t="str">
        <v>UT Pct of Total</v>
      </c>
      <c r="H3" s="16" t="str">
        <v>UT Margin</v>
      </c>
    </row>
    <row r="4" spans="1:8" x14ac:dyDescent="0.5">
      <c r="A4" s="17">
        <v>5850</v>
      </c>
      <c r="B4" s="17">
        <v>5880</v>
      </c>
      <c r="C4" s="19">
        <v>20</v>
      </c>
      <c r="D4" s="21">
        <v>198.9796</v>
      </c>
      <c r="E4" s="21">
        <v>99.489795918367349</v>
      </c>
      <c r="F4" s="19">
        <v>7</v>
      </c>
      <c r="G4" s="23">
        <v>22.680907329305825</v>
      </c>
      <c r="H4" s="23">
        <v>0</v>
      </c>
    </row>
    <row r="5" spans="1:8" x14ac:dyDescent="0.5">
      <c r="A5" s="18">
        <v>5880</v>
      </c>
      <c r="B5" s="18">
        <v>5880</v>
      </c>
      <c r="C5" s="20">
        <v>20</v>
      </c>
      <c r="D5" s="22">
        <v>200</v>
      </c>
      <c r="E5" s="22">
        <v>100</v>
      </c>
      <c r="F5" s="20">
        <v>1</v>
      </c>
      <c r="G5" s="24">
        <v>24.021138601969731</v>
      </c>
      <c r="H5" s="24">
        <v>-1.0203999999999951</v>
      </c>
    </row>
    <row r="6" spans="1:8" x14ac:dyDescent="0.5">
      <c r="A6" s="17">
        <v>5870</v>
      </c>
      <c r="B6" s="17">
        <v>5880</v>
      </c>
      <c r="C6" s="19">
        <v>20</v>
      </c>
      <c r="D6" s="21">
        <v>199.65989999999999</v>
      </c>
      <c r="E6" s="21">
        <v>99.829931972789112</v>
      </c>
      <c r="F6" s="19">
        <v>3</v>
      </c>
      <c r="G6" s="23">
        <v>24.640244353942983</v>
      </c>
      <c r="H6" s="23">
        <v>-0.68029999999998836</v>
      </c>
    </row>
    <row r="7" spans="1:8" x14ac:dyDescent="0.5">
      <c r="A7" s="18">
        <v>5870</v>
      </c>
      <c r="B7" s="18">
        <v>5880</v>
      </c>
      <c r="C7" s="20">
        <v>20</v>
      </c>
      <c r="D7" s="22">
        <v>199.65989999999999</v>
      </c>
      <c r="E7" s="22">
        <v>99.829931972789112</v>
      </c>
      <c r="F7" s="20">
        <v>3</v>
      </c>
      <c r="G7" s="24">
        <v>25.483075941289083</v>
      </c>
      <c r="H7" s="24">
        <v>-0.68029999999998836</v>
      </c>
    </row>
    <row r="8" spans="1:8" x14ac:dyDescent="0.5">
      <c r="A8" s="17">
        <v>5620</v>
      </c>
      <c r="B8" s="17">
        <v>5880</v>
      </c>
      <c r="C8" s="19">
        <v>20</v>
      </c>
      <c r="D8" s="21">
        <v>191.15649999999999</v>
      </c>
      <c r="E8" s="21">
        <v>95.578231292517003</v>
      </c>
      <c r="F8" s="19">
        <v>10</v>
      </c>
      <c r="G8" s="23">
        <v>25.312036546610166</v>
      </c>
      <c r="H8" s="23">
        <v>7.8231000000000108</v>
      </c>
    </row>
    <row r="9" spans="1:8" x14ac:dyDescent="0.5">
      <c r="A9" s="18">
        <v>5810</v>
      </c>
      <c r="B9" s="18">
        <v>5880</v>
      </c>
      <c r="C9" s="20">
        <v>20</v>
      </c>
      <c r="D9" s="22">
        <v>197.6191</v>
      </c>
      <c r="E9" s="22">
        <v>98.80952380952381</v>
      </c>
      <c r="F9" s="20">
        <v>8</v>
      </c>
      <c r="G9" s="24">
        <v>27.026682166301967</v>
      </c>
      <c r="H9" s="24">
        <v>1.3605000000000018</v>
      </c>
    </row>
    <row r="10" spans="1:8" x14ac:dyDescent="0.5">
      <c r="A10" s="17">
        <v>5860</v>
      </c>
      <c r="B10" s="17">
        <v>5880</v>
      </c>
      <c r="C10" s="19">
        <v>20</v>
      </c>
      <c r="D10" s="21">
        <v>199.31970000000001</v>
      </c>
      <c r="E10" s="21">
        <v>99.659863945578238</v>
      </c>
      <c r="F10" s="19">
        <v>5</v>
      </c>
      <c r="G10" s="23">
        <v>29.625401307966712</v>
      </c>
      <c r="H10" s="23">
        <v>-0.34010000000000673</v>
      </c>
    </row>
    <row r="11" spans="1:8" x14ac:dyDescent="0.5">
      <c r="A11" s="18">
        <v>5880</v>
      </c>
      <c r="B11" s="18">
        <v>5880</v>
      </c>
      <c r="C11" s="20">
        <v>20</v>
      </c>
      <c r="D11" s="22">
        <v>200</v>
      </c>
      <c r="E11" s="22">
        <v>100</v>
      </c>
      <c r="F11" s="20">
        <v>1</v>
      </c>
      <c r="G11" s="24">
        <v>30.102347983142685</v>
      </c>
      <c r="H11" s="24">
        <v>-1.0203999999999951</v>
      </c>
    </row>
    <row r="12" spans="1:8" x14ac:dyDescent="0.5">
      <c r="A12" s="17">
        <v>5810</v>
      </c>
      <c r="B12" s="17">
        <v>5880</v>
      </c>
      <c r="C12" s="19">
        <v>20</v>
      </c>
      <c r="D12" s="21">
        <v>197.6191</v>
      </c>
      <c r="E12" s="21">
        <v>98.80952380952381</v>
      </c>
      <c r="F12" s="19">
        <v>8</v>
      </c>
      <c r="G12" s="23">
        <v>30.897295184490304</v>
      </c>
      <c r="H12" s="23">
        <v>1.3605000000000018</v>
      </c>
    </row>
    <row r="13" spans="1:8" x14ac:dyDescent="0.5">
      <c r="A13" s="18">
        <v>5860</v>
      </c>
      <c r="B13" s="18">
        <v>5880</v>
      </c>
      <c r="C13" s="20">
        <v>20</v>
      </c>
      <c r="D13" s="22">
        <v>199.31970000000001</v>
      </c>
      <c r="E13" s="22">
        <v>99.659863945578238</v>
      </c>
      <c r="F13" s="20">
        <v>5</v>
      </c>
      <c r="G13" s="24">
        <v>31.628006981910506</v>
      </c>
      <c r="H13" s="24">
        <v>-0.34010000000000673</v>
      </c>
    </row>
    <row r="14" spans="1:8" x14ac:dyDescent="0.5">
      <c r="A14" s="17">
        <v>4970</v>
      </c>
      <c r="B14" s="17">
        <v>5880</v>
      </c>
      <c r="C14" s="19">
        <v>20</v>
      </c>
      <c r="D14" s="21">
        <v>169.04759999999999</v>
      </c>
      <c r="E14" s="21">
        <v>84.523809523809518</v>
      </c>
      <c r="F14" s="19">
        <v>12</v>
      </c>
      <c r="G14" s="23">
        <v>32.710448916408666</v>
      </c>
      <c r="H14" s="23">
        <v>29.932000000000016</v>
      </c>
    </row>
    <row r="15" spans="1:8" x14ac:dyDescent="0.5">
      <c r="A15" s="18">
        <v>5610</v>
      </c>
      <c r="B15" s="18">
        <v>5880</v>
      </c>
      <c r="C15" s="20">
        <v>20</v>
      </c>
      <c r="D15" s="22">
        <v>190.81630000000001</v>
      </c>
      <c r="E15" s="22">
        <v>95.408163265306129</v>
      </c>
      <c r="F15" s="20">
        <v>11</v>
      </c>
      <c r="G15" s="24">
        <v>40.205710071639274</v>
      </c>
      <c r="H15" s="24">
        <v>8.1632999999999925</v>
      </c>
    </row>
    <row r="16" spans="1:8" x14ac:dyDescent="0.5">
      <c r="A16" s="17">
        <v>1440</v>
      </c>
      <c r="B16" s="17">
        <v>5880</v>
      </c>
      <c r="C16" s="19">
        <v>20</v>
      </c>
      <c r="D16" s="21">
        <v>48.979599999999998</v>
      </c>
      <c r="E16" s="21">
        <v>24.489795918367346</v>
      </c>
      <c r="F16" s="19">
        <v>13</v>
      </c>
      <c r="G16" s="23">
        <v>12.381092012133468</v>
      </c>
      <c r="H16" s="23">
        <v>150</v>
      </c>
    </row>
  </sheetData>
  <mergeCells count="1">
    <mergeCell ref="A1:H2"/>
  </mergeCells>
  <conditionalFormatting sqref="H4:H16">
    <cfRule type="colorScale" priority="1">
      <colorScale>
        <cfvo type="num" val="-50"/>
        <cfvo type="num" val="0"/>
        <cfvo type="num" val="5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BA5B-DC59-452F-AAB8-233B89507C67}">
  <dimension ref="A1:Q16"/>
  <sheetViews>
    <sheetView workbookViewId="0">
      <selection sqref="A1:H2"/>
    </sheetView>
  </sheetViews>
  <sheetFormatPr defaultRowHeight="14.35" x14ac:dyDescent="0.5"/>
  <cols>
    <col min="1" max="1" width="6.52734375" bestFit="1" customWidth="1"/>
    <col min="2" max="2" width="10.05859375" bestFit="1" customWidth="1"/>
    <col min="3" max="3" width="8.8203125" bestFit="1" customWidth="1"/>
    <col min="4" max="4" width="10.87890625" bestFit="1" customWidth="1"/>
    <col min="5" max="5" width="15.1171875" bestFit="1" customWidth="1"/>
    <col min="6" max="6" width="7.17578125" bestFit="1" customWidth="1"/>
    <col min="7" max="7" width="12.1171875" bestFit="1" customWidth="1"/>
    <col min="8" max="8" width="8.52734375" bestFit="1" customWidth="1"/>
    <col min="10" max="10" width="6.52734375" bestFit="1" customWidth="1"/>
    <col min="11" max="11" width="10.05859375" bestFit="1" customWidth="1"/>
    <col min="12" max="12" width="8.8203125" bestFit="1" customWidth="1"/>
    <col min="13" max="13" width="10.87890625" bestFit="1" customWidth="1"/>
    <col min="14" max="14" width="15.1171875" bestFit="1" customWidth="1"/>
    <col min="15" max="15" width="7.17578125" bestFit="1" customWidth="1"/>
    <col min="16" max="16" width="12.1171875" bestFit="1" customWidth="1"/>
    <col min="17" max="17" width="8.52734375" bestFit="1" customWidth="1"/>
  </cols>
  <sheetData>
    <row r="1" spans="1:17" ht="18.350000000000001" customHeight="1" x14ac:dyDescent="0.5">
      <c r="A1" s="32" t="s">
        <v>20</v>
      </c>
      <c r="B1" s="32"/>
      <c r="C1" s="32"/>
      <c r="D1" s="32"/>
      <c r="E1" s="32"/>
      <c r="F1" s="32"/>
      <c r="G1" s="32"/>
      <c r="H1" s="32"/>
      <c r="J1" s="32" t="s">
        <v>21</v>
      </c>
      <c r="K1" s="32"/>
      <c r="L1" s="32"/>
      <c r="M1" s="32"/>
      <c r="N1" s="32"/>
      <c r="O1" s="32"/>
      <c r="P1" s="32"/>
      <c r="Q1" s="32"/>
    </row>
    <row r="2" spans="1:17" x14ac:dyDescent="0.5">
      <c r="A2" s="33"/>
      <c r="B2" s="33"/>
      <c r="C2" s="33"/>
      <c r="D2" s="33"/>
      <c r="E2" s="33"/>
      <c r="F2" s="33"/>
      <c r="G2" s="33"/>
      <c r="H2" s="33"/>
      <c r="J2" s="33"/>
      <c r="K2" s="33"/>
      <c r="L2" s="33"/>
      <c r="M2" s="33"/>
      <c r="N2" s="33"/>
      <c r="O2" s="33"/>
      <c r="P2" s="33"/>
      <c r="Q2" s="33"/>
    </row>
    <row r="3" spans="1:17" x14ac:dyDescent="0.5">
      <c r="A3" s="16" t="str" cm="1">
        <f t="array" ref="A3:H16">Table1[[#All],[BF Raw]:[BF Margin]]</f>
        <v>BF Raw</v>
      </c>
      <c r="B3" s="16" t="str">
        <v>BF Possible</v>
      </c>
      <c r="C3" s="16" t="str">
        <v>BF Weight</v>
      </c>
      <c r="D3" s="16" t="str">
        <v>BF Weighted</v>
      </c>
      <c r="E3" s="16" t="str">
        <v>BF Pct of Possible</v>
      </c>
      <c r="F3" s="16" t="str">
        <v>BF Rank</v>
      </c>
      <c r="G3" s="16" t="str">
        <v>BF Pct of Total</v>
      </c>
      <c r="H3" s="16" t="str">
        <v>BF Margin</v>
      </c>
      <c r="J3" s="16" t="str" cm="1">
        <f t="array" ref="J3:Q16">Table1[[#All],[RF Raw]:[RF Margin]]</f>
        <v>RF Raw</v>
      </c>
      <c r="K3" s="16" t="str">
        <v>RF Possible</v>
      </c>
      <c r="L3" s="16" t="str">
        <v>RF Weight</v>
      </c>
      <c r="M3" s="16" t="str">
        <v>RF Weighted</v>
      </c>
      <c r="N3" s="16" t="str">
        <v>RF Pct of Possible</v>
      </c>
      <c r="O3" s="16" t="str">
        <v>RF Rank</v>
      </c>
      <c r="P3" s="16" t="str">
        <v>RF Pct of Total</v>
      </c>
      <c r="Q3" s="16" t="str">
        <v>RF Margin</v>
      </c>
    </row>
    <row r="4" spans="1:17" x14ac:dyDescent="0.5">
      <c r="A4" s="25">
        <v>145</v>
      </c>
      <c r="B4" s="25">
        <v>200</v>
      </c>
      <c r="C4" s="19">
        <v>10</v>
      </c>
      <c r="D4" s="26">
        <v>72.5</v>
      </c>
      <c r="E4" s="21">
        <v>72.5</v>
      </c>
      <c r="F4" s="19">
        <v>4</v>
      </c>
      <c r="G4" s="23">
        <v>8.2639917930012547</v>
      </c>
      <c r="H4" s="23">
        <v>0</v>
      </c>
      <c r="J4" s="25">
        <v>640</v>
      </c>
      <c r="K4" s="25">
        <v>700</v>
      </c>
      <c r="L4" s="19">
        <v>10</v>
      </c>
      <c r="M4" s="26">
        <v>91.428600000000003</v>
      </c>
      <c r="N4" s="26">
        <v>91.428571428571431</v>
      </c>
      <c r="O4" s="19">
        <v>1</v>
      </c>
      <c r="P4" s="23">
        <v>10.421588966146132</v>
      </c>
      <c r="Q4" s="23">
        <v>0</v>
      </c>
    </row>
    <row r="5" spans="1:17" x14ac:dyDescent="0.5">
      <c r="A5" s="27">
        <v>200</v>
      </c>
      <c r="B5" s="27">
        <v>200</v>
      </c>
      <c r="C5" s="20">
        <v>10</v>
      </c>
      <c r="D5" s="28">
        <v>100</v>
      </c>
      <c r="E5" s="22">
        <v>100</v>
      </c>
      <c r="F5" s="20">
        <v>1</v>
      </c>
      <c r="G5" s="24">
        <v>12.010569300984866</v>
      </c>
      <c r="H5" s="24">
        <v>-27.5</v>
      </c>
      <c r="J5" s="27">
        <v>600</v>
      </c>
      <c r="K5" s="27">
        <v>700</v>
      </c>
      <c r="L5" s="20">
        <v>10</v>
      </c>
      <c r="M5" s="28">
        <v>85.714299999999994</v>
      </c>
      <c r="N5" s="28">
        <v>85.714285714285708</v>
      </c>
      <c r="O5" s="20">
        <v>4</v>
      </c>
      <c r="P5" s="24">
        <v>10.294775402354071</v>
      </c>
      <c r="Q5" s="24">
        <v>5.7143000000000086</v>
      </c>
    </row>
    <row r="6" spans="1:17" x14ac:dyDescent="0.5">
      <c r="A6" s="25">
        <v>200</v>
      </c>
      <c r="B6" s="25">
        <v>200</v>
      </c>
      <c r="C6" s="19">
        <v>10</v>
      </c>
      <c r="D6" s="26">
        <v>100</v>
      </c>
      <c r="E6" s="21">
        <v>100</v>
      </c>
      <c r="F6" s="19">
        <v>1</v>
      </c>
      <c r="G6" s="23">
        <v>12.341108231519192</v>
      </c>
      <c r="H6" s="23">
        <v>-27.5</v>
      </c>
      <c r="J6" s="25">
        <v>605</v>
      </c>
      <c r="K6" s="25">
        <v>700</v>
      </c>
      <c r="L6" s="19">
        <v>10</v>
      </c>
      <c r="M6" s="26">
        <v>86.428600000000003</v>
      </c>
      <c r="N6" s="26">
        <v>86.428571428571431</v>
      </c>
      <c r="O6" s="19">
        <v>3</v>
      </c>
      <c r="P6" s="23">
        <v>10.666247068986797</v>
      </c>
      <c r="Q6" s="23">
        <v>5</v>
      </c>
    </row>
    <row r="7" spans="1:17" x14ac:dyDescent="0.5">
      <c r="A7" s="27">
        <v>100</v>
      </c>
      <c r="B7" s="27">
        <v>200</v>
      </c>
      <c r="C7" s="20">
        <v>10</v>
      </c>
      <c r="D7" s="28">
        <v>50</v>
      </c>
      <c r="E7" s="22">
        <v>50</v>
      </c>
      <c r="F7" s="20">
        <v>5</v>
      </c>
      <c r="G7" s="24">
        <v>6.3816209317166557</v>
      </c>
      <c r="H7" s="24">
        <v>22.5</v>
      </c>
      <c r="J7" s="27">
        <v>635</v>
      </c>
      <c r="K7" s="27">
        <v>700</v>
      </c>
      <c r="L7" s="20">
        <v>10</v>
      </c>
      <c r="M7" s="28">
        <v>90.714299999999994</v>
      </c>
      <c r="N7" s="28">
        <v>90.714285714285708</v>
      </c>
      <c r="O7" s="20">
        <v>2</v>
      </c>
      <c r="P7" s="24">
        <v>11.578085513720485</v>
      </c>
      <c r="Q7" s="24">
        <v>0.71430000000000859</v>
      </c>
    </row>
    <row r="8" spans="1:17" x14ac:dyDescent="0.5">
      <c r="A8" s="25">
        <v>100</v>
      </c>
      <c r="B8" s="25">
        <v>200</v>
      </c>
      <c r="C8" s="19">
        <v>10</v>
      </c>
      <c r="D8" s="26">
        <v>50</v>
      </c>
      <c r="E8" s="21">
        <v>50</v>
      </c>
      <c r="F8" s="19">
        <v>5</v>
      </c>
      <c r="G8" s="23">
        <v>6.6207627118644066</v>
      </c>
      <c r="H8" s="23">
        <v>22.5</v>
      </c>
      <c r="J8" s="25">
        <v>275</v>
      </c>
      <c r="K8" s="25">
        <v>700</v>
      </c>
      <c r="L8" s="19">
        <v>10</v>
      </c>
      <c r="M8" s="26">
        <v>39.285699999999999</v>
      </c>
      <c r="N8" s="26">
        <v>39.285714285714285</v>
      </c>
      <c r="O8" s="19">
        <v>8</v>
      </c>
      <c r="P8" s="23">
        <v>5.2020259533898301</v>
      </c>
      <c r="Q8" s="23">
        <v>52.142900000000004</v>
      </c>
    </row>
    <row r="9" spans="1:17" x14ac:dyDescent="0.5">
      <c r="A9" s="27">
        <v>20</v>
      </c>
      <c r="B9" s="27">
        <v>200</v>
      </c>
      <c r="C9" s="20">
        <v>10</v>
      </c>
      <c r="D9" s="28">
        <v>10</v>
      </c>
      <c r="E9" s="22">
        <v>10</v>
      </c>
      <c r="F9" s="20">
        <v>10</v>
      </c>
      <c r="G9" s="24">
        <v>1.3676148796498906</v>
      </c>
      <c r="H9" s="24">
        <v>62.5</v>
      </c>
      <c r="J9" s="27">
        <v>105</v>
      </c>
      <c r="K9" s="27">
        <v>700</v>
      </c>
      <c r="L9" s="20">
        <v>10</v>
      </c>
      <c r="M9" s="28">
        <v>15</v>
      </c>
      <c r="N9" s="28">
        <v>15</v>
      </c>
      <c r="O9" s="20">
        <v>10</v>
      </c>
      <c r="P9" s="24">
        <v>2.0514223194748356</v>
      </c>
      <c r="Q9" s="24">
        <v>76.428600000000003</v>
      </c>
    </row>
    <row r="10" spans="1:17" x14ac:dyDescent="0.5">
      <c r="A10" s="25">
        <v>100</v>
      </c>
      <c r="B10" s="25">
        <v>200</v>
      </c>
      <c r="C10" s="19">
        <v>10</v>
      </c>
      <c r="D10" s="26">
        <v>50</v>
      </c>
      <c r="E10" s="21">
        <v>50</v>
      </c>
      <c r="F10" s="19">
        <v>5</v>
      </c>
      <c r="G10" s="23">
        <v>7.4316290130796672</v>
      </c>
      <c r="H10" s="23">
        <v>22.5</v>
      </c>
      <c r="J10" s="25">
        <v>400</v>
      </c>
      <c r="K10" s="25">
        <v>700</v>
      </c>
      <c r="L10" s="19">
        <v>10</v>
      </c>
      <c r="M10" s="26">
        <v>57.142899999999997</v>
      </c>
      <c r="N10" s="26">
        <v>57.142857142857146</v>
      </c>
      <c r="O10" s="19">
        <v>6</v>
      </c>
      <c r="P10" s="23">
        <v>8.4932966706302029</v>
      </c>
      <c r="Q10" s="23">
        <v>34.285700000000006</v>
      </c>
    </row>
    <row r="11" spans="1:17" x14ac:dyDescent="0.5">
      <c r="A11" s="27">
        <v>0</v>
      </c>
      <c r="B11" s="27">
        <v>200</v>
      </c>
      <c r="C11" s="20">
        <v>10</v>
      </c>
      <c r="D11" s="28">
        <v>0</v>
      </c>
      <c r="E11" s="22">
        <v>0</v>
      </c>
      <c r="F11" s="20">
        <v>11</v>
      </c>
      <c r="G11" s="24">
        <v>0</v>
      </c>
      <c r="H11" s="24">
        <v>72.5</v>
      </c>
      <c r="J11" s="27">
        <v>60</v>
      </c>
      <c r="K11" s="27">
        <v>700</v>
      </c>
      <c r="L11" s="20">
        <v>10</v>
      </c>
      <c r="M11" s="28">
        <v>8.5714000000000006</v>
      </c>
      <c r="N11" s="28">
        <v>8.5714285714285712</v>
      </c>
      <c r="O11" s="20">
        <v>12</v>
      </c>
      <c r="P11" s="24">
        <v>1.2900963275135462</v>
      </c>
      <c r="Q11" s="24">
        <v>82.857200000000006</v>
      </c>
    </row>
    <row r="12" spans="1:17" x14ac:dyDescent="0.5">
      <c r="A12" s="25">
        <v>100</v>
      </c>
      <c r="B12" s="25">
        <v>200</v>
      </c>
      <c r="C12" s="19">
        <v>10</v>
      </c>
      <c r="D12" s="26">
        <v>50</v>
      </c>
      <c r="E12" s="21">
        <v>50</v>
      </c>
      <c r="F12" s="19">
        <v>5</v>
      </c>
      <c r="G12" s="23">
        <v>7.8173858661663536</v>
      </c>
      <c r="H12" s="23">
        <v>22.5</v>
      </c>
      <c r="J12" s="25">
        <v>300</v>
      </c>
      <c r="K12" s="25">
        <v>700</v>
      </c>
      <c r="L12" s="19">
        <v>10</v>
      </c>
      <c r="M12" s="26">
        <v>42.857100000000003</v>
      </c>
      <c r="N12" s="26">
        <v>42.857142857142854</v>
      </c>
      <c r="O12" s="19">
        <v>7</v>
      </c>
      <c r="P12" s="23">
        <v>6.7006097560975606</v>
      </c>
      <c r="Q12" s="23">
        <v>48.5715</v>
      </c>
    </row>
    <row r="13" spans="1:17" x14ac:dyDescent="0.5">
      <c r="A13" s="27">
        <v>30</v>
      </c>
      <c r="B13" s="27">
        <v>200</v>
      </c>
      <c r="C13" s="20">
        <v>10</v>
      </c>
      <c r="D13" s="28">
        <v>15</v>
      </c>
      <c r="E13" s="22">
        <v>15</v>
      </c>
      <c r="F13" s="20">
        <v>9</v>
      </c>
      <c r="G13" s="24">
        <v>2.3801967629324023</v>
      </c>
      <c r="H13" s="24">
        <v>57.5</v>
      </c>
      <c r="J13" s="27">
        <v>165</v>
      </c>
      <c r="K13" s="27">
        <v>700</v>
      </c>
      <c r="L13" s="20">
        <v>10</v>
      </c>
      <c r="M13" s="28">
        <v>23.571400000000001</v>
      </c>
      <c r="N13" s="28">
        <v>23.571428571428573</v>
      </c>
      <c r="O13" s="20">
        <v>9</v>
      </c>
      <c r="P13" s="24">
        <v>3.7403046651856551</v>
      </c>
      <c r="Q13" s="24">
        <v>67.857200000000006</v>
      </c>
    </row>
    <row r="14" spans="1:17" x14ac:dyDescent="0.5">
      <c r="A14" s="25">
        <v>0</v>
      </c>
      <c r="B14" s="25">
        <v>200</v>
      </c>
      <c r="C14" s="19">
        <v>10</v>
      </c>
      <c r="D14" s="26">
        <v>0</v>
      </c>
      <c r="E14" s="21">
        <v>0</v>
      </c>
      <c r="F14" s="19">
        <v>11</v>
      </c>
      <c r="G14" s="23">
        <v>0</v>
      </c>
      <c r="H14" s="23">
        <v>72.5</v>
      </c>
      <c r="J14" s="25">
        <v>80</v>
      </c>
      <c r="K14" s="25">
        <v>700</v>
      </c>
      <c r="L14" s="19">
        <v>10</v>
      </c>
      <c r="M14" s="26">
        <v>11.428599999999999</v>
      </c>
      <c r="N14" s="26">
        <v>11.428571428571429</v>
      </c>
      <c r="O14" s="19">
        <v>11</v>
      </c>
      <c r="P14" s="23">
        <v>2.2114164086687307</v>
      </c>
      <c r="Q14" s="23">
        <v>80</v>
      </c>
    </row>
    <row r="15" spans="1:17" x14ac:dyDescent="0.5">
      <c r="A15" s="27">
        <v>0</v>
      </c>
      <c r="B15" s="27">
        <v>200</v>
      </c>
      <c r="C15" s="20">
        <v>10</v>
      </c>
      <c r="D15" s="28">
        <v>0</v>
      </c>
      <c r="E15" s="22">
        <v>0</v>
      </c>
      <c r="F15" s="20">
        <v>11</v>
      </c>
      <c r="G15" s="24">
        <v>0</v>
      </c>
      <c r="H15" s="24">
        <v>72.5</v>
      </c>
      <c r="J15" s="27">
        <v>0</v>
      </c>
      <c r="K15" s="27">
        <v>700</v>
      </c>
      <c r="L15" s="20">
        <v>10</v>
      </c>
      <c r="M15" s="28">
        <v>0</v>
      </c>
      <c r="N15" s="28">
        <v>0</v>
      </c>
      <c r="O15" s="20">
        <v>13</v>
      </c>
      <c r="P15" s="24">
        <v>0</v>
      </c>
      <c r="Q15" s="24">
        <v>91.428600000000003</v>
      </c>
    </row>
    <row r="16" spans="1:17" x14ac:dyDescent="0.5">
      <c r="A16" s="25">
        <v>200</v>
      </c>
      <c r="B16" s="25">
        <v>200</v>
      </c>
      <c r="C16" s="19">
        <v>10</v>
      </c>
      <c r="D16" s="26">
        <v>100</v>
      </c>
      <c r="E16" s="21">
        <v>100</v>
      </c>
      <c r="F16" s="19">
        <v>1</v>
      </c>
      <c r="G16" s="23">
        <v>25.278058645096056</v>
      </c>
      <c r="H16" s="23">
        <v>-27.5</v>
      </c>
      <c r="J16" s="25">
        <v>600</v>
      </c>
      <c r="K16" s="25">
        <v>700</v>
      </c>
      <c r="L16" s="19">
        <v>10</v>
      </c>
      <c r="M16" s="26">
        <v>85.714299999999994</v>
      </c>
      <c r="N16" s="26">
        <v>85.714285714285708</v>
      </c>
      <c r="O16" s="19">
        <v>4</v>
      </c>
      <c r="P16" s="23">
        <v>21.66691102123357</v>
      </c>
      <c r="Q16" s="23">
        <v>5.7143000000000086</v>
      </c>
    </row>
  </sheetData>
  <mergeCells count="2">
    <mergeCell ref="J1:Q2"/>
    <mergeCell ref="A1:H2"/>
  </mergeCells>
  <conditionalFormatting sqref="H4:H16">
    <cfRule type="colorScale" priority="2">
      <colorScale>
        <cfvo type="num" val="-50"/>
        <cfvo type="num" val="0"/>
        <cfvo type="num" val="50"/>
        <color rgb="FFF8696B"/>
        <color rgb="FFFFEB84"/>
        <color rgb="FF63BE7B"/>
      </colorScale>
    </cfRule>
  </conditionalFormatting>
  <conditionalFormatting sqref="Q4:Q16">
    <cfRule type="colorScale" priority="1">
      <colorScale>
        <cfvo type="num" val="-50"/>
        <cfvo type="num" val="0"/>
        <cfvo type="num" val="5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245B-5E64-48BE-B351-EACB4BC7DADB}">
  <dimension ref="A1:H16"/>
  <sheetViews>
    <sheetView workbookViewId="0">
      <selection sqref="A1:H2"/>
    </sheetView>
  </sheetViews>
  <sheetFormatPr defaultRowHeight="14.35" x14ac:dyDescent="0.5"/>
  <cols>
    <col min="1" max="1" width="6.703125" bestFit="1" customWidth="1"/>
    <col min="2" max="2" width="10.29296875" bestFit="1" customWidth="1"/>
    <col min="3" max="3" width="9" bestFit="1" customWidth="1"/>
    <col min="4" max="4" width="11.05859375" bestFit="1" customWidth="1"/>
    <col min="5" max="5" width="15.29296875" bestFit="1" customWidth="1"/>
    <col min="6" max="6" width="7.3515625" bestFit="1" customWidth="1"/>
    <col min="7" max="7" width="12.3515625" bestFit="1" customWidth="1"/>
    <col min="8" max="8" width="8.76171875" bestFit="1" customWidth="1"/>
  </cols>
  <sheetData>
    <row r="1" spans="1:8" ht="18.350000000000001" customHeight="1" x14ac:dyDescent="0.5">
      <c r="A1" s="32" t="s">
        <v>22</v>
      </c>
      <c r="B1" s="32"/>
      <c r="C1" s="32"/>
      <c r="D1" s="32"/>
      <c r="E1" s="32"/>
      <c r="F1" s="32"/>
      <c r="G1" s="32"/>
      <c r="H1" s="32"/>
    </row>
    <row r="2" spans="1:8" x14ac:dyDescent="0.5">
      <c r="A2" s="33"/>
      <c r="B2" s="33"/>
      <c r="C2" s="33"/>
      <c r="D2" s="33"/>
      <c r="E2" s="33"/>
      <c r="F2" s="33"/>
      <c r="G2" s="33"/>
      <c r="H2" s="33"/>
    </row>
    <row r="3" spans="1:8" x14ac:dyDescent="0.5">
      <c r="A3" s="16" t="str" cm="1">
        <f t="array" ref="A3:H16">Table1[[#All],[US Raw]:[US Margin]]</f>
        <v>US Raw</v>
      </c>
      <c r="B3" s="16" t="str">
        <v>US Possible</v>
      </c>
      <c r="C3" s="16" t="str">
        <v>US Weight</v>
      </c>
      <c r="D3" s="16" t="str">
        <v>US Weighted</v>
      </c>
      <c r="E3" s="16" t="str">
        <v>US Pct of Possible</v>
      </c>
      <c r="F3" s="16" t="str">
        <v>US Rank</v>
      </c>
      <c r="G3" s="16" t="str">
        <v>US Pct of Total</v>
      </c>
      <c r="H3" s="16" t="str">
        <v>US Margin</v>
      </c>
    </row>
    <row r="4" spans="1:8" x14ac:dyDescent="0.5">
      <c r="A4" s="25">
        <v>375</v>
      </c>
      <c r="B4" s="25">
        <v>375</v>
      </c>
      <c r="C4" s="19">
        <v>20</v>
      </c>
      <c r="D4" s="26">
        <v>200</v>
      </c>
      <c r="E4" s="26">
        <v>100</v>
      </c>
      <c r="F4" s="19">
        <v>1</v>
      </c>
      <c r="G4" s="23">
        <v>22.797218739313806</v>
      </c>
      <c r="H4" s="23">
        <v>0</v>
      </c>
    </row>
    <row r="5" spans="1:8" x14ac:dyDescent="0.5">
      <c r="A5" s="27">
        <v>308</v>
      </c>
      <c r="B5" s="27">
        <v>375</v>
      </c>
      <c r="C5" s="20">
        <v>20</v>
      </c>
      <c r="D5" s="28">
        <v>164.26669999999999</v>
      </c>
      <c r="E5" s="28">
        <v>82.13333333333334</v>
      </c>
      <c r="F5" s="20">
        <v>9</v>
      </c>
      <c r="G5" s="24">
        <v>19.729365841940904</v>
      </c>
      <c r="H5" s="24">
        <v>35.733300000000014</v>
      </c>
    </row>
    <row r="6" spans="1:8" x14ac:dyDescent="0.5">
      <c r="A6" s="25">
        <v>221</v>
      </c>
      <c r="B6" s="25">
        <v>375</v>
      </c>
      <c r="C6" s="19">
        <v>20</v>
      </c>
      <c r="D6" s="26">
        <v>117.86669999999999</v>
      </c>
      <c r="E6" s="26">
        <v>58.93333333333333</v>
      </c>
      <c r="F6" s="19">
        <v>12</v>
      </c>
      <c r="G6" s="23">
        <v>14.546057015920031</v>
      </c>
      <c r="H6" s="23">
        <v>82.133300000000006</v>
      </c>
    </row>
    <row r="7" spans="1:8" x14ac:dyDescent="0.5">
      <c r="A7" s="27">
        <v>347</v>
      </c>
      <c r="B7" s="27">
        <v>375</v>
      </c>
      <c r="C7" s="20">
        <v>20</v>
      </c>
      <c r="D7" s="28">
        <v>185.0667</v>
      </c>
      <c r="E7" s="28">
        <v>92.533333333333331</v>
      </c>
      <c r="F7" s="20">
        <v>2</v>
      </c>
      <c r="G7" s="24">
        <v>23.620510529674537</v>
      </c>
      <c r="H7" s="24">
        <v>14.933300000000003</v>
      </c>
    </row>
    <row r="8" spans="1:8" x14ac:dyDescent="0.5">
      <c r="A8" s="25">
        <v>332</v>
      </c>
      <c r="B8" s="25">
        <v>375</v>
      </c>
      <c r="C8" s="19">
        <v>20</v>
      </c>
      <c r="D8" s="26">
        <v>177.0667</v>
      </c>
      <c r="E8" s="26">
        <v>88.533333333333331</v>
      </c>
      <c r="F8" s="19">
        <v>7</v>
      </c>
      <c r="G8" s="23">
        <v>23.446332097457624</v>
      </c>
      <c r="H8" s="23">
        <v>22.933300000000003</v>
      </c>
    </row>
    <row r="9" spans="1:8" x14ac:dyDescent="0.5">
      <c r="A9" s="27">
        <v>341</v>
      </c>
      <c r="B9" s="27">
        <v>375</v>
      </c>
      <c r="C9" s="20">
        <v>20</v>
      </c>
      <c r="D9" s="28">
        <v>181.86670000000001</v>
      </c>
      <c r="E9" s="28">
        <v>90.933333333333337</v>
      </c>
      <c r="F9" s="20">
        <v>4</v>
      </c>
      <c r="G9" s="24">
        <v>24.872360503282277</v>
      </c>
      <c r="H9" s="24">
        <v>18.133299999999991</v>
      </c>
    </row>
    <row r="10" spans="1:8" x14ac:dyDescent="0.5">
      <c r="A10" s="25">
        <v>286</v>
      </c>
      <c r="B10" s="25">
        <v>375</v>
      </c>
      <c r="C10" s="19">
        <v>20</v>
      </c>
      <c r="D10" s="26">
        <v>152.5333</v>
      </c>
      <c r="E10" s="26">
        <v>76.266666666666666</v>
      </c>
      <c r="F10" s="19">
        <v>11</v>
      </c>
      <c r="G10" s="23">
        <v>22.671417954815698</v>
      </c>
      <c r="H10" s="23">
        <v>47.466700000000003</v>
      </c>
    </row>
    <row r="11" spans="1:8" x14ac:dyDescent="0.5">
      <c r="A11" s="27">
        <v>347</v>
      </c>
      <c r="B11" s="27">
        <v>375</v>
      </c>
      <c r="C11" s="20">
        <v>20</v>
      </c>
      <c r="D11" s="28">
        <v>185.0667</v>
      </c>
      <c r="E11" s="28">
        <v>92.533333333333331</v>
      </c>
      <c r="F11" s="20">
        <v>2</v>
      </c>
      <c r="G11" s="24">
        <v>27.854711017459358</v>
      </c>
      <c r="H11" s="24">
        <v>14.933300000000003</v>
      </c>
    </row>
    <row r="12" spans="1:8" x14ac:dyDescent="0.5">
      <c r="A12" s="25">
        <v>333</v>
      </c>
      <c r="B12" s="25">
        <v>375</v>
      </c>
      <c r="C12" s="19">
        <v>20</v>
      </c>
      <c r="D12" s="26">
        <v>177.6</v>
      </c>
      <c r="E12" s="26">
        <v>88.8</v>
      </c>
      <c r="F12" s="19">
        <v>6</v>
      </c>
      <c r="G12" s="23">
        <v>27.767354596622887</v>
      </c>
      <c r="H12" s="23">
        <v>22.400000000000006</v>
      </c>
    </row>
    <row r="13" spans="1:8" x14ac:dyDescent="0.5">
      <c r="A13" s="27">
        <v>307</v>
      </c>
      <c r="B13" s="27">
        <v>375</v>
      </c>
      <c r="C13" s="20">
        <v>20</v>
      </c>
      <c r="D13" s="28">
        <v>163.73330000000001</v>
      </c>
      <c r="E13" s="28">
        <v>81.86666666666666</v>
      </c>
      <c r="F13" s="20">
        <v>10</v>
      </c>
      <c r="G13" s="24">
        <v>25.981164709615996</v>
      </c>
      <c r="H13" s="24">
        <v>36.266699999999986</v>
      </c>
    </row>
    <row r="14" spans="1:8" x14ac:dyDescent="0.5">
      <c r="A14" s="25">
        <v>335</v>
      </c>
      <c r="B14" s="25">
        <v>375</v>
      </c>
      <c r="C14" s="19">
        <v>20</v>
      </c>
      <c r="D14" s="26">
        <v>178.66669999999999</v>
      </c>
      <c r="E14" s="26">
        <v>89.333333333333329</v>
      </c>
      <c r="F14" s="19">
        <v>5</v>
      </c>
      <c r="G14" s="23">
        <v>34.571729876160994</v>
      </c>
      <c r="H14" s="23">
        <v>21.333300000000008</v>
      </c>
    </row>
    <row r="15" spans="1:8" x14ac:dyDescent="0.5">
      <c r="A15" s="27">
        <v>315</v>
      </c>
      <c r="B15" s="27">
        <v>375</v>
      </c>
      <c r="C15" s="20">
        <v>20</v>
      </c>
      <c r="D15" s="28">
        <v>168</v>
      </c>
      <c r="E15" s="28">
        <v>84</v>
      </c>
      <c r="F15" s="20">
        <v>8</v>
      </c>
      <c r="G15" s="24">
        <v>35.398230088495573</v>
      </c>
      <c r="H15" s="24">
        <v>32</v>
      </c>
    </row>
    <row r="16" spans="1:8" x14ac:dyDescent="0.5">
      <c r="A16" s="25">
        <v>129</v>
      </c>
      <c r="B16" s="25">
        <v>375</v>
      </c>
      <c r="C16" s="19">
        <v>20</v>
      </c>
      <c r="D16" s="26">
        <v>68.8</v>
      </c>
      <c r="E16" s="26">
        <v>34.4</v>
      </c>
      <c r="F16" s="19">
        <v>13</v>
      </c>
      <c r="G16" s="23">
        <v>17.391304347826086</v>
      </c>
      <c r="H16" s="23">
        <v>131.19999999999999</v>
      </c>
    </row>
  </sheetData>
  <mergeCells count="1">
    <mergeCell ref="A1:H2"/>
  </mergeCells>
  <conditionalFormatting sqref="H4:H16">
    <cfRule type="colorScale" priority="1">
      <colorScale>
        <cfvo type="num" val="-50"/>
        <cfvo type="num" val="0"/>
        <cfvo type="num" val="5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595E-2DCC-4E03-91C3-D9FE3489AE34}">
  <dimension ref="A1:H16"/>
  <sheetViews>
    <sheetView workbookViewId="0">
      <selection sqref="A1:H2"/>
    </sheetView>
  </sheetViews>
  <sheetFormatPr defaultRowHeight="14.35" x14ac:dyDescent="0.5"/>
  <cols>
    <col min="1" max="1" width="6.76171875" bestFit="1" customWidth="1"/>
    <col min="2" max="2" width="10.3515625" bestFit="1" customWidth="1"/>
    <col min="3" max="3" width="9.05859375" bestFit="1" customWidth="1"/>
    <col min="4" max="4" width="11.1171875" bestFit="1" customWidth="1"/>
    <col min="5" max="5" width="15.3515625" bestFit="1" customWidth="1"/>
    <col min="6" max="6" width="7.41015625" bestFit="1" customWidth="1"/>
    <col min="7" max="7" width="12.41015625" bestFit="1" customWidth="1"/>
    <col min="8" max="8" width="8.8203125" bestFit="1" customWidth="1"/>
  </cols>
  <sheetData>
    <row r="1" spans="1:8" ht="18.350000000000001" customHeight="1" x14ac:dyDescent="0.5">
      <c r="A1" s="32" t="s">
        <v>23</v>
      </c>
      <c r="B1" s="32"/>
      <c r="C1" s="32"/>
      <c r="D1" s="32"/>
      <c r="E1" s="32"/>
      <c r="F1" s="32"/>
      <c r="G1" s="32"/>
      <c r="H1" s="32"/>
    </row>
    <row r="2" spans="1:8" x14ac:dyDescent="0.5">
      <c r="A2" s="33"/>
      <c r="B2" s="33"/>
      <c r="C2" s="33"/>
      <c r="D2" s="33"/>
      <c r="E2" s="33"/>
      <c r="F2" s="33"/>
      <c r="G2" s="33"/>
      <c r="H2" s="33"/>
    </row>
    <row r="3" spans="1:8" x14ac:dyDescent="0.5">
      <c r="A3" s="16" t="str" cm="1">
        <f t="array" ref="A3:H16">Table1[[#All],[AN Raw]:[AN Margin]]</f>
        <v>AN Raw</v>
      </c>
      <c r="B3" s="16" t="str">
        <v>AN Possible</v>
      </c>
      <c r="C3" s="16" t="str">
        <v>AN Weight</v>
      </c>
      <c r="D3" s="16" t="str">
        <v>AN Weighted</v>
      </c>
      <c r="E3" s="16" t="str">
        <v>AN Pct of Possible</v>
      </c>
      <c r="F3" s="16" t="str">
        <v>AN Rank</v>
      </c>
      <c r="G3" s="16" t="str">
        <v>AN Pct of Total</v>
      </c>
      <c r="H3" s="16" t="str">
        <v>AN Margin</v>
      </c>
    </row>
    <row r="4" spans="1:8" x14ac:dyDescent="0.5">
      <c r="A4" s="25">
        <v>136</v>
      </c>
      <c r="B4" s="25">
        <v>230</v>
      </c>
      <c r="C4" s="19">
        <v>15</v>
      </c>
      <c r="D4" s="26">
        <v>88.695700000000002</v>
      </c>
      <c r="E4" s="26">
        <v>59.130434782608695</v>
      </c>
      <c r="F4" s="19">
        <v>1</v>
      </c>
      <c r="G4" s="23">
        <v>10.110076370682776</v>
      </c>
      <c r="H4" s="23">
        <v>0</v>
      </c>
    </row>
    <row r="5" spans="1:8" x14ac:dyDescent="0.5">
      <c r="A5" s="27">
        <v>81</v>
      </c>
      <c r="B5" s="27">
        <v>230</v>
      </c>
      <c r="C5" s="20">
        <v>15</v>
      </c>
      <c r="D5" s="28">
        <v>52.826099999999997</v>
      </c>
      <c r="E5" s="28">
        <v>35.217391304347828</v>
      </c>
      <c r="F5" s="20">
        <v>11</v>
      </c>
      <c r="G5" s="24">
        <v>6.3447153495075659</v>
      </c>
      <c r="H5" s="24">
        <v>35.869600000000005</v>
      </c>
    </row>
    <row r="6" spans="1:8" x14ac:dyDescent="0.5">
      <c r="A6" s="25">
        <v>129</v>
      </c>
      <c r="B6" s="25">
        <v>230</v>
      </c>
      <c r="C6" s="19">
        <v>15</v>
      </c>
      <c r="D6" s="26">
        <v>84.130399999999995</v>
      </c>
      <c r="E6" s="26">
        <v>56.086956521739133</v>
      </c>
      <c r="F6" s="19">
        <v>4</v>
      </c>
      <c r="G6" s="23">
        <v>10.38262371961002</v>
      </c>
      <c r="H6" s="23">
        <v>4.5653000000000077</v>
      </c>
    </row>
    <row r="7" spans="1:8" x14ac:dyDescent="0.5">
      <c r="A7" s="27">
        <v>113</v>
      </c>
      <c r="B7" s="27">
        <v>230</v>
      </c>
      <c r="C7" s="20">
        <v>15</v>
      </c>
      <c r="D7" s="28">
        <v>73.695700000000002</v>
      </c>
      <c r="E7" s="28">
        <v>49.130434782608695</v>
      </c>
      <c r="F7" s="20">
        <v>7</v>
      </c>
      <c r="G7" s="24">
        <v>9.4059604339502236</v>
      </c>
      <c r="H7" s="24">
        <v>15</v>
      </c>
    </row>
    <row r="8" spans="1:8" x14ac:dyDescent="0.5">
      <c r="A8" s="25">
        <v>136</v>
      </c>
      <c r="B8" s="25">
        <v>230</v>
      </c>
      <c r="C8" s="19">
        <v>15</v>
      </c>
      <c r="D8" s="26">
        <v>88.695700000000002</v>
      </c>
      <c r="E8" s="26">
        <v>59.130434782608695</v>
      </c>
      <c r="F8" s="19">
        <v>1</v>
      </c>
      <c r="G8" s="23">
        <v>11.744663665254237</v>
      </c>
      <c r="H8" s="23">
        <v>0</v>
      </c>
    </row>
    <row r="9" spans="1:8" x14ac:dyDescent="0.5">
      <c r="A9" s="27">
        <v>133</v>
      </c>
      <c r="B9" s="27">
        <v>230</v>
      </c>
      <c r="C9" s="20">
        <v>15</v>
      </c>
      <c r="D9" s="28">
        <v>86.739099999999993</v>
      </c>
      <c r="E9" s="28">
        <v>57.826086956521742</v>
      </c>
      <c r="F9" s="20">
        <v>3</v>
      </c>
      <c r="G9" s="24">
        <v>11.862568380743982</v>
      </c>
      <c r="H9" s="24">
        <v>1.9566000000000088</v>
      </c>
    </row>
    <row r="10" spans="1:8" x14ac:dyDescent="0.5">
      <c r="A10" s="25">
        <v>115</v>
      </c>
      <c r="B10" s="25">
        <v>230</v>
      </c>
      <c r="C10" s="19">
        <v>15</v>
      </c>
      <c r="D10" s="26">
        <v>75</v>
      </c>
      <c r="E10" s="26">
        <v>50</v>
      </c>
      <c r="F10" s="19">
        <v>6</v>
      </c>
      <c r="G10" s="23">
        <v>11.147443519619502</v>
      </c>
      <c r="H10" s="23">
        <v>13.695700000000002</v>
      </c>
    </row>
    <row r="11" spans="1:8" x14ac:dyDescent="0.5">
      <c r="A11" s="27">
        <v>117</v>
      </c>
      <c r="B11" s="27">
        <v>230</v>
      </c>
      <c r="C11" s="20">
        <v>15</v>
      </c>
      <c r="D11" s="28">
        <v>76.304299999999998</v>
      </c>
      <c r="E11" s="28">
        <v>50.869565217391305</v>
      </c>
      <c r="F11" s="20">
        <v>5</v>
      </c>
      <c r="G11" s="24">
        <v>11.484692956050571</v>
      </c>
      <c r="H11" s="24">
        <v>12.391400000000004</v>
      </c>
    </row>
    <row r="12" spans="1:8" x14ac:dyDescent="0.5">
      <c r="A12" s="25">
        <v>103</v>
      </c>
      <c r="B12" s="25">
        <v>230</v>
      </c>
      <c r="C12" s="19">
        <v>15</v>
      </c>
      <c r="D12" s="26">
        <v>67.173900000000003</v>
      </c>
      <c r="E12" s="26">
        <v>44.782608695652172</v>
      </c>
      <c r="F12" s="19">
        <v>8</v>
      </c>
      <c r="G12" s="23">
        <v>10.502485928705442</v>
      </c>
      <c r="H12" s="23">
        <v>21.521799999999999</v>
      </c>
    </row>
    <row r="13" spans="1:8" x14ac:dyDescent="0.5">
      <c r="A13" s="27">
        <v>100</v>
      </c>
      <c r="B13" s="27">
        <v>230</v>
      </c>
      <c r="C13" s="20">
        <v>15</v>
      </c>
      <c r="D13" s="28">
        <v>65.217399999999998</v>
      </c>
      <c r="E13" s="28">
        <v>43.478260869565219</v>
      </c>
      <c r="F13" s="20">
        <v>9</v>
      </c>
      <c r="G13" s="24">
        <v>10.348682957791176</v>
      </c>
      <c r="H13" s="24">
        <v>23.478300000000004</v>
      </c>
    </row>
    <row r="14" spans="1:8" x14ac:dyDescent="0.5">
      <c r="A14" s="25">
        <v>80</v>
      </c>
      <c r="B14" s="25">
        <v>230</v>
      </c>
      <c r="C14" s="19">
        <v>15</v>
      </c>
      <c r="D14" s="26">
        <v>52.173900000000003</v>
      </c>
      <c r="E14" s="26">
        <v>34.782608695652172</v>
      </c>
      <c r="F14" s="19">
        <v>12</v>
      </c>
      <c r="G14" s="23">
        <v>10.095568885448918</v>
      </c>
      <c r="H14" s="23">
        <v>36.521799999999999</v>
      </c>
    </row>
    <row r="15" spans="1:8" x14ac:dyDescent="0.5">
      <c r="A15" s="27">
        <v>51</v>
      </c>
      <c r="B15" s="27">
        <v>230</v>
      </c>
      <c r="C15" s="20">
        <v>15</v>
      </c>
      <c r="D15" s="28">
        <v>33.260899999999999</v>
      </c>
      <c r="E15" s="28">
        <v>22.173913043478262</v>
      </c>
      <c r="F15" s="20">
        <v>13</v>
      </c>
      <c r="G15" s="24">
        <v>7.0081963758954906</v>
      </c>
      <c r="H15" s="24">
        <v>55.434800000000003</v>
      </c>
    </row>
    <row r="16" spans="1:8" x14ac:dyDescent="0.5">
      <c r="A16" s="25">
        <v>87</v>
      </c>
      <c r="B16" s="25">
        <v>230</v>
      </c>
      <c r="C16" s="19">
        <v>15</v>
      </c>
      <c r="D16" s="26">
        <v>56.739100000000001</v>
      </c>
      <c r="E16" s="26">
        <v>37.826086956521742</v>
      </c>
      <c r="F16" s="19">
        <v>10</v>
      </c>
      <c r="G16" s="23">
        <v>14.342542972699695</v>
      </c>
      <c r="H16" s="23">
        <v>31.956600000000002</v>
      </c>
    </row>
  </sheetData>
  <mergeCells count="1">
    <mergeCell ref="A1:H2"/>
  </mergeCells>
  <conditionalFormatting sqref="H4:H16">
    <cfRule type="colorScale" priority="1">
      <colorScale>
        <cfvo type="num" val="-50"/>
        <cfvo type="num" val="0"/>
        <cfvo type="num" val="5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6CFB-914D-4D0F-9059-BE6A897A6000}">
  <dimension ref="A1:H16"/>
  <sheetViews>
    <sheetView workbookViewId="0">
      <selection sqref="A1:H2"/>
    </sheetView>
  </sheetViews>
  <sheetFormatPr defaultRowHeight="14.35" x14ac:dyDescent="0.5"/>
  <cols>
    <col min="1" max="1" width="6.1171875" bestFit="1" customWidth="1"/>
    <col min="2" max="2" width="9.64453125" bestFit="1" customWidth="1"/>
    <col min="3" max="3" width="8.41015625" bestFit="1" customWidth="1"/>
    <col min="4" max="4" width="10.41015625" bestFit="1" customWidth="1"/>
    <col min="5" max="5" width="14.64453125" bestFit="1" customWidth="1"/>
    <col min="6" max="6" width="6.76171875" bestFit="1" customWidth="1"/>
    <col min="7" max="7" width="11.703125" bestFit="1" customWidth="1"/>
    <col min="8" max="8" width="8.1171875" bestFit="1" customWidth="1"/>
  </cols>
  <sheetData>
    <row r="1" spans="1:8" ht="18.350000000000001" customHeight="1" x14ac:dyDescent="0.5">
      <c r="A1" s="32" t="s">
        <v>24</v>
      </c>
      <c r="B1" s="32"/>
      <c r="C1" s="32"/>
      <c r="D1" s="32"/>
      <c r="E1" s="32"/>
      <c r="F1" s="32"/>
      <c r="G1" s="32"/>
      <c r="H1" s="32"/>
    </row>
    <row r="2" spans="1:8" ht="18.350000000000001" customHeight="1" x14ac:dyDescent="0.5">
      <c r="A2" s="33"/>
      <c r="B2" s="33"/>
      <c r="C2" s="33"/>
      <c r="D2" s="33"/>
      <c r="E2" s="33"/>
      <c r="F2" s="33"/>
      <c r="G2" s="33"/>
      <c r="H2" s="33"/>
    </row>
    <row r="3" spans="1:8" x14ac:dyDescent="0.5">
      <c r="A3" s="16" t="str" cm="1">
        <f t="array" ref="A3:H16">Table1[[#All],[IR Raw]:[IR Margin]]</f>
        <v>IR Raw</v>
      </c>
      <c r="B3" s="16" t="str">
        <v>IR Possible</v>
      </c>
      <c r="C3" s="16" t="str">
        <v>IR Weight</v>
      </c>
      <c r="D3" s="16" t="str">
        <v>IR Weighted</v>
      </c>
      <c r="E3" s="16" t="str">
        <v>IR Pct of Possible</v>
      </c>
      <c r="F3" s="16" t="str">
        <v>IR Rank</v>
      </c>
      <c r="G3" s="16" t="str">
        <v>IR Pct of Total</v>
      </c>
      <c r="H3" s="16" t="str">
        <v>IR Margin</v>
      </c>
    </row>
    <row r="4" spans="1:8" x14ac:dyDescent="0.5">
      <c r="A4" s="25">
        <v>58</v>
      </c>
      <c r="B4" s="25">
        <v>75</v>
      </c>
      <c r="C4" s="19">
        <v>5</v>
      </c>
      <c r="D4" s="26">
        <v>38.666699999999999</v>
      </c>
      <c r="E4" s="26">
        <v>77.333333333333329</v>
      </c>
      <c r="F4" s="19">
        <v>9</v>
      </c>
      <c r="G4" s="23">
        <v>4.4074660891371256</v>
      </c>
      <c r="H4" s="23">
        <v>0</v>
      </c>
    </row>
    <row r="5" spans="1:8" x14ac:dyDescent="0.5">
      <c r="A5" s="27">
        <v>71</v>
      </c>
      <c r="B5" s="27">
        <v>75</v>
      </c>
      <c r="C5" s="20">
        <v>5</v>
      </c>
      <c r="D5" s="28">
        <v>47.333300000000001</v>
      </c>
      <c r="E5" s="28">
        <v>94.666666666666671</v>
      </c>
      <c r="F5" s="20">
        <v>4</v>
      </c>
      <c r="G5" s="24">
        <v>5.6849987989430693</v>
      </c>
      <c r="H5" s="24">
        <v>-8.6666000000000025</v>
      </c>
    </row>
    <row r="6" spans="1:8" x14ac:dyDescent="0.5">
      <c r="A6" s="25">
        <v>67</v>
      </c>
      <c r="B6" s="25">
        <v>75</v>
      </c>
      <c r="C6" s="19">
        <v>5</v>
      </c>
      <c r="D6" s="26">
        <v>44.666699999999999</v>
      </c>
      <c r="E6" s="26">
        <v>89.333333333333329</v>
      </c>
      <c r="F6" s="19">
        <v>7</v>
      </c>
      <c r="G6" s="23">
        <v>5.5123657904479826</v>
      </c>
      <c r="H6" s="23">
        <v>-6</v>
      </c>
    </row>
    <row r="7" spans="1:8" x14ac:dyDescent="0.5">
      <c r="A7" s="27">
        <v>50</v>
      </c>
      <c r="B7" s="27">
        <v>75</v>
      </c>
      <c r="C7" s="20">
        <v>5</v>
      </c>
      <c r="D7" s="28">
        <v>33.333300000000001</v>
      </c>
      <c r="E7" s="28">
        <v>66.666666666666671</v>
      </c>
      <c r="F7" s="20">
        <v>11</v>
      </c>
      <c r="G7" s="24">
        <v>4.2544097000638157</v>
      </c>
      <c r="H7" s="24">
        <v>5.3333999999999975</v>
      </c>
    </row>
    <row r="8" spans="1:8" x14ac:dyDescent="0.5">
      <c r="A8" s="25">
        <v>75</v>
      </c>
      <c r="B8" s="25">
        <v>75</v>
      </c>
      <c r="C8" s="19">
        <v>5</v>
      </c>
      <c r="D8" s="26">
        <v>50</v>
      </c>
      <c r="E8" s="26">
        <v>100</v>
      </c>
      <c r="F8" s="19">
        <v>1</v>
      </c>
      <c r="G8" s="23">
        <v>6.6207627118644066</v>
      </c>
      <c r="H8" s="23">
        <v>-11.333300000000001</v>
      </c>
    </row>
    <row r="9" spans="1:8" x14ac:dyDescent="0.5">
      <c r="A9" s="27">
        <v>75</v>
      </c>
      <c r="B9" s="27">
        <v>75</v>
      </c>
      <c r="C9" s="20">
        <v>5</v>
      </c>
      <c r="D9" s="28">
        <v>50</v>
      </c>
      <c r="E9" s="28">
        <v>100</v>
      </c>
      <c r="F9" s="20">
        <v>1</v>
      </c>
      <c r="G9" s="24">
        <v>6.8380743982494527</v>
      </c>
      <c r="H9" s="24">
        <v>-11.333300000000001</v>
      </c>
    </row>
    <row r="10" spans="1:8" x14ac:dyDescent="0.5">
      <c r="A10" s="25">
        <v>68</v>
      </c>
      <c r="B10" s="25">
        <v>75</v>
      </c>
      <c r="C10" s="19">
        <v>5</v>
      </c>
      <c r="D10" s="26">
        <v>45.333300000000001</v>
      </c>
      <c r="E10" s="26">
        <v>90.666666666666671</v>
      </c>
      <c r="F10" s="19">
        <v>6</v>
      </c>
      <c r="G10" s="23">
        <v>6.7380053507728901</v>
      </c>
      <c r="H10" s="23">
        <v>-6.6666000000000025</v>
      </c>
    </row>
    <row r="11" spans="1:8" x14ac:dyDescent="0.5">
      <c r="A11" s="27">
        <v>75</v>
      </c>
      <c r="B11" s="27">
        <v>75</v>
      </c>
      <c r="C11" s="20">
        <v>5</v>
      </c>
      <c r="D11" s="28">
        <v>50</v>
      </c>
      <c r="E11" s="28">
        <v>100</v>
      </c>
      <c r="F11" s="20">
        <v>1</v>
      </c>
      <c r="G11" s="24">
        <v>7.5255869957856714</v>
      </c>
      <c r="H11" s="24">
        <v>-11.333300000000001</v>
      </c>
    </row>
    <row r="12" spans="1:8" x14ac:dyDescent="0.5">
      <c r="A12" s="25">
        <v>53</v>
      </c>
      <c r="B12" s="25">
        <v>75</v>
      </c>
      <c r="C12" s="19">
        <v>5</v>
      </c>
      <c r="D12" s="26">
        <v>35.333300000000001</v>
      </c>
      <c r="E12" s="26">
        <v>70.666666666666671</v>
      </c>
      <c r="F12" s="19">
        <v>10</v>
      </c>
      <c r="G12" s="23">
        <v>5.5242808005003123</v>
      </c>
      <c r="H12" s="23">
        <v>3.3333999999999975</v>
      </c>
    </row>
    <row r="13" spans="1:8" x14ac:dyDescent="0.5">
      <c r="A13" s="27">
        <v>71</v>
      </c>
      <c r="B13" s="27">
        <v>75</v>
      </c>
      <c r="C13" s="20">
        <v>5</v>
      </c>
      <c r="D13" s="28">
        <v>47.333300000000001</v>
      </c>
      <c r="E13" s="28">
        <v>94.666666666666671</v>
      </c>
      <c r="F13" s="20">
        <v>4</v>
      </c>
      <c r="G13" s="24">
        <v>7.5108378292605513</v>
      </c>
      <c r="H13" s="24">
        <v>-8.6666000000000025</v>
      </c>
    </row>
    <row r="14" spans="1:8" x14ac:dyDescent="0.5">
      <c r="A14" s="25">
        <v>60</v>
      </c>
      <c r="B14" s="25">
        <v>75</v>
      </c>
      <c r="C14" s="19">
        <v>5</v>
      </c>
      <c r="D14" s="26">
        <v>40</v>
      </c>
      <c r="E14" s="26">
        <v>80</v>
      </c>
      <c r="F14" s="19">
        <v>8</v>
      </c>
      <c r="G14" s="23">
        <v>7.7399380804953566</v>
      </c>
      <c r="H14" s="23">
        <v>-1.3333000000000013</v>
      </c>
    </row>
    <row r="15" spans="1:8" x14ac:dyDescent="0.5">
      <c r="A15" s="27">
        <v>0</v>
      </c>
      <c r="B15" s="27">
        <v>75</v>
      </c>
      <c r="C15" s="20">
        <v>5</v>
      </c>
      <c r="D15" s="28">
        <v>0</v>
      </c>
      <c r="E15" s="28">
        <v>0</v>
      </c>
      <c r="F15" s="20">
        <v>13</v>
      </c>
      <c r="G15" s="24">
        <v>0</v>
      </c>
      <c r="H15" s="24">
        <v>38.666699999999999</v>
      </c>
    </row>
    <row r="16" spans="1:8" x14ac:dyDescent="0.5">
      <c r="A16" s="25">
        <v>20</v>
      </c>
      <c r="B16" s="25">
        <v>75</v>
      </c>
      <c r="C16" s="19">
        <v>5</v>
      </c>
      <c r="D16" s="26">
        <v>13.333299999999999</v>
      </c>
      <c r="E16" s="26">
        <v>26.666666666666668</v>
      </c>
      <c r="F16" s="19">
        <v>12</v>
      </c>
      <c r="G16" s="23">
        <v>3.3703993933265921</v>
      </c>
      <c r="H16" s="23">
        <v>25.333399999999997</v>
      </c>
    </row>
  </sheetData>
  <mergeCells count="1">
    <mergeCell ref="A1:H2"/>
  </mergeCells>
  <conditionalFormatting sqref="H4:H16">
    <cfRule type="colorScale" priority="1">
      <colorScale>
        <cfvo type="num" val="-50"/>
        <cfvo type="percentile" val="0"/>
        <cfvo type="num" val="5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D296-57BC-4EA3-86E0-316E0E21620A}">
  <dimension ref="A1:Q16"/>
  <sheetViews>
    <sheetView workbookViewId="0">
      <selection sqref="A1:H2"/>
    </sheetView>
  </sheetViews>
  <sheetFormatPr defaultRowHeight="14.35" x14ac:dyDescent="0.5"/>
  <cols>
    <col min="1" max="1" width="7.3515625" bestFit="1" customWidth="1"/>
    <col min="2" max="2" width="10.87890625" bestFit="1" customWidth="1"/>
    <col min="3" max="3" width="9.64453125" bestFit="1" customWidth="1"/>
    <col min="4" max="4" width="11.64453125" bestFit="1" customWidth="1"/>
    <col min="5" max="5" width="15.87890625" bestFit="1" customWidth="1"/>
    <col min="6" max="6" width="8" bestFit="1" customWidth="1"/>
    <col min="7" max="7" width="13" bestFit="1" customWidth="1"/>
    <col min="8" max="8" width="9.3515625" bestFit="1" customWidth="1"/>
    <col min="10" max="10" width="6.9375" bestFit="1" customWidth="1"/>
    <col min="11" max="11" width="10.46875" bestFit="1" customWidth="1"/>
    <col min="12" max="12" width="9.234375" bestFit="1" customWidth="1"/>
    <col min="13" max="13" width="11.29296875" bestFit="1" customWidth="1"/>
    <col min="14" max="14" width="15.52734375" bestFit="1" customWidth="1"/>
    <col min="15" max="15" width="7.5859375" bestFit="1" customWidth="1"/>
    <col min="16" max="16" width="12.52734375" bestFit="1" customWidth="1"/>
  </cols>
  <sheetData>
    <row r="1" spans="1:17" ht="18.350000000000001" customHeight="1" x14ac:dyDescent="0.5">
      <c r="A1" s="32" t="s">
        <v>25</v>
      </c>
      <c r="B1" s="32"/>
      <c r="C1" s="32"/>
      <c r="D1" s="32"/>
      <c r="E1" s="32"/>
      <c r="F1" s="32"/>
      <c r="G1" s="32"/>
      <c r="H1" s="32"/>
      <c r="J1" s="32" t="s">
        <v>120</v>
      </c>
      <c r="K1" s="32"/>
      <c r="L1" s="32"/>
      <c r="M1" s="32"/>
      <c r="N1" s="32"/>
      <c r="O1" s="32"/>
      <c r="P1" s="32"/>
      <c r="Q1" s="32"/>
    </row>
    <row r="2" spans="1:17" x14ac:dyDescent="0.5">
      <c r="A2" s="33"/>
      <c r="B2" s="33"/>
      <c r="C2" s="33"/>
      <c r="D2" s="33"/>
      <c r="E2" s="33"/>
      <c r="F2" s="33"/>
      <c r="G2" s="33"/>
      <c r="H2" s="33"/>
      <c r="J2" s="33"/>
      <c r="K2" s="33"/>
      <c r="L2" s="33"/>
      <c r="M2" s="33"/>
      <c r="N2" s="33"/>
      <c r="O2" s="33"/>
      <c r="P2" s="33"/>
      <c r="Q2" s="33"/>
    </row>
    <row r="3" spans="1:17" x14ac:dyDescent="0.5">
      <c r="A3" s="16" t="str" cm="1">
        <f t="array" ref="A3:H16">Table1[[#All],[WD Raw]:[WD Margin]]</f>
        <v>WD Raw</v>
      </c>
      <c r="B3" s="16" t="str">
        <v>WD Possible</v>
      </c>
      <c r="C3" s="16" t="str">
        <v>WD Weight</v>
      </c>
      <c r="D3" s="16" t="str">
        <v>WD Weighted</v>
      </c>
      <c r="E3" s="16" t="str">
        <v>WD Pct of Possible</v>
      </c>
      <c r="F3" s="16" t="str">
        <v>WD Rank</v>
      </c>
      <c r="G3" s="16" t="str">
        <v>WD Pct of Total</v>
      </c>
      <c r="H3" s="16" t="str">
        <v>WD Margin</v>
      </c>
      <c r="J3" s="16" t="str" cm="1">
        <f t="array" ref="J3:Q16">Table1[[#All],[GD Raw]:[GD Margin]]</f>
        <v>GD Raw</v>
      </c>
      <c r="K3" s="16" t="str">
        <v>GD Possible</v>
      </c>
      <c r="L3" s="16" t="str">
        <v>GD Weight</v>
      </c>
      <c r="M3" s="16" t="str">
        <v>GD Weighted</v>
      </c>
      <c r="N3" s="16" t="str">
        <v>GD Pct of Possible</v>
      </c>
      <c r="O3" s="16" t="str">
        <v>GD Rank</v>
      </c>
      <c r="P3" s="16" t="str">
        <v>GD Pct of Total</v>
      </c>
      <c r="Q3" s="16" t="str">
        <v>GD Margin</v>
      </c>
    </row>
    <row r="4" spans="1:17" x14ac:dyDescent="0.5">
      <c r="A4" s="25">
        <v>95</v>
      </c>
      <c r="B4" s="25">
        <v>100</v>
      </c>
      <c r="C4" s="19">
        <v>5</v>
      </c>
      <c r="D4" s="26">
        <v>47.5</v>
      </c>
      <c r="E4" s="26">
        <v>95</v>
      </c>
      <c r="F4" s="19">
        <v>6</v>
      </c>
      <c r="G4" s="23">
        <v>5.414339450587029</v>
      </c>
      <c r="H4" s="23">
        <v>0</v>
      </c>
      <c r="J4" s="25">
        <v>95</v>
      </c>
      <c r="K4" s="25">
        <v>100</v>
      </c>
      <c r="L4" s="19">
        <v>5</v>
      </c>
      <c r="M4" s="26">
        <v>47.5</v>
      </c>
      <c r="N4" s="26">
        <v>95</v>
      </c>
      <c r="O4" s="19">
        <v>4</v>
      </c>
      <c r="P4" s="23">
        <v>5.414339450587029</v>
      </c>
      <c r="Q4" s="23">
        <v>0</v>
      </c>
    </row>
    <row r="5" spans="1:17" x14ac:dyDescent="0.5">
      <c r="A5" s="27">
        <v>100</v>
      </c>
      <c r="B5" s="27">
        <v>100</v>
      </c>
      <c r="C5" s="20">
        <v>5</v>
      </c>
      <c r="D5" s="28">
        <v>50</v>
      </c>
      <c r="E5" s="28">
        <v>100</v>
      </c>
      <c r="F5" s="20">
        <v>1</v>
      </c>
      <c r="G5" s="24">
        <v>6.0052846504924329</v>
      </c>
      <c r="H5" s="24">
        <v>-2.5</v>
      </c>
      <c r="J5" s="27">
        <v>97</v>
      </c>
      <c r="K5" s="27">
        <v>100</v>
      </c>
      <c r="L5" s="20">
        <v>5</v>
      </c>
      <c r="M5" s="28">
        <v>48.5</v>
      </c>
      <c r="N5" s="28">
        <v>97</v>
      </c>
      <c r="O5" s="20">
        <v>2</v>
      </c>
      <c r="P5" s="24">
        <v>5.82512611097766</v>
      </c>
      <c r="Q5" s="24">
        <v>-1</v>
      </c>
    </row>
    <row r="6" spans="1:17" x14ac:dyDescent="0.5">
      <c r="A6" s="25">
        <v>100</v>
      </c>
      <c r="B6" s="25">
        <v>100</v>
      </c>
      <c r="C6" s="19">
        <v>5</v>
      </c>
      <c r="D6" s="26">
        <v>50</v>
      </c>
      <c r="E6" s="26">
        <v>100</v>
      </c>
      <c r="F6" s="19">
        <v>1</v>
      </c>
      <c r="G6" s="23">
        <v>6.1705541157595958</v>
      </c>
      <c r="H6" s="23">
        <v>-2.5</v>
      </c>
      <c r="J6" s="25">
        <v>87</v>
      </c>
      <c r="K6" s="25">
        <v>100</v>
      </c>
      <c r="L6" s="19">
        <v>5</v>
      </c>
      <c r="M6" s="26">
        <v>43.5</v>
      </c>
      <c r="N6" s="26">
        <v>87</v>
      </c>
      <c r="O6" s="19">
        <v>7</v>
      </c>
      <c r="P6" s="23">
        <v>5.3683820807108482</v>
      </c>
      <c r="Q6" s="23">
        <v>4</v>
      </c>
    </row>
    <row r="7" spans="1:17" x14ac:dyDescent="0.5">
      <c r="A7" s="27">
        <v>67</v>
      </c>
      <c r="B7" s="27">
        <v>100</v>
      </c>
      <c r="C7" s="20">
        <v>5</v>
      </c>
      <c r="D7" s="28">
        <v>33.5</v>
      </c>
      <c r="E7" s="28">
        <v>67</v>
      </c>
      <c r="F7" s="20">
        <v>10</v>
      </c>
      <c r="G7" s="24">
        <v>4.2756860242501595</v>
      </c>
      <c r="H7" s="24">
        <v>14</v>
      </c>
      <c r="J7" s="27">
        <v>67</v>
      </c>
      <c r="K7" s="27">
        <v>100</v>
      </c>
      <c r="L7" s="20">
        <v>5</v>
      </c>
      <c r="M7" s="28">
        <v>33.5</v>
      </c>
      <c r="N7" s="28">
        <v>67</v>
      </c>
      <c r="O7" s="20">
        <v>9</v>
      </c>
      <c r="P7" s="24">
        <v>4.2756860242501595</v>
      </c>
      <c r="Q7" s="24">
        <v>14</v>
      </c>
    </row>
    <row r="8" spans="1:17" x14ac:dyDescent="0.5">
      <c r="A8" s="25">
        <v>100</v>
      </c>
      <c r="B8" s="25">
        <v>100</v>
      </c>
      <c r="C8" s="19">
        <v>5</v>
      </c>
      <c r="D8" s="26">
        <v>50</v>
      </c>
      <c r="E8" s="26">
        <v>100</v>
      </c>
      <c r="F8" s="19">
        <v>1</v>
      </c>
      <c r="G8" s="23">
        <v>6.6207627118644066</v>
      </c>
      <c r="H8" s="23">
        <v>-2.5</v>
      </c>
      <c r="J8" s="25">
        <v>98</v>
      </c>
      <c r="K8" s="25">
        <v>100</v>
      </c>
      <c r="L8" s="19">
        <v>5</v>
      </c>
      <c r="M8" s="26">
        <v>49</v>
      </c>
      <c r="N8" s="26">
        <v>98</v>
      </c>
      <c r="O8" s="19">
        <v>1</v>
      </c>
      <c r="P8" s="23">
        <v>6.4883474576271185</v>
      </c>
      <c r="Q8" s="23">
        <v>-1.5</v>
      </c>
    </row>
    <row r="9" spans="1:17" x14ac:dyDescent="0.5">
      <c r="A9" s="27">
        <v>100</v>
      </c>
      <c r="B9" s="27">
        <v>100</v>
      </c>
      <c r="C9" s="20">
        <v>5</v>
      </c>
      <c r="D9" s="28">
        <v>50</v>
      </c>
      <c r="E9" s="28">
        <v>100</v>
      </c>
      <c r="F9" s="20">
        <v>1</v>
      </c>
      <c r="G9" s="24">
        <v>6.8380743982494527</v>
      </c>
      <c r="H9" s="24">
        <v>-2.5</v>
      </c>
      <c r="J9" s="27">
        <v>96</v>
      </c>
      <c r="K9" s="27">
        <v>100</v>
      </c>
      <c r="L9" s="20">
        <v>5</v>
      </c>
      <c r="M9" s="28">
        <v>48</v>
      </c>
      <c r="N9" s="28">
        <v>96</v>
      </c>
      <c r="O9" s="20">
        <v>3</v>
      </c>
      <c r="P9" s="24">
        <v>6.5645514223194743</v>
      </c>
      <c r="Q9" s="24">
        <v>-0.5</v>
      </c>
    </row>
    <row r="10" spans="1:17" x14ac:dyDescent="0.5">
      <c r="A10" s="25">
        <v>95</v>
      </c>
      <c r="B10" s="25">
        <v>100</v>
      </c>
      <c r="C10" s="19">
        <v>5</v>
      </c>
      <c r="D10" s="26">
        <v>47.5</v>
      </c>
      <c r="E10" s="26">
        <v>95</v>
      </c>
      <c r="F10" s="19">
        <v>6</v>
      </c>
      <c r="G10" s="23">
        <v>7.0600475624256838</v>
      </c>
      <c r="H10" s="23">
        <v>0</v>
      </c>
      <c r="J10" s="25">
        <v>92</v>
      </c>
      <c r="K10" s="25">
        <v>100</v>
      </c>
      <c r="L10" s="19">
        <v>5</v>
      </c>
      <c r="M10" s="26">
        <v>46</v>
      </c>
      <c r="N10" s="26">
        <v>92</v>
      </c>
      <c r="O10" s="19">
        <v>5</v>
      </c>
      <c r="P10" s="23">
        <v>6.8370986920332939</v>
      </c>
      <c r="Q10" s="23">
        <v>1.5</v>
      </c>
    </row>
    <row r="11" spans="1:17" x14ac:dyDescent="0.5">
      <c r="A11" s="27">
        <v>100</v>
      </c>
      <c r="B11" s="27">
        <v>100</v>
      </c>
      <c r="C11" s="20">
        <v>5</v>
      </c>
      <c r="D11" s="28">
        <v>50</v>
      </c>
      <c r="E11" s="28">
        <v>100</v>
      </c>
      <c r="F11" s="20">
        <v>1</v>
      </c>
      <c r="G11" s="24">
        <v>7.5255869957856714</v>
      </c>
      <c r="H11" s="24">
        <v>-2.5</v>
      </c>
      <c r="J11" s="27">
        <v>69</v>
      </c>
      <c r="K11" s="27">
        <v>100</v>
      </c>
      <c r="L11" s="20">
        <v>5</v>
      </c>
      <c r="M11" s="28">
        <v>34.5</v>
      </c>
      <c r="N11" s="28">
        <v>69</v>
      </c>
      <c r="O11" s="20">
        <v>8</v>
      </c>
      <c r="P11" s="24">
        <v>5.1926550270921137</v>
      </c>
      <c r="Q11" s="24">
        <v>13</v>
      </c>
    </row>
    <row r="12" spans="1:17" x14ac:dyDescent="0.5">
      <c r="A12" s="25">
        <v>35</v>
      </c>
      <c r="B12" s="25">
        <v>100</v>
      </c>
      <c r="C12" s="19">
        <v>5</v>
      </c>
      <c r="D12" s="26">
        <v>17.5</v>
      </c>
      <c r="E12" s="26">
        <v>35</v>
      </c>
      <c r="F12" s="19">
        <v>11</v>
      </c>
      <c r="G12" s="23">
        <v>2.7360850531582237</v>
      </c>
      <c r="H12" s="23">
        <v>30</v>
      </c>
      <c r="J12" s="25">
        <v>51</v>
      </c>
      <c r="K12" s="25">
        <v>100</v>
      </c>
      <c r="L12" s="19">
        <v>5</v>
      </c>
      <c r="M12" s="26">
        <v>25.5</v>
      </c>
      <c r="N12" s="26">
        <v>51</v>
      </c>
      <c r="O12" s="19">
        <v>11</v>
      </c>
      <c r="P12" s="23">
        <v>3.9868667917448404</v>
      </c>
      <c r="Q12" s="23">
        <v>22</v>
      </c>
    </row>
    <row r="13" spans="1:17" x14ac:dyDescent="0.5">
      <c r="A13" s="27">
        <v>80</v>
      </c>
      <c r="B13" s="27">
        <v>100</v>
      </c>
      <c r="C13" s="20">
        <v>5</v>
      </c>
      <c r="D13" s="28">
        <v>40</v>
      </c>
      <c r="E13" s="28">
        <v>80</v>
      </c>
      <c r="F13" s="20">
        <v>8</v>
      </c>
      <c r="G13" s="24">
        <v>6.3471913678197396</v>
      </c>
      <c r="H13" s="24">
        <v>7.5</v>
      </c>
      <c r="J13" s="27">
        <v>88</v>
      </c>
      <c r="K13" s="27">
        <v>100</v>
      </c>
      <c r="L13" s="20">
        <v>5</v>
      </c>
      <c r="M13" s="28">
        <v>44</v>
      </c>
      <c r="N13" s="28">
        <v>88</v>
      </c>
      <c r="O13" s="20">
        <v>6</v>
      </c>
      <c r="P13" s="24">
        <v>6.9819105046017134</v>
      </c>
      <c r="Q13" s="24">
        <v>3.5</v>
      </c>
    </row>
    <row r="14" spans="1:17" x14ac:dyDescent="0.5">
      <c r="A14" s="25">
        <v>28</v>
      </c>
      <c r="B14" s="25">
        <v>100</v>
      </c>
      <c r="C14" s="19">
        <v>5</v>
      </c>
      <c r="D14" s="26">
        <v>14</v>
      </c>
      <c r="E14" s="26">
        <v>28</v>
      </c>
      <c r="F14" s="19">
        <v>12</v>
      </c>
      <c r="G14" s="23">
        <v>2.7089783281733748</v>
      </c>
      <c r="H14" s="23">
        <v>33.5</v>
      </c>
      <c r="J14" s="25">
        <v>55</v>
      </c>
      <c r="K14" s="25">
        <v>100</v>
      </c>
      <c r="L14" s="19">
        <v>5</v>
      </c>
      <c r="M14" s="26">
        <v>27.5</v>
      </c>
      <c r="N14" s="26">
        <v>55</v>
      </c>
      <c r="O14" s="19">
        <v>10</v>
      </c>
      <c r="P14" s="23">
        <v>5.3212074303405581</v>
      </c>
      <c r="Q14" s="23">
        <v>20</v>
      </c>
    </row>
    <row r="15" spans="1:17" x14ac:dyDescent="0.5">
      <c r="A15" s="27">
        <v>80</v>
      </c>
      <c r="B15" s="27">
        <v>100</v>
      </c>
      <c r="C15" s="20">
        <v>5</v>
      </c>
      <c r="D15" s="28">
        <v>40</v>
      </c>
      <c r="E15" s="28">
        <v>80</v>
      </c>
      <c r="F15" s="20">
        <v>8</v>
      </c>
      <c r="G15" s="24">
        <v>8.4281500210703744</v>
      </c>
      <c r="H15" s="24">
        <v>7.5</v>
      </c>
      <c r="J15" s="27">
        <v>45</v>
      </c>
      <c r="K15" s="27">
        <v>100</v>
      </c>
      <c r="L15" s="20">
        <v>5</v>
      </c>
      <c r="M15" s="28">
        <v>22.5</v>
      </c>
      <c r="N15" s="28">
        <v>45</v>
      </c>
      <c r="O15" s="20">
        <v>12</v>
      </c>
      <c r="P15" s="24">
        <v>4.7408343868520859</v>
      </c>
      <c r="Q15" s="24">
        <v>25</v>
      </c>
    </row>
    <row r="16" spans="1:17" x14ac:dyDescent="0.5">
      <c r="A16" s="25">
        <v>0</v>
      </c>
      <c r="B16" s="25">
        <v>100</v>
      </c>
      <c r="C16" s="19">
        <v>5</v>
      </c>
      <c r="D16" s="26">
        <v>0</v>
      </c>
      <c r="E16" s="26">
        <v>0</v>
      </c>
      <c r="F16" s="19">
        <v>13</v>
      </c>
      <c r="G16" s="23">
        <v>0</v>
      </c>
      <c r="H16" s="23">
        <v>47.5</v>
      </c>
      <c r="J16" s="25">
        <v>0</v>
      </c>
      <c r="K16" s="25">
        <v>100</v>
      </c>
      <c r="L16" s="19">
        <v>5</v>
      </c>
      <c r="M16" s="26">
        <v>0</v>
      </c>
      <c r="N16" s="26">
        <v>0</v>
      </c>
      <c r="O16" s="19">
        <v>13</v>
      </c>
      <c r="P16" s="23">
        <v>0</v>
      </c>
      <c r="Q16" s="23">
        <v>47.5</v>
      </c>
    </row>
  </sheetData>
  <mergeCells count="2">
    <mergeCell ref="J1:Q2"/>
    <mergeCell ref="A1:H2"/>
  </mergeCells>
  <conditionalFormatting sqref="H4:H16">
    <cfRule type="colorScale" priority="2">
      <colorScale>
        <cfvo type="num" val="-50"/>
        <cfvo type="num" val="0"/>
        <cfvo type="num" val="50"/>
        <color rgb="FFF8696B"/>
        <color rgb="FFFFEB84"/>
        <color rgb="FF63BE7B"/>
      </colorScale>
    </cfRule>
  </conditionalFormatting>
  <conditionalFormatting sqref="Q4:Q16">
    <cfRule type="colorScale" priority="1">
      <colorScale>
        <cfvo type="num" val="-50"/>
        <cfvo type="num" val="0"/>
        <cfvo type="num" val="5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FF85-606C-404E-84D6-0ED8F45D2970}">
  <dimension ref="A1:H16"/>
  <sheetViews>
    <sheetView workbookViewId="0">
      <selection sqref="A1:H2"/>
    </sheetView>
  </sheetViews>
  <sheetFormatPr defaultRowHeight="14.35" x14ac:dyDescent="0.5"/>
  <cols>
    <col min="1" max="1" width="6.46875" bestFit="1" customWidth="1"/>
    <col min="2" max="2" width="10" bestFit="1" customWidth="1"/>
    <col min="3" max="3" width="8.76171875" bestFit="1" customWidth="1"/>
    <col min="4" max="4" width="10.8203125" bestFit="1" customWidth="1"/>
    <col min="5" max="5" width="15.05859375" bestFit="1" customWidth="1"/>
    <col min="6" max="6" width="7.1171875" bestFit="1" customWidth="1"/>
    <col min="7" max="7" width="12.05859375" customWidth="1"/>
    <col min="8" max="8" width="8.46875" bestFit="1" customWidth="1"/>
  </cols>
  <sheetData>
    <row r="1" spans="1:8" ht="18.350000000000001" customHeight="1" x14ac:dyDescent="0.5">
      <c r="A1" s="32" t="s">
        <v>111</v>
      </c>
      <c r="B1" s="32"/>
      <c r="C1" s="32"/>
      <c r="D1" s="32"/>
      <c r="E1" s="32"/>
      <c r="F1" s="32"/>
      <c r="G1" s="32"/>
      <c r="H1" s="32"/>
    </row>
    <row r="2" spans="1:8" x14ac:dyDescent="0.5">
      <c r="A2" s="33"/>
      <c r="B2" s="33"/>
      <c r="C2" s="33"/>
      <c r="D2" s="33"/>
      <c r="E2" s="33"/>
      <c r="F2" s="33"/>
      <c r="G2" s="33"/>
      <c r="H2" s="33"/>
    </row>
    <row r="3" spans="1:8" x14ac:dyDescent="0.5">
      <c r="A3" s="16" t="str" cm="1">
        <f t="array" ref="A3:H16">Table1[[#All],[RT Raw]:[RT Margin]]</f>
        <v>RT Raw</v>
      </c>
      <c r="B3" s="16" t="str">
        <v>RT Possible</v>
      </c>
      <c r="C3" s="16" t="str">
        <v>RT Weight</v>
      </c>
      <c r="D3" s="16" t="str">
        <v>RT Weighted</v>
      </c>
      <c r="E3" s="16" t="str">
        <v>RT Pct of Possible</v>
      </c>
      <c r="F3" s="16" t="str">
        <v>RT Rank</v>
      </c>
      <c r="G3" s="16" t="str">
        <v>RT Pct of Total</v>
      </c>
      <c r="H3" s="16" t="str">
        <v>RT Margin</v>
      </c>
    </row>
    <row r="4" spans="1:8" x14ac:dyDescent="0.5">
      <c r="A4" s="25">
        <v>230</v>
      </c>
      <c r="B4" s="25">
        <v>250</v>
      </c>
      <c r="C4" s="19">
        <v>10</v>
      </c>
      <c r="D4" s="26">
        <v>92</v>
      </c>
      <c r="E4" s="26">
        <v>92</v>
      </c>
      <c r="F4" s="19">
        <v>1</v>
      </c>
      <c r="G4" s="23">
        <v>10.48672062008435</v>
      </c>
      <c r="H4" s="23">
        <v>0</v>
      </c>
    </row>
    <row r="5" spans="1:8" x14ac:dyDescent="0.5">
      <c r="A5" s="27">
        <v>210</v>
      </c>
      <c r="B5" s="27">
        <v>250</v>
      </c>
      <c r="C5" s="20">
        <v>10</v>
      </c>
      <c r="D5" s="28">
        <v>84</v>
      </c>
      <c r="E5" s="28">
        <v>84</v>
      </c>
      <c r="F5" s="20">
        <v>3</v>
      </c>
      <c r="G5" s="24">
        <v>10.088878212827288</v>
      </c>
      <c r="H5" s="24">
        <v>8</v>
      </c>
    </row>
    <row r="6" spans="1:8" x14ac:dyDescent="0.5">
      <c r="A6" s="25">
        <v>210</v>
      </c>
      <c r="B6" s="25">
        <v>250</v>
      </c>
      <c r="C6" s="19">
        <v>10</v>
      </c>
      <c r="D6" s="26">
        <v>84</v>
      </c>
      <c r="E6" s="26">
        <v>84</v>
      </c>
      <c r="F6" s="19">
        <v>3</v>
      </c>
      <c r="G6" s="23">
        <v>10.366530914476121</v>
      </c>
      <c r="H6" s="23">
        <v>8</v>
      </c>
    </row>
    <row r="7" spans="1:8" x14ac:dyDescent="0.5">
      <c r="A7" s="27">
        <v>210</v>
      </c>
      <c r="B7" s="27">
        <v>250</v>
      </c>
      <c r="C7" s="20">
        <v>10</v>
      </c>
      <c r="D7" s="28">
        <v>84</v>
      </c>
      <c r="E7" s="28">
        <v>84</v>
      </c>
      <c r="F7" s="20">
        <v>3</v>
      </c>
      <c r="G7" s="24">
        <v>10.721123165283982</v>
      </c>
      <c r="H7" s="24">
        <v>8</v>
      </c>
    </row>
    <row r="8" spans="1:8" x14ac:dyDescent="0.5">
      <c r="A8" s="25">
        <v>150</v>
      </c>
      <c r="B8" s="25">
        <v>250</v>
      </c>
      <c r="C8" s="19">
        <v>10</v>
      </c>
      <c r="D8" s="26">
        <v>60</v>
      </c>
      <c r="E8" s="26">
        <v>60</v>
      </c>
      <c r="F8" s="19">
        <v>6</v>
      </c>
      <c r="G8" s="23">
        <v>7.9449152542372881</v>
      </c>
      <c r="H8" s="23">
        <v>32</v>
      </c>
    </row>
    <row r="9" spans="1:8" x14ac:dyDescent="0.5">
      <c r="A9" s="27">
        <v>230</v>
      </c>
      <c r="B9" s="27">
        <v>250</v>
      </c>
      <c r="C9" s="20">
        <v>10</v>
      </c>
      <c r="D9" s="28">
        <v>92</v>
      </c>
      <c r="E9" s="28">
        <v>92</v>
      </c>
      <c r="F9" s="20">
        <v>1</v>
      </c>
      <c r="G9" s="24">
        <v>12.582056892778994</v>
      </c>
      <c r="H9" s="24">
        <v>0</v>
      </c>
    </row>
    <row r="10" spans="1:8" x14ac:dyDescent="0.5">
      <c r="A10" s="25">
        <v>0</v>
      </c>
      <c r="B10" s="25">
        <v>250</v>
      </c>
      <c r="C10" s="19">
        <v>10</v>
      </c>
      <c r="D10" s="26">
        <v>0</v>
      </c>
      <c r="E10" s="26">
        <v>0</v>
      </c>
      <c r="F10" s="19">
        <v>13</v>
      </c>
      <c r="G10" s="23">
        <v>0</v>
      </c>
      <c r="H10" s="23">
        <v>92</v>
      </c>
    </row>
    <row r="11" spans="1:8" x14ac:dyDescent="0.5">
      <c r="A11" s="27">
        <v>150</v>
      </c>
      <c r="B11" s="27">
        <v>250</v>
      </c>
      <c r="C11" s="20">
        <v>10</v>
      </c>
      <c r="D11" s="28">
        <v>60</v>
      </c>
      <c r="E11" s="28">
        <v>60</v>
      </c>
      <c r="F11" s="20">
        <v>6</v>
      </c>
      <c r="G11" s="24">
        <v>9.0307043949428056</v>
      </c>
      <c r="H11" s="24">
        <v>32</v>
      </c>
    </row>
    <row r="12" spans="1:8" x14ac:dyDescent="0.5">
      <c r="A12" s="25">
        <v>65</v>
      </c>
      <c r="B12" s="25">
        <v>250</v>
      </c>
      <c r="C12" s="19">
        <v>10</v>
      </c>
      <c r="D12" s="26">
        <v>26</v>
      </c>
      <c r="E12" s="26">
        <v>26</v>
      </c>
      <c r="F12" s="19">
        <v>9</v>
      </c>
      <c r="G12" s="23">
        <v>4.0650406504065035</v>
      </c>
      <c r="H12" s="23">
        <v>66</v>
      </c>
    </row>
    <row r="13" spans="1:8" x14ac:dyDescent="0.5">
      <c r="A13" s="27">
        <v>80</v>
      </c>
      <c r="B13" s="27">
        <v>250</v>
      </c>
      <c r="C13" s="20">
        <v>10</v>
      </c>
      <c r="D13" s="28">
        <v>32</v>
      </c>
      <c r="E13" s="28">
        <v>32</v>
      </c>
      <c r="F13" s="20">
        <v>8</v>
      </c>
      <c r="G13" s="24">
        <v>5.0777530942557911</v>
      </c>
      <c r="H13" s="24">
        <v>60</v>
      </c>
    </row>
    <row r="14" spans="1:8" x14ac:dyDescent="0.5">
      <c r="A14" s="25">
        <v>60</v>
      </c>
      <c r="B14" s="25">
        <v>250</v>
      </c>
      <c r="C14" s="19">
        <v>10</v>
      </c>
      <c r="D14" s="26">
        <v>24</v>
      </c>
      <c r="E14" s="26">
        <v>24</v>
      </c>
      <c r="F14" s="19">
        <v>10</v>
      </c>
      <c r="G14" s="23">
        <v>4.643962848297214</v>
      </c>
      <c r="H14" s="23">
        <v>68</v>
      </c>
    </row>
    <row r="15" spans="1:8" x14ac:dyDescent="0.5">
      <c r="A15" s="27">
        <v>50</v>
      </c>
      <c r="B15" s="27">
        <v>250</v>
      </c>
      <c r="C15" s="20">
        <v>10</v>
      </c>
      <c r="D15" s="28">
        <v>20</v>
      </c>
      <c r="E15" s="28">
        <v>20</v>
      </c>
      <c r="F15" s="20">
        <v>12</v>
      </c>
      <c r="G15" s="24">
        <v>4.2140750105351872</v>
      </c>
      <c r="H15" s="24">
        <v>72</v>
      </c>
    </row>
    <row r="16" spans="1:8" x14ac:dyDescent="0.5">
      <c r="A16" s="25">
        <v>55</v>
      </c>
      <c r="B16" s="25">
        <v>250</v>
      </c>
      <c r="C16" s="19">
        <v>10</v>
      </c>
      <c r="D16" s="26">
        <v>22</v>
      </c>
      <c r="E16" s="26">
        <v>22</v>
      </c>
      <c r="F16" s="19">
        <v>11</v>
      </c>
      <c r="G16" s="23">
        <v>5.5611729019211324</v>
      </c>
      <c r="H16" s="23">
        <v>70</v>
      </c>
    </row>
  </sheetData>
  <mergeCells count="1">
    <mergeCell ref="A1:H2"/>
  </mergeCells>
  <conditionalFormatting sqref="H4:H16">
    <cfRule type="colorScale" priority="1">
      <colorScale>
        <cfvo type="num" val="-50"/>
        <cfvo type="num" val="0"/>
        <cfvo type="num" val="5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CDC 2024 Results - All</vt:lpstr>
      <vt:lpstr>Uptime</vt:lpstr>
      <vt:lpstr>Flags</vt:lpstr>
      <vt:lpstr>Usability</vt:lpstr>
      <vt:lpstr>Anomalies</vt:lpstr>
      <vt:lpstr>Intrusion Reports</vt:lpstr>
      <vt:lpstr>Documentation</vt:lpstr>
      <vt:lpstr>Red Team Evaluation</vt:lpstr>
      <vt:lpstr>VictoryMargin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Chris Leonard</cp:lastModifiedBy>
  <dcterms:created xsi:type="dcterms:W3CDTF">2024-04-27T03:02:28Z</dcterms:created>
  <dcterms:modified xsi:type="dcterms:W3CDTF">2024-04-27T22:46:51Z</dcterms:modified>
</cp:coreProperties>
</file>