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tables/table4.xml" ContentType="application/vnd.openxmlformats-officedocument.spreadsheetml.table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96.xml" ContentType="application/vnd.openxmlformats-officedocument.spreadsheetml.externalLink+xml"/>
  <Override PartName="/xl/styles.xml" ContentType="application/vnd.openxmlformats-officedocument.spreadsheetml.styles+xml"/>
  <Override PartName="/xl/tables/table14.xml" ContentType="application/vnd.openxmlformats-officedocument.spreadsheetml.table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92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81.xml" ContentType="application/vnd.openxmlformats-officedocument.spreadsheetml.externalLink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2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tables/table9.xml" ContentType="application/vnd.openxmlformats-officedocument.spreadsheetml.table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97.xml" ContentType="application/vnd.openxmlformats-officedocument.spreadsheetml.externalLink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95.xml" ContentType="application/vnd.openxmlformats-officedocument.spreadsheetml.externalLink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93.xml" ContentType="application/vnd.openxmlformats-officedocument.spreadsheetml.externalLink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91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externalLinks/externalLink89.xml" ContentType="application/vnd.openxmlformats-officedocument.spreadsheetml.externalLink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83.xml" ContentType="application/vnd.openxmlformats-officedocument.spreadsheetml.externalLink+xml"/>
  <Override PartName="/xl/tables/table12.xml" ContentType="application/vnd.openxmlformats-officedocument.spreadsheetml.table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1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_xlnm._FilterDatabase" localSheetId="0" hidden="1">Лист1!$B$2:$R$998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850" i="1"/>
  <c r="L662"/>
  <c r="L780"/>
  <c r="L40"/>
  <c r="L39"/>
  <c r="L511"/>
  <c r="L41"/>
  <c r="L208"/>
  <c r="L583"/>
  <c r="L584"/>
  <c r="L599"/>
  <c r="L535"/>
  <c r="L574"/>
  <c r="L549"/>
  <c r="L989"/>
  <c r="L925"/>
  <c r="L112"/>
  <c r="L972"/>
  <c r="L527"/>
  <c r="L714"/>
  <c r="L898"/>
  <c r="L142"/>
  <c r="L149"/>
  <c r="L931"/>
  <c r="L994"/>
  <c r="L798"/>
  <c r="L735"/>
  <c r="L559"/>
  <c r="L495"/>
  <c r="L913"/>
  <c r="L867"/>
  <c r="L490"/>
  <c r="L949"/>
  <c r="L539"/>
  <c r="L188"/>
  <c r="L348"/>
  <c r="L434"/>
  <c r="L728"/>
  <c r="L664"/>
  <c r="L104"/>
  <c r="L166"/>
  <c r="L778"/>
  <c r="L301"/>
  <c r="L863"/>
  <c r="L799"/>
  <c r="L524"/>
  <c r="L212"/>
  <c r="L280"/>
  <c r="L670"/>
  <c r="L117"/>
  <c r="L332"/>
  <c r="L849"/>
  <c r="L790"/>
  <c r="L602"/>
  <c r="L760"/>
  <c r="L433"/>
  <c r="L528"/>
  <c r="L942"/>
  <c r="L422"/>
  <c r="L984"/>
  <c r="L920"/>
  <c r="L729"/>
  <c r="L643"/>
  <c r="L910"/>
  <c r="L688"/>
  <c r="L432"/>
  <c r="L979"/>
  <c r="L211"/>
  <c r="L43"/>
  <c r="L818"/>
  <c r="L168"/>
  <c r="L200"/>
  <c r="L759"/>
  <c r="L305"/>
  <c r="L18"/>
  <c r="L387"/>
  <c r="L173"/>
  <c r="L894"/>
  <c r="L304"/>
  <c r="L167"/>
  <c r="L614"/>
  <c r="L531"/>
  <c r="L959"/>
  <c r="L661"/>
  <c r="L597"/>
  <c r="L31"/>
  <c r="L180"/>
  <c r="L452"/>
  <c r="L75"/>
  <c r="L38"/>
  <c r="L36"/>
  <c r="L628"/>
  <c r="L807"/>
  <c r="L743"/>
  <c r="L548"/>
  <c r="L843"/>
  <c r="L779"/>
  <c r="L504"/>
  <c r="L245"/>
  <c r="L219"/>
  <c r="L554"/>
  <c r="L897"/>
  <c r="L606"/>
  <c r="L976"/>
  <c r="L705"/>
  <c r="L357"/>
  <c r="L160"/>
  <c r="L164"/>
  <c r="L962"/>
  <c r="L733"/>
  <c r="L669"/>
  <c r="L438"/>
  <c r="L560"/>
  <c r="L496"/>
  <c r="L165"/>
  <c r="L806"/>
  <c r="L410"/>
  <c r="L771"/>
  <c r="L69"/>
  <c r="L930"/>
  <c r="L34"/>
  <c r="L360"/>
  <c r="L555"/>
  <c r="L33"/>
  <c r="L400"/>
  <c r="L591"/>
  <c r="L902"/>
  <c r="L870"/>
  <c r="L880"/>
  <c r="L695"/>
  <c r="L686"/>
  <c r="L170"/>
  <c r="L879"/>
  <c r="L139"/>
  <c r="L339"/>
  <c r="L883"/>
  <c r="L483"/>
  <c r="L353"/>
  <c r="L839"/>
  <c r="L85"/>
  <c r="L88"/>
  <c r="L169"/>
  <c r="L840"/>
  <c r="L96"/>
  <c r="L79"/>
  <c r="L710"/>
  <c r="L510"/>
  <c r="L737"/>
  <c r="L538"/>
  <c r="L21"/>
  <c r="L106"/>
  <c r="L644"/>
  <c r="L577"/>
  <c r="L513"/>
  <c r="L278"/>
  <c r="L552"/>
  <c r="L488"/>
  <c r="L454"/>
  <c r="L392"/>
  <c r="L951"/>
  <c r="L423"/>
  <c r="L996"/>
  <c r="L333"/>
  <c r="L145"/>
  <c r="L935"/>
  <c r="L371"/>
  <c r="L448"/>
  <c r="L215"/>
  <c r="L689"/>
  <c r="L625"/>
  <c r="L257"/>
  <c r="L718"/>
  <c r="L750"/>
  <c r="L784"/>
  <c r="L720"/>
  <c r="L362"/>
  <c r="L770"/>
  <c r="L900"/>
  <c r="L869"/>
  <c r="L587"/>
  <c r="L523"/>
  <c r="L941"/>
  <c r="L641"/>
  <c r="L957"/>
  <c r="L893"/>
  <c r="L530"/>
  <c r="L582"/>
  <c r="L968"/>
  <c r="L777"/>
  <c r="L763"/>
  <c r="L699"/>
  <c r="L822"/>
  <c r="L265"/>
  <c r="L480"/>
  <c r="L944"/>
  <c r="L179"/>
  <c r="L899"/>
  <c r="L651"/>
  <c r="L917"/>
  <c r="L853"/>
  <c r="L140"/>
  <c r="L970"/>
  <c r="L878"/>
  <c r="L284"/>
  <c r="L665"/>
  <c r="L704"/>
  <c r="L55"/>
  <c r="L624"/>
  <c r="L84"/>
  <c r="L449"/>
  <c r="L406"/>
  <c r="L804"/>
  <c r="L811"/>
  <c r="L630"/>
  <c r="L716"/>
  <c r="L171"/>
  <c r="L590"/>
  <c r="L642"/>
  <c r="L397"/>
  <c r="L886"/>
  <c r="L856"/>
  <c r="L229"/>
  <c r="L755"/>
  <c r="L691"/>
  <c r="L697"/>
  <c r="L544"/>
  <c r="L77"/>
  <c r="L146"/>
  <c r="L570"/>
  <c r="L108"/>
  <c r="L862"/>
  <c r="L267"/>
  <c r="L702"/>
  <c r="L94"/>
  <c r="L563"/>
  <c r="L138"/>
  <c r="L243"/>
  <c r="L943"/>
  <c r="L114"/>
  <c r="L797"/>
  <c r="L427"/>
  <c r="L300"/>
  <c r="L338"/>
  <c r="L978"/>
  <c r="L708"/>
  <c r="L440"/>
  <c r="L17"/>
  <c r="L830"/>
  <c r="L352"/>
  <c r="L764"/>
  <c r="L700"/>
  <c r="L295"/>
  <c r="L671"/>
  <c r="L378"/>
  <c r="L23"/>
  <c r="L472"/>
  <c r="L653"/>
  <c r="L589"/>
  <c r="L275"/>
  <c r="L526"/>
  <c r="L953"/>
  <c r="L384"/>
  <c r="L915"/>
  <c r="L787"/>
  <c r="L846"/>
  <c r="L491"/>
  <c r="L361"/>
  <c r="L183"/>
  <c r="L349"/>
  <c r="L965"/>
  <c r="L901"/>
  <c r="L251"/>
  <c r="L940"/>
  <c r="L876"/>
  <c r="L773"/>
  <c r="L885"/>
  <c r="L163"/>
  <c r="L16"/>
  <c r="L201"/>
  <c r="L209"/>
  <c r="L687"/>
  <c r="L309"/>
  <c r="L308"/>
  <c r="L503"/>
  <c r="L795"/>
  <c r="L616"/>
  <c r="L431"/>
  <c r="L105"/>
  <c r="L595"/>
  <c r="L746"/>
  <c r="L569"/>
  <c r="L756"/>
  <c r="L692"/>
  <c r="L610"/>
  <c r="L507"/>
  <c r="L890"/>
  <c r="L861"/>
  <c r="L848"/>
  <c r="L282"/>
  <c r="L347"/>
  <c r="L668"/>
  <c r="L456"/>
  <c r="L462"/>
  <c r="L103"/>
  <c r="L363"/>
  <c r="L340"/>
  <c r="L113"/>
  <c r="L388"/>
  <c r="L536"/>
  <c r="L872"/>
  <c r="L425"/>
  <c r="L73"/>
  <c r="L466"/>
  <c r="L439"/>
  <c r="L374"/>
  <c r="L83"/>
  <c r="L372"/>
  <c r="L430"/>
  <c r="L505"/>
  <c r="L174"/>
  <c r="L299"/>
  <c r="L945"/>
  <c r="L881"/>
  <c r="L294"/>
  <c r="L109"/>
  <c r="L143"/>
  <c r="L151"/>
  <c r="L558"/>
  <c r="L955"/>
  <c r="L680"/>
  <c r="L45"/>
  <c r="L995"/>
  <c r="L828"/>
  <c r="L206"/>
  <c r="L520"/>
  <c r="L918"/>
  <c r="L404"/>
  <c r="L99"/>
  <c r="L578"/>
  <c r="L864"/>
  <c r="L725"/>
  <c r="L966"/>
  <c r="L774"/>
  <c r="L54"/>
  <c r="L508"/>
  <c r="L882"/>
  <c r="L342"/>
  <c r="L178"/>
  <c r="L115"/>
  <c r="L693"/>
  <c r="L345"/>
  <c r="L709"/>
  <c r="L645"/>
  <c r="L426"/>
  <c r="L91"/>
  <c r="L386"/>
  <c r="L306"/>
  <c r="L767"/>
  <c r="L457"/>
  <c r="L776"/>
  <c r="L712"/>
  <c r="L521"/>
  <c r="L607"/>
  <c r="L543"/>
  <c r="L961"/>
  <c r="L460"/>
  <c r="L382"/>
  <c r="L279"/>
  <c r="L314"/>
  <c r="L346"/>
  <c r="L546"/>
  <c r="L562"/>
  <c r="L629"/>
  <c r="L242"/>
  <c r="L626"/>
  <c r="L855"/>
  <c r="L791"/>
  <c r="L596"/>
  <c r="L398"/>
  <c r="L379"/>
  <c r="L592"/>
  <c r="L820"/>
  <c r="L512"/>
  <c r="L927"/>
  <c r="L909"/>
  <c r="L845"/>
  <c r="L334"/>
  <c r="L736"/>
  <c r="L672"/>
  <c r="L101"/>
  <c r="L542"/>
  <c r="L956"/>
  <c r="L685"/>
  <c r="L465"/>
  <c r="L66"/>
  <c r="L376"/>
  <c r="L727"/>
  <c r="L90"/>
  <c r="L89"/>
  <c r="L938"/>
  <c r="L453"/>
  <c r="L455"/>
  <c r="L269"/>
  <c r="L276"/>
  <c r="L964"/>
  <c r="L184"/>
  <c r="L97"/>
  <c r="L335"/>
  <c r="L722"/>
  <c r="L948"/>
  <c r="L608"/>
  <c r="L819"/>
  <c r="L57"/>
  <c r="L198"/>
  <c r="L350"/>
  <c r="L572"/>
  <c r="L842"/>
  <c r="L214"/>
  <c r="L990"/>
  <c r="L892"/>
  <c r="L981"/>
  <c r="L541"/>
  <c r="L343"/>
  <c r="L390"/>
  <c r="L609"/>
  <c r="L13"/>
  <c r="L187"/>
  <c r="L514"/>
  <c r="L176"/>
  <c r="L273"/>
  <c r="L72"/>
  <c r="L963"/>
  <c r="L921"/>
  <c r="L982"/>
  <c r="L794"/>
  <c r="L829"/>
  <c r="L534"/>
  <c r="L947"/>
  <c r="L656"/>
  <c r="L399"/>
  <c r="L15"/>
  <c r="L635"/>
  <c r="L663"/>
  <c r="L745"/>
  <c r="L766"/>
  <c r="L753"/>
  <c r="L696"/>
  <c r="L319"/>
  <c r="L447"/>
  <c r="L272"/>
  <c r="L865"/>
  <c r="L801"/>
  <c r="L137"/>
  <c r="L394"/>
  <c r="L703"/>
  <c r="L498"/>
  <c r="L3"/>
  <c r="L571"/>
  <c r="L4"/>
  <c r="L185"/>
  <c r="L604"/>
  <c r="L540"/>
  <c r="L421"/>
  <c r="L500"/>
  <c r="L858"/>
  <c r="L789"/>
  <c r="L719"/>
  <c r="L655"/>
  <c r="L281"/>
  <c r="L428"/>
  <c r="L213"/>
  <c r="L998"/>
  <c r="L277"/>
  <c r="L32"/>
  <c r="L874"/>
  <c r="L337"/>
  <c r="L292"/>
  <c r="L971"/>
  <c r="L14"/>
  <c r="L987"/>
  <c r="L923"/>
  <c r="L56"/>
  <c r="L499"/>
  <c r="L866"/>
  <c r="L837"/>
  <c r="L922"/>
  <c r="L734"/>
  <c r="L889"/>
  <c r="L975"/>
  <c r="L911"/>
  <c r="L636"/>
  <c r="L747"/>
  <c r="L652"/>
  <c r="L588"/>
  <c r="L51"/>
  <c r="L960"/>
  <c r="L162"/>
  <c r="L53"/>
  <c r="L210"/>
  <c r="L153"/>
  <c r="L803"/>
  <c r="L814"/>
  <c r="L205"/>
  <c r="L473"/>
  <c r="L826"/>
  <c r="L904"/>
  <c r="L152"/>
  <c r="L148"/>
  <c r="L781"/>
  <c r="L681"/>
  <c r="L617"/>
  <c r="L315"/>
  <c r="L150"/>
  <c r="L450"/>
  <c r="L492"/>
  <c r="L579"/>
  <c r="L723"/>
  <c r="L442"/>
  <c r="L7"/>
  <c r="L785"/>
  <c r="L721"/>
  <c r="L204"/>
  <c r="L44"/>
  <c r="L934"/>
  <c r="L717"/>
  <c r="L932"/>
  <c r="L868"/>
  <c r="L581"/>
  <c r="L683"/>
  <c r="L619"/>
  <c r="L586"/>
  <c r="L967"/>
  <c r="L903"/>
  <c r="L772"/>
  <c r="L515"/>
  <c r="L684"/>
  <c r="L620"/>
  <c r="L161"/>
  <c r="L788"/>
  <c r="L518"/>
  <c r="L497"/>
  <c r="L877"/>
  <c r="L87"/>
  <c r="L478"/>
  <c r="L157"/>
  <c r="L937"/>
  <c r="L873"/>
  <c r="L533"/>
  <c r="L765"/>
  <c r="L792"/>
  <c r="L634"/>
  <c r="L159"/>
  <c r="L973"/>
  <c r="L939"/>
  <c r="L875"/>
  <c r="L600"/>
  <c r="L258"/>
  <c r="L411"/>
  <c r="L854"/>
  <c r="L369"/>
  <c r="L68"/>
  <c r="L715"/>
  <c r="L266"/>
  <c r="L446"/>
  <c r="L207"/>
  <c r="L740"/>
  <c r="L383"/>
  <c r="L958"/>
  <c r="L912"/>
  <c r="L417"/>
  <c r="L429"/>
  <c r="L679"/>
  <c r="L116"/>
  <c r="L147"/>
  <c r="L825"/>
  <c r="L701"/>
  <c r="L637"/>
  <c r="L482"/>
  <c r="L834"/>
  <c r="L646"/>
  <c r="L92"/>
  <c r="L580"/>
  <c r="L516"/>
  <c r="L613"/>
  <c r="L141"/>
  <c r="L660"/>
  <c r="L502"/>
  <c r="L519"/>
  <c r="L529"/>
  <c r="L172"/>
  <c r="L307"/>
  <c r="L565"/>
  <c r="L501"/>
  <c r="L37"/>
  <c r="L317"/>
  <c r="L5"/>
  <c r="L929"/>
  <c r="L564"/>
  <c r="L20"/>
  <c r="L19"/>
  <c r="L914"/>
  <c r="L936"/>
  <c r="L711"/>
  <c r="L647"/>
  <c r="L906"/>
  <c r="L593"/>
  <c r="L833"/>
  <c r="L769"/>
  <c r="L303"/>
  <c r="L676"/>
  <c r="L612"/>
  <c r="L385"/>
  <c r="L639"/>
  <c r="L575"/>
  <c r="L993"/>
  <c r="L217"/>
  <c r="L216"/>
  <c r="L694"/>
  <c r="L623"/>
  <c r="L954"/>
  <c r="L762"/>
  <c r="L244"/>
  <c r="L908"/>
  <c r="L844"/>
  <c r="L573"/>
  <c r="L887"/>
  <c r="L823"/>
  <c r="L517"/>
  <c r="L658"/>
  <c r="L748"/>
  <c r="L70"/>
  <c r="L48"/>
  <c r="L49"/>
  <c r="L199"/>
  <c r="L775"/>
  <c r="L144"/>
  <c r="L489"/>
  <c r="L441"/>
  <c r="L474"/>
  <c r="L988"/>
  <c r="L46"/>
  <c r="L730"/>
  <c r="L884"/>
  <c r="L22"/>
  <c r="L118"/>
  <c r="L802"/>
  <c r="L509"/>
  <c r="L260"/>
  <c r="L857"/>
  <c r="L793"/>
  <c r="L336"/>
  <c r="L813"/>
  <c r="L749"/>
  <c r="L293"/>
  <c r="L640"/>
  <c r="L576"/>
  <c r="L395"/>
  <c r="L800"/>
  <c r="L477"/>
  <c r="L461"/>
  <c r="L673"/>
  <c r="L738"/>
  <c r="L550"/>
  <c r="L8"/>
  <c r="L816"/>
  <c r="L752"/>
  <c r="L177"/>
  <c r="L888"/>
  <c r="L824"/>
  <c r="L633"/>
  <c r="L566"/>
  <c r="L649"/>
  <c r="L585"/>
  <c r="L377"/>
  <c r="L11"/>
  <c r="L256"/>
  <c r="L851"/>
  <c r="L952"/>
  <c r="L402"/>
  <c r="L98"/>
  <c r="L547"/>
  <c r="L836"/>
  <c r="L783"/>
  <c r="L274"/>
  <c r="L468"/>
  <c r="L690"/>
  <c r="L631"/>
  <c r="L567"/>
  <c r="L666"/>
  <c r="L919"/>
  <c r="L907"/>
  <c r="L268"/>
  <c r="L827"/>
  <c r="L905"/>
  <c r="L841"/>
  <c r="L707"/>
  <c r="L815"/>
  <c r="L751"/>
  <c r="L986"/>
  <c r="L871"/>
  <c r="L821"/>
  <c r="L757"/>
  <c r="L463"/>
  <c r="L393"/>
  <c r="L396"/>
  <c r="L459"/>
  <c r="L627"/>
  <c r="L60"/>
  <c r="L285"/>
  <c r="L698"/>
  <c r="L86"/>
  <c r="L341"/>
  <c r="L412"/>
  <c r="L678"/>
  <c r="L494"/>
  <c r="L107"/>
  <c r="L713"/>
  <c r="L9"/>
  <c r="L156"/>
  <c r="L859"/>
  <c r="L445"/>
  <c r="L344"/>
  <c r="L355"/>
  <c r="L997"/>
  <c r="L933"/>
  <c r="L786"/>
  <c r="L724"/>
  <c r="L916"/>
  <c r="L111"/>
  <c r="L682"/>
  <c r="L486"/>
  <c r="L809"/>
  <c r="L895"/>
  <c r="L831"/>
  <c r="L556"/>
  <c r="L650"/>
  <c r="L621"/>
  <c r="L805"/>
  <c r="L924"/>
  <c r="L946"/>
  <c r="L758"/>
  <c r="L817"/>
  <c r="L93"/>
  <c r="L601"/>
  <c r="L537"/>
  <c r="L405"/>
  <c r="L598"/>
  <c r="L977"/>
  <c r="L247"/>
  <c r="L632"/>
  <c r="L568"/>
  <c r="L182"/>
  <c r="L618"/>
  <c r="L594"/>
  <c r="L731"/>
  <c r="L667"/>
  <c r="L726"/>
  <c r="L950"/>
  <c r="L754"/>
  <c r="L812"/>
  <c r="L80"/>
  <c r="L475"/>
  <c r="L659"/>
  <c r="L401"/>
  <c r="L980"/>
  <c r="L739"/>
  <c r="L313"/>
  <c r="L674"/>
  <c r="L451"/>
  <c r="L52"/>
  <c r="L35"/>
  <c r="L76"/>
  <c r="L835"/>
  <c r="L291"/>
  <c r="L476"/>
  <c r="L891"/>
  <c r="L464"/>
  <c r="L413"/>
  <c r="L82"/>
  <c r="L860"/>
  <c r="L796"/>
  <c r="L525"/>
  <c r="L896"/>
  <c r="L832"/>
  <c r="L561"/>
  <c r="L6"/>
  <c r="L42"/>
  <c r="L742"/>
  <c r="L654"/>
  <c r="L810"/>
  <c r="L622"/>
  <c r="L110"/>
  <c r="L741"/>
  <c r="L677"/>
  <c r="L409"/>
  <c r="L356"/>
  <c r="L926"/>
  <c r="L638"/>
  <c r="L852"/>
  <c r="L366"/>
  <c r="L380"/>
  <c r="L603"/>
  <c r="L50"/>
  <c r="L24"/>
  <c r="L469"/>
  <c r="L782"/>
  <c r="L287"/>
  <c r="L354"/>
  <c r="L403"/>
  <c r="L203"/>
  <c r="L992"/>
  <c r="L928"/>
  <c r="L657"/>
  <c r="L808"/>
  <c r="L744"/>
  <c r="L553"/>
  <c r="L532"/>
  <c r="L391"/>
  <c r="L768"/>
  <c r="L65"/>
  <c r="L368"/>
  <c r="L847"/>
  <c r="L458"/>
  <c r="L551"/>
  <c r="L487"/>
  <c r="L985"/>
  <c r="L706"/>
  <c r="L522"/>
  <c r="L732"/>
  <c r="L259"/>
  <c r="L389"/>
  <c r="L983"/>
  <c r="L26"/>
  <c r="L25"/>
  <c r="L838"/>
  <c r="L175"/>
  <c r="L181"/>
  <c r="L12"/>
  <c r="L557"/>
  <c r="L493"/>
  <c r="L67"/>
  <c r="L611"/>
  <c r="L10"/>
  <c r="L381"/>
  <c r="L675"/>
  <c r="L969"/>
  <c r="L648"/>
  <c r="L481"/>
  <c r="L506"/>
  <c r="L761"/>
  <c r="L316"/>
  <c r="L974"/>
  <c r="L241"/>
  <c r="L991"/>
  <c r="L545"/>
  <c r="L202"/>
  <c r="L218"/>
  <c r="L605"/>
  <c r="L615"/>
</calcChain>
</file>

<file path=xl/sharedStrings.xml><?xml version="1.0" encoding="utf-8"?>
<sst xmlns="http://schemas.openxmlformats.org/spreadsheetml/2006/main" count="4215" uniqueCount="1397">
  <si>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</si>
  <si>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</si>
  <si>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</si>
  <si>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</si>
  <si>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</si>
  <si>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</si>
  <si>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</si>
  <si>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</si>
  <si>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</si>
  <si>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</si>
  <si>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</si>
  <si>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</si>
  <si>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</si>
  <si>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</si>
  <si>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</si>
  <si>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</si>
  <si>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</si>
  <si>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</si>
  <si>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</si>
  <si>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</si>
  <si>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</si>
  <si>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</si>
  <si>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</si>
  <si>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</si>
  <si>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</si>
  <si>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</si>
  <si>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</si>
  <si>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</si>
  <si>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</si>
  <si>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</si>
  <si>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</si>
  <si>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</si>
  <si>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</si>
  <si>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</si>
  <si>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</si>
  <si>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</si>
  <si>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</si>
  <si>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</si>
  <si>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</si>
  <si>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</si>
  <si>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</si>
  <si>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</si>
  <si>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</si>
  <si>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</si>
  <si>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</si>
  <si>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</si>
  <si>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</si>
  <si>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</si>
  <si>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</si>
  <si>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</si>
  <si>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</si>
  <si>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</si>
  <si>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</si>
  <si>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</si>
  <si>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</si>
  <si>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</si>
  <si>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</si>
  <si>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</si>
  <si>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</si>
  <si>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</si>
  <si>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</si>
  <si>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</si>
  <si>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</si>
  <si>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</si>
  <si>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</si>
  <si>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</si>
  <si>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</si>
  <si>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</si>
  <si>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</si>
  <si>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</si>
  <si>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</si>
  <si>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</si>
  <si>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</si>
  <si>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</si>
  <si>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</si>
  <si>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</si>
  <si>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</si>
  <si>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</si>
  <si>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</si>
  <si>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</si>
  <si>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</si>
  <si>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</si>
  <si>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</si>
  <si>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</si>
  <si>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</si>
  <si>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</si>
  <si>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</si>
  <si>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</si>
  <si>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</si>
  <si>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</si>
  <si>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</si>
  <si>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</si>
  <si>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</si>
  <si>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</si>
  <si>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</si>
  <si>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</si>
  <si>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</si>
  <si>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</si>
  <si>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</si>
  <si>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</si>
  <si>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</si>
  <si>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</si>
  <si>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</si>
  <si>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</si>
  <si>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</si>
  <si>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</si>
  <si>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</si>
  <si>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</si>
  <si>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</si>
  <si>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</si>
  <si>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</si>
  <si>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</si>
  <si>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</si>
  <si>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</si>
  <si>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</si>
  <si>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</si>
  <si>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</si>
  <si>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</si>
  <si>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</si>
  <si>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</si>
  <si>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</si>
  <si>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</si>
  <si>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</si>
  <si>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</si>
  <si>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</si>
  <si>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</si>
  <si>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</si>
  <si>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</si>
  <si>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</si>
  <si>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</si>
  <si>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</si>
  <si>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</si>
  <si>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</si>
  <si>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</si>
  <si>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</si>
  <si>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</si>
  <si>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</si>
  <si>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</si>
  <si>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</si>
  <si>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</si>
  <si>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</si>
  <si>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</si>
  <si>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</si>
  <si>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</si>
  <si>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</si>
  <si>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</si>
  <si>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</si>
  <si>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</si>
  <si>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</si>
  <si>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</si>
  <si>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</si>
  <si>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</si>
  <si>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</si>
  <si>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</si>
  <si>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</si>
  <si>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</si>
  <si>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</si>
  <si>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</si>
  <si>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</si>
  <si>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</si>
  <si>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</si>
  <si>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</si>
  <si>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</si>
  <si>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</si>
  <si>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</si>
  <si>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</si>
  <si>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</si>
  <si>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</si>
  <si>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</si>
  <si>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</si>
  <si>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</si>
  <si>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</si>
  <si>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</si>
  <si>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</si>
  <si>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</si>
  <si>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</si>
  <si>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</si>
  <si>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</si>
  <si>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</si>
  <si>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</si>
  <si>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</si>
  <si>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</si>
  <si>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</si>
  <si>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</si>
  <si>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</si>
  <si>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</si>
  <si>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</si>
  <si>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</si>
  <si>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</si>
  <si>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</si>
  <si>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</si>
  <si>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</si>
  <si>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</si>
  <si>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</si>
  <si>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</si>
  <si>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</si>
  <si>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</si>
  <si>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</si>
  <si>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</si>
  <si>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</si>
  <si>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</si>
  <si>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</si>
  <si>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</si>
  <si>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</si>
  <si>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</si>
  <si>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</si>
  <si>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</si>
  <si>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</si>
  <si>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Крыш Н.Г.</t>
  </si>
  <si>
    <t>Меншутина Л.А.</t>
  </si>
  <si>
    <t>8177450884000099</t>
  </si>
  <si>
    <t>9199381407</t>
  </si>
  <si>
    <t>Прошу уточнить дату следующей явки к врачу онкологу и подтвердить и подтвердить актуальность II клинической группы.</t>
  </si>
  <si>
    <t>7776060832000823</t>
  </si>
  <si>
    <t>4953355402/9166095221</t>
  </si>
  <si>
    <t>Пак А.Д.</t>
  </si>
  <si>
    <t>01.06.20222</t>
  </si>
  <si>
    <t>7701004124191048</t>
  </si>
  <si>
    <t>4997891998/9252002284</t>
  </si>
  <si>
    <t>7750240834001215</t>
  </si>
  <si>
    <t>Вознесенский С.А.</t>
  </si>
  <si>
    <t>7755340898003381</t>
  </si>
  <si>
    <t>Ибрагимов Т.С.</t>
  </si>
  <si>
    <t>4953104035/9037459949</t>
  </si>
  <si>
    <t>7755420841000666</t>
  </si>
  <si>
    <t>Мишакина А.Ю.</t>
  </si>
  <si>
    <t>3847140847000283</t>
  </si>
  <si>
    <t>Захаров О.Д.</t>
  </si>
  <si>
    <t>7769660891000454</t>
  </si>
  <si>
    <t>7750410870004445</t>
  </si>
  <si>
    <t>Со слов пациента приём состоялся</t>
  </si>
  <si>
    <t>0554320897000040</t>
  </si>
  <si>
    <t>D27</t>
  </si>
  <si>
    <t>2374940882000152</t>
  </si>
  <si>
    <t>до сентября 2022</t>
  </si>
  <si>
    <t>7751630824001226</t>
  </si>
  <si>
    <t>4953066671/9160591778</t>
  </si>
  <si>
    <t>Горвиц В.П.</t>
  </si>
  <si>
    <t>1157040874000206</t>
  </si>
  <si>
    <t>Флягина М.М.</t>
  </si>
  <si>
    <t>7751840841000875</t>
  </si>
  <si>
    <t>Дивногорцев Р.С.</t>
  </si>
  <si>
    <t>ПСА</t>
  </si>
  <si>
    <t>7774940894000161</t>
  </si>
  <si>
    <t>9166357057   4991963807</t>
  </si>
  <si>
    <t>Клюева Л.В.</t>
  </si>
  <si>
    <t>ММГ</t>
  </si>
  <si>
    <t>7749840839000726</t>
  </si>
  <si>
    <t>7700004192180369</t>
  </si>
  <si>
    <t>9150051604   4994017257</t>
  </si>
  <si>
    <t>Гривцова Н,А.</t>
  </si>
  <si>
    <t>7701004052210183</t>
  </si>
  <si>
    <t>Со слов пациента не нуждается в консультации онколога, прошу уточнить необходимость в ПП</t>
  </si>
  <si>
    <t>7747440897000627</t>
  </si>
  <si>
    <t>5051330878000106</t>
  </si>
  <si>
    <t>Илларионова Н.С.</t>
  </si>
  <si>
    <t>Гривцова Н.А.</t>
  </si>
  <si>
    <t>7773950830000374</t>
  </si>
  <si>
    <t>903 105 91 15</t>
  </si>
  <si>
    <t>Голышко П.В.</t>
  </si>
  <si>
    <t>7700004214230983</t>
  </si>
  <si>
    <t>9265671559/4954608392</t>
  </si>
  <si>
    <t>7700004209600837</t>
  </si>
  <si>
    <t>4994311968/9164303107</t>
  </si>
  <si>
    <t>3372950888000163</t>
  </si>
  <si>
    <t>Со слов дочери пациета, пойдут к онкологу через 2 недели</t>
  </si>
  <si>
    <t>4647400890000071</t>
  </si>
  <si>
    <t>Со слов пациента пойдет на прием к гематологу в июле.</t>
  </si>
  <si>
    <t>7770050870000823</t>
  </si>
  <si>
    <t>Прошу прислать скан протокола прием от 01.06.2022</t>
  </si>
  <si>
    <t>Унгер Е.И.</t>
  </si>
  <si>
    <t>7778350822000851</t>
  </si>
  <si>
    <t>Айвазов М.Т.</t>
  </si>
  <si>
    <t>7754430885000101</t>
  </si>
  <si>
    <t>Гузеева А.М.</t>
  </si>
  <si>
    <t>7775150877000282</t>
  </si>
  <si>
    <t>Меджидова М.М.</t>
  </si>
  <si>
    <t>7700005055670155</t>
  </si>
  <si>
    <t>Литвинова Н.А.</t>
  </si>
  <si>
    <t>7755830821003003</t>
  </si>
  <si>
    <t>7776160822000492</t>
  </si>
  <si>
    <t>Вязникова Н.А.</t>
  </si>
  <si>
    <t>7700001409510132</t>
  </si>
  <si>
    <t>9670602716/4954136411</t>
  </si>
  <si>
    <t>На звонки ПП не отвечает.</t>
  </si>
  <si>
    <t>7767160835000274</t>
  </si>
  <si>
    <t>С18.7</t>
  </si>
  <si>
    <t>7772350835000100</t>
  </si>
  <si>
    <t>Щербак А.Л.</t>
  </si>
  <si>
    <t>7769160887000949</t>
  </si>
  <si>
    <t>Айсина Л.А</t>
  </si>
  <si>
    <t>ТАБ</t>
  </si>
  <si>
    <t>Щербак А.Л</t>
  </si>
  <si>
    <t>7701005002070955</t>
  </si>
  <si>
    <t>7758240887003284</t>
  </si>
  <si>
    <t>Мишакина А.Ю</t>
  </si>
  <si>
    <t>КТ</t>
  </si>
  <si>
    <t>7700000011310162</t>
  </si>
  <si>
    <t>Цеденова К.О</t>
  </si>
  <si>
    <t>Анализ крови</t>
  </si>
  <si>
    <t>7750830845000204</t>
  </si>
  <si>
    <t>7752040819001968</t>
  </si>
  <si>
    <t>Маркова А.Ю</t>
  </si>
  <si>
    <t>7700003068560648</t>
  </si>
  <si>
    <t>Алимов А.А</t>
  </si>
  <si>
    <t>Есина А.В.</t>
  </si>
  <si>
    <t>203904526</t>
  </si>
  <si>
    <t>Пациент систематически не отвечает на звонеи ПП. Прошу вас уточнить нуждается ли пациент в сопровождени.</t>
  </si>
  <si>
    <t>7754520889001780</t>
  </si>
  <si>
    <t>Трегубов Д.А.</t>
  </si>
  <si>
    <t>Прошу вас уточнить тактику ведения пациента, дату контрольной явки.</t>
  </si>
  <si>
    <t>7768360844000666</t>
  </si>
  <si>
    <t>9030021167 / 4992410623</t>
  </si>
  <si>
    <t>Солиев Р.М.</t>
  </si>
  <si>
    <t>7700005070020670</t>
  </si>
  <si>
    <t>Бойко В.С.</t>
  </si>
  <si>
    <t>Биопсия системой пистолет-игла под уз-контролем.</t>
  </si>
  <si>
    <t>7701009025011151</t>
  </si>
  <si>
    <t>Волкова Ю.И.</t>
  </si>
  <si>
    <t>Протокол в системе ЕМИАС не иноформативный, прошу вас выслать скан протокла осмотра.</t>
  </si>
  <si>
    <t>7700000045571033</t>
  </si>
  <si>
    <t>Гадабошев М.И.</t>
  </si>
  <si>
    <t>ПСА, УЗИ почек, м/п с опред ООМ</t>
  </si>
  <si>
    <t>7700003092600756</t>
  </si>
  <si>
    <t>2952910893000517</t>
  </si>
  <si>
    <t>205899071</t>
  </si>
  <si>
    <t>4959342332 / 9163284320</t>
  </si>
  <si>
    <t>7700003182050586</t>
  </si>
  <si>
    <t>Корноухова А.М.</t>
  </si>
  <si>
    <t>7700004101660653</t>
  </si>
  <si>
    <t>Кучевская О.А.</t>
  </si>
  <si>
    <t>Жирякова Е.С.</t>
  </si>
  <si>
    <t>7754920873000618</t>
  </si>
  <si>
    <t>Срибняк С.Ю.</t>
  </si>
  <si>
    <t>7700001118051057</t>
  </si>
  <si>
    <t>Багышалиева Н.А.</t>
  </si>
  <si>
    <t>в протоколе врача указано  что пациент прошел КТ ОГК 17.05.2022</t>
  </si>
  <si>
    <t>7752340827000592</t>
  </si>
  <si>
    <t>Юрьева Л.Н.</t>
  </si>
  <si>
    <t>Пациенту было назначено ФКС, пациент в связи с плохим самочувствием не смог подойти. Направление действует до 06.06.2022,но  до 06.06.2022 свободных записей нет. Прошу сформировать новое направление на ФКС/записать пациента.</t>
  </si>
  <si>
    <t>7748430881001821</t>
  </si>
  <si>
    <t>9055694233   4956037246</t>
  </si>
  <si>
    <t>Пермина Г.В.</t>
  </si>
  <si>
    <t>УЗИ ЩЖ</t>
  </si>
  <si>
    <t>3150830841000518</t>
  </si>
  <si>
    <t>Морозов П.А.</t>
  </si>
  <si>
    <t>30.05.2022 поступил ответ от ГП № 191-"По результату пройденного исследования пациент нуждается в повторной консультации онколога." Прошу вас сформировать новое направление/записать пациента по повторную консультацию к врачу онкологу</t>
  </si>
  <si>
    <t>7700001190651055</t>
  </si>
  <si>
    <t>9055134575   4993236615</t>
  </si>
  <si>
    <t>2649430873000311</t>
  </si>
  <si>
    <t>Пациенту сформировано направление на КТ стопы. Пациенту обещали позвонить для записи,на 02.06.2022 звонка не было. Пациент отказывается идти на прием к врачу онкологу без данного исследования.Прошу связаться с пациентом и записать на КТ стопы</t>
  </si>
  <si>
    <t>7700008086630852</t>
  </si>
  <si>
    <t xml:space="preserve">Пестов Д.М. </t>
  </si>
  <si>
    <t xml:space="preserve"> ФКС</t>
  </si>
  <si>
    <t>7776260878001830</t>
  </si>
  <si>
    <t>9104174103   4994616276</t>
  </si>
  <si>
    <t>консультация заведующего торак.отд.Порываева Г.А. НА 15.06.2022</t>
  </si>
  <si>
    <t>7748440895001444</t>
  </si>
  <si>
    <t>9037909732   4956093459</t>
  </si>
  <si>
    <t>Калецкая Т.Г.</t>
  </si>
  <si>
    <t>Прошу уточнить нуждается ли пациент в повторном приеме врача онколога по результатам пройденного УЗИ МЖ от 24.05.2022</t>
  </si>
  <si>
    <t>7700004183601059</t>
  </si>
  <si>
    <t>9859800100</t>
  </si>
  <si>
    <t>7770060884001618</t>
  </si>
  <si>
    <t>4954353447   9296515971   9099228364</t>
  </si>
  <si>
    <t>Прошу уточнить нуждается ли пациент в приеме врача онколога по результатам пройденного кт головного мозга от 11.03.2022. по диагнозу D16.4</t>
  </si>
  <si>
    <t>Нечипоренко П.А.</t>
  </si>
  <si>
    <t>7754440823000741</t>
  </si>
  <si>
    <t>ОК</t>
  </si>
  <si>
    <t>7700009082180864</t>
  </si>
  <si>
    <t>9154195265
4992028387</t>
  </si>
  <si>
    <t>Бочкова М.А.</t>
  </si>
  <si>
    <t>7700007088661134</t>
  </si>
  <si>
    <t>7771750836000093</t>
  </si>
  <si>
    <t>9151355928
4999073020</t>
  </si>
  <si>
    <t>Жарова А.С.</t>
  </si>
  <si>
    <t>Хохлова Е.А.</t>
  </si>
  <si>
    <t>3671250838000209</t>
  </si>
  <si>
    <t>Старшинин М.А.</t>
  </si>
  <si>
    <t>5076950897000679</t>
  </si>
  <si>
    <t>Садридинов К.О.</t>
  </si>
  <si>
    <t>3450230877000440</t>
  </si>
  <si>
    <t>Пустовойт Л.А.</t>
  </si>
  <si>
    <t>Заздравная А.Г.</t>
  </si>
  <si>
    <t>7700000155260957</t>
  </si>
  <si>
    <t>9777123468/9096830424</t>
  </si>
  <si>
    <t>Гаджиева Л.Т.</t>
  </si>
  <si>
    <t>Рг ОГК, УЗИ ОБП, почек, ОЗП, паховых л/у, ОМТ (телефон для связи с пациентом 9777123468)</t>
  </si>
  <si>
    <t>7700009087070955</t>
  </si>
  <si>
    <t>Трошина С.А.</t>
  </si>
  <si>
    <t>7700009080630662</t>
  </si>
  <si>
    <t>4991804944/9163186540</t>
  </si>
  <si>
    <t>7753130836001288</t>
  </si>
  <si>
    <t>Хведелидзе Г.В.</t>
  </si>
  <si>
    <t>7775550879000398</t>
  </si>
  <si>
    <t>Данчина С.Н.</t>
  </si>
  <si>
    <t>2571050873000129</t>
  </si>
  <si>
    <t>КТ-контроль через 6 месяцев</t>
  </si>
  <si>
    <t>7153620879000193</t>
  </si>
  <si>
    <t>9031640287/4954701711</t>
  </si>
  <si>
    <t>Перевалова А.Д.</t>
  </si>
  <si>
    <t>УЗИ ОМТ, ОБП, Рг ОГК (записи в регистраторе отсутствуют)</t>
  </si>
  <si>
    <t>7774150898000957</t>
  </si>
  <si>
    <t>9164850823/9104242127</t>
  </si>
  <si>
    <t>Мурзабекова М.А.</t>
  </si>
  <si>
    <t>7700002146660762</t>
  </si>
  <si>
    <t>Трищенков С.Ю.</t>
  </si>
  <si>
    <t>7750730839002051</t>
  </si>
  <si>
    <t>Лазарев И.Е.</t>
  </si>
  <si>
    <t>7776050892001241</t>
  </si>
  <si>
    <t>4956313415/9671581819</t>
  </si>
  <si>
    <t>Со слов пациента - прием состоялся, даны рекомендации</t>
  </si>
  <si>
    <t>Кушнарева А.А.</t>
  </si>
  <si>
    <t>3155340841000307</t>
  </si>
  <si>
    <t>7700003069691144</t>
  </si>
  <si>
    <t>Климов А.В.</t>
  </si>
  <si>
    <t>7749230890002250</t>
  </si>
  <si>
    <t>7700009191101148</t>
  </si>
  <si>
    <t>5569250834000211</t>
  </si>
  <si>
    <t>В протоколе осмотра врача-онколога не отражена дальнейшая тактика ведения по диагнозу С61. Прошу Вас указать диагностический статус пациента, а также отобразить дальнейшую тактику ведения с указанием временных сроков</t>
  </si>
  <si>
    <t>Каргина Д.В.</t>
  </si>
  <si>
    <t>7700001042560853</t>
  </si>
  <si>
    <t>7757230847002576</t>
  </si>
  <si>
    <t>после 06.05.2022</t>
  </si>
  <si>
    <t>Мушинская Ю.А.</t>
  </si>
  <si>
    <t>0949740842000031</t>
  </si>
  <si>
    <t>Иванова М.В.</t>
  </si>
  <si>
    <t>7769450874000683</t>
  </si>
  <si>
    <t>Арутюнян А.А.</t>
  </si>
  <si>
    <t>Климович М.Я.</t>
  </si>
  <si>
    <t>В телефонном разговоре пациентка сообщила, что была на приеме. Прошу прислать скан протокола осмотра и загрузить его в систему ЕМИАС.</t>
  </si>
  <si>
    <t>5048810890000321</t>
  </si>
  <si>
    <t>Тарасенко Ю.А.</t>
  </si>
  <si>
    <t>7700004119710762</t>
  </si>
  <si>
    <t>7700002039111037</t>
  </si>
  <si>
    <t>Домова А.Ю.</t>
  </si>
  <si>
    <t>6769940845000012</t>
  </si>
  <si>
    <t>Марилов Т.В.</t>
  </si>
  <si>
    <t>Мурадова Е.М.</t>
  </si>
  <si>
    <t>7749820870002500</t>
  </si>
  <si>
    <t>Тимонина Е.Г.</t>
  </si>
  <si>
    <t>Пациенту рекомендовано наблюдение по м/ж. Прошу Вас уточнить актуальный диагностический статус.</t>
  </si>
  <si>
    <t>7752020870003731</t>
  </si>
  <si>
    <t>0358840889000110</t>
  </si>
  <si>
    <t>Цахилова А.В.</t>
  </si>
  <si>
    <t>По данным регистратора прием состоялся. Прошу Вас предоставить скан протокола осмотра.</t>
  </si>
  <si>
    <t>Черняев В.В.</t>
  </si>
  <si>
    <t>креатинин, мочевина</t>
  </si>
  <si>
    <t>5056440821000809</t>
  </si>
  <si>
    <t>Шукуров К.П.</t>
  </si>
  <si>
    <t>Со слов пациента, находится не в Москве, попросил связаться с ним в сентябре.</t>
  </si>
  <si>
    <t>7773750832000475</t>
  </si>
  <si>
    <t>7700002144060557</t>
  </si>
  <si>
    <t>Грачев А.С.</t>
  </si>
  <si>
    <t>КТ ОГК</t>
  </si>
  <si>
    <t>Мазманова С.Н</t>
  </si>
  <si>
    <t>1458930842000278</t>
  </si>
  <si>
    <t>905-5220125       495-1655258</t>
  </si>
  <si>
    <t>Радаева Л.Н</t>
  </si>
  <si>
    <t>7700004189510248</t>
  </si>
  <si>
    <t>915-2215626             499-3671891</t>
  </si>
  <si>
    <t xml:space="preserve">04.05.2022 в МКНЦ им А.С. Логинова была проведена биопсия. Просьба выслать скан протокола ГИ </t>
  </si>
  <si>
    <t>Просьба прислать сканы протоколов осмотра врача КДО, по данному пациенту, за май.</t>
  </si>
  <si>
    <t>7700008079050974</t>
  </si>
  <si>
    <t>919-1026769          916-8305218</t>
  </si>
  <si>
    <t>ок</t>
  </si>
  <si>
    <t>7748440890002413</t>
  </si>
  <si>
    <t>996-9101460            499-7219197</t>
  </si>
  <si>
    <t>Ранее пациентка отказывалась от записи на повторный прием к врачу-онкологу, просьба уточнить о необходимости дальнейшего наблюдения онкологом.</t>
  </si>
  <si>
    <t>7778060831000608</t>
  </si>
  <si>
    <t>985-1632107</t>
  </si>
  <si>
    <t>Прошу уточнить тактику ведения пациента по диагнозу С34.9 (есть в канцер-регистре), требуется ли динамическое наблюдение по данному диагнозу. Из протокола онколога от 25.11.2016- экстраорганная В-клеточная лимфома маргинальной зоны с поражением плевры.</t>
  </si>
  <si>
    <t>7750140871001138</t>
  </si>
  <si>
    <t>926-9279476          925-7204797</t>
  </si>
  <si>
    <t>7777850894001076</t>
  </si>
  <si>
    <t>499-1659881             916-3157965</t>
  </si>
  <si>
    <t xml:space="preserve">со слов пациентки, прием состоялся </t>
  </si>
  <si>
    <t>Шарамонова И.Ю.</t>
  </si>
  <si>
    <t>7700000007180869</t>
  </si>
  <si>
    <t>7753810876004629</t>
  </si>
  <si>
    <t>(915)407-28-29</t>
  </si>
  <si>
    <t>Ахматова Б.Д.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</si>
  <si>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Прошу выслать протокол врача-онколога с рекомендациями дальнейшего наблюдения. </t>
  </si>
  <si>
    <t>7770750820000399</t>
  </si>
  <si>
    <t>(964)769-42-80</t>
  </si>
  <si>
    <t>Черников Д.А. (КДО)</t>
  </si>
  <si>
    <t>Прошу записать пациента на забор крови для ОАК, Б/Х, ВИЧ, гепатита, сифилиса и онкомаркеров.</t>
  </si>
  <si>
    <t>7758520883000552</t>
  </si>
  <si>
    <t>Сысоева Ю.С.</t>
  </si>
  <si>
    <t>Статус диагноза: прошу уточнить статус диагноза D34.</t>
  </si>
  <si>
    <t>3453300824000285</t>
  </si>
  <si>
    <t>Скорина М.О.</t>
  </si>
  <si>
    <t>7701005083020283</t>
  </si>
  <si>
    <t>Сергеев С.С.</t>
  </si>
  <si>
    <t>Статус диагноза: прошу уточнить корректный статус диагноза К14.0.</t>
  </si>
  <si>
    <t>7755730844002240</t>
  </si>
  <si>
    <t>(906)777-09-96 (супруга Марина)</t>
  </si>
  <si>
    <t>Прием КДО</t>
  </si>
  <si>
    <t>6558540898001589</t>
  </si>
  <si>
    <t>Антюшко А.В.</t>
  </si>
  <si>
    <t>Статус диагноза: прошу уточнить корректный статус диагноза D24.</t>
  </si>
  <si>
    <t>7700004205060555</t>
  </si>
  <si>
    <t>9057106231 (дочь Анжелика)</t>
  </si>
  <si>
    <t xml:space="preserve">Плановая дата госпитализации пациента для хир. лечения - 10.05.2022. По состоянию на 02.06.2022 ВЭ в ЕМИАС отсутствует. Прошу уточнить статус пациента, госпитализирован ли он. </t>
  </si>
  <si>
    <t>7772050878001136</t>
  </si>
  <si>
    <t>(495)750-73-73</t>
  </si>
  <si>
    <t>Азизов Н.М.</t>
  </si>
  <si>
    <t xml:space="preserve">Пациент записан на консультацию врача-колопроктолога в КДО МГОБ №62 на дату 21.06.2022. Превышен срок верификации и проведения ОК. Прошу перезаписать пациента на консультацию врча-колопроктолога на более раннюю дату. </t>
  </si>
  <si>
    <t>7700009055740542</t>
  </si>
  <si>
    <t>Орелкин В.И. (КДО)</t>
  </si>
  <si>
    <t xml:space="preserve">Пациенту рекомендована госпитализация в МГОБ №62 для биопсии печени, прошу уточнить плановую дату госпитализации (он не отказывается и ждет дату). </t>
  </si>
  <si>
    <t>7700009145530647</t>
  </si>
  <si>
    <t>Джитава И.Г.</t>
  </si>
  <si>
    <t>Павлова Ю.В.</t>
  </si>
  <si>
    <t>7701000250170462</t>
  </si>
  <si>
    <t>4959181479, 9263269801</t>
  </si>
  <si>
    <t>Тютюнник П.С.</t>
  </si>
  <si>
    <t>31.05.2022 в МКНЦ им. А.С. Логинова состоялся прием врача-хирурга Тютюнник П.С. Просьба прислать скан протокола приема от 31.05.2022</t>
  </si>
  <si>
    <t>7774050872000439</t>
  </si>
  <si>
    <t>врач КДО</t>
  </si>
  <si>
    <t>Просьба прислать скан протокола приема в МГОБ 62 от 01.06.2022 по пациентке</t>
  </si>
  <si>
    <t>7700002219210161</t>
  </si>
  <si>
    <t>Кондратьева А.С.</t>
  </si>
  <si>
    <t>7700000223271254</t>
  </si>
  <si>
    <t>8 495 685 72 05
8 985 188 36 59</t>
  </si>
  <si>
    <t>Врач-онколог КДО</t>
  </si>
  <si>
    <t>Азизова З.Э. (КДО)</t>
  </si>
  <si>
    <t>5057830891000862</t>
  </si>
  <si>
    <t>8 917 579 74 06</t>
  </si>
  <si>
    <t>02.06.2022 с ПП связался пациент - со слов после проведенного лечения в МЕДСИ необходимо наблюдение онкогинеколога. Направления к онкогинекологу нет. Пациент проинформирован о необходимости явки к терапевку за напрвлением к врачу-онкологу по профилю. От визита к ВОП отказалась</t>
  </si>
  <si>
    <t>4651140876000108</t>
  </si>
  <si>
    <t>8 920 712 94 09</t>
  </si>
  <si>
    <t>3352030876000261</t>
  </si>
  <si>
    <t>8 963 964 33 06</t>
  </si>
  <si>
    <t>Пациент был направлен на консультацию онкодерматолога МГОБ 62. прошу Вас выслать скан протокола приема</t>
  </si>
  <si>
    <t>7700008022790446</t>
  </si>
  <si>
    <t>8 906 770 81 72
8 495 341 27 19</t>
  </si>
  <si>
    <t>Мельникова И.М.</t>
  </si>
  <si>
    <t>Госпитализация для проведения биопсия предварительно запланирована на 16.06.2022</t>
  </si>
  <si>
    <t>7700003023240443</t>
  </si>
  <si>
    <t>8 926 236 65 05</t>
  </si>
  <si>
    <t>Пациентке рекомендовано УЗИ сосудов шеи сделать по м/ж. В МГОБ 62 УЗИ сосудов не делают</t>
  </si>
  <si>
    <t>7700006233020746</t>
  </si>
  <si>
    <t>8 495 754 59 13
8 903 585 24 48</t>
  </si>
  <si>
    <t>ЭХО-КГ</t>
  </si>
  <si>
    <t>7748730870002023</t>
  </si>
  <si>
    <t>8 985 173 93 34</t>
  </si>
  <si>
    <t>7700000016080466</t>
  </si>
  <si>
    <t>8 985 216 38 57</t>
  </si>
  <si>
    <t xml:space="preserve">Пациенту показано оперативное лечение. Прошу Вас выслать скан ВЭ </t>
  </si>
  <si>
    <t>7700006019300661</t>
  </si>
  <si>
    <t>8 926 144 39 91</t>
  </si>
  <si>
    <t>14.05.2022 проведена ТАБ. Резцльтат ТАБ не загружен в ЕМИАС</t>
  </si>
  <si>
    <t>7700005065311250</t>
  </si>
  <si>
    <t>8 926 329 32 33</t>
  </si>
  <si>
    <t>Розанов И.Д.</t>
  </si>
  <si>
    <t>Прошу Вас уточнить диагностический статус D43.0 (предварительный?/подтвержден?)</t>
  </si>
  <si>
    <t>Авакян Н.Д.</t>
  </si>
  <si>
    <t>7755520877003227</t>
  </si>
  <si>
    <t>9032977636</t>
  </si>
  <si>
    <t>Винникова Л.Р.</t>
  </si>
  <si>
    <t>Со слов пациента 01.06  состоялся прием у онколога Винниковой Л.Р. (есть запись в ЕМИАС), отсутствует протокол осмотра. Прошу по возможности предоставить скан протокола.</t>
  </si>
  <si>
    <t>7753740880000190</t>
  </si>
  <si>
    <t>4993743440 9260741264</t>
  </si>
  <si>
    <t>Кривонос Н.В.</t>
  </si>
  <si>
    <t>7771250888000356</t>
  </si>
  <si>
    <t>9161231110 4993743473</t>
  </si>
  <si>
    <t>Ездаков Я.М.</t>
  </si>
  <si>
    <t>Гудеева Е. А.</t>
  </si>
  <si>
    <t>7700004127091067</t>
  </si>
  <si>
    <t>7701002014040468</t>
  </si>
  <si>
    <t>Тимонина Е. Г.</t>
  </si>
  <si>
    <t>7775260893001212</t>
  </si>
  <si>
    <t>7754040845001337</t>
  </si>
  <si>
    <t>Скорина М. О.</t>
  </si>
  <si>
    <t>Прошу записать пациента на приём к Скориной М. О. По желанию пациента записывать в вечернее время (приблизительно в 19:00).</t>
  </si>
  <si>
    <t>7750820898000730</t>
  </si>
  <si>
    <t>4959422946/9165292378</t>
  </si>
  <si>
    <t>Гугунов Д. В.</t>
  </si>
  <si>
    <t>Со слов пациентки выполнила УЗИ ЩЖ от 21.04.22 и сообщила, что к онкологу не нужно.  Прошу уточнить нужна ли повторная явка к врачу онкологу.</t>
  </si>
  <si>
    <t>5050430873001819</t>
  </si>
  <si>
    <t>9166608862</t>
  </si>
  <si>
    <t>7701000099211083</t>
  </si>
  <si>
    <t>4954552764/9039644462</t>
  </si>
  <si>
    <t>онколог кдо</t>
  </si>
  <si>
    <t>7700000136750457</t>
  </si>
  <si>
    <t>9164014038</t>
  </si>
  <si>
    <t>7702008237180338</t>
  </si>
  <si>
    <t>49594288/9268419284</t>
  </si>
  <si>
    <t>7700009035651257</t>
  </si>
  <si>
    <t>7700000102080157</t>
  </si>
  <si>
    <t>0347920874000012</t>
  </si>
  <si>
    <t>7700000259030438</t>
  </si>
  <si>
    <t>4991925086/9036830954</t>
  </si>
  <si>
    <t>КТ на 28.06.22 - превышен срок! Прошу перезаписать на более раннюю дату!</t>
  </si>
  <si>
    <t>4991973365/9099837733</t>
  </si>
  <si>
    <t>Прошу Вас выслать последний имеющийся протокол осмотра онкологом в кдо.</t>
  </si>
  <si>
    <t>Коврегина М.Н.</t>
  </si>
  <si>
    <t>7700008079800460</t>
  </si>
  <si>
    <t>8(985)4282604</t>
  </si>
  <si>
    <t>Чуваев Ю.Н.</t>
  </si>
  <si>
    <t>У пациента биопсия планируется 06.06. Превышен срок</t>
  </si>
  <si>
    <t>7700009108570736</t>
  </si>
  <si>
    <t>8(905)5662260</t>
  </si>
  <si>
    <t>Пациент был записан на первичный приём к онкологу на 01.06, на приём не пришёл. В телефонном разговоре от 02.06 сообщил, что не пойдёт на приём, лечится в другой клинике</t>
  </si>
  <si>
    <t>Шорина О.Ю.</t>
  </si>
  <si>
    <t>Коврегина В.О.</t>
  </si>
  <si>
    <t>7748340892001217</t>
  </si>
  <si>
    <t>Джавадьян М.С.</t>
  </si>
  <si>
    <t>7700001208190152</t>
  </si>
  <si>
    <t>Прошу предоставить сканы приемов из КДО после 08.04.2022.</t>
  </si>
  <si>
    <t>6956640884000575</t>
  </si>
  <si>
    <t>Графт Н.Г.</t>
  </si>
  <si>
    <t>7700004184040564</t>
  </si>
  <si>
    <t>Елисеенков Г.В.</t>
  </si>
  <si>
    <t>Рекомендовано динамическое наблюдение, но не указаны сроки наблюдения. Прошу уточнить, через какой срок планируется повторный прием онколога.</t>
  </si>
  <si>
    <t>7700009147100159</t>
  </si>
  <si>
    <t>Никитина А.В.</t>
  </si>
  <si>
    <t>7700001133750447</t>
  </si>
  <si>
    <t>УЗИ ОБП (31.05.2022 на исследовании не был)</t>
  </si>
  <si>
    <t>7747320871001009</t>
  </si>
  <si>
    <t>Прокопцева Ю.С.</t>
  </si>
  <si>
    <t>7754830868001507</t>
  </si>
  <si>
    <t>Со слов, наблюдается у онколога-эндокринолога в Центрсоюзе</t>
  </si>
  <si>
    <t>7768940888000894</t>
  </si>
  <si>
    <t>Сивакова Н.Г.</t>
  </si>
  <si>
    <t>5654210893000094</t>
  </si>
  <si>
    <t>7700003042101162</t>
  </si>
  <si>
    <t>Смирнов И.В.</t>
  </si>
  <si>
    <t>7700009161551274</t>
  </si>
  <si>
    <t>89255889955  89653595956</t>
  </si>
  <si>
    <t>Прошу предоставить сканы всех приемов из КДО.</t>
  </si>
  <si>
    <t>Хрулева А.О.</t>
  </si>
  <si>
    <t>7773060883001335</t>
  </si>
  <si>
    <t>495 483 41 88/925 862 46 18</t>
  </si>
  <si>
    <t>КДО</t>
  </si>
  <si>
    <t>7700009025750667</t>
  </si>
  <si>
    <t>915 156 30 80</t>
  </si>
  <si>
    <t>7700004191260757</t>
  </si>
  <si>
    <t>Бондарев А.В.</t>
  </si>
  <si>
    <t>7768960834000814</t>
  </si>
  <si>
    <t>916 100 91 03/499 976 97 96</t>
  </si>
  <si>
    <t>Москаленко О.А.</t>
  </si>
  <si>
    <t>7700004204050541</t>
  </si>
  <si>
    <t>(903)688-19-77</t>
  </si>
  <si>
    <t>Последний приём</t>
  </si>
  <si>
    <t>Бештоев А.А.</t>
  </si>
  <si>
    <t>7758040897001652</t>
  </si>
  <si>
    <t>495 485 40 41</t>
  </si>
  <si>
    <t>7700005175550254</t>
  </si>
  <si>
    <t>(906)712-76-17/495 947 55 37</t>
  </si>
  <si>
    <t xml:space="preserve">ОАК, БХ, ПСА; ОАМ по месту жительства (пациент в Москве будет с 06.06.22). </t>
  </si>
  <si>
    <t>7700001089260563</t>
  </si>
  <si>
    <t>(903)592-47-82</t>
  </si>
  <si>
    <t>Кутина А.А.</t>
  </si>
  <si>
    <t>Коагулограмма (нет направления), ВИЧ, гепатиты В, С, сифилис.</t>
  </si>
  <si>
    <t>УЗИ ОМТ.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</si>
  <si>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</si>
  <si>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</si>
  <si>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</si>
  <si>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Лукьяненкова А.А.</t>
  </si>
  <si>
    <t>Воронцова А.А.</t>
  </si>
  <si>
    <t>2050930874000030</t>
  </si>
  <si>
    <t xml:space="preserve">ОК </t>
  </si>
  <si>
    <t>1350140838000188</t>
  </si>
  <si>
    <t>9852645128/9099028013</t>
  </si>
  <si>
    <t>6874950880000118</t>
  </si>
  <si>
    <t>Дерман И.Е.</t>
  </si>
  <si>
    <t>5058020874001876</t>
  </si>
  <si>
    <t>Зайцева Н.В.</t>
  </si>
  <si>
    <t>5251810872001190</t>
  </si>
  <si>
    <t>Макарова Т.И.</t>
  </si>
  <si>
    <t>кровь, ЭКГ</t>
  </si>
  <si>
    <t>7747240846001290</t>
  </si>
  <si>
    <t>Прошу Вас уточнить актуальность сопровождения Персональным помощником.</t>
  </si>
  <si>
    <t>7772550896001125</t>
  </si>
  <si>
    <t>Дранкова М.Ю.</t>
  </si>
  <si>
    <t>7758840839000302</t>
  </si>
  <si>
    <t>9649050085/9164452868</t>
  </si>
  <si>
    <t>Попов Д.В.</t>
  </si>
  <si>
    <t>С июня 2021 года пациент периодически отказывается от записи к врачу-онкологу, на 02.06.2022 полис пациента недействителен, в ЕМИАС значок регионального пациента. Прошу Вас уточнить актуальную информацию о пациенте.</t>
  </si>
  <si>
    <t>С июня 2021 года пациент периодически отказывается от записи к врачу-онкологу, на 02.06.2022 полис пациента недействителен, в ЕМИАС значок регионального пациента. Прошу Вас уточнить актуальность сопровождения Персональным помощником.</t>
  </si>
  <si>
    <t>Закирова Д.И.</t>
  </si>
  <si>
    <t>7749820874002027</t>
  </si>
  <si>
    <t>Прошу уточнить,кто является участковым онкологом у данной пациентки (ГП 6Ф4). По системе ЕМИАС Азизов/Торшхоева, а по присланной Вами раздатке Курдагия/Бейтуганова.</t>
  </si>
  <si>
    <t>7751640826001629</t>
  </si>
  <si>
    <t>9104775520 дочь</t>
  </si>
  <si>
    <t>Строяковский Д.Л.</t>
  </si>
  <si>
    <t>Первичный прием Строяковского Д.Л. 05.05. Необходим повторный прием по результатам КТ (от 23.05). По состоянию на 02.06 пациенту не удалось записаться (то нет свободных слотов, то ни один ХТ в КДО не работает). По телефону отделения ХТ сказали звонить для записи только 10.05, т.е даже если пациенту удастся записаться, попадет на прием не раньше 13.06.22</t>
  </si>
  <si>
    <t>7768350830001554</t>
  </si>
  <si>
    <t>Плахова Д.А.</t>
  </si>
  <si>
    <t>Запись на первичный прием к абдоминальному хирургу только 15.06, при этом у пациента уже установлен диагноз.</t>
  </si>
  <si>
    <t>7750140892000671</t>
  </si>
  <si>
    <t>Наумова И.Н.</t>
  </si>
  <si>
    <t>Прошу, по возможности, записать пациентку на ОАК, Б/Х, ОАМ</t>
  </si>
  <si>
    <t>7751840874001543</t>
  </si>
  <si>
    <t>Джураев У.Х.</t>
  </si>
  <si>
    <t>Прошу создать пациентке направление на креатинин и мочевину, так как эти анализы необходимы перед нефросцинтиграфией. ( Есть запись за забор крови на 06.06, возможно ли будет сдать по двум направлениям?)</t>
  </si>
  <si>
    <t>7700000127150877</t>
  </si>
  <si>
    <t>7750830830001498</t>
  </si>
  <si>
    <t>5052230879001443</t>
  </si>
  <si>
    <t>Гасанов А.Г.</t>
  </si>
  <si>
    <t>УЗИ МЖ, печени, л/у</t>
  </si>
  <si>
    <t>7775150869000746</t>
  </si>
  <si>
    <t>Номер ПП как будто в ЧС.</t>
  </si>
  <si>
    <t>Степанова О.Ю.</t>
  </si>
  <si>
    <t>7700000053700756</t>
  </si>
  <si>
    <t>Субботина А.А.</t>
  </si>
  <si>
    <t>7700006046530257</t>
  </si>
  <si>
    <t>Грунина А.А.</t>
  </si>
  <si>
    <t>7700000086160372</t>
  </si>
  <si>
    <t>7701002008110633</t>
  </si>
  <si>
    <t>УЗИ ОБП,шеи,ЩЖ</t>
  </si>
  <si>
    <t>7700007092020752</t>
  </si>
  <si>
    <t>Рыбин О.Н.</t>
  </si>
  <si>
    <t>РЭА,СА-19.9,АФП</t>
  </si>
  <si>
    <t xml:space="preserve">Рыбин О.Н. </t>
  </si>
  <si>
    <t>УЗИ ОБП  у Полякова А.Н.(рекомендация врача)</t>
  </si>
  <si>
    <t>7700009039131156</t>
  </si>
  <si>
    <t>9104141692, 4954906769</t>
  </si>
  <si>
    <t>Филиппова В.М.</t>
  </si>
  <si>
    <t>7700006340510757</t>
  </si>
  <si>
    <t>У пациента ЛН выдан по 13.06. Так как 13.06 у лечащего врача нет слотов для записи,пациент записан на 14.06. Прошу уточнить,не будет ли это нарушением или пациенту необходимо явиться 13.06 на прием без записи к дежурному врачу?</t>
  </si>
  <si>
    <t>7748540874000380</t>
  </si>
  <si>
    <t>7777250892001758</t>
  </si>
  <si>
    <t>Сафонова О.Ю.</t>
  </si>
  <si>
    <t>Б/Х,ОАК,ОАМ, УЗИ ОБП,почек, УЗИ м/таза, РГ гр кл,ММГ</t>
  </si>
  <si>
    <t>7767550884001035</t>
  </si>
  <si>
    <t>7700004106740258</t>
  </si>
  <si>
    <t>7755530841002858</t>
  </si>
  <si>
    <t>Взятие венозной крови на 17.06</t>
  </si>
  <si>
    <t>УЗИ ОБП</t>
  </si>
  <si>
    <t>7700007041571050</t>
  </si>
  <si>
    <t>Котин А.И.</t>
  </si>
  <si>
    <t>2358340824001154</t>
  </si>
  <si>
    <t>Берая В.В.</t>
  </si>
  <si>
    <t>РЭА ,АФП,  СА 72,4  Са  19,9  ФКС</t>
  </si>
  <si>
    <t>Сакурова К.В.</t>
  </si>
  <si>
    <t>5054820886001648</t>
  </si>
  <si>
    <t>8 916 969 25 57</t>
  </si>
  <si>
    <t>Пациентка отказалась от записи и  бросила трубку. Прошу уточнить возможность дальнейшего сопровождения в проекте.</t>
  </si>
  <si>
    <t>7753820879001282</t>
  </si>
  <si>
    <t>8 903 712 88 98</t>
  </si>
  <si>
    <t>Казанкина Ю.А (терапевт по рек-ии врача онколога Новожилова Д.Е.)</t>
  </si>
  <si>
    <t>УЗИ ОБП, л/у, молочных желез</t>
  </si>
  <si>
    <t>7757820874002653</t>
  </si>
  <si>
    <t>8 903 200 89 55</t>
  </si>
  <si>
    <t>7747740848000604</t>
  </si>
  <si>
    <t>8 905 541 56 81</t>
  </si>
  <si>
    <t>Отказ от лечения</t>
  </si>
  <si>
    <t>7700004168540638</t>
  </si>
  <si>
    <t>8 985 191 49 09</t>
  </si>
  <si>
    <t>Пациент записан на консультацию в стационар на 20.06. Прошу уточнить, есть ли возможность перезаписи на более раннюю дату, МРТ делает 05.06. Если есть прошу связаться и перезаписать пациента.</t>
  </si>
  <si>
    <t>7748740846000670</t>
  </si>
  <si>
    <t>8 916 247 40 62</t>
  </si>
  <si>
    <t>Пациент записан на консультацию в стационар на 24.06. Прошу уточнить, есть ли возможность перезаписи на более раннюю дату. Если есть прошу связаться и перезаписать пациента.</t>
  </si>
  <si>
    <t>7757030893000015</t>
  </si>
  <si>
    <t>8 903 560 37 67</t>
  </si>
  <si>
    <t>7751440869000384</t>
  </si>
  <si>
    <t>8 916 199 33 69</t>
  </si>
  <si>
    <t>Новожилов Д.Е.</t>
  </si>
  <si>
    <t>УЗИ л/у, правой м/ж</t>
  </si>
  <si>
    <t>7772150893001119</t>
  </si>
  <si>
    <t>8 917 523 98 24</t>
  </si>
  <si>
    <t>Прошу выслать крайние протоколы приема врача онколога</t>
  </si>
  <si>
    <t>7700001139640856</t>
  </si>
  <si>
    <t>8 909 934 40 41</t>
  </si>
  <si>
    <t>7700001132210259</t>
  </si>
  <si>
    <t xml:space="preserve">8 901 792 55 06 / 8 903 597 35 36 </t>
  </si>
  <si>
    <t>Ранее получен ответ из ГП " Анализы крови  - результат от 27.05.2022, УЗИ вен н/к - заключение от 05.04.2022, ЭХО-КГ записана на 15.06.2022". Однако в системе ЕМИАС нет результатов на вич, гепатит. Также прошу уточнить, есть ли возможность перенести запись на ЭХО КГ до 14.06. Так как в этот день назначен ОК. Необходимо анализы крови также успеть сдать до 14.06. Прошу записать пациентку.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</si>
  <si>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</si>
  <si>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</si>
  <si>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</si>
  <si>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</si>
  <si>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</si>
  <si>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</si>
  <si>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</si>
  <si>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7700009180110352</t>
  </si>
  <si>
    <t>8 916 522 28 14</t>
  </si>
  <si>
    <t>УЗИ МЖ, подм. Л/У.</t>
  </si>
  <si>
    <t>7700003124090775</t>
  </si>
  <si>
    <t>8 917 563 10 60</t>
  </si>
  <si>
    <t>7700009107250842</t>
  </si>
  <si>
    <t>8 909 944 87 70     8 499 946 97 43</t>
  </si>
  <si>
    <t>7776350884000858</t>
  </si>
  <si>
    <t>8 926 209 11 34</t>
  </si>
  <si>
    <t>7700003112100264</t>
  </si>
  <si>
    <t>8 977 678 11 84     8 499 497 12 68</t>
  </si>
  <si>
    <t>7700009103800470</t>
  </si>
  <si>
    <t>8 909 159 93 87     8 964 588 94 10</t>
  </si>
  <si>
    <t>Заикина Л.В.</t>
  </si>
  <si>
    <t>5573850885000046</t>
  </si>
  <si>
    <t>врач кдо</t>
  </si>
  <si>
    <t>7701001173271048</t>
  </si>
  <si>
    <t>7754820895000747</t>
  </si>
  <si>
    <t>4353930880000289</t>
  </si>
  <si>
    <t>крайний протокол</t>
  </si>
  <si>
    <t>Прошу Вас выслать крайний протокол осмотра</t>
  </si>
  <si>
    <t>3074050824000020</t>
  </si>
  <si>
    <t>Ларичева Е.</t>
  </si>
  <si>
    <t>Со слов пациента,состоялась консультация 29.05.2022. Пациенту назначены УЗИ ОБП, УЗИ л/у. В Системе ЕМИАС отсутствует протокол осмотра. Прошу Вас выслать скан протокола.</t>
  </si>
  <si>
    <t>7700009048640558</t>
  </si>
  <si>
    <t>9167100940 / 4991517052</t>
  </si>
  <si>
    <t>7700001114210171</t>
  </si>
  <si>
    <t>7776750838000336</t>
  </si>
  <si>
    <t>7700006229790560</t>
  </si>
  <si>
    <t>Пациент отвечает на звонок и сбрасывает</t>
  </si>
  <si>
    <t>7771560898000299</t>
  </si>
  <si>
    <t>9258298836 / 4991924170</t>
  </si>
  <si>
    <t>7171250880000350</t>
  </si>
  <si>
    <t>7700004146800548</t>
  </si>
  <si>
    <t>7775250884002386</t>
  </si>
  <si>
    <t>Симбирская А.М.</t>
  </si>
  <si>
    <t>7701008035710851</t>
  </si>
  <si>
    <t>(910)473-07-74</t>
  </si>
  <si>
    <t>5052630875001927</t>
  </si>
  <si>
    <t>Барковская С.Н..</t>
  </si>
  <si>
    <t>Изюмская А.Д.</t>
  </si>
  <si>
    <t>7752840835000351</t>
  </si>
  <si>
    <t>Т-т Макаренко И.В</t>
  </si>
  <si>
    <t>Прошу связаться с пациентом и зваписать на ЭХО-КГ и УЗДГ вен нк до 10.06 (для госпитализации, она назначена на 10.06)</t>
  </si>
  <si>
    <t>7750310891000267</t>
  </si>
  <si>
    <t>9152360354   9652105020</t>
  </si>
  <si>
    <t>7700009212270953</t>
  </si>
  <si>
    <t>30.05 была попытка дозвониться до пациентки с целью напоминания об УЗИ о МЖ, которое было рекомендовано онкологом пройти в июне 2022. Пациентка после того, как услышала, что ей звонит Персональный помощник сбросила трубку. Прошу уточнить необходимость сопровождения ПП</t>
  </si>
  <si>
    <t>7700009053250555</t>
  </si>
  <si>
    <t>ВОП Фиронова Л.В</t>
  </si>
  <si>
    <t>МРТ почек с ку</t>
  </si>
  <si>
    <t>7700004051080566</t>
  </si>
  <si>
    <t>9654335182   4999465546</t>
  </si>
  <si>
    <t>ВОП Михайлова О.В</t>
  </si>
  <si>
    <t>На предыдущий запрос поступил ответ, что пациентке выдано направление для записи на ММГ. Требуется не выдача направления, а запись на ММГ, так как у ПП и у пациентки нет свободных слотов для записи. Прошу связаться с пациенткой и записать на ММГ для явки к онкологу</t>
  </si>
  <si>
    <t>7700000181091274</t>
  </si>
  <si>
    <t>Айвазов М.Р</t>
  </si>
  <si>
    <t>7700009052090655</t>
  </si>
  <si>
    <t>9154214738   4997296948</t>
  </si>
  <si>
    <t>после 04.05</t>
  </si>
  <si>
    <t>Прошу выслать все сканы после 04.05</t>
  </si>
  <si>
    <t>Ветрова Е.В.</t>
  </si>
  <si>
    <t>Сорокин Д.П.</t>
  </si>
  <si>
    <t>7701004141760585</t>
  </si>
  <si>
    <t>8 926 649 15 83</t>
  </si>
  <si>
    <t>Ответ от 17.05.2022: "госпитализирован 11.05.2022"</t>
  </si>
  <si>
    <t>7700008057050256</t>
  </si>
  <si>
    <t>89605149286, 84997383735</t>
  </si>
  <si>
    <t>Филатова А.В.</t>
  </si>
  <si>
    <t>7751440825000478</t>
  </si>
  <si>
    <t>89039663805 , 84957173263</t>
  </si>
  <si>
    <t>Анискина А.С.</t>
  </si>
  <si>
    <t>7771250821001495</t>
  </si>
  <si>
    <t>89152959595, 84954258220</t>
  </si>
  <si>
    <t>Свиридов С.В.</t>
  </si>
  <si>
    <t>7700003131090539</t>
  </si>
  <si>
    <t>84954944222, 89167905682</t>
  </si>
  <si>
    <t>Луев И.А.</t>
  </si>
  <si>
    <t xml:space="preserve">Пациент уехал на все лето на дачу </t>
  </si>
  <si>
    <t>7700007103680941</t>
  </si>
  <si>
    <t>84997314218, 89055813739</t>
  </si>
  <si>
    <t>Врач - онколог</t>
  </si>
  <si>
    <t xml:space="preserve">Со слов пациента прием у врача - онколога от 02.06.2022 состоялся. Просьба выслать скан протокола. </t>
  </si>
  <si>
    <t>7700009102711234</t>
  </si>
  <si>
    <t>84999448116, 89166377235</t>
  </si>
  <si>
    <t>7758040846000581</t>
  </si>
  <si>
    <t>89251171792, 84991518867</t>
  </si>
  <si>
    <t>Махалкина В.Н.</t>
  </si>
  <si>
    <t>7700000124800571</t>
  </si>
  <si>
    <t>Петрова А.Л.</t>
  </si>
  <si>
    <t>эндокринолог ( по данным протокола  Петровой А.Л. Рекомендована консультация эндокринолога, а не хирурга-эндокринолога "  на пответ от ГП от 1.06.2022)</t>
  </si>
  <si>
    <t>7700003170700564</t>
  </si>
  <si>
    <t>эндокринолог, на ответ от ГП от 01.06.22 состоялся телефонный разговор ПП с пациентом, пациент сообщил, что никто не звонил для записи к эндокринологу</t>
  </si>
  <si>
    <t>7858900843002279</t>
  </si>
  <si>
    <t>пациент направлен к онкологу, был записан на 01.06.22. Со слов врач-оториноларинголог Солодин Н.Д. позвонил и сообщил, чтобы пациент отменил прием врача-онколога, так как консультация не требуется. Прошу уточнить уточнить необходимость консультации врача-онколога</t>
  </si>
  <si>
    <t>7776940847001330</t>
  </si>
  <si>
    <t>Маркова А.Ю.</t>
  </si>
  <si>
    <t>биопсия простаты</t>
  </si>
  <si>
    <t>7700002103520254</t>
  </si>
  <si>
    <t>Левитан Н.Е.</t>
  </si>
  <si>
    <t>ПСА, УЗИ ОМТ, Рентгенография ОГК</t>
  </si>
  <si>
    <t>7777350828000096</t>
  </si>
  <si>
    <t>ВЭ по хирургическому лечению</t>
  </si>
  <si>
    <t>со слов был госпитализирован 24.05-31.05.22</t>
  </si>
  <si>
    <t>7755640831001834</t>
  </si>
  <si>
    <t>7700007004050559</t>
  </si>
  <si>
    <t>9296815856   4956751181</t>
  </si>
  <si>
    <t>7700000227120383</t>
  </si>
  <si>
    <t>Конькова А.С.</t>
  </si>
  <si>
    <t xml:space="preserve"> УЗИ МЖ</t>
  </si>
  <si>
    <t>7700005014230655</t>
  </si>
  <si>
    <t>Грачев С.А.</t>
  </si>
  <si>
    <t>7700007012550667</t>
  </si>
  <si>
    <t>9169794536 Марина</t>
  </si>
  <si>
    <t>Афаунова А.Р.</t>
  </si>
  <si>
    <t>7750840869002499</t>
  </si>
  <si>
    <t>8(968)740-44-19</t>
  </si>
  <si>
    <t>Алимов А.А.</t>
  </si>
  <si>
    <t>7748530878002748</t>
  </si>
  <si>
    <t>8(910)464-24-88</t>
  </si>
  <si>
    <t xml:space="preserve">Горбачева Е.А. </t>
  </si>
  <si>
    <t>КТ головы с КУ</t>
  </si>
  <si>
    <t>7701006052240844</t>
  </si>
  <si>
    <t>8(495)965-54-11; 8(916)016-91-86</t>
  </si>
  <si>
    <t>Харламов А.А.</t>
  </si>
  <si>
    <t>УЗИ м/ж</t>
  </si>
  <si>
    <t>Иматшоева З.Ш.</t>
  </si>
  <si>
    <t>7700003110030153</t>
  </si>
  <si>
    <t>Огурлиева Г.А.</t>
  </si>
  <si>
    <t>2456400837000139</t>
  </si>
  <si>
    <t>Сабитов Э.Р.</t>
  </si>
  <si>
    <t>7771050876001451</t>
  </si>
  <si>
    <t>7748720898001396</t>
  </si>
  <si>
    <t>89031490227/84956488061</t>
  </si>
  <si>
    <t>7701006226200637</t>
  </si>
  <si>
    <t>7768150832001127</t>
  </si>
  <si>
    <t>7750310877003111</t>
  </si>
  <si>
    <t>Лиханова Г.С.</t>
  </si>
  <si>
    <t>7700006165250463</t>
  </si>
  <si>
    <t>Ульянкина А.А.</t>
  </si>
  <si>
    <t>7755030844002328</t>
  </si>
  <si>
    <t>89153229535 / 89150242835</t>
  </si>
  <si>
    <t>Шевченко С.А.</t>
  </si>
  <si>
    <t>7700004179800660</t>
  </si>
  <si>
    <t>89254359403 / 89104271204</t>
  </si>
  <si>
    <t>Карагужин С.К.</t>
  </si>
  <si>
    <t>7758530888002495</t>
  </si>
  <si>
    <t>7700007091040750</t>
  </si>
  <si>
    <t>Пациентка сообщила, что она на данный момент не готова записаться к онкологу</t>
  </si>
  <si>
    <t>Попова Е.А.</t>
  </si>
  <si>
    <t>5075850893000643</t>
  </si>
  <si>
    <t>8-965-383-95-35</t>
  </si>
  <si>
    <t>Отказывается от записи к онкоофтальмологу</t>
  </si>
  <si>
    <t>5049320871002311</t>
  </si>
  <si>
    <t>8-965-363-44-78</t>
  </si>
  <si>
    <t>7771850888001310</t>
  </si>
  <si>
    <t>8-915-481-66-49</t>
  </si>
  <si>
    <t>7750830843000552</t>
  </si>
  <si>
    <t>8-963-782-96-57</t>
  </si>
  <si>
    <t>Ульянов Р.В.</t>
  </si>
  <si>
    <t>7758520884000825</t>
  </si>
  <si>
    <t>8-910-432-04-24</t>
  </si>
  <si>
    <t>ПОВТОРНО</t>
  </si>
  <si>
    <t>7701005008240749</t>
  </si>
  <si>
    <t>8-985-355-53-93</t>
  </si>
  <si>
    <t>Ушаков И.С</t>
  </si>
  <si>
    <t>5052630871002028</t>
  </si>
  <si>
    <t>Варданян С.Г</t>
  </si>
  <si>
    <t>7753710872000128</t>
  </si>
  <si>
    <t>8352630872000121</t>
  </si>
  <si>
    <t>Конькова А.С</t>
  </si>
  <si>
    <t>УЗИ МЖ</t>
  </si>
  <si>
    <t>Силакова К.А.</t>
  </si>
  <si>
    <t>7701004003740654</t>
  </si>
  <si>
    <t>7700009215260350</t>
  </si>
  <si>
    <t>7700000131050752</t>
  </si>
  <si>
    <t>7700006161170735</t>
  </si>
  <si>
    <t>(499)186-78-21</t>
  </si>
  <si>
    <t>7700005061090862</t>
  </si>
  <si>
    <t>(903)681-20-92</t>
  </si>
  <si>
    <t>Лепетченко И.А.</t>
  </si>
  <si>
    <t>7700000214530359</t>
  </si>
  <si>
    <t>Баженова Е.В.</t>
  </si>
  <si>
    <t>7053310873000115</t>
  </si>
  <si>
    <t>D44.0.
Прошу сформировать эл.нап-ние к онкологу согласно маршрутизации в ГКБ№40.</t>
  </si>
  <si>
    <t>7700000119660851</t>
  </si>
  <si>
    <t>Мелихов В.Н.</t>
  </si>
  <si>
    <t>МРТ ПЖ с КУ
Записан на взятие крови 07.06.22</t>
  </si>
  <si>
    <t>7700005273020438</t>
  </si>
  <si>
    <t>Мередов В.Б.</t>
  </si>
  <si>
    <t>7700002116180967</t>
  </si>
  <si>
    <t>УЗИ МЖ, ММГ</t>
  </si>
  <si>
    <t>7349700870000072</t>
  </si>
  <si>
    <t>КТ ОБП с КУ, МРТ ОМТ с КУ</t>
  </si>
  <si>
    <t>7700005075111049</t>
  </si>
  <si>
    <t>Шабалина О.В.</t>
  </si>
  <si>
    <t>7700003139211184</t>
  </si>
  <si>
    <t>Абдусаламова Л.М.</t>
  </si>
  <si>
    <t>7700007045230460</t>
  </si>
  <si>
    <t>7747700840000671</t>
  </si>
  <si>
    <t>Сиротина Т.А.</t>
  </si>
  <si>
    <t>7777450897000173</t>
  </si>
  <si>
    <t>Архангельская О.В.</t>
  </si>
  <si>
    <t xml:space="preserve">УЗИ ЩЖ, УЗИ ЛУ, ТТГ, Т4, АТ ТПО, ТГ, АТ ТГ, эндокринолог. </t>
  </si>
  <si>
    <t>7700008016811249</t>
  </si>
  <si>
    <t xml:space="preserve">Динамическое наблюдение. </t>
  </si>
  <si>
    <t>7700005157781140</t>
  </si>
  <si>
    <t>7700002100690945</t>
  </si>
  <si>
    <t>Гимазетдинова Д.М.</t>
  </si>
  <si>
    <t>6458730846046841</t>
  </si>
  <si>
    <t>Синицына О.Р.</t>
  </si>
  <si>
    <t>7700001178560659</t>
  </si>
  <si>
    <t>Отказ от записи по диагнозу C64</t>
  </si>
  <si>
    <t>7700003144211048</t>
  </si>
  <si>
    <t>Записан на 10.06.2022</t>
  </si>
  <si>
    <t>7700000108571133</t>
  </si>
  <si>
    <t>Пациент выполнил КТ ОГК от 03.05.2022, прошу Вас уточнить о необходимотси повторной консультации врача-онколога</t>
  </si>
  <si>
    <t>7757400887001016</t>
  </si>
  <si>
    <t>УЗИ/КТ ОБП</t>
  </si>
  <si>
    <t>Вельмакина О.В.</t>
  </si>
  <si>
    <t>7700000101570964</t>
  </si>
  <si>
    <t>8 967 023 79 70</t>
  </si>
  <si>
    <t>7754540831000284</t>
  </si>
  <si>
    <t>8 916 650 07 06</t>
  </si>
  <si>
    <t>Жоров А.Н.</t>
  </si>
  <si>
    <t>По рекомендации врача-онколога пациент осмотрен врачом-урологом, прошу уточнить показана ли пациенту дальнейшее наблюдение врача-онколога.</t>
  </si>
  <si>
    <t>7700002039120270</t>
  </si>
  <si>
    <t>916 660 14 61</t>
  </si>
  <si>
    <t>7700004020260964</t>
  </si>
  <si>
    <t>915 417 77 84</t>
  </si>
  <si>
    <t>Загаштокова А.К.</t>
  </si>
  <si>
    <t>Дата записи на core-биопсию под rg-контролем 08.06.2022</t>
  </si>
  <si>
    <t>770100504724202</t>
  </si>
  <si>
    <t>916 283 77 74</t>
  </si>
  <si>
    <t>7157440847000431</t>
  </si>
  <si>
    <t>8 920 743 14 05</t>
  </si>
  <si>
    <t>7700002050710553</t>
  </si>
  <si>
    <t>968 048 46 62/499 786 00 94</t>
  </si>
  <si>
    <t>Калантай Д.А.</t>
  </si>
  <si>
    <t>7700006145250461</t>
  </si>
  <si>
    <t>8-495-340-45-19 / 8-903-966-84-61</t>
  </si>
  <si>
    <t>Шапошникова А.С.</t>
  </si>
  <si>
    <t>УЗИ молочной железы</t>
  </si>
  <si>
    <t>1854440842000088</t>
  </si>
  <si>
    <t>8-919-722-64-85 / 8-958-817-27-71</t>
  </si>
  <si>
    <t>Ланкина Л.В.</t>
  </si>
  <si>
    <t>Был системный сбой ЕМИАС. Протокол не подгружен в ЕМИАС. Ркомендовано ПСА (общий + свободный) через 3 месяца</t>
  </si>
  <si>
    <t>7775060894001579</t>
  </si>
  <si>
    <t>8-499-742-91-49 / 8-985-834-39-14</t>
  </si>
  <si>
    <t>7758830892000638</t>
  </si>
  <si>
    <t>8-495-341-79-23 / 8-916-014-74-22</t>
  </si>
  <si>
    <t>8157320837001086</t>
  </si>
  <si>
    <t>Щербак А.Д</t>
  </si>
  <si>
    <t xml:space="preserve">Со слов пациента приём состоялся </t>
  </si>
  <si>
    <t>7755240847002858</t>
  </si>
  <si>
    <t>8-499-661-60-02 / 8-903-135-68-10</t>
  </si>
  <si>
    <t>Вороцова А.А.</t>
  </si>
  <si>
    <t>7700006173210649</t>
  </si>
  <si>
    <t>8-925-329-12-75</t>
  </si>
  <si>
    <t>2754640892000115</t>
  </si>
  <si>
    <t>8-914-151-06-42</t>
  </si>
  <si>
    <t>7700007069260361</t>
  </si>
  <si>
    <t>8-495-678-62-10 / 8-903-716-07-71</t>
  </si>
  <si>
    <t>Ализаде Г.Р.</t>
  </si>
  <si>
    <t>24.05.2022 поступил ответ от ЦАОП МКНЦ им. А.С. Логинова: "Записан в МКНЦ им.А.С.Логинова врач КДО ОГШ (Ализаде Г.Р.)на 26.05.2022 09:20 корп.4 эт.2 каб.5.". Прошу Вас выслать скан осмотра.</t>
  </si>
  <si>
    <t>1454920847000070</t>
  </si>
  <si>
    <t>8-916-774-35-62</t>
  </si>
  <si>
    <t>Пожарский Е.Д.</t>
  </si>
  <si>
    <t xml:space="preserve">В протоколе осмотра врача не отрадена дальнейшая тактика ведения пациента. Прошу Вас уточнить дальнейшую татктику ведения пациента. </t>
  </si>
  <si>
    <t>7700007079580360</t>
  </si>
  <si>
    <t>8-977-656-94-84</t>
  </si>
  <si>
    <t>Прошу Вас предоставить сканы протоколов приема из КДО МКНЦ им. А.С. Логинова за май 2022.</t>
  </si>
  <si>
    <t>7775660897000625</t>
  </si>
  <si>
    <t>8-499-172-30-06 / 8-903-669-76-43</t>
  </si>
  <si>
    <t>Гончаревич Д.Е.</t>
  </si>
  <si>
    <t>Пациенту рекомендовано наблюдение по м/ж. Прошу Вас уточнить корректный статс диагноза</t>
  </si>
  <si>
    <t>4047710897000601</t>
  </si>
  <si>
    <t>8-985-473-86-51</t>
  </si>
  <si>
    <t>7700004092101047</t>
  </si>
  <si>
    <t>8-495-378-92-82 / 8-964-527-30-12</t>
  </si>
  <si>
    <t>Консультация хирурга - панкреатолога МКНЦ (Байчоров М.Э., Тютюнник П.С., Андрианов А.В.)</t>
  </si>
  <si>
    <t>2252640892000294</t>
  </si>
  <si>
    <t>8-958-834-60-10</t>
  </si>
  <si>
    <t>Тигров М.С.</t>
  </si>
  <si>
    <t>25.05.2022 поспупил ответ от ЦАОП МКНЦ им. А.С. Логинова: "Записан на консультацию к онкологу на 25.05.2022 15:20 корп.4 эт.2 каб.1 (Тигров М.С.)". Прошу Вас выслать скан осмотра</t>
  </si>
  <si>
    <t>5050330839000378</t>
  </si>
  <si>
    <t>8-916-343-42-08</t>
  </si>
  <si>
    <t>Козлов И.В.</t>
  </si>
  <si>
    <t>17.05.2022 поспупил ответ от ЦАОП МКНЦ им. А.С. Логинова: "04.05.2022 выдано направление на консультацию оториноларинголога.  Записан на консультацию  на 31.05.2022 10:00 корп.4 эт.2. каб. ЛОР (Козлов И.В.)". Прошу Вас выслать скан осмотра</t>
  </si>
  <si>
    <t>7700007162280649</t>
  </si>
  <si>
    <t>8-499-177-31-31 / 8-916-974-61-36</t>
  </si>
  <si>
    <t>7700003058281043</t>
  </si>
  <si>
    <t>8-499-742-77-31 / 8-905-739-31-29</t>
  </si>
  <si>
    <t>Шириязданова Ю.Ф.</t>
  </si>
  <si>
    <t>7253120831000356</t>
  </si>
  <si>
    <t>8-908-873-30-80</t>
  </si>
  <si>
    <t>ТИАБ на 20.06.2022 - превышен срок</t>
  </si>
  <si>
    <t>7757540821001158</t>
  </si>
  <si>
    <t>8-985-446-75-96 / 8-967-270-73-77</t>
  </si>
  <si>
    <t>7700003176240363</t>
  </si>
  <si>
    <t>8-906-554-90-89</t>
  </si>
  <si>
    <t>Насирдинов Д.Р.</t>
  </si>
  <si>
    <t>ЕТ ОБП и МТ с КУ на 22.06.2022 - превышен срок</t>
  </si>
  <si>
    <t>Шовкун В. О.</t>
  </si>
  <si>
    <t>5054720893002011</t>
  </si>
  <si>
    <t>Саламатина К. А.</t>
  </si>
  <si>
    <t>7774750845000222</t>
  </si>
  <si>
    <t>Ульянов Р. В.</t>
  </si>
  <si>
    <t>7700000221020484</t>
  </si>
  <si>
    <t>Лолаева Л. С.</t>
  </si>
  <si>
    <t>По данным ЕМИАС, пациентка прошла рекомендованное ранее обследование (УЗИ от 01.06.2022). Прошу уточнить требуется ли консультация онколога по результатам.</t>
  </si>
  <si>
    <t>0547800885000425</t>
  </si>
  <si>
    <t>Мохова Д.В.</t>
  </si>
  <si>
    <t>7701008175680846</t>
  </si>
  <si>
    <t>8-915-102-90-17</t>
  </si>
  <si>
    <t>7757830827001538</t>
  </si>
  <si>
    <t>8-499-476-45-58</t>
  </si>
  <si>
    <t>5055030828000711</t>
  </si>
  <si>
    <t>8-916-201-61-22</t>
  </si>
  <si>
    <t>7767360818000347</t>
  </si>
  <si>
    <t>8-916-282-93-45</t>
  </si>
  <si>
    <t>Ридин В.А.</t>
  </si>
  <si>
    <t>Прошу Вас повторно выслать скан ОК</t>
  </si>
  <si>
    <t>7700006034680944</t>
  </si>
  <si>
    <t>8-903-763-79-34         8-499-255-18-96</t>
  </si>
  <si>
    <t>7775650821000049</t>
  </si>
  <si>
    <t>8-915-467-67-45</t>
  </si>
  <si>
    <t>Бояров И.И.</t>
  </si>
  <si>
    <t>7758840841000522</t>
  </si>
  <si>
    <t>8-916-818-33-38         8-499-907-88-78</t>
  </si>
  <si>
    <t>Мартиросова Я.А.</t>
  </si>
  <si>
    <t>7749040824000779</t>
  </si>
  <si>
    <t>(916)136-34-33</t>
  </si>
  <si>
    <t>УЗИ ОБП, ОМТ, ЗП. ЭКГ</t>
  </si>
  <si>
    <t>7756230818000881</t>
  </si>
  <si>
    <t>(916)097-78-77</t>
  </si>
  <si>
    <t>Зубарев А.В.</t>
  </si>
  <si>
    <t>Ершова Ю.А.</t>
  </si>
  <si>
    <t>7754540826001404</t>
  </si>
  <si>
    <t>9060643916</t>
  </si>
  <si>
    <t>Харитонов М.Ю.</t>
  </si>
  <si>
    <t>7747030824002539</t>
  </si>
  <si>
    <t>9104406488</t>
  </si>
  <si>
    <t>4055930841000239</t>
  </si>
  <si>
    <t>9260390020</t>
  </si>
  <si>
    <t>Капуза Е.В.</t>
  </si>
  <si>
    <t>Прошу выслать скан ЦИ.</t>
  </si>
  <si>
    <t>7753430837002826</t>
  </si>
  <si>
    <t>9168062182</t>
  </si>
  <si>
    <t>Необходимо записать пациента на УЗИ мочевого пузыря.Запланирован прием врача-онкоуролога 08.06.2022</t>
  </si>
  <si>
    <t>Щербакова К.Ю.</t>
  </si>
  <si>
    <t>3258540837000015</t>
  </si>
  <si>
    <t>7701045009510843</t>
  </si>
  <si>
    <t>9680401106 Ольга Викторовна - супруга / 9299854683</t>
  </si>
  <si>
    <t>7751640889002183</t>
  </si>
  <si>
    <t>7853320895002165</t>
  </si>
  <si>
    <t>Умяров Т.Р.</t>
  </si>
  <si>
    <t>7751210869003823</t>
  </si>
  <si>
    <t>Розовенко Ю.М.</t>
  </si>
  <si>
    <t>7752810875001460</t>
  </si>
  <si>
    <t xml:space="preserve">Селифонова А.И. </t>
  </si>
  <si>
    <t>4848310827000010</t>
  </si>
  <si>
    <t xml:space="preserve">Козлов А.К. </t>
  </si>
  <si>
    <t>7768050876001035</t>
  </si>
  <si>
    <t>Беляева А.В.</t>
  </si>
  <si>
    <t>7753330878001531</t>
  </si>
  <si>
    <t>Туйгунов Р.Т.</t>
  </si>
  <si>
    <t>По ответу МО от 24.05.2022 плановая дата госпитализации-21.06.2022.</t>
  </si>
  <si>
    <t>7750640829000181</t>
  </si>
  <si>
    <t>биопсия ПЖ</t>
  </si>
  <si>
    <t>7750030843002472</t>
  </si>
  <si>
    <t>Зорина Е.Ю.</t>
  </si>
  <si>
    <t>Пациент записан на прием к онкологу-химиотерапевту.Прошу выслать скан протокола ОК</t>
  </si>
  <si>
    <t>7700008074721047</t>
  </si>
  <si>
    <t>89091563234/ 87903156323</t>
  </si>
  <si>
    <t>7778360896001362</t>
  </si>
  <si>
    <t>врач общей практики(семейный врач) Дементьева Л.И.</t>
  </si>
  <si>
    <t>02.06.2022 пациент поступил в программу на сопровождение. Прошу уточнить контактный номер пациента и сформировать электронное направление к врачу-онкологу согласно маршрутизации.</t>
  </si>
  <si>
    <t>7700000062021251</t>
  </si>
  <si>
    <t>7701002135730246</t>
  </si>
  <si>
    <t>Новикова И.Е.</t>
  </si>
  <si>
    <t>7700002029530860</t>
  </si>
  <si>
    <t>7-917-523-17-33</t>
  </si>
  <si>
    <t>Лебедева Т.Н.</t>
  </si>
  <si>
    <t>01.06.2022-ответ от ЦАОП-Сроки проведения ОК не нарушены. Запрос который был направлен ПП от 30.05.2022 был  не о превышеее срока-ОК, а о дате записи- ОК.Прошу уточнить дату на которую запланирован ОК.</t>
  </si>
  <si>
    <t>7700004220210578</t>
  </si>
  <si>
    <t>7-916-275-15-60</t>
  </si>
  <si>
    <t>Осмотр Врача-онколога в КЖЗ</t>
  </si>
  <si>
    <t>7700005141020734</t>
  </si>
  <si>
    <t>7-499-172-74-52</t>
  </si>
  <si>
    <t>Все приемы</t>
  </si>
  <si>
    <t>7776150868001355</t>
  </si>
  <si>
    <t>9-917-528-66-15</t>
  </si>
  <si>
    <t>Кожарская Г.В.</t>
  </si>
  <si>
    <t>Пациенту,Врачом-онкологом,рек-на консультация Врача-гинеколога с результатами МРТ ОМТ.18.05.2022 пациент прошел данное исследование,результаты на руках. Прошу связаться с пациентом и записать на консультацию Врача- гинеколога.02.06.2022-на звонок ПП пациент сообщил, что не понимает как ему записаться в женскую консультацию.Не знает адрес прикрепления.По 122 записаться не смог, так как там оператор сказал, что  записываться нужно через приложение ЕМИАС.Пациент пожилой, прошу связаться с пациентом и объяснить порядок записи на консультацию Врача-гинеколога.</t>
  </si>
  <si>
    <t>7701007050250744</t>
  </si>
  <si>
    <t>7-495-644-15-11</t>
  </si>
  <si>
    <t>Пациент не отвечает на звонки ПП с апреля 2022г.</t>
  </si>
  <si>
    <t>7700006121220942</t>
  </si>
  <si>
    <t>7-916-316-73-77</t>
  </si>
  <si>
    <t>Пациент записан в МКНЦ им.А.С.Логинова на консультацию к Врачу-онкологу и анестезиологу на 06.06.2022.02.06.2022 на звонок ПП пациент сообщил, что консультирован кардиологом в ГКБ №15.Пациенту рекомендовано пройти ЧП Эхо-КГ.Подозрение на тромб в сердце.Госпитализация для проведения данного исследования назначена на 09.06.2022.Пациент переживает, что пропустит консультации назначенные на 06.06.2022 в МКНЦ им.А.С.Логинова.Прошу связаться с пациентом и перенести записи на прием к Врачу-онкологу и анестезиологу.</t>
  </si>
  <si>
    <t>Канева А.В.</t>
  </si>
  <si>
    <t>7752440822000256</t>
  </si>
  <si>
    <t>7700002256070754</t>
  </si>
  <si>
    <t>9885034260 / 4991608547</t>
  </si>
  <si>
    <t>778150821000419</t>
  </si>
  <si>
    <t>9168284025 / 9017538939</t>
  </si>
  <si>
    <t xml:space="preserve">Пациент был записан на прием к Завед. абдомин. отделением Голышко П.В. На 01.06.2022. Со слов пациента: на прием он явился, но прием не состоялся, т.к. врач был на операции, пациент ждал приема до 18.00. После этого к нему подошел медицинский работкник, сообщил, что врач на операции и  попросил предоставить контатный номер телефона и сазал ожидать звонка для назначения новой даты консультации. </t>
  </si>
  <si>
    <t>Пациент был записан на прием к Завед. абдомин. отделением Голышко П.В. На 01.06.2022. Со слов пациента: на прием он явился, но прием не состоялся, т.к. врач был на операции, пациент ждал до 18.00. После этого к нему подошел медицинский работкник, сообщил, что врач на операции и  попросил предоставить контатный номер телефона и сазал ожидать звонка для назначения новой даты консультации.. От записи пациент отказывается, т.к. ожидает звонка из ГКБ. им. Д.Д. Плетнева. Прошу Вас уточнить дату консультации и связаться с пациентом.</t>
  </si>
  <si>
    <t>7775950833000783</t>
  </si>
  <si>
    <t>МРТ ОМТ с КУ. Также уведомляю Вас, что, со слов пациента, у него имеется на руках результат анализа на креатинин от 14.05.2022.</t>
  </si>
  <si>
    <t>Монклер А.А.</t>
  </si>
  <si>
    <t>8150440847000550</t>
  </si>
  <si>
    <t>8 966 195 58 67</t>
  </si>
  <si>
    <t>7747440884001703</t>
  </si>
  <si>
    <t>8 926 128 64 77</t>
  </si>
  <si>
    <t>Хазарова Е.Г.</t>
  </si>
  <si>
    <t>7700004017530453</t>
  </si>
  <si>
    <t>8 916 846 46 27</t>
  </si>
  <si>
    <t>01.06 состоялся прием врача-онколога Афаунова А.Р.</t>
  </si>
  <si>
    <t>7750440898001396</t>
  </si>
  <si>
    <t>8 985 884 38 43</t>
  </si>
  <si>
    <t>5053310871001341</t>
  </si>
  <si>
    <t>8 962 953 06 63</t>
  </si>
  <si>
    <t>Прием от 31.05.2022</t>
  </si>
  <si>
    <t>7753930893000218</t>
  </si>
  <si>
    <t>8 915 149 55 21</t>
  </si>
  <si>
    <t>7750510879003817</t>
  </si>
  <si>
    <t>8 901 752 84 12</t>
  </si>
  <si>
    <t>Панфилова Л.Н.</t>
  </si>
  <si>
    <t>Прошу уточнить дату записи на УЗИ ОБП. Прошу уточнить нуждается ли пациент в повторной консультации онколога с сопровождением ПП</t>
  </si>
  <si>
    <t>Нихаенко В.Н.</t>
  </si>
  <si>
    <t>7700003218030455</t>
  </si>
  <si>
    <t>(965)247-76-56</t>
  </si>
  <si>
    <t>Звонок от пациентки с целью записи к врачу онкологу.Прошу Вас создать электронное направление.</t>
  </si>
  <si>
    <t>7700007118570958</t>
  </si>
  <si>
    <t>7700004037260259</t>
  </si>
  <si>
    <t>МСКТ ОГК,ЭГДС,колоноскопия.</t>
  </si>
  <si>
    <t>Герасимов О.В.</t>
  </si>
  <si>
    <t>7752530837000513</t>
  </si>
  <si>
    <t>5053830886000475</t>
  </si>
  <si>
    <t>Шевелев Г.С</t>
  </si>
  <si>
    <t>7700006089171053</t>
  </si>
  <si>
    <t>Прошу уточнить плановую дату госпитализации в рамках лечения</t>
  </si>
  <si>
    <t>7754840836001711</t>
  </si>
  <si>
    <t>4959410125/     9852643891</t>
  </si>
  <si>
    <t>Марилов Т.В</t>
  </si>
  <si>
    <t>Прошу выслать скан протокола ОК</t>
  </si>
  <si>
    <t>Подомарева О.В.</t>
  </si>
  <si>
    <t>7758540841002144</t>
  </si>
  <si>
    <t>7756720876002035</t>
  </si>
  <si>
    <t>Прошу сформировать электронное направление для записи в ГБУЗ "МГОБ № 62 ДЗМ" по рекомендации врача гематолога.</t>
  </si>
  <si>
    <t>7754540879003240</t>
  </si>
  <si>
    <t xml:space="preserve">Подомарева О.В. </t>
  </si>
  <si>
    <t>7756130890001312</t>
  </si>
  <si>
    <t>Прошу уточнить дату записи на ММГ. И связаться с пациентом.</t>
  </si>
  <si>
    <t>7755830881003299</t>
  </si>
  <si>
    <t>Пациентка отказалась от записи к онкологу, объяснив тем, что консультировалась в центре по онкологии и ей сказали, что у нее все хорошо. Прошу уточнить у пациента нужно ли ей сопровождение персонального помощника.</t>
  </si>
  <si>
    <t>2373360878000515</t>
  </si>
  <si>
    <t>Рычкова А.А</t>
  </si>
  <si>
    <t>7700001031191281</t>
  </si>
  <si>
    <t>9164114074</t>
  </si>
  <si>
    <t>Горбунова Т.А</t>
  </si>
  <si>
    <t>Врачом онкологом рекомендовано УЗИ МЖ (записана на 14.06.22). Просьба создать эл направление к онкологу после исследования</t>
  </si>
  <si>
    <t>7753040838000586</t>
  </si>
  <si>
    <t>9032767153</t>
  </si>
  <si>
    <t>Пушкарева М.В</t>
  </si>
  <si>
    <t>Просьба уточнить дату записи на УЗИ ОБП, УЗИ ЩЖ</t>
  </si>
  <si>
    <t>7748400885001119</t>
  </si>
  <si>
    <t>9647835414</t>
  </si>
  <si>
    <t>Абдусаламова Л.М</t>
  </si>
  <si>
    <t>Пациенту рекомендовано врачом онкологом УЗИ МЖ+ повторная явка к онкологу  (прошла исследование 18.05.22 рекомендована консультация маммолога). Прошу создать эл направление к онкологу по результатам исследования</t>
  </si>
  <si>
    <t>3653020886000621</t>
  </si>
  <si>
    <t>9684901192</t>
  </si>
  <si>
    <t>Просьба записать пациента на прием к онкологу по диагнозу D48.6, пациент отказывается. Прошу уточнить нуждается ли пациент в приеме врача онколога по данному диагнозу и в сопровождении ПП</t>
  </si>
  <si>
    <t>7758040839003006</t>
  </si>
  <si>
    <t>9167814780  9859798243</t>
  </si>
  <si>
    <t>Пак А.Д</t>
  </si>
  <si>
    <t>Просьба уточнить дату ОК</t>
  </si>
  <si>
    <t>7755740894000853</t>
  </si>
  <si>
    <t>9639715404  4953968237</t>
  </si>
  <si>
    <t>Прошу уточнить дату ОК</t>
  </si>
  <si>
    <t>7755740848000652</t>
  </si>
  <si>
    <t>9851997576</t>
  </si>
  <si>
    <t>Государева А.В</t>
  </si>
  <si>
    <t>Просьба выслать скан протокола от 01.06.22</t>
  </si>
  <si>
    <t>5056710885000931</t>
  </si>
  <si>
    <t>9166849060</t>
  </si>
  <si>
    <t>Шорина О.Ю</t>
  </si>
  <si>
    <t>Просьба уточнить тактику ведения по данному диагнозу D16.1  Прошу уточнить дальнейшие рекомендации, нуждается ли пациент в повторном приеме врача онколога</t>
  </si>
  <si>
    <t>1355220837000382</t>
  </si>
  <si>
    <t>9777148543</t>
  </si>
  <si>
    <t>Прошу выслать скан протокола от 01.06.2022 Пациент сообщил что прием состоялся и даны рекомендации</t>
  </si>
  <si>
    <t>Просьба записать на прием к врачу онкоурологу по диагнозу D40.0 Пациент отказывается от записи. Прошу уточнить нуждается ли пациент в приеме врача онколога</t>
  </si>
  <si>
    <t>7774650891000490</t>
  </si>
  <si>
    <t>9166087368</t>
  </si>
  <si>
    <t>Кропачев И.А</t>
  </si>
  <si>
    <t>Просьба уточнить дату записи на КТ ОГК с КУ, ФВД, консультация фтизиатра</t>
  </si>
  <si>
    <t>7749640829000813</t>
  </si>
  <si>
    <t>9031863741</t>
  </si>
  <si>
    <t>Просьба записать пациента на прием к онкологу, пациент отказывается от записи.</t>
  </si>
  <si>
    <t>7700007011801154</t>
  </si>
  <si>
    <t>9266044094</t>
  </si>
  <si>
    <t>Ульянов Р.В</t>
  </si>
  <si>
    <t>Прошу уточнить дату записи на ПСА</t>
  </si>
  <si>
    <t>7700006018570753</t>
  </si>
  <si>
    <t>4953939813, 9163366709</t>
  </si>
  <si>
    <t>Просьба записать пациента на прием к врачу онкологу пациент длительное время не отвечает</t>
  </si>
  <si>
    <t>Юдин И.Е.</t>
  </si>
  <si>
    <t>7748830875002869</t>
  </si>
  <si>
    <t>ММГ, УЗИ</t>
  </si>
  <si>
    <t>7777160826001032</t>
  </si>
  <si>
    <t>7755830825002969</t>
  </si>
  <si>
    <t>9858042285 / 9265270297</t>
  </si>
  <si>
    <t>2458600888000205</t>
  </si>
  <si>
    <t>7700008203111248</t>
  </si>
  <si>
    <t>Полис пациента недействителен. Прошу уточнить статус пациента.</t>
  </si>
  <si>
    <t>7700002250280162</t>
  </si>
  <si>
    <t>Шенберг В.Г.</t>
  </si>
  <si>
    <t>7700008089641146</t>
  </si>
  <si>
    <t>9035236412 / 4991824427</t>
  </si>
  <si>
    <t>Барабанова Ю.Е.</t>
  </si>
  <si>
    <t>7750340880000580</t>
  </si>
  <si>
    <t>7751440833000536</t>
  </si>
  <si>
    <t>9778225047; 4991947390</t>
  </si>
  <si>
    <t>анализ крови ТТГ; свТ4</t>
  </si>
  <si>
    <t>Шамрай Л.М.</t>
  </si>
  <si>
    <t>7776060883000862</t>
  </si>
  <si>
    <t>8-499-782-71-07, 8-916-608-80-67</t>
  </si>
  <si>
    <t>7701009018630468</t>
  </si>
  <si>
    <t>8-916-090-72-02</t>
  </si>
  <si>
    <t xml:space="preserve">КТ ОГК </t>
  </si>
  <si>
    <t>7772260833000632</t>
  </si>
  <si>
    <t>8-916-471-85-68</t>
  </si>
  <si>
    <t>Прошу Вас уточнить информацию по пациенту . Необходим ли прием врача онкоуролога по результатам ПСА от 27.05.2022 ?</t>
  </si>
  <si>
    <t>5055930888002244</t>
  </si>
  <si>
    <t>8-977-877-02-15</t>
  </si>
  <si>
    <t xml:space="preserve">УЗИ МЖ </t>
  </si>
  <si>
    <t>7700009201240172</t>
  </si>
  <si>
    <t>8-964-642-17-20</t>
  </si>
  <si>
    <t>Пациентка записана на прием врача-онколога ОГШ  Гончаревич Д.Е. на 06.06.2022 . Однако в рассписании врач в этот день не работает . Прошу Вас записать пациентку , либо уточнить информацию о приеме врача -онколога в этот день . Свободные слоты для перезаписи  отсутствуют .</t>
  </si>
  <si>
    <t>6953540885000546</t>
  </si>
  <si>
    <t>8-920-669-0982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</si>
  <si>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</si>
  <si>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</si>
  <si>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</si>
  <si>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по датам с ним не связывались . Пациент обеспокоен . Прошу Вас связаться с пациентом по данному вопросу .</t>
  </si>
  <si>
    <t>7700004023270941</t>
  </si>
  <si>
    <t>8-916-948-74-60</t>
  </si>
  <si>
    <t>Кузина И.В</t>
  </si>
  <si>
    <t>5056630895000822</t>
  </si>
  <si>
    <t>8-926-058-09-00</t>
  </si>
  <si>
    <t>ок прошел 24.05.2022, наблюдение. Прошу уточнить повторный прием онколога?</t>
  </si>
  <si>
    <t>5156700847000158</t>
  </si>
  <si>
    <t>8-977-773-16-30</t>
  </si>
  <si>
    <t>Пациент поступил в проект персональный помощник 02.06.2022. Нет направления к врачу онкологу</t>
  </si>
  <si>
    <t>Ромащенко О.В.</t>
  </si>
  <si>
    <t>770000 7075301257</t>
  </si>
  <si>
    <t>8(916)510 44 70</t>
  </si>
  <si>
    <t>Прошу Вас уточнить дату начала лучевой терапии. А так же связаться с пациентом по этому вопросу. Пациент обеспокоен.</t>
  </si>
  <si>
    <t>Алёхина Ю.В.</t>
  </si>
  <si>
    <t>7700004082580769</t>
  </si>
  <si>
    <t>7758740882000045</t>
  </si>
  <si>
    <t>4991644323/9652160766</t>
  </si>
  <si>
    <t>Розовенко  Ю.М.</t>
  </si>
  <si>
    <t>УЗИ м.ж. + л/у</t>
  </si>
  <si>
    <t>7757330839002475</t>
  </si>
  <si>
    <t>7767950868000021</t>
  </si>
  <si>
    <t>4957178723/9164336100</t>
  </si>
  <si>
    <t>Пушкарева М.В.</t>
  </si>
  <si>
    <t>у пациента в системе ЕМИАС недействителен полис ОМС</t>
  </si>
  <si>
    <t>7701000031140476</t>
  </si>
  <si>
    <t>4997816545/9998234362</t>
  </si>
  <si>
    <t>Пациент не записался езе на обследования для онколога, поэтому от приеме пока тоже отказывается.</t>
  </si>
  <si>
    <t>Завьялова Е.А.</t>
  </si>
  <si>
    <t>7757440829002912</t>
  </si>
  <si>
    <t>7775850842000396</t>
  </si>
  <si>
    <t>8654610883000091</t>
  </si>
  <si>
    <t>7700004019110644</t>
  </si>
  <si>
    <t>Грицан С.В.</t>
  </si>
  <si>
    <t>7700009120540157</t>
  </si>
  <si>
    <t>916 145 95 78</t>
  </si>
  <si>
    <t>7794599776000263</t>
  </si>
  <si>
    <t>7700006121530353</t>
  </si>
  <si>
    <t>7700009158511258</t>
  </si>
  <si>
    <t>Тарасенко Ю.А</t>
  </si>
  <si>
    <t>7768940842000253</t>
  </si>
  <si>
    <t>7768450845000532</t>
  </si>
  <si>
    <t>7747400869000757</t>
  </si>
  <si>
    <t>8-926-739-63-03</t>
  </si>
  <si>
    <t>Либоракина Е.Ю.</t>
  </si>
  <si>
    <r>
      <t xml:space="preserve">Прошу уточнить статус диагноза: </t>
    </r>
    <r>
      <rPr>
        <u/>
        <sz val="12"/>
        <color theme="1"/>
        <rFont val="Times New Roman"/>
        <family val="1"/>
        <charset val="204"/>
      </rPr>
      <t xml:space="preserve">M67. </t>
    </r>
    <r>
      <rPr>
        <sz val="12"/>
        <color theme="1"/>
        <rFont val="Times New Roman"/>
        <family val="1"/>
        <charset val="204"/>
      </rPr>
      <t>Требуется ли пациентке явка на повторный прием к онкологу?</t>
    </r>
  </si>
  <si>
    <t>Пациенту с диагнозом ЗНО головного мозга выдано некорректное направление в ГКОБ №1. Данный пациент подлежит постановке на диспансерный учёт, который осуществляется в ЦАОП по м/ж. Прошу срочно оформить пациенту корректное электронное  направление в ЦАОП им.Плетнёва и проинформировать пациента.</t>
  </si>
  <si>
    <t>01.06.2022 От Вас поступил ответ: "В рамках маршрутизации пациенту сформировано направление согласно рекомендации онколога". Согласно приказу №16 , первичная консультация пациента с подозрением на ЗНО органов головы и шеи должна проходить в ГКОБ №1 у профильного врача-онколога ОГШ.</t>
  </si>
  <si>
    <t>Опубликован пустой протокол. С 24.05.2022 Ожидаем от вас скан протокола приёма. Убедительная просьба выслать скан протокола приёма.</t>
  </si>
  <si>
    <t>Пациентка проходит химиотерапевтическое лечение в МКНЦ им. А.С.Логинова. Пациентке показана повторная явка к врачу-онкологу ГКОБ№1 после окончания лечения.</t>
  </si>
  <si>
    <t>Протокол онкологического консилиума от 02.06.2022 выгружен в систему ЕМИАС и доступен для просмотра.</t>
  </si>
  <si>
    <t>Пациентка прошла дообследование (КТ ОГК) в частной МО (К+31).</t>
  </si>
  <si>
    <t>Протокол онкологического консилиума от 03.06.2022 выгружен в систему ЕМИАС и доступен для просмотра.</t>
  </si>
  <si>
    <t>Плановая дата госпитализации - 09.06.2022.</t>
  </si>
  <si>
    <t>Пациенту, по результатам ОК от 23.05.2022, показано проведение ЛТ в сторонней МО.</t>
  </si>
  <si>
    <t>7700001147220465.</t>
  </si>
  <si>
    <t>Данные пациента переданы врачу-онкологу для формирования протокола осмотра.</t>
  </si>
  <si>
    <t>Плановая дата проведения ОК - 06.06.2022.</t>
  </si>
  <si>
    <t>Пациенту показано выполнение биопсии ПЖ в условяих дневного стационара ЦАОП ГКОБ№1. Плановая дата госпитализации - 08.06.2022.</t>
  </si>
  <si>
    <t>Дата госпитализации будет согласована с заведующим отделением.</t>
  </si>
  <si>
    <t>7771250833000494.</t>
  </si>
  <si>
    <t>Электронные направления сформированы.</t>
  </si>
  <si>
    <t>7756740874000484.</t>
  </si>
  <si>
    <t>Все протоколы осмотров врачей-онкологов ЦАОП ГКОБ№1 выгружены в систему ЕМИАС и доступны для просмотра.</t>
  </si>
  <si>
    <t>Диагноз пациента - D10.1, диагностический статус - подтвержден. Пациенту показано динамическое наблюдение врачом-отоларинологом по месту прикрепления, повторная явка к врачу-онкологу ГКОБ№1 при наличии показаний.</t>
  </si>
  <si>
    <t>Протокол онкологического консилиума от 02.06.2022 выгружен в систему ЕМИАС и доступен для просмотра. Пациенту показана контрольная явка к врачу-онкологу ГКОБ№1 через 3 месяца.</t>
  </si>
  <si>
    <t>Пациенту, по результатам ОК от 15.03.2022, проведена РЙТ в сторонней МО.</t>
  </si>
  <si>
    <t>Выписной эпикриз выгружен в систему ЕМИАС и доступен для просмотра.</t>
  </si>
  <si>
    <t>Протокол осмотра выгружен в систему ЕМИАС и доступен для просмотра.</t>
  </si>
  <si>
    <t>Плановая дата госпитализации - 07.06.2022.</t>
  </si>
  <si>
    <t>Скан цитологического исследования прилагается.</t>
  </si>
  <si>
    <t>7748040894002565.</t>
  </si>
  <si>
    <t>Плановая дата госпитализации - 10.06.2022.</t>
  </si>
  <si>
    <t>Дата ОК будет согласована с заведующим отделением.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</si>
</sst>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17" fillId="14" borderId="0" applyNumberFormat="0" applyBorder="0" applyAlignment="0" applyProtection="0"/>
  </cellStyleXfs>
  <cellXfs count="182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7" fillId="4" borderId="1" xfId="0" applyFont="1" applyFill="1" applyBorder="1" applyAlignment="1" applyProtection="1">
      <alignment vertical="center"/>
      <protection locked="0" hidden="1"/>
    </xf>
    <xf numFmtId="0" fontId="7" fillId="0" borderId="0" xfId="0" applyFont="1" applyAlignment="1" applyProtection="1">
      <alignment vertical="center"/>
      <protection locked="0" hidden="1"/>
    </xf>
    <xf numFmtId="0" fontId="7" fillId="0" borderId="1" xfId="0" applyFont="1" applyBorder="1" applyAlignment="1" applyProtection="1">
      <alignment vertical="center"/>
      <protection locked="0" hidden="1"/>
    </xf>
    <xf numFmtId="0" fontId="7" fillId="2" borderId="1" xfId="0" applyFont="1" applyFill="1" applyBorder="1" applyAlignment="1" applyProtection="1">
      <alignment vertical="center"/>
      <protection locked="0" hidden="1"/>
    </xf>
    <xf numFmtId="49" fontId="7" fillId="0" borderId="1" xfId="0" applyNumberFormat="1" applyFont="1" applyBorder="1" applyAlignment="1" applyProtection="1">
      <alignment vertical="center"/>
      <protection locked="0" hidden="1"/>
    </xf>
    <xf numFmtId="0" fontId="7" fillId="0" borderId="1" xfId="0" applyFont="1" applyBorder="1" applyAlignment="1" applyProtection="1">
      <alignment horizontal="center" vertical="center" wrapText="1"/>
      <protection locked="0" hidden="1"/>
    </xf>
    <xf numFmtId="0" fontId="7" fillId="0" borderId="1" xfId="0" applyFont="1" applyBorder="1" applyAlignment="1" applyProtection="1">
      <alignment horizontal="center" vertical="center"/>
      <protection locked="0" hidden="1"/>
    </xf>
    <xf numFmtId="0" fontId="7" fillId="0" borderId="2" xfId="0" applyFont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Protection="1">
      <protection hidden="1"/>
    </xf>
    <xf numFmtId="0" fontId="10" fillId="0" borderId="0" xfId="0" applyFont="1" applyFill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1" fillId="7" borderId="0" xfId="0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12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8" fillId="11" borderId="0" xfId="0" applyFont="1" applyFill="1" applyProtection="1">
      <protection hidden="1"/>
    </xf>
    <xf numFmtId="0" fontId="7" fillId="0" borderId="1" xfId="0" applyFont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4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5" fillId="9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  <protection locked="0" hidden="1"/>
    </xf>
    <xf numFmtId="14" fontId="16" fillId="0" borderId="1" xfId="0" applyNumberFormat="1" applyFont="1" applyBorder="1" applyAlignment="1" applyProtection="1">
      <alignment horizontal="center" vertical="center" wrapText="1"/>
      <protection locked="0" hidden="1"/>
    </xf>
    <xf numFmtId="0" fontId="7" fillId="0" borderId="2" xfId="0" applyFont="1" applyBorder="1" applyAlignment="1" applyProtection="1">
      <alignment horizontal="center" vertical="center" wrapText="1"/>
      <protection locked="0" hidden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 applyProtection="1">
      <alignment horizontal="center" vertical="center" wrapText="1"/>
      <protection locked="0" hidden="1"/>
    </xf>
    <xf numFmtId="0" fontId="16" fillId="2" borderId="1" xfId="0" applyFont="1" applyFill="1" applyBorder="1" applyAlignment="1" applyProtection="1">
      <alignment horizontal="center" vertical="center" wrapText="1"/>
      <protection locked="0" hidden="1"/>
    </xf>
    <xf numFmtId="0" fontId="16" fillId="0" borderId="1" xfId="0" applyFont="1" applyBorder="1" applyAlignment="1" applyProtection="1">
      <alignment horizontal="center" vertical="center" wrapText="1" shrinkToFit="1"/>
      <protection hidden="1"/>
    </xf>
    <xf numFmtId="14" fontId="16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6" fillId="15" borderId="1" xfId="0" applyFont="1" applyFill="1" applyBorder="1" applyAlignment="1" applyProtection="1">
      <alignment horizontal="center" vertical="center" wrapText="1"/>
      <protection locked="0" hidden="1"/>
    </xf>
    <xf numFmtId="0" fontId="16" fillId="15" borderId="1" xfId="0" applyFont="1" applyFill="1" applyBorder="1" applyAlignment="1" applyProtection="1">
      <alignment horizontal="center" vertical="center" wrapText="1" shrinkToFit="1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locked="0" hidden="1"/>
    </xf>
    <xf numFmtId="49" fontId="7" fillId="0" borderId="1" xfId="0" applyNumberFormat="1" applyFont="1" applyBorder="1" applyAlignment="1" applyProtection="1">
      <alignment horizontal="center" vertical="center" wrapText="1"/>
      <protection locked="0" hidden="1"/>
    </xf>
    <xf numFmtId="14" fontId="16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7" borderId="1" xfId="0" applyFont="1" applyFill="1" applyBorder="1" applyAlignment="1" applyProtection="1">
      <alignment horizontal="center" vertical="center" wrapText="1"/>
      <protection locked="0" hidden="1"/>
    </xf>
    <xf numFmtId="49" fontId="16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16" borderId="1" xfId="0" applyFont="1" applyFill="1" applyBorder="1" applyAlignment="1" applyProtection="1">
      <alignment horizontal="center" vertical="center" wrapText="1"/>
      <protection locked="0" hidden="1"/>
    </xf>
    <xf numFmtId="14" fontId="16" fillId="16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6" fillId="16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16" borderId="1" xfId="0" applyFont="1" applyFill="1" applyBorder="1" applyAlignment="1" applyProtection="1">
      <alignment horizontal="center" vertical="center" wrapText="1" shrinkToFit="1"/>
      <protection hidden="1"/>
    </xf>
    <xf numFmtId="0" fontId="16" fillId="17" borderId="1" xfId="0" applyFont="1" applyFill="1" applyBorder="1" applyAlignment="1" applyProtection="1">
      <alignment horizontal="center" vertical="center" wrapText="1"/>
      <protection locked="0" hidden="1"/>
    </xf>
    <xf numFmtId="0" fontId="16" fillId="17" borderId="1" xfId="0" applyFont="1" applyFill="1" applyBorder="1" applyAlignment="1" applyProtection="1">
      <alignment horizontal="center" vertical="center" wrapText="1" shrinkToFit="1"/>
      <protection hidden="1"/>
    </xf>
    <xf numFmtId="49" fontId="16" fillId="0" borderId="1" xfId="0" applyNumberFormat="1" applyFont="1" applyBorder="1" applyAlignment="1" applyProtection="1">
      <alignment horizontal="center" vertical="center" wrapText="1"/>
      <protection locked="0"/>
    </xf>
    <xf numFmtId="14" fontId="16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 wrapText="1" shrinkToFit="1"/>
      <protection locked="0" hidden="1"/>
    </xf>
    <xf numFmtId="0" fontId="16" fillId="0" borderId="1" xfId="0" applyFont="1" applyBorder="1" applyAlignment="1" applyProtection="1">
      <alignment horizontal="center" vertical="center" wrapText="1" shrinkToFit="1"/>
      <protection locked="0" hidden="1"/>
    </xf>
    <xf numFmtId="49" fontId="16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3" fontId="16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6" fillId="7" borderId="1" xfId="0" applyFont="1" applyFill="1" applyBorder="1" applyAlignment="1" applyProtection="1">
      <alignment horizontal="center" vertical="center" wrapText="1" shrinkToFit="1"/>
      <protection hidden="1"/>
    </xf>
    <xf numFmtId="0" fontId="16" fillId="6" borderId="1" xfId="0" applyFont="1" applyFill="1" applyBorder="1" applyAlignment="1" applyProtection="1">
      <alignment horizontal="center" vertical="center" wrapText="1"/>
      <protection locked="0" hidden="1"/>
    </xf>
    <xf numFmtId="0" fontId="16" fillId="14" borderId="1" xfId="2" applyFont="1" applyBorder="1" applyAlignment="1" applyProtection="1">
      <alignment horizontal="center" vertical="center" wrapText="1"/>
      <protection locked="0" hidden="1"/>
    </xf>
    <xf numFmtId="3" fontId="16" fillId="0" borderId="1" xfId="0" applyNumberFormat="1" applyFont="1" applyBorder="1" applyAlignment="1" applyProtection="1">
      <alignment horizontal="center" vertical="center" wrapText="1"/>
      <protection locked="0" hidden="1"/>
    </xf>
    <xf numFmtId="0" fontId="16" fillId="14" borderId="1" xfId="2" applyFont="1" applyBorder="1" applyAlignment="1" applyProtection="1">
      <alignment horizontal="center" vertical="center" wrapText="1" shrinkToFit="1"/>
      <protection hidden="1"/>
    </xf>
    <xf numFmtId="0" fontId="16" fillId="12" borderId="1" xfId="0" applyFont="1" applyFill="1" applyBorder="1" applyAlignment="1" applyProtection="1">
      <alignment horizontal="center" vertical="center" wrapText="1"/>
      <protection locked="0" hidden="1"/>
    </xf>
    <xf numFmtId="14" fontId="16" fillId="12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6" fillId="12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6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6" fillId="15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15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16" fillId="2" borderId="1" xfId="0" applyFont="1" applyFill="1" applyBorder="1" applyAlignment="1">
      <alignment horizontal="center" vertical="center" wrapText="1"/>
    </xf>
    <xf numFmtId="14" fontId="16" fillId="14" borderId="1" xfId="2" applyNumberFormat="1" applyFont="1" applyBorder="1" applyAlignment="1" applyProtection="1">
      <alignment horizontal="center" vertical="center" wrapText="1"/>
      <protection locked="0" hidden="1"/>
    </xf>
    <xf numFmtId="49" fontId="16" fillId="14" borderId="1" xfId="2" applyNumberFormat="1" applyFont="1" applyBorder="1" applyAlignment="1" applyProtection="1">
      <alignment horizontal="center" vertical="center" wrapText="1"/>
      <protection locked="0" hidden="1"/>
    </xf>
    <xf numFmtId="0" fontId="16" fillId="0" borderId="1" xfId="0" applyFont="1" applyFill="1" applyBorder="1" applyAlignment="1" applyProtection="1">
      <alignment horizontal="center" vertical="center" wrapText="1"/>
      <protection locked="0" hidden="1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 wrapText="1" shrinkToFit="1"/>
    </xf>
    <xf numFmtId="3" fontId="16" fillId="0" borderId="1" xfId="0" applyNumberFormat="1" applyFont="1" applyBorder="1" applyAlignment="1">
      <alignment horizontal="center" vertical="center" wrapText="1" shrinkToFit="1"/>
    </xf>
    <xf numFmtId="0" fontId="16" fillId="0" borderId="1" xfId="0" applyFont="1" applyFill="1" applyBorder="1" applyAlignment="1" applyProtection="1">
      <alignment horizontal="center" vertical="center" wrapText="1" shrinkToFit="1"/>
      <protection hidden="1"/>
    </xf>
    <xf numFmtId="0" fontId="16" fillId="0" borderId="1" xfId="0" applyFont="1" applyBorder="1" applyAlignment="1" applyProtection="1">
      <alignment horizontal="center" vertical="center" wrapText="1"/>
    </xf>
    <xf numFmtId="49" fontId="16" fillId="0" borderId="1" xfId="0" applyNumberFormat="1" applyFont="1" applyBorder="1" applyAlignment="1" applyProtection="1">
      <alignment horizontal="center" vertical="center" wrapText="1"/>
    </xf>
    <xf numFmtId="0" fontId="20" fillId="3" borderId="2" xfId="0" applyFont="1" applyFill="1" applyBorder="1" applyAlignment="1" applyProtection="1">
      <alignment horizontal="centerContinuous" vertical="center"/>
      <protection hidden="1"/>
    </xf>
    <xf numFmtId="0" fontId="20" fillId="3" borderId="3" xfId="0" applyFont="1" applyFill="1" applyBorder="1" applyAlignment="1" applyProtection="1">
      <alignment horizontal="centerContinuous" vertical="center"/>
      <protection hidden="1"/>
    </xf>
    <xf numFmtId="49" fontId="20" fillId="3" borderId="3" xfId="0" applyNumberFormat="1" applyFont="1" applyFill="1" applyBorder="1" applyAlignment="1" applyProtection="1">
      <alignment horizontal="centerContinuous" vertical="center"/>
      <protection hidden="1"/>
    </xf>
    <xf numFmtId="0" fontId="20" fillId="3" borderId="3" xfId="0" applyFont="1" applyFill="1" applyBorder="1" applyAlignment="1" applyProtection="1">
      <alignment horizontal="centerContinuous" vertical="center" wrapText="1"/>
      <protection hidden="1"/>
    </xf>
    <xf numFmtId="0" fontId="20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20" fillId="4" borderId="1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vertical="center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14" fontId="20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20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0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20" fillId="12" borderId="1" xfId="0" applyFont="1" applyFill="1" applyBorder="1" applyAlignment="1" applyProtection="1">
      <alignment horizontal="center" vertical="center" wrapText="1"/>
      <protection hidden="1"/>
    </xf>
    <xf numFmtId="0" fontId="20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20" fillId="5" borderId="2" xfId="0" applyFont="1" applyFill="1" applyBorder="1" applyAlignment="1" applyProtection="1">
      <alignment horizontal="center" vertical="center" wrapText="1"/>
      <protection hidden="1"/>
    </xf>
    <xf numFmtId="0" fontId="20" fillId="6" borderId="1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vertical="center"/>
      <protection locked="0" hidden="1"/>
    </xf>
    <xf numFmtId="0" fontId="16" fillId="0" borderId="0" xfId="0" applyFont="1" applyFill="1" applyBorder="1" applyAlignment="1" applyProtection="1">
      <alignment vertical="center"/>
      <protection locked="0" hidden="1"/>
    </xf>
    <xf numFmtId="49" fontId="16" fillId="0" borderId="0" xfId="0" applyNumberFormat="1" applyFont="1" applyFill="1" applyBorder="1" applyAlignment="1" applyProtection="1">
      <alignment vertical="center"/>
      <protection locked="0" hidden="1"/>
    </xf>
    <xf numFmtId="0" fontId="16" fillId="0" borderId="0" xfId="0" applyFont="1" applyFill="1" applyBorder="1" applyAlignment="1" applyProtection="1">
      <alignment horizontal="center" vertical="center" wrapText="1"/>
      <protection locked="0" hidden="1"/>
    </xf>
    <xf numFmtId="0" fontId="16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locked="0" hidden="1"/>
    </xf>
    <xf numFmtId="14" fontId="16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3">
    <cellStyle name="Обычный" xfId="0" builtinId="0"/>
    <cellStyle name="Обычный 2" xfId="1"/>
    <cellStyle name="Плохой" xfId="2" builtinId="27"/>
  </cellStyles>
  <dxfs count="9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relativeIndent="255" justifyLastLine="0" shrinkToFit="1" readingOrder="1"/>
      <protection locked="1" hidden="0"/>
    </dxf>
    <dxf>
      <alignment horizontal="center" vertical="center" textRotation="0" wrapText="1" indent="0" relativeIndent="255" justifyLastLine="0" shrinkToFit="1" readingOrder="0"/>
    </dxf>
    <dxf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102" Type="http://schemas.openxmlformats.org/officeDocument/2006/relationships/externalLink" Target="externalLinks/externalLink98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_06_2022_&#1050;&#1086;&#1085;&#1090;&#1088;&#1086;&#1083;&#1100;_&#1052;&#1054;_&#1050;&#1086;&#1088;&#1085;&#1086;&#1091;&#1093;&#1086;&#1074;&#1072;_&#1040;_&#1052;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2.06.2022%20(16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72;&#1088;&#1075;&#1080;&#1085;&#1072;%20&#1044;.&#1042;._02.06.2022_&#1050;&#1086;&#1085;&#1090;&#1088;&#1086;&#1083;&#1100;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&#1052;&#1091;&#1088;&#1072;&#1076;&#1086;&#1074;&#1072;%20&#8212;%2002.06%20(1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%20&#1052;&#1072;&#1079;&#1084;&#1072;&#1085;&#1086;&#1074;&#1072;%20&#1057;.&#1053;.xlsx%2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%20&#1052;&#1054;%20&#1054;&#1063;&#1045;&#1053;&#1068;%20&#1053;&#1054;&#1042;&#1067;&#104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Telegram%20Desktop/01062022_&#1055;&#1072;&#1074;&#1083;&#1086;&#1074;&#1072;_&#1050;&#1086;&#1085;&#1090;&#1088;&#1086;&#1083;&#1100;%20&#1052;&#10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02.06.22_&#1050;&#1086;&#1085;&#1090;&#1088;&#1086;&#1083;&#1100;_&#1052;&#10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2.06.2022_&#1050;&#1086;&#1085;&#1090;&#1088;&#1086;&#1083;&#1100;_&#1052;&#1054;_&#1042;&#1077;&#1083;&#1100;&#1084;&#1072;&#1082;&#1080;&#1085;&#1072;%20&#1054;.&#1042;.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3.6_&#1050;&#1086;&#1085;&#1090;&#1088;&#1086;&#1083;&#1100;_&#1052;&#1054;_&#1050;&#1072;&#1083;&#1072;&#1085;&#1090;&#1072;&#1081;_&#1044;.&#1040;.%20&#1084;&#1072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%20&#1047;&#1072;&#1079;&#1076;&#1088;&#1072;&#1074;&#1085;&#1072;&#1103;%20&#1040;.&#1043;.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2.06.202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2.06.2022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7.05.2022_&#1050;&#1086;&#1085;&#1090;&#1088;&#1086;&#1083;&#1100;_&#1052;&#1054;_&#1045;&#1089;&#1080;&#1085;&#1072;%20&#1040;.&#1042;.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_3.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46;&#1080;&#1088;&#1103;&#1082;&#1086;&#1074;&#1072;%20&#1045;.&#1057;._&#1050;&#1086;&#1085;&#1090;&#1088;&#1086;&#1083;&#1100;_&#1052;&#1054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2.06.2022%20&#1053;&#1077;&#1095;&#1080;&#1087;&#1086;&#1088;&#1077;&#1085;&#1082;&#1086;%20&#1055;.&#1040;.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31.05.2022%20&#1053;&#1077;&#1095;&#1080;&#1087;&#1086;&#1088;&#1077;&#1085;&#1082;&#1086;%20&#1055;.&#1040;.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30.05.2022%20&#1053;&#1077;&#1095;&#1080;&#1087;&#1086;&#1088;&#1077;&#1085;&#1082;&#1086;%20&#1055;.&#1040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%20&#1052;&#1091;&#1096;&#1080;&#1085;&#1089;&#1082;&#1072;&#1103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0;&#1072;%203.0/&#1047;&#1072;&#1087;&#1088;&#1086;&#1089;&#1099;%20&#1052;&#1054;%20&#1076;&#1077;&#1074;&#1095;&#1086;&#1085;&#1086;&#1082;/02.06.2022/&#1050;&#1086;&#1085;&#1090;&#1088;&#1086;&#1083;&#1100;_&#1052;&#1054;_&#1052;&#1072;&#1093;&#1072;&#1083;&#1082;&#1080;&#1085;&#1072;&#1042;&#1053;_02.06.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_02.06.2022_(3.5)%20&#1050;&#1086;&#1085;&#1090;&#1088;&#1086;&#1083;&#1100;_&#1052;&#1054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7;&#1072;&#1076;&#1072;&#1095;&#1080;/&#1052;&#1054;/&#1089;&#1074;&#1086;&#1076;&#1099;%203.12/&#1052;&#1040;&#1081;%20&#1089;&#1074;&#1086;&#1076;/30.05.2022/30.05.%20&#1048;&#1084;&#1072;&#1090;&#1096;&#1086;&#1077;&#1074;&#1072;%20&#1047;.&#1064;.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02.06.22%20(3.1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%20&#1055;&#1086;&#1087;&#1086;&#1074;&#1072;%20&#1045;.&#1040;.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5.05.2022_&#1050;&#1086;&#1085;&#1090;&#1088;&#1086;&#1083;&#1100;_&#1052;&#1054;%20&#1055;&#1086;&#1087;&#1086;&#1074;&#1072;%20&#1045;.&#1040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2.06.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2.0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%20&#1052;&#1054;%2030.05.2022%20&#1064;&#1077;&#1074;&#1077;&#1083;&#1077;&#1074;%20&#1043;.&#1057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Telegram%20Desktop/30.05.2022_&#1050;&#1086;&#1085;&#1090;&#1088;&#1086;&#1083;&#1100;_&#1052;&#1054;%20&#1052;&#1091;&#1096;&#1080;&#1085;&#1089;&#1082;&#1072;&#110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2.06.202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2.06.2022_&#1050;&#1086;&#1085;&#1090;&#1088;&#1086;&#1083;&#1100;_&#1052;&#1054;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/2022/&#1052;&#1072;&#1081;%202022/31.05.2022_&#1050;&#1086;&#1085;&#1090;&#1088;&#1086;&#1083;&#1100;_&#1052;&#1054;%20&#1040;&#1083;&#1105;&#1093;&#1080;&#1085;&#1072;%20&#1070;.&#1042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_05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062022_&#1055;&#1072;&#1074;&#1083;&#1086;&#1074;&#1072;_&#1050;&#1086;&#1085;&#1090;&#1088;&#1086;&#1083;&#1100;%20&#1052;&#1054;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2.06.202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2;&#1054;_3.8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4;&#1072;&#1081;20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31.05.202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_02.06.2022_&#1059;&#1083;&#1100;&#1103;&#1085;&#1082;&#1080;&#1085;&#1072;%20&#1040;.&#1040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26.05.202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_06_2022_&#1050;&#1086;&#1085;&#1090;&#1088;&#1086;&#1083;&#1100;_&#1052;&#1054;_&#1048;&#1079;&#1102;&#1084;&#1089;&#1082;&#1072;&#1103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7.05.2022_&#1050;&#1086;&#1085;&#1090;&#1088;&#1086;&#1083;&#1100;_&#1052;&#1054;_&#1048;&#1079;&#1102;&#1084;&#1089;&#1082;&#1072;&#1103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2.06.2022_3.8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&#1086;&#1073;&#1097;&#1080;&#1081;%2002.06.2022%203.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%20&#1059;&#1085;&#1075;&#1077;&#1088;%20&#1045;.&#1048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&#1072;&#1081;&#1089;&#1080;&#1085;&#1072;%202.06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0;&#1072;%203.0/&#1047;&#1072;&#1087;&#1088;&#1086;&#1089;&#1099;%20&#1052;&#1054;%20&#1076;&#1077;&#1074;&#1095;&#1086;&#1085;&#1086;&#1082;/02.06.2022/02.06.2022_&#1050;&#1086;&#1085;&#1090;&#1088;&#1086;&#1083;&#1100;_&#1052;&#1054;%20&#1042;&#1077;&#1090;&#1088;&#1086;&#1074;&#1072;%20&#1045;.&#1042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7;&#1080;&#1083;&#1072;&#1082;&#1086;&#1074;&#1072;%20%20&#1050;.&#1040;.%2002.06.202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2)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59;&#1096;&#1072;&#1082;&#1086;&#1074;%2002.06.2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26.05.22_&#1050;&#1086;&#1085;&#1090;&#1088;&#1086;&#1083;&#1100;_&#1052;&#1054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2.06.2022%20&#1065;&#1077;&#1088;&#1073;&#1072;&#1082;&#1086;&#1074;&#1072;&#1050;.&#1070;._&#1050;&#1086;&#1085;&#1090;&#1088;&#1086;&#1083;&#1100;_&#1052;&#1054;%20(16)%20&#8212;%20&#1082;&#1086;&#1087;&#1080;&#1103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30.05.2022_&#1050;&#1086;&#1085;&#1090;&#1088;&#1086;&#1083;&#1100;_&#1052;&#1054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%20&#1040;&#1083;&#1105;&#1093;&#1080;&#1085;&#1072;%20&#1070;.&#1042;.%20(1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1)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48;&#1079;&#1102;&#1084;&#1089;&#1082;&#1072;&#110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64;&#1086;&#1074;&#1082;&#1091;&#1085;%20&#1042;.%20&#1054;.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50;&#1086;&#1085;&#1090;&#1088;&#1086;&#1083;&#1100;_&#1052;&#1054;_&#1048;&#1079;&#1102;&#1084;&#1089;&#1082;&#1072;&#1103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0.05_&#1057;&#1072;&#1082;&#1091;&#1088;&#1086;&#1074;&#1072;&#1050;&#1042;_&#1052;&#1054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7.05_&#1057;&#1072;&#1082;&#1091;&#1088;&#1086;&#1074;&#1072;&#1050;&#1042;_&#1052;&#1054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&#1057;&#1080;&#1083;&#1072;&#1082;&#1086;&#1074;&#1072;%20%2031.05.2022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2.06.2022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18.05.2022%20&#1043;&#1080;&#1084;&#1072;&#1079;&#1077;&#1090;&#1076;&#1080;&#1085;&#1086;&#1074;&#1072;%20&#1044;.&#1052;.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31.05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2;&#1054;%20&#1047;&#1072;&#1074;&#1100;&#1103;&#1083;&#1086;&#1074;&#1072;%20&#1045;.&#1040;.%20(3)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52;&#1054;%20&#1047;&#1072;&#1074;&#1100;&#1103;&#1083;&#1086;&#1074;&#1072;%20&#1045;.&#1040;.%20(1)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7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2.06.2022_&#1050;&#1086;&#1085;&#1090;&#1088;&#1086;&#1083;&#1100;_&#1052;&#1054;%20&#1052;&#1086;&#1093;&#1086;&#1074;&#1072;%20&#1044;.&#1042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%20&#1052;&#1054;%2031.05.2022%20&#1064;&#1077;&#1074;&#1077;&#1083;&#1077;&#1074;%20&#1043;.&#1057;%20&#8212;%20&#1082;&#1086;&#1087;&#1080;&#1103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6.05.2022_&#1050;&#1086;&#1085;&#1090;&#1088;&#1086;&#1083;&#1100;_&#1052;&#1054;%20&#1059;&#1085;&#1075;&#1077;&#1088;%20&#1045;.&#1048;.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%20&#1059;&#1085;&#1075;&#1077;&#1088;%20&#1045;.&#1048;.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50;&#1086;&#1085;&#1090;&#1088;&#1086;&#1083;&#1100;_&#1052;&#1054;_3.4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2.06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/&#1050;&#1086;&#1085;&#1090;&#1088;&#1086;&#1083;&#1100;_&#1052;&#1054;%2031.05.2022%20&#1053;&#1077;&#1095;&#1080;&#1087;&#1086;&#1088;&#1077;&#1085;&#1082;&#1086;%20&#1055;.&#1040;.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/&#1050;&#1086;&#1085;&#1090;&#1088;&#1086;&#1083;&#1100;_&#1052;&#1054;%2030.05.2022%20&#1053;&#1077;&#1095;&#1080;&#1087;&#1086;&#1088;&#1077;&#1085;&#1082;&#1086;%20&#1055;.&#1040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9;&#1074;&#1086;&#1076;%20&#1082;&#1086;&#1085;&#1090;&#1088;&#1086;&#1083;&#1100;%20&#1084;&#1086;&#1093;&#1086;&#1074;&#1072;/05.22/30.05.2022_&#1050;&#1086;&#1085;&#1090;&#1088;&#1086;&#1083;&#1100;_&#1052;&#1054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%20&#1052;&#1054;%20&#1052;&#1072;&#1081;/&#1050;&#1086;&#1085;&#1090;&#1088;&#1086;&#1083;&#1100;_&#1052;&#1054;%20&#1050;&#1091;&#1096;&#1085;&#1072;&#1088;&#1077;&#1074;&#1072;%20&#1040;.&#1040;.%2031.05.2022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_06_2022_&#1050;&#1086;&#1085;&#1090;&#1088;&#1086;&#1083;&#1100;_&#1052;&#1054;_&#1042;&#1077;&#1090;&#1088;&#1086;&#1074;&#1072;_&#1045;_&#1042;_&#1050;&#1072;&#1079;&#1080;&#1084;&#1080;&#1088;&#1086;&#1074;&#1072;_&#1048;_&#1042;_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6.04.2022_&#1050;&#1086;&#1085;&#1090;&#1088;&#1086;&#1083;&#1100;_&#1052;&#1054;%20&#1042;&#1077;&#1090;&#1088;&#1086;&#1074;&#1072;%20&#1045;.&#1042;.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13.10.2021_&#1050;&#1086;&#1085;&#1090;&#1088;&#1086;&#1083;&#1100;_&#1052;&#1054;%20&#1042;&#1077;&#1090;&#1088;&#1086;&#1074;&#1072;%20&#1045;.&#1042;.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2.06.2022%20&#1041;&#1077;&#1083;&#1103;&#1077;&#1074;&#1072;%20&#1040;.&#1042;.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2.06.2022%20_&#1050;&#1086;&#1085;&#1090;&#1088;&#1086;&#1083;&#1100;_&#1052;&#1054;%20&#1045;&#1088;&#1096;&#1086;&#1074;&#1072;%20&#1070;.&#1040;.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0;&#1086;&#1085;&#1090;&#1088;&#1086;&#1083;&#1100;_&#1052;&#1054;%20&#1040;&#1083;&#1105;&#1093;&#1080;&#1085;&#1072;%20&#1070;.&#1042;.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74;&#1086;&#1076;%20&#1052;&#1054;%203.9%20&#1086;&#1090;%2002.06.2022.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84;&#1072;&#1081;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  <sheetName val="02.06.2022"/>
      <sheetName val="01.06.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31.05.2022"/>
      <sheetName val="30.05.2022"/>
      <sheetName val="27.05.2022"/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  <sheetName val="01.06.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4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6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17.05.2022"/>
      <sheetName val="16.05.2022"/>
      <sheetName val="13.05.2022"/>
      <sheetName val="12.05.2022"/>
      <sheetName val="11.05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>
        <row r="1">
          <cell r="B1">
            <v>0</v>
          </cell>
        </row>
      </sheetData>
      <sheetData sheetId="1">
        <row r="1">
          <cell r="B1" t="str">
            <v>Подстатус</v>
          </cell>
        </row>
      </sheetData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>
        <row r="3">
          <cell r="B3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3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7.05"/>
      <sheetName val="Лист4"/>
      <sheetName val="Лист5"/>
      <sheetName val="Лист6"/>
      <sheetName val="Лист7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 filterMode="1"/>
  <dimension ref="A1:R998"/>
  <sheetViews>
    <sheetView tabSelected="1" topLeftCell="I1" zoomScale="60" zoomScaleNormal="60" workbookViewId="0">
      <selection activeCell="P77" sqref="P77"/>
    </sheetView>
  </sheetViews>
  <sheetFormatPr defaultColWidth="9.140625" defaultRowHeight="15.75"/>
  <cols>
    <col min="1" max="1" width="5" style="174" customWidth="1"/>
    <col min="2" max="3" width="22.42578125" style="174" customWidth="1"/>
    <col min="4" max="4" width="28.7109375" style="174" customWidth="1"/>
    <col min="5" max="5" width="34.140625" style="174" customWidth="1"/>
    <col min="6" max="6" width="24.140625" style="175" customWidth="1"/>
    <col min="7" max="7" width="19.5703125" style="174" customWidth="1"/>
    <col min="8" max="8" width="23" style="174" customWidth="1"/>
    <col min="9" max="10" width="23.42578125" style="174" customWidth="1"/>
    <col min="11" max="11" width="23.42578125" style="176" customWidth="1"/>
    <col min="12" max="12" width="92.85546875" style="177" customWidth="1"/>
    <col min="13" max="13" width="39.85546875" style="178" customWidth="1"/>
    <col min="14" max="14" width="38.85546875" style="178" bestFit="1" customWidth="1"/>
    <col min="15" max="15" width="60.5703125" style="178" bestFit="1" customWidth="1"/>
    <col min="16" max="16" width="52.7109375" style="178" customWidth="1"/>
    <col min="17" max="17" width="26.85546875" style="178" customWidth="1"/>
    <col min="18" max="18" width="44.5703125" style="176" customWidth="1"/>
    <col min="19" max="19" width="11.140625" style="174" bestFit="1" customWidth="1"/>
    <col min="20" max="16384" width="9.140625" style="174"/>
  </cols>
  <sheetData>
    <row r="1" spans="1:18" s="163" customFormat="1" ht="24.6" customHeight="1">
      <c r="A1" s="157" t="s">
        <v>14</v>
      </c>
      <c r="B1" s="158"/>
      <c r="C1" s="158"/>
      <c r="D1" s="158"/>
      <c r="E1" s="158"/>
      <c r="F1" s="159"/>
      <c r="G1" s="158"/>
      <c r="H1" s="158"/>
      <c r="I1" s="158"/>
      <c r="J1" s="158"/>
      <c r="K1" s="160"/>
      <c r="L1" s="161"/>
      <c r="M1" s="158"/>
      <c r="N1" s="158"/>
      <c r="O1" s="158"/>
      <c r="P1" s="158"/>
      <c r="Q1" s="162" t="s">
        <v>15</v>
      </c>
      <c r="R1" s="179"/>
    </row>
    <row r="2" spans="1:18" s="172" customFormat="1" ht="47.25">
      <c r="A2" s="164" t="s">
        <v>10</v>
      </c>
      <c r="B2" s="165" t="s">
        <v>11</v>
      </c>
      <c r="C2" s="165" t="s">
        <v>35</v>
      </c>
      <c r="D2" s="166" t="s">
        <v>7</v>
      </c>
      <c r="E2" s="166" t="s">
        <v>145</v>
      </c>
      <c r="F2" s="167" t="s">
        <v>8</v>
      </c>
      <c r="G2" s="164" t="s">
        <v>192</v>
      </c>
      <c r="H2" s="162" t="s">
        <v>105</v>
      </c>
      <c r="I2" s="162" t="s">
        <v>107</v>
      </c>
      <c r="J2" s="168" t="s">
        <v>193</v>
      </c>
      <c r="K2" s="164" t="s">
        <v>108</v>
      </c>
      <c r="L2" s="169" t="s">
        <v>142</v>
      </c>
      <c r="M2" s="164" t="s">
        <v>109</v>
      </c>
      <c r="N2" s="170" t="s">
        <v>182</v>
      </c>
      <c r="O2" s="170" t="s">
        <v>191</v>
      </c>
      <c r="P2" s="170" t="s">
        <v>13</v>
      </c>
      <c r="Q2" s="171" t="s">
        <v>12</v>
      </c>
      <c r="R2" s="171" t="s">
        <v>9</v>
      </c>
    </row>
    <row r="3" spans="1:18" s="14" customFormat="1" ht="124.5" hidden="1" customHeight="1">
      <c r="A3" s="106">
        <v>1</v>
      </c>
      <c r="B3" s="107">
        <v>44714</v>
      </c>
      <c r="C3" s="106" t="s">
        <v>328</v>
      </c>
      <c r="D3" s="111" t="s">
        <v>87</v>
      </c>
      <c r="E3" s="111"/>
      <c r="F3" s="110" t="s">
        <v>329</v>
      </c>
      <c r="G3" s="106">
        <v>9166675583</v>
      </c>
      <c r="H3" s="106" t="s">
        <v>330</v>
      </c>
      <c r="I3" s="107">
        <v>44713</v>
      </c>
      <c r="J3" s="106" t="s">
        <v>134</v>
      </c>
      <c r="K3" s="106" t="s">
        <v>111</v>
      </c>
      <c r="L3" s="112" t="str">
        <f ca="1">IFERROR(_xlfn.IFNA(VLOOKUP($K3,[1]коммент!$B:$C,2,0),""),"")</f>
        <v/>
      </c>
      <c r="M3" s="106" t="s">
        <v>154</v>
      </c>
      <c r="N3" s="106" t="s">
        <v>114</v>
      </c>
      <c r="O3" s="106"/>
      <c r="P3" s="106"/>
      <c r="Q3" s="13"/>
      <c r="R3" s="13"/>
    </row>
    <row r="4" spans="1:18" s="14" customFormat="1" ht="145.5" hidden="1" customHeight="1">
      <c r="A4" s="106">
        <v>2</v>
      </c>
      <c r="B4" s="107">
        <v>44714</v>
      </c>
      <c r="C4" s="106" t="s">
        <v>383</v>
      </c>
      <c r="D4" s="111" t="s">
        <v>87</v>
      </c>
      <c r="E4" s="111"/>
      <c r="F4" s="110" t="s">
        <v>388</v>
      </c>
      <c r="G4" s="106">
        <v>9296360695</v>
      </c>
      <c r="H4" s="106" t="s">
        <v>389</v>
      </c>
      <c r="I4" s="107">
        <v>44713</v>
      </c>
      <c r="J4" s="119" t="s">
        <v>180</v>
      </c>
      <c r="K4" s="119" t="s">
        <v>111</v>
      </c>
      <c r="L4" s="135" t="str">
        <f ca="1">IFERROR(_xlfn.IFNA(VLOOKUP($K4,[2]коммент!$B:$C,2,0),""),"")</f>
        <v/>
      </c>
      <c r="M4" s="106" t="s">
        <v>133</v>
      </c>
      <c r="N4" s="106" t="s">
        <v>114</v>
      </c>
      <c r="O4" s="106"/>
      <c r="P4" s="106" t="s">
        <v>152</v>
      </c>
      <c r="Q4" s="13"/>
      <c r="R4" s="13"/>
    </row>
    <row r="5" spans="1:18" s="14" customFormat="1" ht="78" hidden="1" customHeight="1">
      <c r="A5" s="106">
        <v>3</v>
      </c>
      <c r="B5" s="107">
        <v>44714</v>
      </c>
      <c r="C5" s="106" t="s">
        <v>383</v>
      </c>
      <c r="D5" s="111" t="s">
        <v>87</v>
      </c>
      <c r="E5" s="111"/>
      <c r="F5" s="120" t="s">
        <v>390</v>
      </c>
      <c r="G5" s="119" t="s">
        <v>391</v>
      </c>
      <c r="H5" s="119" t="s">
        <v>241</v>
      </c>
      <c r="I5" s="118">
        <v>44713</v>
      </c>
      <c r="J5" s="119" t="s">
        <v>180</v>
      </c>
      <c r="K5" s="119" t="s">
        <v>111</v>
      </c>
      <c r="L5" s="135" t="str">
        <f ca="1">IFERROR(_xlfn.IFNA(VLOOKUP($K5,[2]коммент!$B:$C,2,0),""),"")</f>
        <v/>
      </c>
      <c r="M5" s="106" t="s">
        <v>133</v>
      </c>
      <c r="N5" s="106" t="s">
        <v>114</v>
      </c>
      <c r="O5" s="106"/>
      <c r="P5" s="106" t="s">
        <v>152</v>
      </c>
      <c r="Q5" s="13"/>
      <c r="R5" s="13"/>
    </row>
    <row r="6" spans="1:18" s="14" customFormat="1" ht="94.5" hidden="1" customHeight="1">
      <c r="A6" s="106">
        <v>4</v>
      </c>
      <c r="B6" s="107">
        <v>44714</v>
      </c>
      <c r="C6" s="106" t="s">
        <v>383</v>
      </c>
      <c r="D6" s="111" t="s">
        <v>87</v>
      </c>
      <c r="E6" s="111"/>
      <c r="F6" s="120" t="s">
        <v>409</v>
      </c>
      <c r="G6" s="119" t="s">
        <v>410</v>
      </c>
      <c r="H6" s="119" t="s">
        <v>393</v>
      </c>
      <c r="I6" s="118">
        <v>44712</v>
      </c>
      <c r="J6" s="119" t="s">
        <v>179</v>
      </c>
      <c r="K6" s="119" t="s">
        <v>125</v>
      </c>
      <c r="L6" s="135" t="str">
        <f ca="1">IFERROR(_xlfn.IFNA(VLOOKUP($K6,[2]коммент!$B:$C,2,0),""),"")</f>
        <v/>
      </c>
      <c r="M6" s="106" t="s">
        <v>188</v>
      </c>
      <c r="N6" s="106" t="s">
        <v>183</v>
      </c>
      <c r="O6" s="106" t="s">
        <v>87</v>
      </c>
      <c r="P6" s="106" t="s">
        <v>411</v>
      </c>
      <c r="Q6" s="13"/>
      <c r="R6" s="13"/>
    </row>
    <row r="7" spans="1:18" s="14" customFormat="1" ht="114.75" hidden="1" customHeight="1">
      <c r="A7" s="106">
        <v>5</v>
      </c>
      <c r="B7" s="107">
        <v>44714</v>
      </c>
      <c r="C7" s="106" t="s">
        <v>412</v>
      </c>
      <c r="D7" s="111" t="s">
        <v>87</v>
      </c>
      <c r="E7" s="111"/>
      <c r="F7" s="109" t="s">
        <v>413</v>
      </c>
      <c r="G7" s="106">
        <v>9160747795</v>
      </c>
      <c r="H7" s="106"/>
      <c r="I7" s="107">
        <v>44712</v>
      </c>
      <c r="J7" s="106" t="s">
        <v>180</v>
      </c>
      <c r="K7" s="106" t="s">
        <v>125</v>
      </c>
      <c r="L7" s="112" t="str">
        <f ca="1">IFERROR(_xlfn.IFNA(VLOOKUP($K7,[3]коммент!$B:$C,2,0),""),"")</f>
        <v/>
      </c>
      <c r="M7" s="106" t="s">
        <v>128</v>
      </c>
      <c r="N7" s="106"/>
      <c r="O7" s="106"/>
      <c r="P7" s="106"/>
      <c r="Q7" s="13"/>
      <c r="R7" s="13"/>
    </row>
    <row r="8" spans="1:18" s="14" customFormat="1" ht="129.75" hidden="1" customHeight="1">
      <c r="A8" s="106">
        <v>6</v>
      </c>
      <c r="B8" s="107">
        <v>44714</v>
      </c>
      <c r="C8" s="106" t="s">
        <v>412</v>
      </c>
      <c r="D8" s="111" t="s">
        <v>87</v>
      </c>
      <c r="E8" s="111"/>
      <c r="F8" s="109" t="s">
        <v>414</v>
      </c>
      <c r="G8" s="106">
        <v>9037176670</v>
      </c>
      <c r="H8" s="106" t="s">
        <v>415</v>
      </c>
      <c r="I8" s="107">
        <v>44713</v>
      </c>
      <c r="J8" s="106" t="s">
        <v>180</v>
      </c>
      <c r="K8" s="106" t="s">
        <v>111</v>
      </c>
      <c r="L8" s="112" t="str">
        <f ca="1">IFERROR(_xlfn.IFNA(VLOOKUP($K8,[3]коммент!$B:$C,2,0),""),"")</f>
        <v/>
      </c>
      <c r="M8" s="106" t="s">
        <v>154</v>
      </c>
      <c r="N8" s="106" t="s">
        <v>114</v>
      </c>
      <c r="O8" s="106"/>
      <c r="P8" s="106"/>
      <c r="Q8" s="13"/>
      <c r="R8" s="13"/>
    </row>
    <row r="9" spans="1:18" s="14" customFormat="1" ht="84.75" hidden="1" customHeight="1">
      <c r="A9" s="106">
        <v>7</v>
      </c>
      <c r="B9" s="107">
        <v>44714</v>
      </c>
      <c r="C9" s="106" t="s">
        <v>812</v>
      </c>
      <c r="D9" s="111" t="s">
        <v>87</v>
      </c>
      <c r="E9" s="111"/>
      <c r="F9" s="109" t="s">
        <v>815</v>
      </c>
      <c r="G9" s="106">
        <v>9035208775</v>
      </c>
      <c r="H9" s="106" t="s">
        <v>816</v>
      </c>
      <c r="I9" s="107">
        <v>44713</v>
      </c>
      <c r="J9" s="106" t="s">
        <v>180</v>
      </c>
      <c r="K9" s="106" t="s">
        <v>111</v>
      </c>
      <c r="L9" s="112" t="str">
        <f ca="1">IFERROR(_xlfn.IFNA(VLOOKUP($K9,[4]коммент!$B:$C,2,0),""),"")</f>
        <v/>
      </c>
      <c r="M9" s="106" t="s">
        <v>154</v>
      </c>
      <c r="N9" s="106" t="s">
        <v>114</v>
      </c>
      <c r="O9" s="106"/>
      <c r="P9" s="106"/>
      <c r="Q9" s="13"/>
      <c r="R9" s="13"/>
    </row>
    <row r="10" spans="1:18" s="14" customFormat="1" ht="73.5" hidden="1" customHeight="1">
      <c r="A10" s="106">
        <v>8</v>
      </c>
      <c r="B10" s="107">
        <v>44714</v>
      </c>
      <c r="C10" s="106" t="s">
        <v>916</v>
      </c>
      <c r="D10" s="111" t="s">
        <v>87</v>
      </c>
      <c r="E10" s="111"/>
      <c r="F10" s="110" t="s">
        <v>920</v>
      </c>
      <c r="G10" s="106" t="s">
        <v>921</v>
      </c>
      <c r="H10" s="106" t="s">
        <v>922</v>
      </c>
      <c r="I10" s="107">
        <v>44699</v>
      </c>
      <c r="J10" s="106" t="s">
        <v>134</v>
      </c>
      <c r="K10" s="106" t="s">
        <v>111</v>
      </c>
      <c r="L10" s="112" t="str">
        <f ca="1">IFERROR(_xlfn.IFNA(VLOOKUP($K10,[5]коммент!$B:$C,2,0),""),"")</f>
        <v/>
      </c>
      <c r="M10" s="106" t="s">
        <v>154</v>
      </c>
      <c r="N10" s="106" t="s">
        <v>114</v>
      </c>
      <c r="O10" s="106"/>
      <c r="P10" s="106"/>
      <c r="Q10" s="13"/>
      <c r="R10" s="13"/>
    </row>
    <row r="11" spans="1:18" s="14" customFormat="1" ht="63" hidden="1" customHeight="1">
      <c r="A11" s="106">
        <v>9</v>
      </c>
      <c r="B11" s="107">
        <v>44714</v>
      </c>
      <c r="C11" s="106" t="s">
        <v>949</v>
      </c>
      <c r="D11" s="111" t="s">
        <v>87</v>
      </c>
      <c r="E11" s="111"/>
      <c r="F11" s="109" t="s">
        <v>950</v>
      </c>
      <c r="G11" s="106">
        <v>9652278222</v>
      </c>
      <c r="H11" s="106" t="s">
        <v>241</v>
      </c>
      <c r="I11" s="107">
        <v>44713</v>
      </c>
      <c r="J11" s="106" t="s">
        <v>180</v>
      </c>
      <c r="K11" s="106" t="s">
        <v>111</v>
      </c>
      <c r="L11" s="112" t="str">
        <f ca="1">IFERROR(_xlfn.IFNA(VLOOKUP($K11,[6]коммент!$B:$C,2,0),""),"")</f>
        <v/>
      </c>
      <c r="M11" s="106" t="s">
        <v>154</v>
      </c>
      <c r="N11" s="106" t="s">
        <v>114</v>
      </c>
      <c r="O11" s="106"/>
      <c r="P11" s="106"/>
      <c r="Q11" s="13"/>
      <c r="R11" s="13"/>
    </row>
    <row r="12" spans="1:18" s="14" customFormat="1" ht="92.25" hidden="1" customHeight="1">
      <c r="A12" s="106">
        <v>10</v>
      </c>
      <c r="B12" s="107">
        <v>44714</v>
      </c>
      <c r="C12" s="106" t="s">
        <v>1080</v>
      </c>
      <c r="D12" s="111" t="s">
        <v>87</v>
      </c>
      <c r="E12" s="111"/>
      <c r="F12" s="110" t="s">
        <v>1081</v>
      </c>
      <c r="G12" s="106">
        <v>89031572796</v>
      </c>
      <c r="H12" s="106" t="s">
        <v>1082</v>
      </c>
      <c r="I12" s="107">
        <v>44708</v>
      </c>
      <c r="J12" s="106" t="s">
        <v>134</v>
      </c>
      <c r="K12" s="106" t="s">
        <v>111</v>
      </c>
      <c r="L12" s="112" t="str">
        <f ca="1">IFERROR(_xlfn.IFNA(VLOOKUP($K12,[7]коммент!$B:$C,2,0),""),"")</f>
        <v/>
      </c>
      <c r="M12" s="106" t="s">
        <v>154</v>
      </c>
      <c r="N12" s="106" t="s">
        <v>114</v>
      </c>
      <c r="O12" s="106"/>
      <c r="P12" s="106"/>
      <c r="Q12" s="13"/>
      <c r="R12" s="13"/>
    </row>
    <row r="13" spans="1:18" s="14" customFormat="1" hidden="1">
      <c r="A13" s="106">
        <v>11</v>
      </c>
      <c r="B13" s="107">
        <v>44714</v>
      </c>
      <c r="C13" s="106" t="s">
        <v>1089</v>
      </c>
      <c r="D13" s="111" t="s">
        <v>87</v>
      </c>
      <c r="E13" s="111"/>
      <c r="F13" s="110" t="s">
        <v>1094</v>
      </c>
      <c r="G13" s="106" t="s">
        <v>1095</v>
      </c>
      <c r="H13" s="106" t="s">
        <v>406</v>
      </c>
      <c r="I13" s="107">
        <v>44708</v>
      </c>
      <c r="J13" s="106" t="s">
        <v>180</v>
      </c>
      <c r="K13" s="106" t="s">
        <v>111</v>
      </c>
      <c r="L13" s="112" t="str">
        <f ca="1">IFERROR(_xlfn.IFNA(VLOOKUP($K13,[8]коммент!$B:$C,2,0),""),"")</f>
        <v/>
      </c>
      <c r="M13" s="106" t="s">
        <v>154</v>
      </c>
      <c r="N13" s="106" t="s">
        <v>114</v>
      </c>
      <c r="O13" s="106"/>
      <c r="P13" s="106"/>
      <c r="Q13" s="13"/>
      <c r="R13" s="13"/>
    </row>
    <row r="14" spans="1:18" s="14" customFormat="1" ht="72" hidden="1" customHeight="1">
      <c r="A14" s="106">
        <v>12</v>
      </c>
      <c r="B14" s="107">
        <v>44714</v>
      </c>
      <c r="C14" s="106" t="s">
        <v>1089</v>
      </c>
      <c r="D14" s="111" t="s">
        <v>87</v>
      </c>
      <c r="E14" s="111"/>
      <c r="F14" s="110" t="s">
        <v>1096</v>
      </c>
      <c r="G14" s="106" t="s">
        <v>1097</v>
      </c>
      <c r="H14" s="106" t="s">
        <v>1098</v>
      </c>
      <c r="I14" s="107">
        <v>44700</v>
      </c>
      <c r="J14" s="106" t="s">
        <v>180</v>
      </c>
      <c r="K14" s="106" t="s">
        <v>125</v>
      </c>
      <c r="L14" s="112" t="str">
        <f ca="1">IFERROR(_xlfn.IFNA(VLOOKUP($K14,[9]коммент!$B:$C,2,0),""),"")</f>
        <v/>
      </c>
      <c r="M14" s="106" t="s">
        <v>128</v>
      </c>
      <c r="N14" s="106"/>
      <c r="O14" s="106"/>
      <c r="P14" s="106" t="s">
        <v>1099</v>
      </c>
      <c r="Q14" s="13"/>
      <c r="R14" s="13"/>
    </row>
    <row r="15" spans="1:18" s="14" customFormat="1" hidden="1">
      <c r="A15" s="106">
        <v>13</v>
      </c>
      <c r="B15" s="107">
        <v>44714</v>
      </c>
      <c r="C15" s="106" t="s">
        <v>1089</v>
      </c>
      <c r="D15" s="111" t="s">
        <v>87</v>
      </c>
      <c r="E15" s="111"/>
      <c r="F15" s="110" t="s">
        <v>1102</v>
      </c>
      <c r="G15" s="106" t="s">
        <v>1103</v>
      </c>
      <c r="H15" s="106" t="s">
        <v>1104</v>
      </c>
      <c r="I15" s="107">
        <v>44697</v>
      </c>
      <c r="J15" s="106" t="s">
        <v>180</v>
      </c>
      <c r="K15" s="106" t="s">
        <v>125</v>
      </c>
      <c r="L15" s="112" t="str">
        <f ca="1">IFERROR(_xlfn.IFNA(VLOOKUP($K15,[9]коммент!$B:$C,2,0),""),"")</f>
        <v/>
      </c>
      <c r="M15" s="106" t="s">
        <v>128</v>
      </c>
      <c r="N15" s="106"/>
      <c r="O15" s="106"/>
      <c r="P15" s="106" t="s">
        <v>1099</v>
      </c>
      <c r="Q15" s="13"/>
      <c r="R15" s="13"/>
    </row>
    <row r="16" spans="1:18" s="14" customFormat="1" hidden="1">
      <c r="A16" s="106">
        <v>14</v>
      </c>
      <c r="B16" s="107">
        <v>44714</v>
      </c>
      <c r="C16" s="119" t="s">
        <v>1137</v>
      </c>
      <c r="D16" s="111" t="s">
        <v>87</v>
      </c>
      <c r="E16" s="111"/>
      <c r="F16" s="109" t="s">
        <v>1138</v>
      </c>
      <c r="G16" s="106">
        <v>89304058686</v>
      </c>
      <c r="H16" s="106" t="s">
        <v>1139</v>
      </c>
      <c r="I16" s="107">
        <v>44713</v>
      </c>
      <c r="J16" s="106" t="s">
        <v>180</v>
      </c>
      <c r="K16" s="106" t="s">
        <v>111</v>
      </c>
      <c r="L16" s="112" t="str">
        <f ca="1">IFERROR(_xlfn.IFNA(VLOOKUP($K16,[10]коммент!$B:$C,2,0),""),"")</f>
        <v/>
      </c>
      <c r="M16" s="106" t="s">
        <v>154</v>
      </c>
      <c r="N16" s="106" t="s">
        <v>114</v>
      </c>
      <c r="O16" s="106"/>
      <c r="P16" s="106"/>
      <c r="Q16" s="13"/>
      <c r="R16" s="13"/>
    </row>
    <row r="17" spans="1:18" s="14" customFormat="1" ht="31.5" hidden="1">
      <c r="A17" s="106">
        <v>15</v>
      </c>
      <c r="B17" s="107">
        <v>44714</v>
      </c>
      <c r="C17" s="106" t="s">
        <v>1141</v>
      </c>
      <c r="D17" s="111" t="s">
        <v>87</v>
      </c>
      <c r="E17" s="111"/>
      <c r="F17" s="110" t="s">
        <v>1150</v>
      </c>
      <c r="G17" s="106" t="s">
        <v>1151</v>
      </c>
      <c r="H17" s="106" t="s">
        <v>922</v>
      </c>
      <c r="I17" s="107">
        <v>44706</v>
      </c>
      <c r="J17" s="106" t="s">
        <v>180</v>
      </c>
      <c r="K17" s="106" t="s">
        <v>111</v>
      </c>
      <c r="L17" s="112" t="str">
        <f ca="1">IFERROR(_xlfn.IFNA(VLOOKUP($K17,[11]коммент!$B:$C,2,0),""),"")</f>
        <v/>
      </c>
      <c r="M17" s="106" t="s">
        <v>154</v>
      </c>
      <c r="N17" s="106" t="s">
        <v>114</v>
      </c>
      <c r="O17" s="106"/>
      <c r="P17" s="106"/>
      <c r="Q17" s="13"/>
      <c r="R17" s="13"/>
    </row>
    <row r="18" spans="1:18" s="14" customFormat="1" ht="31.5" hidden="1">
      <c r="A18" s="106">
        <v>16</v>
      </c>
      <c r="B18" s="107">
        <v>44714</v>
      </c>
      <c r="C18" s="106" t="s">
        <v>420</v>
      </c>
      <c r="D18" s="111" t="s">
        <v>31</v>
      </c>
      <c r="E18" s="111"/>
      <c r="F18" s="110" t="s">
        <v>421</v>
      </c>
      <c r="G18" s="106">
        <v>89164491924</v>
      </c>
      <c r="H18" s="106"/>
      <c r="I18" s="107">
        <v>44692</v>
      </c>
      <c r="J18" s="106" t="s">
        <v>180</v>
      </c>
      <c r="K18" s="106" t="s">
        <v>110</v>
      </c>
      <c r="L18" s="112" t="str">
        <f ca="1">IFERROR(_xlfn.IFNA(VLOOKUP($K18,[12]коммент!$B:$C,2,0),""),"")</f>
        <v/>
      </c>
      <c r="M18" s="106" t="s">
        <v>124</v>
      </c>
      <c r="N18" s="106"/>
      <c r="O18" s="106"/>
      <c r="P18" s="106"/>
      <c r="Q18" s="13"/>
      <c r="R18" s="13"/>
    </row>
    <row r="19" spans="1:18" s="14" customFormat="1" ht="47.25" hidden="1">
      <c r="A19" s="106">
        <v>17</v>
      </c>
      <c r="B19" s="107">
        <v>44714</v>
      </c>
      <c r="C19" s="106" t="s">
        <v>438</v>
      </c>
      <c r="D19" s="111" t="s">
        <v>31</v>
      </c>
      <c r="E19" s="111"/>
      <c r="F19" s="129" t="s">
        <v>439</v>
      </c>
      <c r="G19" s="106">
        <v>9686843696</v>
      </c>
      <c r="H19" s="106" t="s">
        <v>440</v>
      </c>
      <c r="I19" s="107">
        <v>44713</v>
      </c>
      <c r="J19" s="106" t="s">
        <v>180</v>
      </c>
      <c r="K19" s="106" t="s">
        <v>36</v>
      </c>
      <c r="L19" s="112" t="str">
        <f ca="1">IFERROR(_xlfn.IFNA(VLOOKUP($K19,[13]коммент!$B:$C,2,0),""),"")</f>
        <v/>
      </c>
      <c r="M19" s="106"/>
      <c r="N19" s="106"/>
      <c r="O19" s="106"/>
      <c r="P19" s="106" t="s">
        <v>441</v>
      </c>
      <c r="Q19" s="13"/>
      <c r="R19" s="13"/>
    </row>
    <row r="20" spans="1:18" s="14" customFormat="1" ht="31.5" hidden="1">
      <c r="A20" s="106">
        <v>18</v>
      </c>
      <c r="B20" s="107">
        <v>44714</v>
      </c>
      <c r="C20" s="106" t="s">
        <v>438</v>
      </c>
      <c r="D20" s="111" t="s">
        <v>31</v>
      </c>
      <c r="E20" s="111"/>
      <c r="F20" s="109" t="s">
        <v>443</v>
      </c>
      <c r="G20" s="106">
        <v>9246534183</v>
      </c>
      <c r="H20" s="106" t="s">
        <v>444</v>
      </c>
      <c r="I20" s="107">
        <v>44713</v>
      </c>
      <c r="J20" s="106" t="s">
        <v>179</v>
      </c>
      <c r="K20" s="106" t="s">
        <v>125</v>
      </c>
      <c r="L20" s="112" t="str">
        <f ca="1">IFERROR(_xlfn.IFNA(VLOOKUP($K20,[13]коммент!$B:$C,2,0),""),"")</f>
        <v/>
      </c>
      <c r="M20" s="106" t="s">
        <v>188</v>
      </c>
      <c r="N20" s="106"/>
      <c r="O20" s="106"/>
      <c r="P20" s="106" t="s">
        <v>445</v>
      </c>
      <c r="Q20" s="13"/>
      <c r="R20" s="13"/>
    </row>
    <row r="21" spans="1:18" s="14" customFormat="1" ht="31.5" hidden="1">
      <c r="A21" s="106">
        <v>19</v>
      </c>
      <c r="B21" s="107">
        <v>44714</v>
      </c>
      <c r="C21" s="106" t="s">
        <v>438</v>
      </c>
      <c r="D21" s="111" t="s">
        <v>31</v>
      </c>
      <c r="E21" s="111"/>
      <c r="F21" s="109" t="s">
        <v>448</v>
      </c>
      <c r="G21" s="106">
        <v>9652962399</v>
      </c>
      <c r="H21" s="106" t="s">
        <v>449</v>
      </c>
      <c r="I21" s="107">
        <v>44543</v>
      </c>
      <c r="J21" s="106" t="s">
        <v>184</v>
      </c>
      <c r="K21" s="106" t="s">
        <v>85</v>
      </c>
      <c r="L21" s="112" t="str">
        <f ca="1">IFERROR(_xlfn.IFNA(VLOOKUP($K21,[13]коммент!$B:$C,2,0),""),"")</f>
        <v/>
      </c>
      <c r="M21" s="106" t="s">
        <v>130</v>
      </c>
      <c r="N21" s="106"/>
      <c r="O21" s="106"/>
      <c r="P21" s="106" t="s">
        <v>450</v>
      </c>
      <c r="Q21" s="13"/>
      <c r="R21" s="13"/>
    </row>
    <row r="22" spans="1:18" s="14" customFormat="1" ht="31.5" hidden="1">
      <c r="A22" s="106">
        <v>20</v>
      </c>
      <c r="B22" s="107">
        <v>44714</v>
      </c>
      <c r="C22" s="106" t="s">
        <v>438</v>
      </c>
      <c r="D22" s="111" t="s">
        <v>31</v>
      </c>
      <c r="E22" s="111"/>
      <c r="F22" s="109" t="s">
        <v>451</v>
      </c>
      <c r="G22" s="106">
        <v>9067121604</v>
      </c>
      <c r="H22" s="106"/>
      <c r="I22" s="106"/>
      <c r="J22" s="106" t="s">
        <v>179</v>
      </c>
      <c r="K22" s="106" t="s">
        <v>6</v>
      </c>
      <c r="L22" s="112" t="str">
        <f ca="1">IFERROR(_xlfn.IFNA(VLOOKUP($K22,[13]коммент!$B:$C,2,0),""),"")</f>
        <v/>
      </c>
      <c r="M22" s="106"/>
      <c r="N22" s="106"/>
      <c r="O22" s="106"/>
      <c r="P22" s="106"/>
      <c r="Q22" s="13"/>
      <c r="R22" s="13"/>
    </row>
    <row r="23" spans="1:18" s="14" customFormat="1" ht="47.25" hidden="1">
      <c r="A23" s="106">
        <v>21</v>
      </c>
      <c r="B23" s="107">
        <v>44714</v>
      </c>
      <c r="C23" s="119" t="s">
        <v>455</v>
      </c>
      <c r="D23" s="111" t="s">
        <v>31</v>
      </c>
      <c r="E23" s="111"/>
      <c r="F23" s="110" t="s">
        <v>459</v>
      </c>
      <c r="G23" s="106" t="s">
        <v>460</v>
      </c>
      <c r="H23" s="118"/>
      <c r="I23" s="118"/>
      <c r="J23" s="119" t="s">
        <v>180</v>
      </c>
      <c r="K23" s="106" t="s">
        <v>125</v>
      </c>
      <c r="L23" s="112" t="str">
        <f ca="1">IFERROR(_xlfn.IFNA(VLOOKUP($K23,[14]коммент!$B:$C,2,0),""),"")</f>
        <v/>
      </c>
      <c r="M23" s="106" t="s">
        <v>127</v>
      </c>
      <c r="N23" s="106"/>
      <c r="O23" s="106"/>
      <c r="P23" s="106" t="s">
        <v>461</v>
      </c>
      <c r="Q23" s="13"/>
      <c r="R23" s="13"/>
    </row>
    <row r="24" spans="1:18" s="14" customFormat="1" ht="31.5" hidden="1">
      <c r="A24" s="106">
        <v>22</v>
      </c>
      <c r="B24" s="107">
        <v>44714</v>
      </c>
      <c r="C24" s="119" t="s">
        <v>455</v>
      </c>
      <c r="D24" s="111" t="s">
        <v>31</v>
      </c>
      <c r="E24" s="111"/>
      <c r="F24" s="110" t="s">
        <v>459</v>
      </c>
      <c r="G24" s="106" t="s">
        <v>460</v>
      </c>
      <c r="H24" s="118"/>
      <c r="I24" s="118"/>
      <c r="J24" s="119" t="s">
        <v>180</v>
      </c>
      <c r="K24" s="106" t="s">
        <v>125</v>
      </c>
      <c r="L24" s="112" t="str">
        <f ca="1">IFERROR(_xlfn.IFNA(VLOOKUP($K24,[14]коммент!$B:$C,2,0),""),"")</f>
        <v/>
      </c>
      <c r="M24" s="106" t="s">
        <v>189</v>
      </c>
      <c r="N24" s="106"/>
      <c r="O24" s="106"/>
      <c r="P24" s="106" t="s">
        <v>462</v>
      </c>
      <c r="Q24" s="13"/>
      <c r="R24" s="13"/>
    </row>
    <row r="25" spans="1:18" s="14" customFormat="1" ht="31.5" hidden="1">
      <c r="A25" s="106">
        <v>23</v>
      </c>
      <c r="B25" s="107">
        <v>44714</v>
      </c>
      <c r="C25" s="106" t="s">
        <v>477</v>
      </c>
      <c r="D25" s="111" t="s">
        <v>31</v>
      </c>
      <c r="E25" s="111"/>
      <c r="F25" s="109" t="s">
        <v>511</v>
      </c>
      <c r="G25" s="106">
        <v>9035005370</v>
      </c>
      <c r="H25" s="106" t="s">
        <v>512</v>
      </c>
      <c r="I25" s="107">
        <v>44702</v>
      </c>
      <c r="J25" s="106" t="s">
        <v>180</v>
      </c>
      <c r="K25" s="114" t="s">
        <v>111</v>
      </c>
      <c r="L25" s="115" t="str">
        <f ca="1">IFERROR(_xlfn.IFNA(VLOOKUP($K25,[15]коммент!$B:$C,2,0),""),"")</f>
        <v/>
      </c>
      <c r="M25" s="106" t="s">
        <v>154</v>
      </c>
      <c r="N25" s="106"/>
      <c r="O25" s="106"/>
      <c r="P25" s="106"/>
      <c r="Q25" s="13"/>
      <c r="R25" s="13"/>
    </row>
    <row r="26" spans="1:18" s="14" customFormat="1" ht="47.25" hidden="1">
      <c r="A26" s="106">
        <v>24</v>
      </c>
      <c r="B26" s="107">
        <v>44714</v>
      </c>
      <c r="C26" s="114" t="s">
        <v>513</v>
      </c>
      <c r="D26" s="111" t="s">
        <v>31</v>
      </c>
      <c r="E26" s="111"/>
      <c r="F26" s="145" t="s">
        <v>514</v>
      </c>
      <c r="G26" s="114" t="s">
        <v>515</v>
      </c>
      <c r="H26" s="114" t="s">
        <v>516</v>
      </c>
      <c r="I26" s="143">
        <v>44712</v>
      </c>
      <c r="J26" s="114" t="s">
        <v>180</v>
      </c>
      <c r="K26" s="114" t="s">
        <v>125</v>
      </c>
      <c r="L26" s="115" t="str">
        <f ca="1">IFERROR(_xlfn.IFNA(VLOOKUP($K26,[16]коммент!$B:$C,2,0),""),"")</f>
        <v/>
      </c>
      <c r="M26" s="106" t="s">
        <v>189</v>
      </c>
      <c r="N26" s="106"/>
      <c r="O26" s="106"/>
      <c r="P26" s="106" t="s">
        <v>517</v>
      </c>
      <c r="Q26" s="13"/>
      <c r="R26" s="13"/>
    </row>
    <row r="27" spans="1:18" s="14" customFormat="1" ht="126" hidden="1">
      <c r="A27" s="106">
        <v>25</v>
      </c>
      <c r="B27" s="107">
        <v>44714</v>
      </c>
      <c r="C27" s="106" t="s">
        <v>568</v>
      </c>
      <c r="D27" s="111" t="s">
        <v>31</v>
      </c>
      <c r="E27" s="111"/>
      <c r="F27" s="110" t="s">
        <v>570</v>
      </c>
      <c r="G27" s="106">
        <v>9153644087</v>
      </c>
      <c r="H27" s="106" t="s">
        <v>571</v>
      </c>
      <c r="I27" s="107">
        <v>44704</v>
      </c>
      <c r="J27" s="106" t="s">
        <v>180</v>
      </c>
      <c r="K27" s="106" t="s">
        <v>125</v>
      </c>
      <c r="L27" s="112" t="s">
        <v>162</v>
      </c>
      <c r="M27" s="106" t="s">
        <v>128</v>
      </c>
      <c r="N27" s="106"/>
      <c r="O27" s="106"/>
      <c r="P27" s="106"/>
      <c r="Q27" s="13"/>
      <c r="R27" s="13"/>
    </row>
    <row r="28" spans="1:18" s="14" customFormat="1" ht="126" hidden="1">
      <c r="A28" s="106">
        <v>26</v>
      </c>
      <c r="B28" s="107">
        <v>44714</v>
      </c>
      <c r="C28" s="106" t="s">
        <v>606</v>
      </c>
      <c r="D28" s="111" t="s">
        <v>31</v>
      </c>
      <c r="E28" s="111"/>
      <c r="F28" s="110" t="s">
        <v>609</v>
      </c>
      <c r="G28" s="106">
        <v>89035949964</v>
      </c>
      <c r="H28" s="106" t="s">
        <v>117</v>
      </c>
      <c r="I28" s="107"/>
      <c r="J28" s="106" t="s">
        <v>134</v>
      </c>
      <c r="K28" s="106" t="s">
        <v>125</v>
      </c>
      <c r="L28" s="112" t="s">
        <v>162</v>
      </c>
      <c r="M28" s="106" t="s">
        <v>189</v>
      </c>
      <c r="N28" s="106"/>
      <c r="O28" s="106"/>
      <c r="P28" s="106" t="s">
        <v>610</v>
      </c>
      <c r="Q28" s="13"/>
      <c r="R28" s="13"/>
    </row>
    <row r="29" spans="1:18" s="14" customFormat="1" ht="126" hidden="1">
      <c r="A29" s="106">
        <v>27</v>
      </c>
      <c r="B29" s="107">
        <v>44714</v>
      </c>
      <c r="C29" s="106" t="s">
        <v>606</v>
      </c>
      <c r="D29" s="111" t="s">
        <v>31</v>
      </c>
      <c r="E29" s="111"/>
      <c r="F29" s="110" t="s">
        <v>611</v>
      </c>
      <c r="G29" s="106">
        <v>89255159892</v>
      </c>
      <c r="H29" s="106" t="s">
        <v>612</v>
      </c>
      <c r="I29" s="107">
        <v>44713</v>
      </c>
      <c r="J29" s="106" t="s">
        <v>134</v>
      </c>
      <c r="K29" s="106" t="s">
        <v>125</v>
      </c>
      <c r="L29" s="112" t="s">
        <v>162</v>
      </c>
      <c r="M29" s="106" t="s">
        <v>188</v>
      </c>
      <c r="N29" s="106"/>
      <c r="O29" s="106"/>
      <c r="P29" s="106"/>
      <c r="Q29" s="13"/>
      <c r="R29" s="13"/>
    </row>
    <row r="30" spans="1:18" s="14" customFormat="1" ht="126" hidden="1">
      <c r="A30" s="106">
        <v>28</v>
      </c>
      <c r="B30" s="107">
        <v>44714</v>
      </c>
      <c r="C30" s="106" t="s">
        <v>606</v>
      </c>
      <c r="D30" s="111" t="s">
        <v>31</v>
      </c>
      <c r="E30" s="111"/>
      <c r="F30" s="110" t="s">
        <v>629</v>
      </c>
      <c r="G30" s="106" t="s">
        <v>630</v>
      </c>
      <c r="H30" s="106" t="s">
        <v>117</v>
      </c>
      <c r="I30" s="107"/>
      <c r="J30" s="106" t="s">
        <v>180</v>
      </c>
      <c r="K30" s="106" t="s">
        <v>125</v>
      </c>
      <c r="L30" s="112" t="s">
        <v>162</v>
      </c>
      <c r="M30" s="106" t="s">
        <v>189</v>
      </c>
      <c r="N30" s="106"/>
      <c r="O30" s="106"/>
      <c r="P30" s="106" t="s">
        <v>631</v>
      </c>
      <c r="Q30" s="13"/>
      <c r="R30" s="13"/>
    </row>
    <row r="31" spans="1:18" s="14" customFormat="1" ht="31.5" hidden="1">
      <c r="A31" s="106">
        <v>29</v>
      </c>
      <c r="B31" s="107">
        <v>44714</v>
      </c>
      <c r="C31" s="106" t="s">
        <v>957</v>
      </c>
      <c r="D31" s="111" t="s">
        <v>31</v>
      </c>
      <c r="E31" s="111"/>
      <c r="F31" s="109" t="s">
        <v>965</v>
      </c>
      <c r="G31" s="106">
        <v>9163222577</v>
      </c>
      <c r="H31" s="106" t="s">
        <v>966</v>
      </c>
      <c r="I31" s="107">
        <v>44713</v>
      </c>
      <c r="J31" s="106" t="s">
        <v>180</v>
      </c>
      <c r="K31" s="106" t="s">
        <v>125</v>
      </c>
      <c r="L31" s="112" t="str">
        <f ca="1">IFERROR(_xlfn.IFNA(VLOOKUP($K31,[17]коммент!$B:$C,2,0),""),"")</f>
        <v/>
      </c>
      <c r="M31" s="106" t="s">
        <v>189</v>
      </c>
      <c r="N31" s="106"/>
      <c r="O31" s="106"/>
      <c r="P31" s="106"/>
      <c r="Q31" s="13"/>
      <c r="R31" s="13"/>
    </row>
    <row r="32" spans="1:18" s="14" customFormat="1" ht="31.5" hidden="1">
      <c r="A32" s="106">
        <v>30</v>
      </c>
      <c r="B32" s="107">
        <v>44714</v>
      </c>
      <c r="C32" s="132" t="s">
        <v>996</v>
      </c>
      <c r="D32" s="131" t="s">
        <v>31</v>
      </c>
      <c r="E32" s="131"/>
      <c r="F32" s="151" t="s">
        <v>1005</v>
      </c>
      <c r="G32" s="153" t="s">
        <v>1006</v>
      </c>
      <c r="H32" s="132" t="s">
        <v>1007</v>
      </c>
      <c r="I32" s="113">
        <v>44713</v>
      </c>
      <c r="J32" s="132" t="s">
        <v>180</v>
      </c>
      <c r="K32" s="132" t="s">
        <v>1</v>
      </c>
      <c r="L32" s="112" t="str">
        <f ca="1">IFERROR(_xlfn.IFNA(VLOOKUP($K32,[18]коммент!$B:$C,2,0),""),"")</f>
        <v/>
      </c>
      <c r="M32" s="132" t="s">
        <v>152</v>
      </c>
      <c r="N32" s="132"/>
      <c r="O32" s="132"/>
      <c r="P32" s="132" t="s">
        <v>1008</v>
      </c>
      <c r="Q32" s="13"/>
      <c r="R32" s="13"/>
    </row>
    <row r="33" spans="1:18" s="14" customFormat="1" ht="31.5" hidden="1">
      <c r="A33" s="106">
        <v>31</v>
      </c>
      <c r="B33" s="107">
        <v>44714</v>
      </c>
      <c r="C33" s="106" t="s">
        <v>1015</v>
      </c>
      <c r="D33" s="111" t="s">
        <v>31</v>
      </c>
      <c r="E33" s="111"/>
      <c r="F33" s="110" t="s">
        <v>1046</v>
      </c>
      <c r="G33" s="106" t="s">
        <v>1047</v>
      </c>
      <c r="H33" s="106"/>
      <c r="I33" s="107"/>
      <c r="J33" s="106" t="s">
        <v>180</v>
      </c>
      <c r="K33" s="106" t="s">
        <v>125</v>
      </c>
      <c r="L33" s="112" t="str">
        <f ca="1">IFERROR(_xlfn.IFNA(VLOOKUP($K33,[19]коммент!$B:$C,2,0),""),"")</f>
        <v/>
      </c>
      <c r="M33" s="106" t="s">
        <v>189</v>
      </c>
      <c r="N33" s="150"/>
      <c r="O33" s="150"/>
      <c r="P33" s="150" t="s">
        <v>1048</v>
      </c>
      <c r="Q33" s="13"/>
      <c r="R33" s="13"/>
    </row>
    <row r="34" spans="1:18" s="14" customFormat="1" ht="31.5" hidden="1">
      <c r="A34" s="106">
        <v>32</v>
      </c>
      <c r="B34" s="107">
        <v>44714</v>
      </c>
      <c r="C34" s="106" t="s">
        <v>1015</v>
      </c>
      <c r="D34" s="111" t="s">
        <v>31</v>
      </c>
      <c r="E34" s="111"/>
      <c r="F34" s="110" t="s">
        <v>1049</v>
      </c>
      <c r="G34" s="106" t="s">
        <v>1050</v>
      </c>
      <c r="H34" s="106" t="s">
        <v>1051</v>
      </c>
      <c r="I34" s="107">
        <v>44709</v>
      </c>
      <c r="J34" s="106" t="s">
        <v>180</v>
      </c>
      <c r="K34" s="106" t="s">
        <v>36</v>
      </c>
      <c r="L34" s="112" t="str">
        <f ca="1">IFERROR(_xlfn.IFNA(VLOOKUP($K34,[19]коммент!$B:$C,2,0),""),"")</f>
        <v/>
      </c>
      <c r="M34" s="106"/>
      <c r="N34" s="106"/>
      <c r="O34" s="106"/>
      <c r="P34" s="106" t="s">
        <v>1052</v>
      </c>
      <c r="Q34" s="13"/>
      <c r="R34" s="13"/>
    </row>
    <row r="35" spans="1:18" s="14" customFormat="1" ht="31.5" hidden="1">
      <c r="A35" s="106">
        <v>33</v>
      </c>
      <c r="B35" s="107">
        <v>44714</v>
      </c>
      <c r="C35" s="106" t="s">
        <v>1015</v>
      </c>
      <c r="D35" s="111" t="s">
        <v>31</v>
      </c>
      <c r="E35" s="111"/>
      <c r="F35" s="110" t="s">
        <v>1053</v>
      </c>
      <c r="G35" s="106" t="s">
        <v>1054</v>
      </c>
      <c r="H35" s="106" t="s">
        <v>1051</v>
      </c>
      <c r="I35" s="107">
        <v>44708</v>
      </c>
      <c r="J35" s="106" t="s">
        <v>180</v>
      </c>
      <c r="K35" s="106" t="s">
        <v>36</v>
      </c>
      <c r="L35" s="112" t="str">
        <f ca="1">IFERROR(_xlfn.IFNA(VLOOKUP($K35,[19]коммент!$B:$C,2,0),""),"")</f>
        <v/>
      </c>
      <c r="M35" s="106"/>
      <c r="N35" s="106"/>
      <c r="O35" s="106"/>
      <c r="P35" s="106" t="s">
        <v>1052</v>
      </c>
      <c r="Q35" s="13"/>
      <c r="R35" s="13"/>
    </row>
    <row r="36" spans="1:18" s="14" customFormat="1" ht="94.5" hidden="1">
      <c r="A36" s="106">
        <v>34</v>
      </c>
      <c r="B36" s="107">
        <v>44714</v>
      </c>
      <c r="C36" s="106" t="s">
        <v>1015</v>
      </c>
      <c r="D36" s="111" t="s">
        <v>31</v>
      </c>
      <c r="E36" s="111"/>
      <c r="F36" s="110" t="s">
        <v>1055</v>
      </c>
      <c r="G36" s="106" t="s">
        <v>1056</v>
      </c>
      <c r="H36" s="106" t="s">
        <v>1057</v>
      </c>
      <c r="I36" s="107"/>
      <c r="J36" s="106" t="s">
        <v>180</v>
      </c>
      <c r="K36" s="114" t="s">
        <v>125</v>
      </c>
      <c r="L36" s="115" t="str">
        <f ca="1">IFERROR(_xlfn.IFNA(VLOOKUP($K36,[19]коммент!$B:$C,2,0),""),"")</f>
        <v/>
      </c>
      <c r="M36" s="106" t="s">
        <v>189</v>
      </c>
      <c r="N36" s="106"/>
      <c r="O36" s="106"/>
      <c r="P36" s="106"/>
      <c r="Q36" s="13"/>
      <c r="R36" s="13"/>
    </row>
    <row r="37" spans="1:18" s="14" customFormat="1" ht="63" hidden="1">
      <c r="A37" s="106">
        <v>35</v>
      </c>
      <c r="B37" s="107">
        <v>44714</v>
      </c>
      <c r="C37" s="106" t="s">
        <v>1015</v>
      </c>
      <c r="D37" s="111" t="s">
        <v>31</v>
      </c>
      <c r="E37" s="111"/>
      <c r="F37" s="110" t="s">
        <v>1058</v>
      </c>
      <c r="G37" s="106" t="s">
        <v>1059</v>
      </c>
      <c r="H37" s="106" t="s">
        <v>1060</v>
      </c>
      <c r="I37" s="107">
        <v>44706</v>
      </c>
      <c r="J37" s="106" t="s">
        <v>180</v>
      </c>
      <c r="K37" s="114" t="s">
        <v>125</v>
      </c>
      <c r="L37" s="115" t="str">
        <f ca="1">IFERROR(_xlfn.IFNA(VLOOKUP($K37,[19]коммент!$B:$C,2,0),""),"")</f>
        <v/>
      </c>
      <c r="M37" s="106" t="s">
        <v>189</v>
      </c>
      <c r="N37" s="106"/>
      <c r="O37" s="106"/>
      <c r="P37" s="106" t="s">
        <v>1061</v>
      </c>
      <c r="Q37" s="13"/>
      <c r="R37" s="13"/>
    </row>
    <row r="38" spans="1:18" s="14" customFormat="1" ht="73.5" hidden="1" customHeight="1">
      <c r="A38" s="106">
        <v>36</v>
      </c>
      <c r="B38" s="107">
        <v>44714</v>
      </c>
      <c r="C38" s="106" t="s">
        <v>1015</v>
      </c>
      <c r="D38" s="111" t="s">
        <v>31</v>
      </c>
      <c r="E38" s="111"/>
      <c r="F38" s="110" t="s">
        <v>1062</v>
      </c>
      <c r="G38" s="106" t="s">
        <v>1063</v>
      </c>
      <c r="H38" s="106" t="s">
        <v>1064</v>
      </c>
      <c r="I38" s="107">
        <v>44712</v>
      </c>
      <c r="J38" s="106" t="s">
        <v>180</v>
      </c>
      <c r="K38" s="106" t="s">
        <v>125</v>
      </c>
      <c r="L38" s="112" t="str">
        <f ca="1">IFERROR(_xlfn.IFNA(VLOOKUP($K38,[19]коммент!$B:$C,2,0),""),"")</f>
        <v/>
      </c>
      <c r="M38" s="106" t="s">
        <v>189</v>
      </c>
      <c r="N38" s="106"/>
      <c r="O38" s="106"/>
      <c r="P38" s="106" t="s">
        <v>1065</v>
      </c>
      <c r="Q38" s="13"/>
      <c r="R38" s="13"/>
    </row>
    <row r="39" spans="1:18" s="14" customFormat="1" ht="31.5" hidden="1">
      <c r="A39" s="106">
        <v>37</v>
      </c>
      <c r="B39" s="107">
        <v>44714</v>
      </c>
      <c r="C39" s="106" t="s">
        <v>1015</v>
      </c>
      <c r="D39" s="111" t="s">
        <v>31</v>
      </c>
      <c r="E39" s="111"/>
      <c r="F39" s="110" t="s">
        <v>1066</v>
      </c>
      <c r="G39" s="106" t="s">
        <v>1067</v>
      </c>
      <c r="H39" s="106" t="s">
        <v>440</v>
      </c>
      <c r="I39" s="107">
        <v>44713</v>
      </c>
      <c r="J39" s="106" t="s">
        <v>180</v>
      </c>
      <c r="K39" s="106" t="s">
        <v>36</v>
      </c>
      <c r="L39" s="112" t="str">
        <f ca="1">IFERROR(_xlfn.IFNA(VLOOKUP($K39,[19]коммент!$B:$C,2,0),""),"")</f>
        <v/>
      </c>
      <c r="M39" s="106"/>
      <c r="N39" s="106"/>
      <c r="O39" s="106"/>
      <c r="P39" s="106" t="s">
        <v>1052</v>
      </c>
      <c r="Q39" s="13"/>
      <c r="R39" s="13"/>
    </row>
    <row r="40" spans="1:18" s="14" customFormat="1" ht="31.5" hidden="1">
      <c r="A40" s="106">
        <v>38</v>
      </c>
      <c r="B40" s="107">
        <v>44714</v>
      </c>
      <c r="C40" s="106" t="s">
        <v>1015</v>
      </c>
      <c r="D40" s="111" t="s">
        <v>31</v>
      </c>
      <c r="E40" s="111"/>
      <c r="F40" s="129" t="s">
        <v>1068</v>
      </c>
      <c r="G40" s="129" t="s">
        <v>1069</v>
      </c>
      <c r="H40" s="106" t="s">
        <v>1070</v>
      </c>
      <c r="I40" s="107">
        <v>44713</v>
      </c>
      <c r="J40" s="106" t="s">
        <v>134</v>
      </c>
      <c r="K40" s="106" t="s">
        <v>111</v>
      </c>
      <c r="L40" s="112" t="str">
        <f ca="1">IFERROR(_xlfn.IFNA(VLOOKUP($K40,[19]коммент!$B:$C,2,0),""),"")</f>
        <v/>
      </c>
      <c r="M40" s="106" t="s">
        <v>154</v>
      </c>
      <c r="N40" s="106"/>
      <c r="O40" s="106"/>
      <c r="P40" s="106"/>
      <c r="Q40" s="13"/>
      <c r="R40" s="13"/>
    </row>
    <row r="41" spans="1:18" s="14" customFormat="1" ht="31.5" hidden="1">
      <c r="A41" s="106">
        <v>39</v>
      </c>
      <c r="B41" s="107">
        <v>44714</v>
      </c>
      <c r="C41" s="106" t="s">
        <v>1015</v>
      </c>
      <c r="D41" s="111" t="s">
        <v>31</v>
      </c>
      <c r="E41" s="111"/>
      <c r="F41" s="110" t="s">
        <v>1071</v>
      </c>
      <c r="G41" s="106" t="s">
        <v>1072</v>
      </c>
      <c r="H41" s="106" t="s">
        <v>866</v>
      </c>
      <c r="I41" s="107">
        <v>44713</v>
      </c>
      <c r="J41" s="106" t="s">
        <v>180</v>
      </c>
      <c r="K41" s="106" t="s">
        <v>1</v>
      </c>
      <c r="L41" s="112" t="str">
        <f ca="1">IFERROR(_xlfn.IFNA(VLOOKUP($K41,[19]коммент!$B:$C,2,0),""),"")</f>
        <v/>
      </c>
      <c r="M41" s="106" t="s">
        <v>153</v>
      </c>
      <c r="N41" s="106"/>
      <c r="O41" s="106"/>
      <c r="P41" s="106" t="s">
        <v>1073</v>
      </c>
      <c r="Q41" s="13"/>
      <c r="R41" s="13"/>
    </row>
    <row r="42" spans="1:18" s="14" customFormat="1" ht="31.5" hidden="1">
      <c r="A42" s="106">
        <v>40</v>
      </c>
      <c r="B42" s="107">
        <v>44714</v>
      </c>
      <c r="C42" s="106" t="s">
        <v>1015</v>
      </c>
      <c r="D42" s="111" t="s">
        <v>31</v>
      </c>
      <c r="E42" s="111"/>
      <c r="F42" s="129" t="s">
        <v>1076</v>
      </c>
      <c r="G42" s="129" t="s">
        <v>1077</v>
      </c>
      <c r="H42" s="106" t="s">
        <v>1078</v>
      </c>
      <c r="I42" s="107">
        <v>44713</v>
      </c>
      <c r="J42" s="106" t="s">
        <v>179</v>
      </c>
      <c r="K42" s="106" t="s">
        <v>1</v>
      </c>
      <c r="L42" s="112" t="str">
        <f ca="1">IFERROR(_xlfn.IFNA(VLOOKUP($K42,[19]коммент!$B:$C,2,0),""),"")</f>
        <v/>
      </c>
      <c r="M42" s="106" t="s">
        <v>153</v>
      </c>
      <c r="N42" s="106"/>
      <c r="O42" s="106"/>
      <c r="P42" s="106" t="s">
        <v>1079</v>
      </c>
      <c r="Q42" s="13"/>
      <c r="R42" s="13"/>
    </row>
    <row r="43" spans="1:18" s="14" customFormat="1" ht="78.75" hidden="1">
      <c r="A43" s="106">
        <v>41</v>
      </c>
      <c r="B43" s="107">
        <v>44714</v>
      </c>
      <c r="C43" s="106" t="s">
        <v>1157</v>
      </c>
      <c r="D43" s="111" t="s">
        <v>31</v>
      </c>
      <c r="E43" s="111"/>
      <c r="F43" s="110" t="s">
        <v>1158</v>
      </c>
      <c r="G43" s="106" t="s">
        <v>1159</v>
      </c>
      <c r="H43" s="106" t="s">
        <v>1160</v>
      </c>
      <c r="I43" s="107">
        <v>44711</v>
      </c>
      <c r="J43" s="106" t="s">
        <v>180</v>
      </c>
      <c r="K43" s="106" t="s">
        <v>111</v>
      </c>
      <c r="L43" s="112" t="str">
        <f ca="1">IFERROR(_xlfn.IFNA(VLOOKUP($K43,[20]коммент!$B:$C,2,0),""),"")</f>
        <v/>
      </c>
      <c r="M43" s="106" t="s">
        <v>154</v>
      </c>
      <c r="N43" s="106" t="s">
        <v>114</v>
      </c>
      <c r="O43" s="106"/>
      <c r="P43" s="106" t="s">
        <v>1161</v>
      </c>
      <c r="Q43" s="13"/>
      <c r="R43" s="13"/>
    </row>
    <row r="44" spans="1:18" s="14" customFormat="1" ht="189" hidden="1">
      <c r="A44" s="106">
        <v>42</v>
      </c>
      <c r="B44" s="107">
        <v>44714</v>
      </c>
      <c r="C44" s="106" t="s">
        <v>1157</v>
      </c>
      <c r="D44" s="111" t="s">
        <v>31</v>
      </c>
      <c r="E44" s="111"/>
      <c r="F44" s="110" t="s">
        <v>1175</v>
      </c>
      <c r="G44" s="106" t="s">
        <v>1176</v>
      </c>
      <c r="H44" s="106"/>
      <c r="I44" s="106"/>
      <c r="J44" s="106" t="s">
        <v>180</v>
      </c>
      <c r="K44" s="106" t="s">
        <v>113</v>
      </c>
      <c r="L44" s="112" t="str">
        <f ca="1">IFERROR(_xlfn.IFNA(VLOOKUP($K44,[20]коммент!$B:$C,2,0),""),"")</f>
        <v/>
      </c>
      <c r="M44" s="106"/>
      <c r="N44" s="106"/>
      <c r="O44" s="106"/>
      <c r="P44" s="106" t="s">
        <v>1177</v>
      </c>
      <c r="Q44" s="13"/>
      <c r="R44" s="13"/>
    </row>
    <row r="45" spans="1:18" s="14" customFormat="1" ht="94.5" hidden="1">
      <c r="A45" s="106">
        <v>43</v>
      </c>
      <c r="B45" s="107">
        <v>44714</v>
      </c>
      <c r="C45" s="106" t="s">
        <v>1303</v>
      </c>
      <c r="D45" s="111" t="s">
        <v>31</v>
      </c>
      <c r="E45" s="111"/>
      <c r="F45" s="110" t="s">
        <v>1318</v>
      </c>
      <c r="G45" s="106" t="s">
        <v>1319</v>
      </c>
      <c r="H45" s="106" t="s">
        <v>1051</v>
      </c>
      <c r="I45" s="107">
        <v>44593</v>
      </c>
      <c r="J45" s="106" t="s">
        <v>179</v>
      </c>
      <c r="K45" s="106" t="s">
        <v>113</v>
      </c>
      <c r="L45" s="112" t="str">
        <f ca="1">IFERROR(_xlfn.IFNA(VLOOKUP($K45,[21]коммент!$B:$C,2,0),""),"")</f>
        <v/>
      </c>
      <c r="M45" s="106"/>
      <c r="N45" s="106"/>
      <c r="O45" s="106"/>
      <c r="P45" s="136" t="s">
        <v>1317</v>
      </c>
      <c r="Q45" s="13"/>
      <c r="R45" s="13"/>
    </row>
    <row r="46" spans="1:18" s="14" customFormat="1" ht="31.5" hidden="1">
      <c r="A46" s="106">
        <v>44</v>
      </c>
      <c r="B46" s="107">
        <v>44714</v>
      </c>
      <c r="C46" s="106" t="s">
        <v>1303</v>
      </c>
      <c r="D46" s="111" t="s">
        <v>31</v>
      </c>
      <c r="E46" s="111"/>
      <c r="F46" s="110" t="s">
        <v>1324</v>
      </c>
      <c r="G46" s="106" t="s">
        <v>1325</v>
      </c>
      <c r="H46" s="106" t="s">
        <v>663</v>
      </c>
      <c r="I46" s="107">
        <v>44690</v>
      </c>
      <c r="J46" s="106" t="s">
        <v>180</v>
      </c>
      <c r="K46" s="106" t="s">
        <v>111</v>
      </c>
      <c r="L46" s="112" t="str">
        <f ca="1">IFERROR(_xlfn.IFNA(VLOOKUP($K46,[21]коммент!$B:$C,2,0),""),"")</f>
        <v/>
      </c>
      <c r="M46" s="106" t="s">
        <v>133</v>
      </c>
      <c r="N46" s="106" t="s">
        <v>114</v>
      </c>
      <c r="O46" s="106"/>
      <c r="P46" s="106"/>
      <c r="Q46" s="13"/>
      <c r="R46" s="13"/>
    </row>
    <row r="47" spans="1:18" s="14" customFormat="1" ht="94.5" hidden="1">
      <c r="A47" s="106">
        <v>45</v>
      </c>
      <c r="B47" s="107">
        <v>44714</v>
      </c>
      <c r="C47" s="106" t="s">
        <v>1333</v>
      </c>
      <c r="D47" s="111" t="s">
        <v>31</v>
      </c>
      <c r="E47" s="111"/>
      <c r="F47" s="129" t="s">
        <v>1334</v>
      </c>
      <c r="G47" s="129" t="s">
        <v>1335</v>
      </c>
      <c r="H47" s="107" t="s">
        <v>368</v>
      </c>
      <c r="I47" s="107">
        <v>44579</v>
      </c>
      <c r="J47" s="106" t="s">
        <v>134</v>
      </c>
      <c r="K47" s="106" t="s">
        <v>111</v>
      </c>
      <c r="L47" s="112" t="s">
        <v>165</v>
      </c>
      <c r="M47" s="106" t="s">
        <v>133</v>
      </c>
      <c r="N47" s="106"/>
      <c r="O47" s="106"/>
      <c r="P47" s="106" t="s">
        <v>1336</v>
      </c>
      <c r="Q47" s="13"/>
      <c r="R47" s="13"/>
    </row>
    <row r="48" spans="1:18" s="173" customFormat="1" ht="78.75">
      <c r="A48" s="106">
        <v>46</v>
      </c>
      <c r="B48" s="107">
        <v>44714</v>
      </c>
      <c r="C48" s="106" t="s">
        <v>305</v>
      </c>
      <c r="D48" s="111" t="s">
        <v>37</v>
      </c>
      <c r="E48" s="111"/>
      <c r="F48" s="142" t="s">
        <v>308</v>
      </c>
      <c r="G48" s="140">
        <v>9857644067</v>
      </c>
      <c r="H48" s="140" t="s">
        <v>309</v>
      </c>
      <c r="I48" s="141">
        <v>44705</v>
      </c>
      <c r="J48" s="140" t="s">
        <v>179</v>
      </c>
      <c r="K48" s="140" t="s">
        <v>36</v>
      </c>
      <c r="L48" s="112" t="str">
        <f ca="1">IFERROR(_xlfn.IFNA(VLOOKUP($K48,[22]коммент!$B:$C,2,0),""),"")</f>
        <v/>
      </c>
      <c r="M48" s="106"/>
      <c r="N48" s="106"/>
      <c r="O48" s="106"/>
      <c r="P48" s="106" t="s">
        <v>310</v>
      </c>
      <c r="Q48" s="181">
        <v>44718</v>
      </c>
      <c r="R48" s="180" t="s">
        <v>1372</v>
      </c>
    </row>
    <row r="49" spans="1:18" s="173" customFormat="1" ht="47.25">
      <c r="A49" s="106">
        <v>47</v>
      </c>
      <c r="B49" s="107">
        <v>44714</v>
      </c>
      <c r="C49" s="106" t="s">
        <v>305</v>
      </c>
      <c r="D49" s="111" t="s">
        <v>37</v>
      </c>
      <c r="E49" s="111"/>
      <c r="F49" s="110" t="s">
        <v>311</v>
      </c>
      <c r="G49" s="106" t="s">
        <v>312</v>
      </c>
      <c r="H49" s="106" t="s">
        <v>313</v>
      </c>
      <c r="I49" s="107">
        <v>44713</v>
      </c>
      <c r="J49" s="106" t="s">
        <v>180</v>
      </c>
      <c r="K49" s="106" t="s">
        <v>111</v>
      </c>
      <c r="L49" s="112" t="str">
        <f ca="1">IFERROR(_xlfn.IFNA(VLOOKUP($K49,[23]коммент!$B:$C,2,0),""),"")</f>
        <v/>
      </c>
      <c r="M49" s="106" t="s">
        <v>154</v>
      </c>
      <c r="N49" s="106"/>
      <c r="O49" s="106"/>
      <c r="P49" s="106"/>
      <c r="Q49" s="181">
        <v>44718</v>
      </c>
      <c r="R49" s="180" t="s">
        <v>1373</v>
      </c>
    </row>
    <row r="50" spans="1:18" s="173" customFormat="1" ht="31.5">
      <c r="A50" s="106">
        <v>48</v>
      </c>
      <c r="B50" s="107">
        <v>44714</v>
      </c>
      <c r="C50" s="106" t="s">
        <v>331</v>
      </c>
      <c r="D50" s="111" t="s">
        <v>37</v>
      </c>
      <c r="E50" s="111"/>
      <c r="F50" s="156" t="s">
        <v>334</v>
      </c>
      <c r="G50" s="155">
        <v>9852985725</v>
      </c>
      <c r="H50" s="106" t="s">
        <v>335</v>
      </c>
      <c r="I50" s="107">
        <v>44704</v>
      </c>
      <c r="J50" s="106" t="s">
        <v>179</v>
      </c>
      <c r="K50" s="106" t="s">
        <v>125</v>
      </c>
      <c r="L50" s="112" t="str">
        <f ca="1">IFERROR(_xlfn.IFNA(VLOOKUP($K50,[24]коммент!$B:$C,2,0),""),"")</f>
        <v/>
      </c>
      <c r="M50" s="106" t="s">
        <v>127</v>
      </c>
      <c r="N50" s="106"/>
      <c r="O50" s="106"/>
      <c r="P50" s="106" t="s">
        <v>336</v>
      </c>
      <c r="Q50" s="181">
        <v>44718</v>
      </c>
      <c r="R50" s="180" t="s">
        <v>1374</v>
      </c>
    </row>
    <row r="51" spans="1:18" s="173" customFormat="1" ht="47.25">
      <c r="A51" s="106">
        <v>49</v>
      </c>
      <c r="B51" s="107">
        <v>44714</v>
      </c>
      <c r="C51" s="106" t="s">
        <v>331</v>
      </c>
      <c r="D51" s="111" t="s">
        <v>37</v>
      </c>
      <c r="E51" s="111"/>
      <c r="F51" s="129" t="s">
        <v>347</v>
      </c>
      <c r="G51" s="130" t="s">
        <v>348</v>
      </c>
      <c r="H51" s="106" t="s">
        <v>313</v>
      </c>
      <c r="I51" s="107">
        <v>44713</v>
      </c>
      <c r="J51" s="106" t="s">
        <v>180</v>
      </c>
      <c r="K51" s="106" t="s">
        <v>111</v>
      </c>
      <c r="L51" s="112" t="str">
        <f ca="1">IFERROR(_xlfn.IFNA(VLOOKUP($K51,[24]коммент!$B:$C,2,0),""),"")</f>
        <v/>
      </c>
      <c r="M51" s="106" t="s">
        <v>154</v>
      </c>
      <c r="N51" s="106" t="s">
        <v>114</v>
      </c>
      <c r="O51" s="106"/>
      <c r="P51" s="106"/>
      <c r="Q51" s="181">
        <v>44718</v>
      </c>
      <c r="R51" s="180" t="s">
        <v>1375</v>
      </c>
    </row>
    <row r="52" spans="1:18" s="173" customFormat="1" ht="31.5">
      <c r="A52" s="106">
        <v>50</v>
      </c>
      <c r="B52" s="107">
        <v>44714</v>
      </c>
      <c r="C52" s="106" t="s">
        <v>366</v>
      </c>
      <c r="D52" s="111" t="s">
        <v>37</v>
      </c>
      <c r="E52" s="111"/>
      <c r="F52" s="110" t="s">
        <v>367</v>
      </c>
      <c r="G52" s="106">
        <v>98577677164</v>
      </c>
      <c r="H52" s="106" t="s">
        <v>368</v>
      </c>
      <c r="I52" s="107">
        <v>44655</v>
      </c>
      <c r="J52" s="106" t="s">
        <v>180</v>
      </c>
      <c r="K52" s="106" t="s">
        <v>111</v>
      </c>
      <c r="L52" s="112" t="str">
        <f ca="1">IFERROR(_xlfn.IFNA(VLOOKUP($K52,[25]коммент!$B:$C,2,0),""),"")</f>
        <v/>
      </c>
      <c r="M52" s="106" t="s">
        <v>133</v>
      </c>
      <c r="N52" s="106" t="s">
        <v>114</v>
      </c>
      <c r="O52" s="106"/>
      <c r="P52" s="106"/>
      <c r="Q52" s="181">
        <v>44718</v>
      </c>
      <c r="R52" s="180" t="s">
        <v>1376</v>
      </c>
    </row>
    <row r="53" spans="1:18" s="173" customFormat="1" ht="47.25">
      <c r="A53" s="106">
        <v>51</v>
      </c>
      <c r="B53" s="107">
        <v>44714</v>
      </c>
      <c r="C53" s="137" t="s">
        <v>366</v>
      </c>
      <c r="D53" s="137" t="s">
        <v>37</v>
      </c>
      <c r="E53" s="137"/>
      <c r="F53" s="149" t="s">
        <v>369</v>
      </c>
      <c r="G53" s="137" t="s">
        <v>370</v>
      </c>
      <c r="H53" s="137" t="s">
        <v>371</v>
      </c>
      <c r="I53" s="148">
        <v>44711</v>
      </c>
      <c r="J53" s="137" t="s">
        <v>180</v>
      </c>
      <c r="K53" s="137" t="s">
        <v>111</v>
      </c>
      <c r="L53" s="139" t="str">
        <f ca="1">IFERROR(_xlfn.IFNA(VLOOKUP($K53,[26]коммент!$B:$C,2,0),""),"")</f>
        <v/>
      </c>
      <c r="M53" s="137" t="s">
        <v>154</v>
      </c>
      <c r="N53" s="137" t="s">
        <v>114</v>
      </c>
      <c r="O53" s="137"/>
      <c r="P53" s="137"/>
      <c r="Q53" s="181">
        <v>44718</v>
      </c>
      <c r="R53" s="180" t="s">
        <v>1373</v>
      </c>
    </row>
    <row r="54" spans="1:18" s="173" customFormat="1" ht="47.25">
      <c r="A54" s="106">
        <v>52</v>
      </c>
      <c r="B54" s="107">
        <v>44714</v>
      </c>
      <c r="C54" s="137" t="s">
        <v>366</v>
      </c>
      <c r="D54" s="137" t="s">
        <v>37</v>
      </c>
      <c r="E54" s="137"/>
      <c r="F54" s="149" t="s">
        <v>372</v>
      </c>
      <c r="G54" s="137">
        <v>4994783444</v>
      </c>
      <c r="H54" s="137" t="s">
        <v>368</v>
      </c>
      <c r="I54" s="148">
        <v>44704</v>
      </c>
      <c r="J54" s="137" t="s">
        <v>180</v>
      </c>
      <c r="K54" s="137" t="s">
        <v>111</v>
      </c>
      <c r="L54" s="139" t="str">
        <f ca="1">IFERROR(_xlfn.IFNA(VLOOKUP($K54,[27]коммент!$B:$C,2,0),""),"")</f>
        <v/>
      </c>
      <c r="M54" s="137" t="s">
        <v>133</v>
      </c>
      <c r="N54" s="137" t="s">
        <v>114</v>
      </c>
      <c r="O54" s="137"/>
      <c r="P54" s="137"/>
      <c r="Q54" s="181">
        <v>44718</v>
      </c>
      <c r="R54" s="180" t="s">
        <v>1377</v>
      </c>
    </row>
    <row r="55" spans="1:18" s="173" customFormat="1" ht="47.25">
      <c r="A55" s="106">
        <v>53</v>
      </c>
      <c r="B55" s="107">
        <v>44714</v>
      </c>
      <c r="C55" s="106" t="s">
        <v>424</v>
      </c>
      <c r="D55" s="111" t="s">
        <v>37</v>
      </c>
      <c r="E55" s="111"/>
      <c r="F55" s="110" t="s">
        <v>1378</v>
      </c>
      <c r="G55" s="106">
        <v>9161273985</v>
      </c>
      <c r="H55" s="106" t="s">
        <v>429</v>
      </c>
      <c r="I55" s="107">
        <v>44711</v>
      </c>
      <c r="J55" s="106" t="s">
        <v>179</v>
      </c>
      <c r="K55" s="106" t="s">
        <v>125</v>
      </c>
      <c r="L55" s="112" t="str">
        <f ca="1">IFERROR(_xlfn.IFNA(VLOOKUP($K55,[28]коммент!$B:$C,2,0),""),"")</f>
        <v/>
      </c>
      <c r="M55" s="106" t="s">
        <v>188</v>
      </c>
      <c r="N55" s="106"/>
      <c r="O55" s="106"/>
      <c r="P55" s="106" t="s">
        <v>430</v>
      </c>
      <c r="Q55" s="181">
        <v>44718</v>
      </c>
      <c r="R55" s="180" t="s">
        <v>1379</v>
      </c>
    </row>
    <row r="56" spans="1:18" s="173" customFormat="1" ht="31.5">
      <c r="A56" s="106">
        <v>54</v>
      </c>
      <c r="B56" s="107">
        <v>44714</v>
      </c>
      <c r="C56" s="106" t="s">
        <v>424</v>
      </c>
      <c r="D56" s="111" t="s">
        <v>37</v>
      </c>
      <c r="E56" s="111"/>
      <c r="F56" s="110" t="s">
        <v>431</v>
      </c>
      <c r="G56" s="106">
        <v>9265818882</v>
      </c>
      <c r="H56" s="106" t="s">
        <v>432</v>
      </c>
      <c r="I56" s="107">
        <v>44713</v>
      </c>
      <c r="J56" s="106" t="s">
        <v>180</v>
      </c>
      <c r="K56" s="106" t="s">
        <v>111</v>
      </c>
      <c r="L56" s="112" t="str">
        <f ca="1">IFERROR(_xlfn.IFNA(VLOOKUP($K56,[28]коммент!$B:$C,2,0),""),"")</f>
        <v/>
      </c>
      <c r="M56" s="106" t="s">
        <v>154</v>
      </c>
      <c r="N56" s="106"/>
      <c r="O56" s="106"/>
      <c r="P56" s="106"/>
      <c r="Q56" s="181">
        <v>44718</v>
      </c>
      <c r="R56" s="180" t="s">
        <v>1380</v>
      </c>
    </row>
    <row r="57" spans="1:18" s="173" customFormat="1" ht="63">
      <c r="A57" s="106">
        <v>55</v>
      </c>
      <c r="B57" s="107">
        <v>44714</v>
      </c>
      <c r="C57" s="106" t="s">
        <v>424</v>
      </c>
      <c r="D57" s="111" t="s">
        <v>37</v>
      </c>
      <c r="E57" s="111"/>
      <c r="F57" s="110" t="s">
        <v>436</v>
      </c>
      <c r="G57" s="106">
        <v>9168593561</v>
      </c>
      <c r="H57" s="106" t="s">
        <v>437</v>
      </c>
      <c r="I57" s="107">
        <v>44707</v>
      </c>
      <c r="J57" s="106" t="s">
        <v>180</v>
      </c>
      <c r="K57" s="106" t="s">
        <v>1</v>
      </c>
      <c r="L57" s="112" t="str">
        <f ca="1">IFERROR(_xlfn.IFNA(VLOOKUP($K57,[28]коммент!$B:$C,2,0),""),"")</f>
        <v/>
      </c>
      <c r="M57" s="106" t="s">
        <v>152</v>
      </c>
      <c r="N57" s="106"/>
      <c r="O57" s="106"/>
      <c r="P57" s="106"/>
      <c r="Q57" s="181">
        <v>44718</v>
      </c>
      <c r="R57" s="180" t="s">
        <v>1381</v>
      </c>
    </row>
    <row r="58" spans="1:18" s="173" customFormat="1" ht="94.5">
      <c r="A58" s="106">
        <v>56</v>
      </c>
      <c r="B58" s="107">
        <v>44714</v>
      </c>
      <c r="C58" s="106" t="s">
        <v>438</v>
      </c>
      <c r="D58" s="111" t="s">
        <v>37</v>
      </c>
      <c r="E58" s="111"/>
      <c r="F58" s="109" t="s">
        <v>442</v>
      </c>
      <c r="G58" s="106">
        <v>926713804</v>
      </c>
      <c r="H58" s="107" t="s">
        <v>368</v>
      </c>
      <c r="I58" s="107">
        <v>44693</v>
      </c>
      <c r="J58" s="106" t="s">
        <v>180</v>
      </c>
      <c r="K58" s="114" t="s">
        <v>111</v>
      </c>
      <c r="L58" s="115" t="s">
        <v>165</v>
      </c>
      <c r="M58" s="106" t="s">
        <v>133</v>
      </c>
      <c r="N58" s="106" t="s">
        <v>114</v>
      </c>
      <c r="O58" s="106"/>
      <c r="P58" s="106"/>
      <c r="Q58" s="181">
        <v>44718</v>
      </c>
      <c r="R58" s="180" t="s">
        <v>1382</v>
      </c>
    </row>
    <row r="59" spans="1:18" s="173" customFormat="1" ht="94.5">
      <c r="A59" s="106">
        <v>57</v>
      </c>
      <c r="B59" s="107">
        <v>44714</v>
      </c>
      <c r="C59" s="106" t="s">
        <v>438</v>
      </c>
      <c r="D59" s="111" t="s">
        <v>37</v>
      </c>
      <c r="E59" s="111"/>
      <c r="F59" s="109" t="s">
        <v>1383</v>
      </c>
      <c r="G59" s="106">
        <v>9037570570</v>
      </c>
      <c r="H59" s="106" t="s">
        <v>446</v>
      </c>
      <c r="I59" s="107">
        <v>44603</v>
      </c>
      <c r="J59" s="106" t="s">
        <v>184</v>
      </c>
      <c r="K59" s="114" t="s">
        <v>175</v>
      </c>
      <c r="L59" s="115" t="s">
        <v>176</v>
      </c>
      <c r="M59" s="106"/>
      <c r="N59" s="106" t="s">
        <v>190</v>
      </c>
      <c r="O59" s="106"/>
      <c r="P59" s="106" t="s">
        <v>447</v>
      </c>
      <c r="Q59" s="181">
        <v>44718</v>
      </c>
      <c r="R59" s="180" t="s">
        <v>1384</v>
      </c>
    </row>
    <row r="60" spans="1:18" s="173" customFormat="1" ht="31.5">
      <c r="A60" s="106">
        <v>58</v>
      </c>
      <c r="B60" s="107">
        <v>44714</v>
      </c>
      <c r="C60" s="119" t="s">
        <v>455</v>
      </c>
      <c r="D60" s="111" t="s">
        <v>37</v>
      </c>
      <c r="E60" s="111"/>
      <c r="F60" s="120" t="s">
        <v>463</v>
      </c>
      <c r="G60" s="119" t="s">
        <v>464</v>
      </c>
      <c r="H60" s="119" t="s">
        <v>465</v>
      </c>
      <c r="I60" s="118">
        <v>44704</v>
      </c>
      <c r="J60" s="119" t="s">
        <v>180</v>
      </c>
      <c r="K60" s="106" t="s">
        <v>111</v>
      </c>
      <c r="L60" s="112" t="str">
        <f ca="1">IFERROR(_xlfn.IFNA(VLOOKUP($K60,[14]коммент!$B:$C,2,0),""),"")</f>
        <v/>
      </c>
      <c r="M60" s="106" t="s">
        <v>133</v>
      </c>
      <c r="N60" s="106"/>
      <c r="O60" s="106"/>
      <c r="P60" s="106"/>
      <c r="Q60" s="181">
        <v>44718</v>
      </c>
      <c r="R60" s="180" t="s">
        <v>1382</v>
      </c>
    </row>
    <row r="61" spans="1:18" s="173" customFormat="1" ht="126">
      <c r="A61" s="106">
        <v>59</v>
      </c>
      <c r="B61" s="107">
        <v>44714</v>
      </c>
      <c r="C61" s="106" t="s">
        <v>568</v>
      </c>
      <c r="D61" s="111" t="s">
        <v>37</v>
      </c>
      <c r="E61" s="111"/>
      <c r="F61" s="110" t="s">
        <v>1385</v>
      </c>
      <c r="G61" s="106" t="s">
        <v>595</v>
      </c>
      <c r="H61" s="106"/>
      <c r="I61" s="107"/>
      <c r="J61" s="106" t="s">
        <v>134</v>
      </c>
      <c r="K61" s="114" t="s">
        <v>125</v>
      </c>
      <c r="L61" s="115" t="s">
        <v>162</v>
      </c>
      <c r="M61" s="106" t="s">
        <v>189</v>
      </c>
      <c r="N61" s="106"/>
      <c r="O61" s="106"/>
      <c r="P61" s="106" t="s">
        <v>596</v>
      </c>
      <c r="Q61" s="181">
        <v>44718</v>
      </c>
      <c r="R61" s="180" t="s">
        <v>1386</v>
      </c>
    </row>
    <row r="62" spans="1:18" s="173" customFormat="1" ht="110.25">
      <c r="A62" s="106">
        <v>60</v>
      </c>
      <c r="B62" s="107">
        <v>44714</v>
      </c>
      <c r="C62" s="106" t="s">
        <v>606</v>
      </c>
      <c r="D62" s="111" t="s">
        <v>37</v>
      </c>
      <c r="E62" s="111"/>
      <c r="F62" s="110" t="s">
        <v>613</v>
      </c>
      <c r="G62" s="106">
        <v>89055697470</v>
      </c>
      <c r="H62" s="106" t="s">
        <v>614</v>
      </c>
      <c r="I62" s="107">
        <v>44707</v>
      </c>
      <c r="J62" s="106" t="s">
        <v>180</v>
      </c>
      <c r="K62" s="106" t="s">
        <v>36</v>
      </c>
      <c r="L62" s="112" t="s">
        <v>157</v>
      </c>
      <c r="M62" s="106"/>
      <c r="N62" s="106"/>
      <c r="O62" s="106"/>
      <c r="P62" s="106" t="s">
        <v>615</v>
      </c>
      <c r="Q62" s="181">
        <v>44718</v>
      </c>
      <c r="R62" s="180" t="s">
        <v>1387</v>
      </c>
    </row>
    <row r="63" spans="1:18" s="173" customFormat="1" ht="78.75">
      <c r="A63" s="106">
        <v>61</v>
      </c>
      <c r="B63" s="107">
        <v>44714</v>
      </c>
      <c r="C63" s="106" t="s">
        <v>606</v>
      </c>
      <c r="D63" s="111" t="s">
        <v>37</v>
      </c>
      <c r="E63" s="111"/>
      <c r="F63" s="110" t="s">
        <v>616</v>
      </c>
      <c r="G63" s="106">
        <v>89161583745</v>
      </c>
      <c r="H63" s="106" t="s">
        <v>617</v>
      </c>
      <c r="I63" s="107">
        <v>44713</v>
      </c>
      <c r="J63" s="106" t="s">
        <v>134</v>
      </c>
      <c r="K63" s="106" t="s">
        <v>36</v>
      </c>
      <c r="L63" s="112" t="s">
        <v>157</v>
      </c>
      <c r="M63" s="106"/>
      <c r="N63" s="106"/>
      <c r="O63" s="106"/>
      <c r="P63" s="106"/>
      <c r="Q63" s="181">
        <v>44718</v>
      </c>
      <c r="R63" s="180" t="s">
        <v>1388</v>
      </c>
    </row>
    <row r="64" spans="1:18" s="173" customFormat="1" ht="141.75">
      <c r="A64" s="106">
        <v>62</v>
      </c>
      <c r="B64" s="107">
        <v>44714</v>
      </c>
      <c r="C64" s="106" t="s">
        <v>660</v>
      </c>
      <c r="D64" s="111" t="s">
        <v>37</v>
      </c>
      <c r="E64" s="111"/>
      <c r="F64" s="110" t="s">
        <v>662</v>
      </c>
      <c r="G64" s="106">
        <v>9637008025</v>
      </c>
      <c r="H64" s="106" t="s">
        <v>663</v>
      </c>
      <c r="I64" s="107">
        <v>44635</v>
      </c>
      <c r="J64" s="106" t="s">
        <v>134</v>
      </c>
      <c r="K64" s="106" t="s">
        <v>125</v>
      </c>
      <c r="L64" s="112" t="s">
        <v>162</v>
      </c>
      <c r="M64" s="106" t="s">
        <v>126</v>
      </c>
      <c r="N64" s="106"/>
      <c r="O64" s="106"/>
      <c r="P64" s="106"/>
      <c r="Q64" s="181">
        <v>44718</v>
      </c>
      <c r="R64" s="180" t="s">
        <v>1389</v>
      </c>
    </row>
    <row r="65" spans="1:18" s="173" customFormat="1" ht="47.25">
      <c r="A65" s="106">
        <v>63</v>
      </c>
      <c r="B65" s="107">
        <v>44714</v>
      </c>
      <c r="C65" s="106" t="s">
        <v>864</v>
      </c>
      <c r="D65" s="111" t="s">
        <v>37</v>
      </c>
      <c r="E65" s="111"/>
      <c r="F65" s="105" t="s">
        <v>878</v>
      </c>
      <c r="G65" s="109">
        <v>9162330668</v>
      </c>
      <c r="H65" s="106" t="s">
        <v>879</v>
      </c>
      <c r="I65" s="107">
        <v>44712</v>
      </c>
      <c r="J65" s="106" t="s">
        <v>134</v>
      </c>
      <c r="K65" s="106" t="s">
        <v>125</v>
      </c>
      <c r="L65" s="112" t="str">
        <f ca="1">IFERROR(_xlfn.IFNA(VLOOKUP($K65,[29]коммент!$B:$C,2,0),""),"")</f>
        <v/>
      </c>
      <c r="M65" s="106" t="s">
        <v>126</v>
      </c>
      <c r="N65" s="106"/>
      <c r="O65" s="106"/>
      <c r="P65" s="106" t="s">
        <v>880</v>
      </c>
      <c r="Q65" s="181">
        <v>44718</v>
      </c>
      <c r="R65" s="180" t="s">
        <v>1390</v>
      </c>
    </row>
    <row r="66" spans="1:18" s="173" customFormat="1" ht="31.5">
      <c r="A66" s="106">
        <v>64</v>
      </c>
      <c r="B66" s="107">
        <v>44714</v>
      </c>
      <c r="C66" s="106" t="s">
        <v>903</v>
      </c>
      <c r="D66" s="111" t="s">
        <v>37</v>
      </c>
      <c r="E66" s="111"/>
      <c r="F66" s="109" t="s">
        <v>906</v>
      </c>
      <c r="G66" s="106">
        <v>89135755351</v>
      </c>
      <c r="H66" s="106" t="s">
        <v>907</v>
      </c>
      <c r="I66" s="107">
        <v>44707</v>
      </c>
      <c r="J66" s="106" t="s">
        <v>180</v>
      </c>
      <c r="K66" s="106" t="s">
        <v>125</v>
      </c>
      <c r="L66" s="112" t="str">
        <f ca="1">IFERROR(_xlfn.IFNA(VLOOKUP($K66,[30]коммент!$B:$C,2,0),""),"")</f>
        <v/>
      </c>
      <c r="M66" s="106" t="s">
        <v>188</v>
      </c>
      <c r="N66" s="106"/>
      <c r="O66" s="106"/>
      <c r="P66" s="106"/>
      <c r="Q66" s="181">
        <v>44718</v>
      </c>
      <c r="R66" s="180" t="s">
        <v>1391</v>
      </c>
    </row>
    <row r="67" spans="1:18" s="173" customFormat="1" ht="47.25">
      <c r="A67" s="106">
        <v>65</v>
      </c>
      <c r="B67" s="107">
        <v>44714</v>
      </c>
      <c r="C67" s="106" t="s">
        <v>903</v>
      </c>
      <c r="D67" s="111" t="s">
        <v>37</v>
      </c>
      <c r="E67" s="111"/>
      <c r="F67" s="109" t="s">
        <v>913</v>
      </c>
      <c r="G67" s="106">
        <v>89685405550</v>
      </c>
      <c r="H67" s="106" t="s">
        <v>914</v>
      </c>
      <c r="I67" s="107">
        <v>44713</v>
      </c>
      <c r="J67" s="106" t="s">
        <v>180</v>
      </c>
      <c r="K67" s="106" t="s">
        <v>111</v>
      </c>
      <c r="L67" s="112" t="str">
        <f ca="1">IFERROR(_xlfn.IFNA(VLOOKUP($K67,[31]коммент!$B:$C,2,0),""),"")</f>
        <v/>
      </c>
      <c r="M67" s="106" t="s">
        <v>154</v>
      </c>
      <c r="N67" s="106"/>
      <c r="O67" s="106"/>
      <c r="P67" s="106"/>
      <c r="Q67" s="181">
        <v>44718</v>
      </c>
      <c r="R67" s="180" t="s">
        <v>1375</v>
      </c>
    </row>
    <row r="68" spans="1:18" s="173" customFormat="1" ht="31.5">
      <c r="A68" s="106">
        <v>66</v>
      </c>
      <c r="B68" s="107">
        <v>44714</v>
      </c>
      <c r="C68" s="106" t="s">
        <v>926</v>
      </c>
      <c r="D68" s="111" t="s">
        <v>37</v>
      </c>
      <c r="E68" s="111"/>
      <c r="F68" s="110" t="s">
        <v>932</v>
      </c>
      <c r="G68" s="106" t="s">
        <v>933</v>
      </c>
      <c r="H68" s="106" t="s">
        <v>368</v>
      </c>
      <c r="I68" s="107">
        <v>44704</v>
      </c>
      <c r="J68" s="106" t="s">
        <v>134</v>
      </c>
      <c r="K68" s="106" t="s">
        <v>111</v>
      </c>
      <c r="L68" s="112" t="str">
        <f ca="1">IFERROR(_xlfn.IFNA(VLOOKUP($K68,[32]коммент!$B:$C,2,0),""),"")</f>
        <v/>
      </c>
      <c r="M68" s="106" t="s">
        <v>133</v>
      </c>
      <c r="N68" s="106" t="s">
        <v>114</v>
      </c>
      <c r="O68" s="106"/>
      <c r="P68" s="106"/>
      <c r="Q68" s="181">
        <v>44718</v>
      </c>
      <c r="R68" s="180" t="s">
        <v>1382</v>
      </c>
    </row>
    <row r="69" spans="1:18" s="173" customFormat="1" ht="63">
      <c r="A69" s="106">
        <v>67</v>
      </c>
      <c r="B69" s="107">
        <v>44714</v>
      </c>
      <c r="C69" s="106" t="s">
        <v>926</v>
      </c>
      <c r="D69" s="111" t="s">
        <v>37</v>
      </c>
      <c r="E69" s="111"/>
      <c r="F69" s="110" t="s">
        <v>934</v>
      </c>
      <c r="G69" s="106" t="s">
        <v>935</v>
      </c>
      <c r="H69" s="106" t="s">
        <v>936</v>
      </c>
      <c r="I69" s="107">
        <v>44713</v>
      </c>
      <c r="J69" s="106" t="s">
        <v>180</v>
      </c>
      <c r="K69" s="106" t="s">
        <v>111</v>
      </c>
      <c r="L69" s="112" t="str">
        <f ca="1">IFERROR(_xlfn.IFNA(VLOOKUP($K69,[32]коммент!$B:$C,2,0),""),"")</f>
        <v/>
      </c>
      <c r="M69" s="106" t="s">
        <v>133</v>
      </c>
      <c r="N69" s="106" t="s">
        <v>114</v>
      </c>
      <c r="O69" s="106"/>
      <c r="P69" s="106" t="s">
        <v>152</v>
      </c>
      <c r="Q69" s="181">
        <v>44718</v>
      </c>
      <c r="R69" s="180" t="s">
        <v>1381</v>
      </c>
    </row>
    <row r="70" spans="1:18" s="173" customFormat="1" ht="63">
      <c r="A70" s="106">
        <v>68</v>
      </c>
      <c r="B70" s="107">
        <v>44714</v>
      </c>
      <c r="C70" s="106" t="s">
        <v>926</v>
      </c>
      <c r="D70" s="111" t="s">
        <v>37</v>
      </c>
      <c r="E70" s="111"/>
      <c r="F70" s="110" t="s">
        <v>934</v>
      </c>
      <c r="G70" s="106" t="s">
        <v>935</v>
      </c>
      <c r="H70" s="106" t="s">
        <v>936</v>
      </c>
      <c r="I70" s="107">
        <v>44713</v>
      </c>
      <c r="J70" s="106" t="s">
        <v>180</v>
      </c>
      <c r="K70" s="106" t="s">
        <v>1</v>
      </c>
      <c r="L70" s="112" t="str">
        <f ca="1">IFERROR(_xlfn.IFNA(VLOOKUP($K70,[32]коммент!$B:$C,2,0),""),"")</f>
        <v/>
      </c>
      <c r="M70" s="106" t="s">
        <v>152</v>
      </c>
      <c r="N70" s="106"/>
      <c r="O70" s="106"/>
      <c r="P70" s="106"/>
      <c r="Q70" s="181">
        <v>44718</v>
      </c>
      <c r="R70" s="180" t="s">
        <v>1381</v>
      </c>
    </row>
    <row r="71" spans="1:18" s="173" customFormat="1" ht="94.5">
      <c r="A71" s="106">
        <v>69</v>
      </c>
      <c r="B71" s="107">
        <v>44714</v>
      </c>
      <c r="C71" s="106" t="s">
        <v>926</v>
      </c>
      <c r="D71" s="111" t="s">
        <v>37</v>
      </c>
      <c r="E71" s="111"/>
      <c r="F71" s="144" t="s">
        <v>937</v>
      </c>
      <c r="G71" s="114" t="s">
        <v>938</v>
      </c>
      <c r="H71" s="114" t="s">
        <v>368</v>
      </c>
      <c r="I71" s="143">
        <v>44676</v>
      </c>
      <c r="J71" s="114" t="s">
        <v>134</v>
      </c>
      <c r="K71" s="114" t="s">
        <v>111</v>
      </c>
      <c r="L71" s="115" t="s">
        <v>165</v>
      </c>
      <c r="M71" s="106" t="s">
        <v>133</v>
      </c>
      <c r="N71" s="106" t="s">
        <v>114</v>
      </c>
      <c r="O71" s="106"/>
      <c r="P71" s="106" t="s">
        <v>939</v>
      </c>
      <c r="Q71" s="181">
        <v>44718</v>
      </c>
      <c r="R71" s="180" t="s">
        <v>1392</v>
      </c>
    </row>
    <row r="72" spans="1:18" s="173" customFormat="1" ht="31.5">
      <c r="A72" s="106">
        <v>70</v>
      </c>
      <c r="B72" s="107">
        <v>44714</v>
      </c>
      <c r="C72" s="106" t="s">
        <v>926</v>
      </c>
      <c r="D72" s="111" t="s">
        <v>37</v>
      </c>
      <c r="E72" s="111"/>
      <c r="F72" s="144" t="s">
        <v>937</v>
      </c>
      <c r="G72" s="114" t="s">
        <v>938</v>
      </c>
      <c r="H72" s="114" t="s">
        <v>368</v>
      </c>
      <c r="I72" s="143">
        <v>44676</v>
      </c>
      <c r="J72" s="114" t="s">
        <v>134</v>
      </c>
      <c r="K72" s="114" t="s">
        <v>1</v>
      </c>
      <c r="L72" s="115" t="str">
        <f ca="1">IFERROR(_xlfn.IFNA(VLOOKUP($K72,[33]коммент!$B:$C,2,0),""),"")</f>
        <v/>
      </c>
      <c r="M72" s="106" t="s">
        <v>134</v>
      </c>
      <c r="N72" s="106"/>
      <c r="O72" s="106"/>
      <c r="P72" s="106"/>
      <c r="Q72" s="181">
        <v>44718</v>
      </c>
      <c r="R72" s="180" t="s">
        <v>1392</v>
      </c>
    </row>
    <row r="73" spans="1:18" s="173" customFormat="1" ht="47.25">
      <c r="A73" s="106">
        <v>71</v>
      </c>
      <c r="B73" s="107">
        <v>44714</v>
      </c>
      <c r="C73" s="106" t="s">
        <v>949</v>
      </c>
      <c r="D73" s="111" t="s">
        <v>37</v>
      </c>
      <c r="E73" s="111"/>
      <c r="F73" s="109" t="s">
        <v>951</v>
      </c>
      <c r="G73" s="106">
        <v>9031538353</v>
      </c>
      <c r="H73" s="106" t="s">
        <v>313</v>
      </c>
      <c r="I73" s="107">
        <v>44713</v>
      </c>
      <c r="J73" s="106" t="s">
        <v>180</v>
      </c>
      <c r="K73" s="106" t="s">
        <v>111</v>
      </c>
      <c r="L73" s="112" t="str">
        <f ca="1">IFERROR(_xlfn.IFNA(VLOOKUP($K73,[6]коммент!$B:$C,2,0),""),"")</f>
        <v/>
      </c>
      <c r="M73" s="106" t="s">
        <v>154</v>
      </c>
      <c r="N73" s="106" t="s">
        <v>114</v>
      </c>
      <c r="O73" s="106"/>
      <c r="P73" s="106"/>
      <c r="Q73" s="181">
        <v>44718</v>
      </c>
      <c r="R73" s="180" t="s">
        <v>1375</v>
      </c>
    </row>
    <row r="74" spans="1:18" s="173" customFormat="1" ht="141.75">
      <c r="A74" s="106">
        <v>72</v>
      </c>
      <c r="B74" s="107">
        <v>44714</v>
      </c>
      <c r="C74" s="106" t="s">
        <v>985</v>
      </c>
      <c r="D74" s="111" t="s">
        <v>37</v>
      </c>
      <c r="E74" s="111"/>
      <c r="F74" s="105" t="s">
        <v>986</v>
      </c>
      <c r="G74" s="106">
        <v>89261134012</v>
      </c>
      <c r="H74" s="106" t="s">
        <v>987</v>
      </c>
      <c r="I74" s="107">
        <v>44713</v>
      </c>
      <c r="J74" s="106" t="s">
        <v>180</v>
      </c>
      <c r="K74" s="106" t="s">
        <v>125</v>
      </c>
      <c r="L74" s="112" t="s">
        <v>162</v>
      </c>
      <c r="M74" s="106" t="s">
        <v>188</v>
      </c>
      <c r="N74" s="106" t="s">
        <v>183</v>
      </c>
      <c r="O74" s="106"/>
      <c r="P74" s="106"/>
      <c r="Q74" s="181">
        <v>44718</v>
      </c>
      <c r="R74" s="180" t="s">
        <v>1379</v>
      </c>
    </row>
    <row r="75" spans="1:18" s="173" customFormat="1" ht="47.25">
      <c r="A75" s="106">
        <v>73</v>
      </c>
      <c r="B75" s="107">
        <v>44714</v>
      </c>
      <c r="C75" s="106" t="s">
        <v>1080</v>
      </c>
      <c r="D75" s="111" t="s">
        <v>37</v>
      </c>
      <c r="E75" s="111"/>
      <c r="F75" s="110" t="s">
        <v>1083</v>
      </c>
      <c r="G75" s="106">
        <v>89104557021</v>
      </c>
      <c r="H75" s="106" t="s">
        <v>1084</v>
      </c>
      <c r="I75" s="107">
        <v>44713</v>
      </c>
      <c r="J75" s="106" t="s">
        <v>180</v>
      </c>
      <c r="K75" s="106" t="s">
        <v>111</v>
      </c>
      <c r="L75" s="112" t="str">
        <f ca="1">IFERROR(_xlfn.IFNA(VLOOKUP($K75,[7]коммент!$B:$C,2,0),""),"")</f>
        <v/>
      </c>
      <c r="M75" s="106" t="s">
        <v>154</v>
      </c>
      <c r="N75" s="106" t="s">
        <v>114</v>
      </c>
      <c r="O75" s="106"/>
      <c r="P75" s="106"/>
      <c r="Q75" s="181">
        <v>44718</v>
      </c>
      <c r="R75" s="180" t="s">
        <v>1373</v>
      </c>
    </row>
    <row r="76" spans="1:18" s="173" customFormat="1" ht="31.5">
      <c r="A76" s="106">
        <v>74</v>
      </c>
      <c r="B76" s="107">
        <v>44714</v>
      </c>
      <c r="C76" s="106" t="s">
        <v>1114</v>
      </c>
      <c r="D76" s="111" t="s">
        <v>37</v>
      </c>
      <c r="E76" s="111"/>
      <c r="F76" s="129" t="s">
        <v>1120</v>
      </c>
      <c r="G76" s="129" t="s">
        <v>1121</v>
      </c>
      <c r="H76" s="106" t="s">
        <v>1122</v>
      </c>
      <c r="I76" s="107">
        <v>44707</v>
      </c>
      <c r="J76" s="106" t="s">
        <v>180</v>
      </c>
      <c r="K76" s="106" t="s">
        <v>110</v>
      </c>
      <c r="L76" s="112" t="str">
        <f ca="1">IFERROR(_xlfn.IFNA(VLOOKUP($K76,[34]коммент!$B:$C,2,0),""),"")</f>
        <v/>
      </c>
      <c r="M76" s="106" t="s">
        <v>124</v>
      </c>
      <c r="N76" s="106"/>
      <c r="O76" s="106"/>
      <c r="P76" s="106" t="s">
        <v>1123</v>
      </c>
      <c r="Q76" s="181">
        <v>44718</v>
      </c>
      <c r="R76" s="180" t="s">
        <v>1393</v>
      </c>
    </row>
    <row r="77" spans="1:18" s="173" customFormat="1" ht="31.5">
      <c r="A77" s="106">
        <v>75</v>
      </c>
      <c r="B77" s="107">
        <v>44714</v>
      </c>
      <c r="C77" s="106" t="s">
        <v>1141</v>
      </c>
      <c r="D77" s="111" t="s">
        <v>37</v>
      </c>
      <c r="E77" s="111"/>
      <c r="F77" s="110" t="s">
        <v>1142</v>
      </c>
      <c r="G77" s="106">
        <v>89268216249</v>
      </c>
      <c r="H77" s="106" t="s">
        <v>1143</v>
      </c>
      <c r="I77" s="107">
        <v>44677</v>
      </c>
      <c r="J77" s="106" t="s">
        <v>180</v>
      </c>
      <c r="K77" s="106" t="s">
        <v>1</v>
      </c>
      <c r="L77" s="112" t="str">
        <f ca="1">IFERROR(_xlfn.IFNA(VLOOKUP($K77,[11]коммент!$B:$C,2,0),""),"")</f>
        <v/>
      </c>
      <c r="M77" s="106" t="s">
        <v>133</v>
      </c>
      <c r="N77" s="106"/>
      <c r="O77" s="106"/>
      <c r="P77" s="106" t="s">
        <v>1144</v>
      </c>
      <c r="Q77" s="181">
        <v>44718</v>
      </c>
      <c r="R77" s="180" t="s">
        <v>1382</v>
      </c>
    </row>
    <row r="78" spans="1:18" s="173" customFormat="1" ht="94.5">
      <c r="A78" s="106">
        <v>76</v>
      </c>
      <c r="B78" s="107">
        <v>44714</v>
      </c>
      <c r="C78" s="106" t="s">
        <v>1208</v>
      </c>
      <c r="D78" s="111" t="s">
        <v>37</v>
      </c>
      <c r="E78" s="111"/>
      <c r="F78" s="110" t="s">
        <v>1394</v>
      </c>
      <c r="G78" s="106">
        <v>9091582171</v>
      </c>
      <c r="H78" s="106" t="s">
        <v>1215</v>
      </c>
      <c r="I78" s="107">
        <v>44706</v>
      </c>
      <c r="J78" s="106" t="s">
        <v>180</v>
      </c>
      <c r="K78" s="119" t="s">
        <v>125</v>
      </c>
      <c r="L78" s="112" t="s">
        <v>165</v>
      </c>
      <c r="M78" s="106" t="s">
        <v>188</v>
      </c>
      <c r="N78" s="106"/>
      <c r="O78" s="106"/>
      <c r="P78" s="106"/>
      <c r="Q78" s="181">
        <v>44718</v>
      </c>
      <c r="R78" s="180" t="s">
        <v>1379</v>
      </c>
    </row>
    <row r="79" spans="1:18" s="173" customFormat="1" ht="31.5">
      <c r="A79" s="106">
        <v>77</v>
      </c>
      <c r="B79" s="107">
        <v>44714</v>
      </c>
      <c r="C79" s="106" t="s">
        <v>1218</v>
      </c>
      <c r="D79" s="111" t="s">
        <v>37</v>
      </c>
      <c r="E79" s="111"/>
      <c r="F79" s="110" t="s">
        <v>1219</v>
      </c>
      <c r="G79" s="106">
        <v>9096544345</v>
      </c>
      <c r="H79" s="106" t="s">
        <v>368</v>
      </c>
      <c r="I79" s="107">
        <v>44679</v>
      </c>
      <c r="J79" s="106" t="s">
        <v>180</v>
      </c>
      <c r="K79" s="106" t="s">
        <v>111</v>
      </c>
      <c r="L79" s="112" t="str">
        <f ca="1">IFERROR(_xlfn.IFNA(VLOOKUP($K79,[35]коммент!$B:$C,2,0),""),"")</f>
        <v/>
      </c>
      <c r="M79" s="106" t="s">
        <v>133</v>
      </c>
      <c r="N79" s="106" t="s">
        <v>114</v>
      </c>
      <c r="O79" s="106"/>
      <c r="P79" s="106" t="s">
        <v>1220</v>
      </c>
      <c r="Q79" s="181">
        <v>44718</v>
      </c>
      <c r="R79" s="180" t="s">
        <v>1395</v>
      </c>
    </row>
    <row r="80" spans="1:18" s="173" customFormat="1" ht="31.5">
      <c r="A80" s="106">
        <v>78</v>
      </c>
      <c r="B80" s="107">
        <v>44714</v>
      </c>
      <c r="C80" s="106" t="s">
        <v>1218</v>
      </c>
      <c r="D80" s="111" t="s">
        <v>37</v>
      </c>
      <c r="E80" s="111"/>
      <c r="F80" s="110" t="s">
        <v>1221</v>
      </c>
      <c r="G80" s="106" t="s">
        <v>1222</v>
      </c>
      <c r="H80" s="106" t="s">
        <v>1223</v>
      </c>
      <c r="I80" s="107">
        <v>44707</v>
      </c>
      <c r="J80" s="106" t="s">
        <v>180</v>
      </c>
      <c r="K80" s="137" t="s">
        <v>125</v>
      </c>
      <c r="L80" s="139" t="str">
        <f ca="1">IFERROR(_xlfn.IFNA(VLOOKUP($K80,[36]коммент!$B:$C,2,0),""),"")</f>
        <v/>
      </c>
      <c r="M80" s="106" t="s">
        <v>154</v>
      </c>
      <c r="N80" s="106" t="s">
        <v>114</v>
      </c>
      <c r="O80" s="106"/>
      <c r="P80" s="106" t="s">
        <v>1224</v>
      </c>
      <c r="Q80" s="181">
        <v>44718</v>
      </c>
      <c r="R80" s="180" t="s">
        <v>1396</v>
      </c>
    </row>
    <row r="81" spans="1:18" s="173" customFormat="1" ht="94.5">
      <c r="A81" s="106">
        <v>79</v>
      </c>
      <c r="B81" s="107">
        <v>44714</v>
      </c>
      <c r="C81" s="106" t="s">
        <v>1285</v>
      </c>
      <c r="D81" s="111" t="s">
        <v>37</v>
      </c>
      <c r="E81" s="111"/>
      <c r="F81" s="109" t="s">
        <v>1294</v>
      </c>
      <c r="G81" s="106">
        <v>9264546582</v>
      </c>
      <c r="H81" s="106" t="s">
        <v>1295</v>
      </c>
      <c r="I81" s="107">
        <v>44699</v>
      </c>
      <c r="J81" s="106" t="s">
        <v>180</v>
      </c>
      <c r="K81" s="106" t="s">
        <v>111</v>
      </c>
      <c r="L81" s="112" t="s">
        <v>165</v>
      </c>
      <c r="M81" s="106" t="s">
        <v>128</v>
      </c>
      <c r="N81" s="106"/>
      <c r="O81" s="106"/>
      <c r="P81" s="106"/>
      <c r="Q81" s="181">
        <v>44718</v>
      </c>
      <c r="R81" s="180" t="s">
        <v>1373</v>
      </c>
    </row>
    <row r="82" spans="1:18" s="14" customFormat="1" ht="31.5" hidden="1">
      <c r="A82" s="106">
        <v>80</v>
      </c>
      <c r="B82" s="107">
        <v>44714</v>
      </c>
      <c r="C82" s="106" t="s">
        <v>208</v>
      </c>
      <c r="D82" s="111" t="s">
        <v>39</v>
      </c>
      <c r="E82" s="111"/>
      <c r="F82" s="109" t="s">
        <v>231</v>
      </c>
      <c r="G82" s="106">
        <v>9162235157</v>
      </c>
      <c r="H82" s="106"/>
      <c r="I82" s="106"/>
      <c r="J82" s="106" t="s">
        <v>180</v>
      </c>
      <c r="K82" s="106" t="s">
        <v>85</v>
      </c>
      <c r="L82" s="112" t="str">
        <f ca="1">IFERROR(_xlfn.IFNA(VLOOKUP($K82,коммент!$B:$C,2,0),""),"")</f>
        <v/>
      </c>
      <c r="M82" s="106" t="s">
        <v>129</v>
      </c>
      <c r="N82" s="106"/>
      <c r="O82" s="106"/>
      <c r="P82" s="106" t="s">
        <v>232</v>
      </c>
      <c r="Q82" s="13"/>
      <c r="R82" s="13"/>
    </row>
    <row r="83" spans="1:18" s="14" customFormat="1" ht="31.5" hidden="1">
      <c r="A83" s="106">
        <v>81</v>
      </c>
      <c r="B83" s="107">
        <v>44714</v>
      </c>
      <c r="C83" s="106" t="s">
        <v>208</v>
      </c>
      <c r="D83" s="111" t="s">
        <v>39</v>
      </c>
      <c r="E83" s="111"/>
      <c r="F83" s="109" t="s">
        <v>235</v>
      </c>
      <c r="G83" s="106" t="s">
        <v>236</v>
      </c>
      <c r="H83" s="107"/>
      <c r="I83" s="107"/>
      <c r="J83" s="106" t="s">
        <v>180</v>
      </c>
      <c r="K83" s="106" t="s">
        <v>6</v>
      </c>
      <c r="L83" s="112" t="str">
        <f ca="1">IFERROR(_xlfn.IFNA(VLOOKUP($K83,коммент!$B:$C,2,0),""),"")</f>
        <v/>
      </c>
      <c r="M83" s="106"/>
      <c r="N83" s="106"/>
      <c r="O83" s="106"/>
      <c r="P83" s="106"/>
      <c r="Q83" s="13"/>
      <c r="R83" s="13"/>
    </row>
    <row r="84" spans="1:18" s="14" customFormat="1" ht="31.5" hidden="1">
      <c r="A84" s="106">
        <v>82</v>
      </c>
      <c r="B84" s="107">
        <v>44714</v>
      </c>
      <c r="C84" s="106" t="s">
        <v>256</v>
      </c>
      <c r="D84" s="111" t="s">
        <v>39</v>
      </c>
      <c r="E84" s="111"/>
      <c r="F84" s="105" t="s">
        <v>257</v>
      </c>
      <c r="G84" s="138" t="s">
        <v>258</v>
      </c>
      <c r="H84" s="106" t="s">
        <v>259</v>
      </c>
      <c r="I84" s="107">
        <v>44699</v>
      </c>
      <c r="J84" s="106" t="s">
        <v>180</v>
      </c>
      <c r="K84" s="106" t="s">
        <v>125</v>
      </c>
      <c r="L84" s="112" t="str">
        <f ca="1">IFERROR(_xlfn.IFNA(VLOOKUP($K84,[37]коммент!$B:$C,2,0),""),"")</f>
        <v/>
      </c>
      <c r="M84" s="106" t="s">
        <v>128</v>
      </c>
      <c r="N84" s="106"/>
      <c r="O84" s="106"/>
      <c r="P84" s="106"/>
      <c r="Q84" s="13"/>
      <c r="R84" s="13"/>
    </row>
    <row r="85" spans="1:18" s="14" customFormat="1" ht="31.5" hidden="1">
      <c r="A85" s="106">
        <v>83</v>
      </c>
      <c r="B85" s="107">
        <v>44714</v>
      </c>
      <c r="C85" s="106" t="s">
        <v>305</v>
      </c>
      <c r="D85" s="111" t="s">
        <v>39</v>
      </c>
      <c r="E85" s="111"/>
      <c r="F85" s="110" t="s">
        <v>314</v>
      </c>
      <c r="G85" s="106">
        <v>9262191608</v>
      </c>
      <c r="H85" s="106" t="s">
        <v>315</v>
      </c>
      <c r="I85" s="107">
        <v>44714</v>
      </c>
      <c r="J85" s="106" t="s">
        <v>180</v>
      </c>
      <c r="K85" s="106" t="s">
        <v>1</v>
      </c>
      <c r="L85" s="112" t="str">
        <f ca="1">IFERROR(_xlfn.IFNA(VLOOKUP($K85,[23]коммент!$B:$C,2,0),""),"")</f>
        <v/>
      </c>
      <c r="M85" s="106" t="s">
        <v>153</v>
      </c>
      <c r="N85" s="106" t="s">
        <v>183</v>
      </c>
      <c r="O85" s="106" t="s">
        <v>39</v>
      </c>
      <c r="P85" s="106" t="s">
        <v>316</v>
      </c>
      <c r="Q85" s="13"/>
      <c r="R85" s="13"/>
    </row>
    <row r="86" spans="1:18" s="14" customFormat="1" ht="31.5" hidden="1">
      <c r="A86" s="106">
        <v>84</v>
      </c>
      <c r="B86" s="107">
        <v>44714</v>
      </c>
      <c r="C86" s="106" t="s">
        <v>331</v>
      </c>
      <c r="D86" s="111" t="s">
        <v>39</v>
      </c>
      <c r="E86" s="111"/>
      <c r="F86" s="129" t="s">
        <v>332</v>
      </c>
      <c r="G86" s="130">
        <v>9779653670</v>
      </c>
      <c r="H86" s="106" t="s">
        <v>333</v>
      </c>
      <c r="I86" s="107">
        <v>44712</v>
      </c>
      <c r="J86" s="106" t="s">
        <v>180</v>
      </c>
      <c r="K86" s="106" t="s">
        <v>1</v>
      </c>
      <c r="L86" s="112" t="str">
        <f ca="1">IFERROR(_xlfn.IFNA(VLOOKUP($K86,[24]коммент!$B:$C,2,0),""),"")</f>
        <v/>
      </c>
      <c r="M86" s="106" t="s">
        <v>152</v>
      </c>
      <c r="N86" s="106"/>
      <c r="O86" s="106"/>
      <c r="P86" s="106"/>
      <c r="Q86" s="13"/>
      <c r="R86" s="13"/>
    </row>
    <row r="87" spans="1:18" s="14" customFormat="1" ht="94.5" hidden="1">
      <c r="A87" s="106">
        <v>85</v>
      </c>
      <c r="B87" s="107">
        <v>44714</v>
      </c>
      <c r="C87" s="106" t="s">
        <v>331</v>
      </c>
      <c r="D87" s="111" t="s">
        <v>39</v>
      </c>
      <c r="E87" s="111"/>
      <c r="F87" s="105" t="s">
        <v>337</v>
      </c>
      <c r="G87" s="109">
        <v>9152763050</v>
      </c>
      <c r="H87" s="106" t="s">
        <v>338</v>
      </c>
      <c r="I87" s="107">
        <v>44689</v>
      </c>
      <c r="J87" s="114" t="s">
        <v>180</v>
      </c>
      <c r="K87" s="114" t="s">
        <v>113</v>
      </c>
      <c r="L87" s="115" t="str">
        <f ca="1">IFERROR(_xlfn.IFNA(VLOOKUP($K87,[38]коммент!$B:$C,2,0),""),"")</f>
        <v/>
      </c>
      <c r="M87" s="106"/>
      <c r="N87" s="106"/>
      <c r="O87" s="106"/>
      <c r="P87" s="106" t="s">
        <v>339</v>
      </c>
      <c r="Q87" s="13"/>
      <c r="R87" s="13"/>
    </row>
    <row r="88" spans="1:18" s="14" customFormat="1" ht="31.5" hidden="1">
      <c r="A88" s="106">
        <v>86</v>
      </c>
      <c r="B88" s="107">
        <v>44714</v>
      </c>
      <c r="C88" s="106" t="s">
        <v>331</v>
      </c>
      <c r="D88" s="111" t="s">
        <v>39</v>
      </c>
      <c r="E88" s="111"/>
      <c r="F88" s="109" t="s">
        <v>354</v>
      </c>
      <c r="G88" s="109" t="s">
        <v>355</v>
      </c>
      <c r="H88" s="106" t="s">
        <v>333</v>
      </c>
      <c r="I88" s="107">
        <v>44713</v>
      </c>
      <c r="J88" s="106" t="s">
        <v>180</v>
      </c>
      <c r="K88" s="106" t="s">
        <v>1</v>
      </c>
      <c r="L88" s="112" t="str">
        <f ca="1">IFERROR(_xlfn.IFNA(VLOOKUP($K88,[24]коммент!$B:$C,2,0),""),"")</f>
        <v/>
      </c>
      <c r="M88" s="106" t="s">
        <v>132</v>
      </c>
      <c r="N88" s="106"/>
      <c r="O88" s="106"/>
      <c r="P88" s="106" t="s">
        <v>356</v>
      </c>
      <c r="Q88" s="13"/>
      <c r="R88" s="13"/>
    </row>
    <row r="89" spans="1:18" s="14" customFormat="1" ht="31.5" hidden="1">
      <c r="A89" s="106">
        <v>87</v>
      </c>
      <c r="B89" s="107">
        <v>44714</v>
      </c>
      <c r="C89" s="106" t="s">
        <v>424</v>
      </c>
      <c r="D89" s="111" t="s">
        <v>39</v>
      </c>
      <c r="E89" s="111"/>
      <c r="F89" s="110" t="s">
        <v>425</v>
      </c>
      <c r="G89" s="106">
        <v>9263228007</v>
      </c>
      <c r="H89" s="106" t="s">
        <v>426</v>
      </c>
      <c r="I89" s="107">
        <v>44706</v>
      </c>
      <c r="J89" s="106" t="s">
        <v>180</v>
      </c>
      <c r="K89" s="106" t="s">
        <v>111</v>
      </c>
      <c r="L89" s="112" t="str">
        <f ca="1">IFERROR(_xlfn.IFNA(VLOOKUP($K89,[28]коммент!$B:$C,2,0),""),"")</f>
        <v/>
      </c>
      <c r="M89" s="106" t="s">
        <v>133</v>
      </c>
      <c r="N89" s="106" t="s">
        <v>183</v>
      </c>
      <c r="O89" s="106"/>
      <c r="P89" s="106"/>
      <c r="Q89" s="13"/>
      <c r="R89" s="13"/>
    </row>
    <row r="90" spans="1:18" s="14" customFormat="1" ht="31.5" hidden="1">
      <c r="A90" s="106">
        <v>88</v>
      </c>
      <c r="B90" s="107">
        <v>44714</v>
      </c>
      <c r="C90" s="106" t="s">
        <v>424</v>
      </c>
      <c r="D90" s="111" t="s">
        <v>39</v>
      </c>
      <c r="E90" s="111"/>
      <c r="F90" s="110" t="s">
        <v>425</v>
      </c>
      <c r="G90" s="106">
        <v>9263228007</v>
      </c>
      <c r="H90" s="106" t="s">
        <v>426</v>
      </c>
      <c r="I90" s="107">
        <v>44706</v>
      </c>
      <c r="J90" s="106" t="s">
        <v>180</v>
      </c>
      <c r="K90" s="106" t="s">
        <v>1</v>
      </c>
      <c r="L90" s="112" t="str">
        <f ca="1">IFERROR(_xlfn.IFNA(VLOOKUP($K90,[28]коммент!$B:$C,2,0),""),"")</f>
        <v/>
      </c>
      <c r="M90" s="106" t="s">
        <v>152</v>
      </c>
      <c r="N90" s="106"/>
      <c r="O90" s="106"/>
      <c r="P90" s="106"/>
      <c r="Q90" s="13"/>
      <c r="R90" s="13"/>
    </row>
    <row r="91" spans="1:18" s="14" customFormat="1" ht="31.5" hidden="1">
      <c r="A91" s="106">
        <v>89</v>
      </c>
      <c r="B91" s="107">
        <v>44714</v>
      </c>
      <c r="C91" s="106" t="s">
        <v>424</v>
      </c>
      <c r="D91" s="111" t="s">
        <v>39</v>
      </c>
      <c r="E91" s="111"/>
      <c r="F91" s="110" t="s">
        <v>427</v>
      </c>
      <c r="G91" s="106">
        <v>4993733208</v>
      </c>
      <c r="H91" s="106" t="s">
        <v>428</v>
      </c>
      <c r="I91" s="107">
        <v>44713</v>
      </c>
      <c r="J91" s="106" t="s">
        <v>180</v>
      </c>
      <c r="K91" s="106" t="s">
        <v>1</v>
      </c>
      <c r="L91" s="112" t="str">
        <f ca="1">IFERROR(_xlfn.IFNA(VLOOKUP($K91,[28]коммент!$B:$C,2,0),""),"")</f>
        <v/>
      </c>
      <c r="M91" s="106" t="s">
        <v>152</v>
      </c>
      <c r="N91" s="106"/>
      <c r="O91" s="106"/>
      <c r="P91" s="106"/>
      <c r="Q91" s="13"/>
      <c r="R91" s="13"/>
    </row>
    <row r="92" spans="1:18" s="14" customFormat="1" ht="31.5" hidden="1">
      <c r="A92" s="106">
        <v>90</v>
      </c>
      <c r="B92" s="107">
        <v>44714</v>
      </c>
      <c r="C92" s="106" t="s">
        <v>424</v>
      </c>
      <c r="D92" s="111" t="s">
        <v>39</v>
      </c>
      <c r="E92" s="111"/>
      <c r="F92" s="110" t="s">
        <v>433</v>
      </c>
      <c r="G92" s="106">
        <v>9776852322</v>
      </c>
      <c r="H92" s="106" t="s">
        <v>259</v>
      </c>
      <c r="I92" s="107">
        <v>44701</v>
      </c>
      <c r="J92" s="106" t="s">
        <v>180</v>
      </c>
      <c r="K92" s="106" t="s">
        <v>111</v>
      </c>
      <c r="L92" s="112" t="str">
        <f ca="1">IFERROR(_xlfn.IFNA(VLOOKUP($K92,[39]коммент!$B:$C,2,0),""),"")</f>
        <v/>
      </c>
      <c r="M92" s="106" t="s">
        <v>128</v>
      </c>
      <c r="N92" s="106"/>
      <c r="O92" s="106"/>
      <c r="P92" s="106"/>
      <c r="Q92" s="13"/>
      <c r="R92" s="13"/>
    </row>
    <row r="93" spans="1:18" s="14" customFormat="1" ht="94.5" hidden="1">
      <c r="A93" s="106">
        <v>91</v>
      </c>
      <c r="B93" s="107">
        <v>44714</v>
      </c>
      <c r="C93" s="119" t="s">
        <v>455</v>
      </c>
      <c r="D93" s="111" t="s">
        <v>39</v>
      </c>
      <c r="E93" s="111"/>
      <c r="F93" s="110" t="s">
        <v>469</v>
      </c>
      <c r="G93" s="106" t="s">
        <v>470</v>
      </c>
      <c r="H93" s="106"/>
      <c r="I93" s="106"/>
      <c r="J93" s="106" t="s">
        <v>179</v>
      </c>
      <c r="K93" s="106" t="s">
        <v>36</v>
      </c>
      <c r="L93" s="112" t="str">
        <f ca="1">IFERROR(_xlfn.IFNA(VLOOKUP($K93,[14]коммент!$B:$C,2,0),""),"")</f>
        <v/>
      </c>
      <c r="M93" s="106"/>
      <c r="N93" s="106"/>
      <c r="O93" s="106"/>
      <c r="P93" s="106" t="s">
        <v>471</v>
      </c>
      <c r="Q93" s="13"/>
      <c r="R93" s="13"/>
    </row>
    <row r="94" spans="1:18" s="14" customFormat="1" ht="31.5" hidden="1">
      <c r="A94" s="106">
        <v>92</v>
      </c>
      <c r="B94" s="107">
        <v>44714</v>
      </c>
      <c r="C94" s="119" t="s">
        <v>455</v>
      </c>
      <c r="D94" s="111" t="s">
        <v>39</v>
      </c>
      <c r="E94" s="111"/>
      <c r="F94" s="110" t="s">
        <v>474</v>
      </c>
      <c r="G94" s="106" t="s">
        <v>475</v>
      </c>
      <c r="H94" s="106" t="s">
        <v>259</v>
      </c>
      <c r="I94" s="107">
        <v>44713</v>
      </c>
      <c r="J94" s="106" t="s">
        <v>180</v>
      </c>
      <c r="K94" s="106" t="s">
        <v>125</v>
      </c>
      <c r="L94" s="112" t="str">
        <f ca="1">IFERROR(_xlfn.IFNA(VLOOKUP($K94,[14]коммент!$B:$C,2,0),""),"")</f>
        <v/>
      </c>
      <c r="M94" s="106" t="s">
        <v>188</v>
      </c>
      <c r="N94" s="106"/>
      <c r="O94" s="106"/>
      <c r="P94" s="106" t="s">
        <v>476</v>
      </c>
      <c r="Q94" s="13"/>
      <c r="R94" s="13"/>
    </row>
    <row r="95" spans="1:18" s="14" customFormat="1" ht="94.5" hidden="1">
      <c r="A95" s="106">
        <v>93</v>
      </c>
      <c r="B95" s="107">
        <v>44714</v>
      </c>
      <c r="C95" s="106" t="s">
        <v>557</v>
      </c>
      <c r="D95" s="111" t="s">
        <v>39</v>
      </c>
      <c r="E95" s="111"/>
      <c r="F95" s="110" t="s">
        <v>562</v>
      </c>
      <c r="G95" s="106" t="s">
        <v>563</v>
      </c>
      <c r="H95" s="106" t="s">
        <v>564</v>
      </c>
      <c r="I95" s="107">
        <v>44713</v>
      </c>
      <c r="J95" s="106" t="s">
        <v>180</v>
      </c>
      <c r="K95" s="106" t="s">
        <v>111</v>
      </c>
      <c r="L95" s="112" t="s">
        <v>165</v>
      </c>
      <c r="M95" s="106" t="s">
        <v>154</v>
      </c>
      <c r="N95" s="106" t="s">
        <v>114</v>
      </c>
      <c r="O95" s="106"/>
      <c r="P95" s="106"/>
      <c r="Q95" s="13"/>
      <c r="R95" s="13"/>
    </row>
    <row r="96" spans="1:18" s="14" customFormat="1" ht="141.75" hidden="1">
      <c r="A96" s="106">
        <v>94</v>
      </c>
      <c r="B96" s="107">
        <v>44714</v>
      </c>
      <c r="C96" s="106" t="s">
        <v>1178</v>
      </c>
      <c r="D96" s="111" t="s">
        <v>39</v>
      </c>
      <c r="E96" s="111"/>
      <c r="F96" s="110" t="s">
        <v>1182</v>
      </c>
      <c r="G96" s="106" t="s">
        <v>1183</v>
      </c>
      <c r="H96" s="106" t="s">
        <v>259</v>
      </c>
      <c r="I96" s="107">
        <v>44713</v>
      </c>
      <c r="J96" s="106" t="s">
        <v>180</v>
      </c>
      <c r="K96" s="106" t="s">
        <v>33</v>
      </c>
      <c r="L96" s="112" t="str">
        <f ca="1">IFERROR(_xlfn.IFNA(VLOOKUP($K96,[40]коммент!$B:$C,2,0),""),"")</f>
        <v/>
      </c>
      <c r="M96" s="106"/>
      <c r="N96" s="106"/>
      <c r="O96" s="106"/>
      <c r="P96" s="106" t="s">
        <v>1184</v>
      </c>
      <c r="Q96" s="13"/>
      <c r="R96" s="13"/>
    </row>
    <row r="97" spans="1:18" s="14" customFormat="1" ht="189" hidden="1">
      <c r="A97" s="106">
        <v>95</v>
      </c>
      <c r="B97" s="107">
        <v>44714</v>
      </c>
      <c r="C97" s="106" t="s">
        <v>1178</v>
      </c>
      <c r="D97" s="111" t="s">
        <v>39</v>
      </c>
      <c r="E97" s="111"/>
      <c r="F97" s="110" t="s">
        <v>1182</v>
      </c>
      <c r="G97" s="106" t="s">
        <v>1183</v>
      </c>
      <c r="H97" s="106" t="s">
        <v>259</v>
      </c>
      <c r="I97" s="107">
        <v>44713</v>
      </c>
      <c r="J97" s="106" t="s">
        <v>180</v>
      </c>
      <c r="K97" s="106" t="s">
        <v>113</v>
      </c>
      <c r="L97" s="112" t="str">
        <f ca="1">IFERROR(_xlfn.IFNA(VLOOKUP($K97,[40]коммент!$B:$C,2,0),""),"")</f>
        <v/>
      </c>
      <c r="M97" s="106"/>
      <c r="N97" s="106"/>
      <c r="O97" s="106"/>
      <c r="P97" s="106" t="s">
        <v>1185</v>
      </c>
      <c r="Q97" s="13"/>
      <c r="R97" s="13"/>
    </row>
    <row r="98" spans="1:18" s="14" customFormat="1" ht="31.5" hidden="1">
      <c r="A98" s="106">
        <v>96</v>
      </c>
      <c r="B98" s="107">
        <v>44714</v>
      </c>
      <c r="C98" s="106" t="s">
        <v>1337</v>
      </c>
      <c r="D98" s="111" t="s">
        <v>39</v>
      </c>
      <c r="E98" s="111"/>
      <c r="F98" s="110" t="s">
        <v>1338</v>
      </c>
      <c r="G98" s="106">
        <v>9265238177</v>
      </c>
      <c r="H98" s="106" t="s">
        <v>368</v>
      </c>
      <c r="I98" s="107">
        <v>44701</v>
      </c>
      <c r="J98" s="106" t="s">
        <v>180</v>
      </c>
      <c r="K98" s="106" t="s">
        <v>111</v>
      </c>
      <c r="L98" s="112" t="str">
        <f ca="1">IFERROR(_xlfn.IFNA(VLOOKUP($K98,[41]коммент!$B:$C,2,0),""),"")</f>
        <v/>
      </c>
      <c r="M98" s="106" t="s">
        <v>133</v>
      </c>
      <c r="N98" s="106" t="s">
        <v>114</v>
      </c>
      <c r="O98" s="106"/>
      <c r="P98" s="106"/>
      <c r="Q98" s="13"/>
      <c r="R98" s="13"/>
    </row>
    <row r="99" spans="1:18" s="14" customFormat="1" ht="63" hidden="1">
      <c r="A99" s="106">
        <v>97</v>
      </c>
      <c r="B99" s="107">
        <v>44714</v>
      </c>
      <c r="C99" s="106" t="s">
        <v>1351</v>
      </c>
      <c r="D99" s="111" t="s">
        <v>39</v>
      </c>
      <c r="E99" s="111"/>
      <c r="F99" s="110" t="s">
        <v>1355</v>
      </c>
      <c r="G99" s="106">
        <v>89151818856</v>
      </c>
      <c r="H99" s="106" t="s">
        <v>1356</v>
      </c>
      <c r="I99" s="107">
        <v>44704</v>
      </c>
      <c r="J99" s="106" t="s">
        <v>180</v>
      </c>
      <c r="K99" s="106" t="s">
        <v>125</v>
      </c>
      <c r="L99" s="112" t="str">
        <f ca="1">IFERROR(_xlfn.IFNA(VLOOKUP($K99,[42]коммент!$B:$C,2,0),""),"")</f>
        <v/>
      </c>
      <c r="M99" s="106" t="s">
        <v>189</v>
      </c>
      <c r="N99" s="106"/>
      <c r="O99" s="106"/>
      <c r="P99" s="106" t="s">
        <v>1371</v>
      </c>
      <c r="Q99" s="13"/>
      <c r="R99" s="13"/>
    </row>
    <row r="100" spans="1:18" s="14" customFormat="1" ht="94.5" hidden="1">
      <c r="A100" s="106">
        <v>98</v>
      </c>
      <c r="B100" s="107">
        <v>44714</v>
      </c>
      <c r="C100" s="106" t="s">
        <v>1351</v>
      </c>
      <c r="D100" s="131" t="s">
        <v>39</v>
      </c>
      <c r="E100" s="111"/>
      <c r="F100" s="133" t="s">
        <v>1357</v>
      </c>
      <c r="G100" s="134" t="s">
        <v>1358</v>
      </c>
      <c r="H100" s="132" t="s">
        <v>259</v>
      </c>
      <c r="I100" s="113">
        <v>44707</v>
      </c>
      <c r="J100" s="106" t="s">
        <v>180</v>
      </c>
      <c r="K100" s="106" t="s">
        <v>111</v>
      </c>
      <c r="L100" s="112" t="s">
        <v>165</v>
      </c>
      <c r="M100" s="106" t="s">
        <v>154</v>
      </c>
      <c r="N100" s="106"/>
      <c r="O100" s="106"/>
      <c r="P100" s="106"/>
      <c r="Q100" s="13"/>
      <c r="R100" s="13"/>
    </row>
    <row r="101" spans="1:18" s="14" customFormat="1" ht="31.5" hidden="1">
      <c r="A101" s="106">
        <v>99</v>
      </c>
      <c r="B101" s="107">
        <v>44714</v>
      </c>
      <c r="C101" s="106" t="s">
        <v>256</v>
      </c>
      <c r="D101" s="111" t="s">
        <v>84</v>
      </c>
      <c r="E101" s="111"/>
      <c r="F101" s="109" t="s">
        <v>268</v>
      </c>
      <c r="G101" s="106">
        <v>9256820749</v>
      </c>
      <c r="H101" s="106"/>
      <c r="I101" s="106"/>
      <c r="J101" s="106" t="s">
        <v>180</v>
      </c>
      <c r="K101" s="106" t="s">
        <v>125</v>
      </c>
      <c r="L101" s="112" t="str">
        <f ca="1">IFERROR(_xlfn.IFNA(VLOOKUP($K101,[37]коммент!$B:$C,2,0),""),"")</f>
        <v/>
      </c>
      <c r="M101" s="106" t="s">
        <v>189</v>
      </c>
      <c r="N101" s="106"/>
      <c r="O101" s="106"/>
      <c r="P101" s="106" t="s">
        <v>269</v>
      </c>
      <c r="Q101" s="13"/>
      <c r="R101" s="13"/>
    </row>
    <row r="102" spans="1:18" s="14" customFormat="1" ht="126" hidden="1">
      <c r="A102" s="106">
        <v>100</v>
      </c>
      <c r="B102" s="107">
        <v>44714</v>
      </c>
      <c r="C102" s="106" t="s">
        <v>420</v>
      </c>
      <c r="D102" s="111" t="s">
        <v>84</v>
      </c>
      <c r="E102" s="111"/>
      <c r="F102" s="110" t="s">
        <v>422</v>
      </c>
      <c r="G102" s="106">
        <v>89162074378</v>
      </c>
      <c r="H102" s="106"/>
      <c r="I102" s="107" t="s">
        <v>423</v>
      </c>
      <c r="J102" s="106" t="s">
        <v>180</v>
      </c>
      <c r="K102" s="106" t="s">
        <v>125</v>
      </c>
      <c r="L102" s="112" t="s">
        <v>162</v>
      </c>
      <c r="M102" s="106" t="s">
        <v>189</v>
      </c>
      <c r="N102" s="106" t="s">
        <v>183</v>
      </c>
      <c r="O102" s="106" t="s">
        <v>84</v>
      </c>
      <c r="P102" s="106"/>
      <c r="Q102" s="13"/>
      <c r="R102" s="13"/>
    </row>
    <row r="103" spans="1:18" s="14" customFormat="1" ht="78.75" hidden="1">
      <c r="A103" s="106">
        <v>101</v>
      </c>
      <c r="B103" s="107">
        <v>44714</v>
      </c>
      <c r="C103" s="106" t="s">
        <v>477</v>
      </c>
      <c r="D103" s="111" t="s">
        <v>84</v>
      </c>
      <c r="E103" s="111"/>
      <c r="F103" s="109" t="s">
        <v>479</v>
      </c>
      <c r="G103" s="106" t="s">
        <v>480</v>
      </c>
      <c r="H103" s="106" t="s">
        <v>481</v>
      </c>
      <c r="I103" s="107">
        <v>44710</v>
      </c>
      <c r="J103" s="106" t="s">
        <v>180</v>
      </c>
      <c r="K103" s="106" t="s">
        <v>106</v>
      </c>
      <c r="L103" s="112" t="str">
        <f ca="1">IFERROR(_xlfn.IFNA(VLOOKUP($K103,[15]коммент!$B:$C,2,0),""),"")</f>
        <v/>
      </c>
      <c r="M103" s="106" t="s">
        <v>118</v>
      </c>
      <c r="N103" s="106"/>
      <c r="O103" s="106"/>
      <c r="P103" s="106" t="s">
        <v>482</v>
      </c>
      <c r="Q103" s="13"/>
      <c r="R103" s="13"/>
    </row>
    <row r="104" spans="1:18" s="14" customFormat="1" ht="31.5" hidden="1">
      <c r="A104" s="106">
        <v>102</v>
      </c>
      <c r="B104" s="107">
        <v>44714</v>
      </c>
      <c r="C104" s="106" t="s">
        <v>477</v>
      </c>
      <c r="D104" s="111" t="s">
        <v>84</v>
      </c>
      <c r="E104" s="111"/>
      <c r="F104" s="109" t="s">
        <v>487</v>
      </c>
      <c r="G104" s="106">
        <v>9853664826</v>
      </c>
      <c r="H104" s="106" t="s">
        <v>488</v>
      </c>
      <c r="I104" s="107">
        <v>44713</v>
      </c>
      <c r="J104" s="106" t="s">
        <v>180</v>
      </c>
      <c r="K104" s="106" t="s">
        <v>36</v>
      </c>
      <c r="L104" s="112" t="str">
        <f ca="1">IFERROR(_xlfn.IFNA(VLOOKUP($K104,[15]коммент!$B:$C,2,0),""),"")</f>
        <v/>
      </c>
      <c r="M104" s="106"/>
      <c r="N104" s="106"/>
      <c r="O104" s="106"/>
      <c r="P104" s="106" t="s">
        <v>489</v>
      </c>
      <c r="Q104" s="13"/>
      <c r="R104" s="13"/>
    </row>
    <row r="105" spans="1:18" s="14" customFormat="1" hidden="1">
      <c r="A105" s="106">
        <v>103</v>
      </c>
      <c r="B105" s="107">
        <v>44714</v>
      </c>
      <c r="C105" s="106" t="s">
        <v>477</v>
      </c>
      <c r="D105" s="111" t="s">
        <v>84</v>
      </c>
      <c r="E105" s="111"/>
      <c r="F105" s="109" t="s">
        <v>490</v>
      </c>
      <c r="G105" s="106">
        <v>9601934100</v>
      </c>
      <c r="H105" s="106" t="s">
        <v>491</v>
      </c>
      <c r="I105" s="107">
        <v>44713</v>
      </c>
      <c r="J105" s="106" t="s">
        <v>134</v>
      </c>
      <c r="K105" s="106" t="s">
        <v>125</v>
      </c>
      <c r="L105" s="112" t="str">
        <f ca="1">IFERROR(_xlfn.IFNA(VLOOKUP($K105,[15]коммент!$B:$C,2,0),""),"")</f>
        <v/>
      </c>
      <c r="M105" s="106" t="s">
        <v>188</v>
      </c>
      <c r="N105" s="106"/>
      <c r="O105" s="106"/>
      <c r="P105" s="106"/>
      <c r="Q105" s="13"/>
      <c r="R105" s="13"/>
    </row>
    <row r="106" spans="1:18" s="14" customFormat="1" ht="31.5" hidden="1">
      <c r="A106" s="106">
        <v>104</v>
      </c>
      <c r="B106" s="107">
        <v>44714</v>
      </c>
      <c r="C106" s="106" t="s">
        <v>477</v>
      </c>
      <c r="D106" s="111" t="s">
        <v>84</v>
      </c>
      <c r="E106" s="111"/>
      <c r="F106" s="109" t="s">
        <v>492</v>
      </c>
      <c r="G106" s="106">
        <v>9032655788</v>
      </c>
      <c r="H106" s="106" t="s">
        <v>493</v>
      </c>
      <c r="I106" s="107">
        <v>44713</v>
      </c>
      <c r="J106" s="106" t="s">
        <v>180</v>
      </c>
      <c r="K106" s="106" t="s">
        <v>36</v>
      </c>
      <c r="L106" s="112" t="str">
        <f ca="1">IFERROR(_xlfn.IFNA(VLOOKUP($K106,[15]коммент!$B:$C,2,0),""),"")</f>
        <v/>
      </c>
      <c r="M106" s="106"/>
      <c r="N106" s="106"/>
      <c r="O106" s="106"/>
      <c r="P106" s="106" t="s">
        <v>494</v>
      </c>
      <c r="Q106" s="13"/>
      <c r="R106" s="13"/>
    </row>
    <row r="107" spans="1:18" s="14" customFormat="1" ht="31.5" hidden="1">
      <c r="A107" s="106">
        <v>105</v>
      </c>
      <c r="B107" s="107">
        <v>44714</v>
      </c>
      <c r="C107" s="106" t="s">
        <v>477</v>
      </c>
      <c r="D107" s="111" t="s">
        <v>84</v>
      </c>
      <c r="E107" s="111"/>
      <c r="F107" s="109" t="s">
        <v>495</v>
      </c>
      <c r="G107" s="106" t="s">
        <v>496</v>
      </c>
      <c r="H107" s="106" t="s">
        <v>497</v>
      </c>
      <c r="I107" s="107">
        <v>44713</v>
      </c>
      <c r="J107" s="106" t="s">
        <v>180</v>
      </c>
      <c r="K107" s="106" t="s">
        <v>125</v>
      </c>
      <c r="L107" s="112" t="str">
        <f ca="1">IFERROR(_xlfn.IFNA(VLOOKUP($K107,[15]коммент!$B:$C,2,0),""),"")</f>
        <v/>
      </c>
      <c r="M107" s="106" t="s">
        <v>189</v>
      </c>
      <c r="N107" s="106"/>
      <c r="O107" s="106"/>
      <c r="P107" s="106"/>
      <c r="Q107" s="13"/>
      <c r="R107" s="13"/>
    </row>
    <row r="108" spans="1:18" s="14" customFormat="1" ht="31.5" hidden="1">
      <c r="A108" s="106">
        <v>106</v>
      </c>
      <c r="B108" s="107">
        <v>44714</v>
      </c>
      <c r="C108" s="106" t="s">
        <v>477</v>
      </c>
      <c r="D108" s="111" t="s">
        <v>84</v>
      </c>
      <c r="E108" s="111"/>
      <c r="F108" s="109" t="s">
        <v>498</v>
      </c>
      <c r="G108" s="106">
        <v>9242804133</v>
      </c>
      <c r="H108" s="106" t="s">
        <v>499</v>
      </c>
      <c r="I108" s="107">
        <v>44714</v>
      </c>
      <c r="J108" s="106" t="s">
        <v>180</v>
      </c>
      <c r="K108" s="106" t="s">
        <v>36</v>
      </c>
      <c r="L108" s="112" t="str">
        <f ca="1">IFERROR(_xlfn.IFNA(VLOOKUP($K108,[15]коммент!$B:$C,2,0),""),"")</f>
        <v/>
      </c>
      <c r="M108" s="106"/>
      <c r="N108" s="106"/>
      <c r="O108" s="106"/>
      <c r="P108" s="106" t="s">
        <v>500</v>
      </c>
      <c r="Q108" s="13"/>
      <c r="R108" s="13"/>
    </row>
    <row r="109" spans="1:18" s="14" customFormat="1" ht="63" hidden="1">
      <c r="A109" s="106">
        <v>107</v>
      </c>
      <c r="B109" s="107">
        <v>44714</v>
      </c>
      <c r="C109" s="106" t="s">
        <v>477</v>
      </c>
      <c r="D109" s="111" t="s">
        <v>84</v>
      </c>
      <c r="E109" s="111"/>
      <c r="F109" s="109" t="s">
        <v>501</v>
      </c>
      <c r="G109" s="106" t="s">
        <v>502</v>
      </c>
      <c r="H109" s="106"/>
      <c r="I109" s="106"/>
      <c r="J109" s="106" t="s">
        <v>134</v>
      </c>
      <c r="K109" s="106" t="s">
        <v>113</v>
      </c>
      <c r="L109" s="112" t="str">
        <f ca="1">IFERROR(_xlfn.IFNA(VLOOKUP($K109,[15]коммент!$B:$C,2,0),""),"")</f>
        <v/>
      </c>
      <c r="M109" s="106"/>
      <c r="N109" s="106"/>
      <c r="O109" s="106"/>
      <c r="P109" s="106" t="s">
        <v>503</v>
      </c>
      <c r="Q109" s="13"/>
      <c r="R109" s="13"/>
    </row>
    <row r="110" spans="1:18" s="14" customFormat="1" ht="31.5" hidden="1">
      <c r="A110" s="106">
        <v>108</v>
      </c>
      <c r="B110" s="107">
        <v>44714</v>
      </c>
      <c r="C110" s="106" t="s">
        <v>477</v>
      </c>
      <c r="D110" s="111" t="s">
        <v>84</v>
      </c>
      <c r="E110" s="111"/>
      <c r="F110" s="109" t="s">
        <v>501</v>
      </c>
      <c r="G110" s="106" t="s">
        <v>502</v>
      </c>
      <c r="H110" s="106"/>
      <c r="I110" s="106"/>
      <c r="J110" s="106" t="s">
        <v>134</v>
      </c>
      <c r="K110" s="114" t="s">
        <v>122</v>
      </c>
      <c r="L110" s="115" t="str">
        <f ca="1">IFERROR(_xlfn.IFNA(VLOOKUP($K110,[15]коммент!$B:$C,2,0),""),"")</f>
        <v/>
      </c>
      <c r="M110" s="106"/>
      <c r="N110" s="106"/>
      <c r="O110" s="106"/>
      <c r="P110" s="106"/>
      <c r="Q110" s="13"/>
      <c r="R110" s="13"/>
    </row>
    <row r="111" spans="1:18" s="14" customFormat="1" ht="94.5" hidden="1">
      <c r="A111" s="106">
        <v>109</v>
      </c>
      <c r="B111" s="107">
        <v>44714</v>
      </c>
      <c r="C111" s="106" t="s">
        <v>477</v>
      </c>
      <c r="D111" s="111" t="s">
        <v>84</v>
      </c>
      <c r="E111" s="111"/>
      <c r="F111" s="109" t="s">
        <v>504</v>
      </c>
      <c r="G111" s="106" t="s">
        <v>505</v>
      </c>
      <c r="H111" s="106" t="s">
        <v>506</v>
      </c>
      <c r="I111" s="107">
        <v>44705</v>
      </c>
      <c r="J111" s="106" t="s">
        <v>180</v>
      </c>
      <c r="K111" s="106" t="s">
        <v>1</v>
      </c>
      <c r="L111" s="112" t="str">
        <f ca="1">IFERROR(_xlfn.IFNA(VLOOKUP($K111,[15]коммент!$B:$C,2,0),""),"")</f>
        <v/>
      </c>
      <c r="M111" s="106" t="s">
        <v>132</v>
      </c>
      <c r="N111" s="106"/>
      <c r="O111" s="106"/>
      <c r="P111" s="106" t="s">
        <v>507</v>
      </c>
      <c r="Q111" s="13"/>
      <c r="R111" s="13"/>
    </row>
    <row r="112" spans="1:18" s="14" customFormat="1" ht="63" hidden="1">
      <c r="A112" s="106">
        <v>110</v>
      </c>
      <c r="B112" s="107">
        <v>44714</v>
      </c>
      <c r="C112" s="106" t="s">
        <v>477</v>
      </c>
      <c r="D112" s="111" t="s">
        <v>84</v>
      </c>
      <c r="E112" s="111"/>
      <c r="F112" s="109" t="s">
        <v>508</v>
      </c>
      <c r="G112" s="106">
        <v>89261863540</v>
      </c>
      <c r="H112" s="106" t="s">
        <v>509</v>
      </c>
      <c r="I112" s="107">
        <v>44680</v>
      </c>
      <c r="J112" s="106" t="s">
        <v>180</v>
      </c>
      <c r="K112" s="106" t="s">
        <v>113</v>
      </c>
      <c r="L112" s="112" t="str">
        <f ca="1">IFERROR(_xlfn.IFNA(VLOOKUP($K112,[15]коммент!$B:$C,2,0),""),"")</f>
        <v/>
      </c>
      <c r="M112" s="106" t="s">
        <v>133</v>
      </c>
      <c r="N112" s="106" t="s">
        <v>114</v>
      </c>
      <c r="O112" s="106"/>
      <c r="P112" s="106" t="s">
        <v>510</v>
      </c>
      <c r="Q112" s="13"/>
      <c r="R112" s="13"/>
    </row>
    <row r="113" spans="1:18" s="14" customFormat="1" ht="31.5" hidden="1">
      <c r="A113" s="106">
        <v>111</v>
      </c>
      <c r="B113" s="107">
        <v>44714</v>
      </c>
      <c r="C113" s="150" t="s">
        <v>513</v>
      </c>
      <c r="D113" s="111" t="s">
        <v>84</v>
      </c>
      <c r="E113" s="111"/>
      <c r="F113" s="109" t="s">
        <v>518</v>
      </c>
      <c r="G113" s="106">
        <v>9057338416</v>
      </c>
      <c r="H113" s="106" t="s">
        <v>519</v>
      </c>
      <c r="I113" s="107">
        <v>44713</v>
      </c>
      <c r="J113" s="106" t="s">
        <v>180</v>
      </c>
      <c r="K113" s="106" t="s">
        <v>125</v>
      </c>
      <c r="L113" s="112" t="str">
        <f ca="1">IFERROR(_xlfn.IFNA(VLOOKUP($K113,[43]коммент!$B:$C,2,0),""),"")</f>
        <v/>
      </c>
      <c r="M113" s="106" t="s">
        <v>189</v>
      </c>
      <c r="N113" s="106"/>
      <c r="O113" s="106"/>
      <c r="P113" s="106" t="s">
        <v>520</v>
      </c>
      <c r="Q113" s="13"/>
      <c r="R113" s="13"/>
    </row>
    <row r="114" spans="1:18" s="14" customFormat="1" ht="31.5" hidden="1">
      <c r="A114" s="106">
        <v>112</v>
      </c>
      <c r="B114" s="107">
        <v>44714</v>
      </c>
      <c r="C114" s="106" t="s">
        <v>522</v>
      </c>
      <c r="D114" s="111" t="s">
        <v>84</v>
      </c>
      <c r="E114" s="111"/>
      <c r="F114" s="110" t="s">
        <v>523</v>
      </c>
      <c r="G114" s="106" t="s">
        <v>524</v>
      </c>
      <c r="H114" s="106" t="s">
        <v>525</v>
      </c>
      <c r="I114" s="107">
        <v>44714</v>
      </c>
      <c r="J114" s="106" t="s">
        <v>180</v>
      </c>
      <c r="K114" s="106" t="s">
        <v>125</v>
      </c>
      <c r="L114" s="112" t="str">
        <f ca="1">IFERROR(_xlfn.IFNA(VLOOKUP($K114,[44]коммент!$B:$C,2,0),""),"")</f>
        <v/>
      </c>
      <c r="M114" s="106" t="s">
        <v>189</v>
      </c>
      <c r="N114" s="106"/>
      <c r="O114" s="106"/>
      <c r="P114" s="106"/>
      <c r="Q114" s="13"/>
      <c r="R114" s="13"/>
    </row>
    <row r="115" spans="1:18" s="14" customFormat="1" hidden="1">
      <c r="A115" s="106">
        <v>113</v>
      </c>
      <c r="B115" s="107">
        <v>44714</v>
      </c>
      <c r="C115" s="106" t="s">
        <v>522</v>
      </c>
      <c r="D115" s="111" t="s">
        <v>84</v>
      </c>
      <c r="E115" s="111"/>
      <c r="F115" s="110" t="s">
        <v>530</v>
      </c>
      <c r="G115" s="106" t="s">
        <v>531</v>
      </c>
      <c r="H115" s="106" t="s">
        <v>525</v>
      </c>
      <c r="I115" s="107">
        <v>44714</v>
      </c>
      <c r="J115" s="106" t="s">
        <v>180</v>
      </c>
      <c r="K115" s="106" t="s">
        <v>125</v>
      </c>
      <c r="L115" s="112" t="str">
        <f ca="1">IFERROR(_xlfn.IFNA(VLOOKUP($K115,[44]коммент!$B:$C,2,0),""),"")</f>
        <v/>
      </c>
      <c r="M115" s="106" t="s">
        <v>189</v>
      </c>
      <c r="N115" s="106"/>
      <c r="O115" s="106"/>
      <c r="P115" s="106"/>
      <c r="Q115" s="13"/>
      <c r="R115" s="13"/>
    </row>
    <row r="116" spans="1:18" s="14" customFormat="1" ht="47.25" hidden="1">
      <c r="A116" s="106">
        <v>114</v>
      </c>
      <c r="B116" s="107">
        <v>44714</v>
      </c>
      <c r="C116" s="106" t="s">
        <v>522</v>
      </c>
      <c r="D116" s="111" t="s">
        <v>84</v>
      </c>
      <c r="E116" s="111"/>
      <c r="F116" s="110" t="s">
        <v>532</v>
      </c>
      <c r="G116" s="106" t="s">
        <v>533</v>
      </c>
      <c r="H116" s="106" t="s">
        <v>525</v>
      </c>
      <c r="I116" s="107"/>
      <c r="J116" s="106" t="s">
        <v>180</v>
      </c>
      <c r="K116" s="106" t="s">
        <v>125</v>
      </c>
      <c r="L116" s="112" t="str">
        <f ca="1">IFERROR(_xlfn.IFNA(VLOOKUP($K116,[44]коммент!$B:$C,2,0),""),"")</f>
        <v/>
      </c>
      <c r="M116" s="106" t="s">
        <v>189</v>
      </c>
      <c r="N116" s="106"/>
      <c r="O116" s="106"/>
      <c r="P116" s="106" t="s">
        <v>534</v>
      </c>
      <c r="Q116" s="13"/>
      <c r="R116" s="13"/>
    </row>
    <row r="117" spans="1:18" s="14" customFormat="1" hidden="1">
      <c r="A117" s="106">
        <v>115</v>
      </c>
      <c r="B117" s="107">
        <v>44714</v>
      </c>
      <c r="C117" s="106" t="s">
        <v>522</v>
      </c>
      <c r="D117" s="111" t="s">
        <v>84</v>
      </c>
      <c r="E117" s="111"/>
      <c r="F117" s="110" t="s">
        <v>545</v>
      </c>
      <c r="G117" s="106" t="s">
        <v>546</v>
      </c>
      <c r="H117" s="106" t="s">
        <v>525</v>
      </c>
      <c r="I117" s="107">
        <v>44711</v>
      </c>
      <c r="J117" s="106" t="s">
        <v>180</v>
      </c>
      <c r="K117" s="106" t="s">
        <v>125</v>
      </c>
      <c r="L117" s="112" t="str">
        <f ca="1">IFERROR(_xlfn.IFNA(VLOOKUP($K117,[44]коммент!$B:$C,2,0),""),"")</f>
        <v/>
      </c>
      <c r="M117" s="106" t="s">
        <v>189</v>
      </c>
      <c r="N117" s="106"/>
      <c r="O117" s="106"/>
      <c r="P117" s="106"/>
      <c r="Q117" s="13"/>
      <c r="R117" s="13"/>
    </row>
    <row r="118" spans="1:18" s="14" customFormat="1" ht="31.5" hidden="1">
      <c r="A118" s="106">
        <v>116</v>
      </c>
      <c r="B118" s="107">
        <v>44714</v>
      </c>
      <c r="C118" s="106" t="s">
        <v>522</v>
      </c>
      <c r="D118" s="111" t="s">
        <v>84</v>
      </c>
      <c r="E118" s="111"/>
      <c r="F118" s="110" t="s">
        <v>547</v>
      </c>
      <c r="G118" s="106" t="s">
        <v>548</v>
      </c>
      <c r="H118" s="106" t="s">
        <v>368</v>
      </c>
      <c r="I118" s="107">
        <v>44699</v>
      </c>
      <c r="J118" s="106" t="s">
        <v>180</v>
      </c>
      <c r="K118" s="106" t="s">
        <v>125</v>
      </c>
      <c r="L118" s="112" t="str">
        <f ca="1">IFERROR(_xlfn.IFNA(VLOOKUP($K118,[44]коммент!$B:$C,2,0),""),"")</f>
        <v/>
      </c>
      <c r="M118" s="106" t="s">
        <v>126</v>
      </c>
      <c r="N118" s="106"/>
      <c r="O118" s="106"/>
      <c r="P118" s="106" t="s">
        <v>549</v>
      </c>
      <c r="Q118" s="13"/>
      <c r="R118" s="13"/>
    </row>
    <row r="119" spans="1:18" s="14" customFormat="1" ht="94.5" hidden="1">
      <c r="A119" s="106">
        <v>117</v>
      </c>
      <c r="B119" s="107">
        <v>44714</v>
      </c>
      <c r="C119" s="106" t="s">
        <v>568</v>
      </c>
      <c r="D119" s="111" t="s">
        <v>84</v>
      </c>
      <c r="E119" s="111"/>
      <c r="F119" s="110" t="s">
        <v>573</v>
      </c>
      <c r="G119" s="106">
        <v>9261176797</v>
      </c>
      <c r="H119" s="106" t="s">
        <v>574</v>
      </c>
      <c r="I119" s="107">
        <v>44694</v>
      </c>
      <c r="J119" s="106" t="s">
        <v>180</v>
      </c>
      <c r="K119" s="106" t="s">
        <v>111</v>
      </c>
      <c r="L119" s="112" t="s">
        <v>165</v>
      </c>
      <c r="M119" s="106"/>
      <c r="N119" s="106" t="s">
        <v>183</v>
      </c>
      <c r="O119" s="106" t="s">
        <v>84</v>
      </c>
      <c r="P119" s="106" t="s">
        <v>575</v>
      </c>
      <c r="Q119" s="13"/>
      <c r="R119" s="13"/>
    </row>
    <row r="120" spans="1:18" s="14" customFormat="1" ht="63" hidden="1">
      <c r="A120" s="106">
        <v>118</v>
      </c>
      <c r="B120" s="107">
        <v>44714</v>
      </c>
      <c r="C120" s="106" t="s">
        <v>568</v>
      </c>
      <c r="D120" s="111" t="s">
        <v>84</v>
      </c>
      <c r="E120" s="111"/>
      <c r="F120" s="110" t="s">
        <v>576</v>
      </c>
      <c r="G120" s="106" t="s">
        <v>577</v>
      </c>
      <c r="H120" s="106" t="s">
        <v>578</v>
      </c>
      <c r="I120" s="107">
        <v>44658</v>
      </c>
      <c r="J120" s="106" t="s">
        <v>180</v>
      </c>
      <c r="K120" s="106" t="s">
        <v>36</v>
      </c>
      <c r="L120" s="112" t="s">
        <v>157</v>
      </c>
      <c r="M120" s="106"/>
      <c r="N120" s="106"/>
      <c r="O120" s="106"/>
      <c r="P120" s="106" t="s">
        <v>579</v>
      </c>
      <c r="Q120" s="13"/>
      <c r="R120" s="13"/>
    </row>
    <row r="121" spans="1:18" s="14" customFormat="1" ht="126" hidden="1">
      <c r="A121" s="106">
        <v>119</v>
      </c>
      <c r="B121" s="107">
        <v>44714</v>
      </c>
      <c r="C121" s="106" t="s">
        <v>568</v>
      </c>
      <c r="D121" s="111" t="s">
        <v>84</v>
      </c>
      <c r="E121" s="111"/>
      <c r="F121" s="110" t="s">
        <v>582</v>
      </c>
      <c r="G121" s="106" t="s">
        <v>583</v>
      </c>
      <c r="H121" s="106" t="s">
        <v>584</v>
      </c>
      <c r="I121" s="107">
        <v>44713</v>
      </c>
      <c r="J121" s="106" t="s">
        <v>180</v>
      </c>
      <c r="K121" s="106" t="s">
        <v>125</v>
      </c>
      <c r="L121" s="112" t="s">
        <v>162</v>
      </c>
      <c r="M121" s="106" t="s">
        <v>189</v>
      </c>
      <c r="N121" s="106"/>
      <c r="O121" s="106"/>
      <c r="P121" s="106"/>
      <c r="Q121" s="13"/>
      <c r="R121" s="13"/>
    </row>
    <row r="122" spans="1:18" s="14" customFormat="1" ht="126" hidden="1">
      <c r="A122" s="106">
        <v>120</v>
      </c>
      <c r="B122" s="107">
        <v>44714</v>
      </c>
      <c r="C122" s="106" t="s">
        <v>568</v>
      </c>
      <c r="D122" s="111" t="s">
        <v>84</v>
      </c>
      <c r="E122" s="111"/>
      <c r="F122" s="110" t="s">
        <v>592</v>
      </c>
      <c r="G122" s="106" t="s">
        <v>593</v>
      </c>
      <c r="H122" s="106" t="s">
        <v>584</v>
      </c>
      <c r="I122" s="107">
        <v>44712</v>
      </c>
      <c r="J122" s="106" t="s">
        <v>180</v>
      </c>
      <c r="K122" s="106" t="s">
        <v>125</v>
      </c>
      <c r="L122" s="112" t="s">
        <v>162</v>
      </c>
      <c r="M122" s="106" t="s">
        <v>189</v>
      </c>
      <c r="N122" s="106"/>
      <c r="O122" s="106"/>
      <c r="P122" s="106"/>
      <c r="Q122" s="13"/>
      <c r="R122" s="13"/>
    </row>
    <row r="123" spans="1:18" s="14" customFormat="1" ht="94.5" hidden="1">
      <c r="A123" s="106">
        <v>121</v>
      </c>
      <c r="B123" s="107">
        <v>44714</v>
      </c>
      <c r="C123" s="106" t="s">
        <v>568</v>
      </c>
      <c r="D123" s="111" t="s">
        <v>84</v>
      </c>
      <c r="E123" s="111"/>
      <c r="F123" s="110" t="s">
        <v>592</v>
      </c>
      <c r="G123" s="106" t="s">
        <v>593</v>
      </c>
      <c r="H123" s="106" t="s">
        <v>584</v>
      </c>
      <c r="I123" s="107">
        <v>44712</v>
      </c>
      <c r="J123" s="106" t="s">
        <v>180</v>
      </c>
      <c r="K123" s="106" t="s">
        <v>1</v>
      </c>
      <c r="L123" s="112" t="s">
        <v>166</v>
      </c>
      <c r="M123" s="106" t="s">
        <v>153</v>
      </c>
      <c r="N123" s="106"/>
      <c r="O123" s="106"/>
      <c r="P123" s="106" t="s">
        <v>594</v>
      </c>
      <c r="Q123" s="13"/>
      <c r="R123" s="13"/>
    </row>
    <row r="124" spans="1:18" s="14" customFormat="1" ht="126" hidden="1">
      <c r="A124" s="106">
        <v>122</v>
      </c>
      <c r="B124" s="107">
        <v>44714</v>
      </c>
      <c r="C124" s="106" t="s">
        <v>632</v>
      </c>
      <c r="D124" s="111" t="s">
        <v>84</v>
      </c>
      <c r="E124" s="111"/>
      <c r="F124" s="110" t="s">
        <v>633</v>
      </c>
      <c r="G124" s="106" t="s">
        <v>634</v>
      </c>
      <c r="H124" s="106" t="s">
        <v>635</v>
      </c>
      <c r="I124" s="107">
        <v>44713</v>
      </c>
      <c r="J124" s="106" t="s">
        <v>180</v>
      </c>
      <c r="K124" s="106" t="s">
        <v>125</v>
      </c>
      <c r="L124" s="112" t="s">
        <v>162</v>
      </c>
      <c r="M124" s="106" t="s">
        <v>189</v>
      </c>
      <c r="N124" s="106"/>
      <c r="O124" s="106"/>
      <c r="P124" s="106"/>
      <c r="Q124" s="13"/>
      <c r="R124" s="13"/>
    </row>
    <row r="125" spans="1:18" s="14" customFormat="1" ht="126" hidden="1">
      <c r="A125" s="106">
        <v>123</v>
      </c>
      <c r="B125" s="107">
        <v>44714</v>
      </c>
      <c r="C125" s="106" t="s">
        <v>632</v>
      </c>
      <c r="D125" s="111" t="s">
        <v>84</v>
      </c>
      <c r="E125" s="111"/>
      <c r="F125" s="110" t="s">
        <v>636</v>
      </c>
      <c r="G125" s="106" t="s">
        <v>637</v>
      </c>
      <c r="H125" s="106" t="s">
        <v>635</v>
      </c>
      <c r="I125" s="107">
        <v>44713</v>
      </c>
      <c r="J125" s="106" t="s">
        <v>180</v>
      </c>
      <c r="K125" s="106" t="s">
        <v>125</v>
      </c>
      <c r="L125" s="112" t="s">
        <v>162</v>
      </c>
      <c r="M125" s="106" t="s">
        <v>189</v>
      </c>
      <c r="N125" s="106"/>
      <c r="O125" s="106"/>
      <c r="P125" s="106"/>
      <c r="Q125" s="13"/>
      <c r="R125" s="13"/>
    </row>
    <row r="126" spans="1:18" s="14" customFormat="1" ht="94.5" hidden="1">
      <c r="A126" s="106">
        <v>124</v>
      </c>
      <c r="B126" s="107">
        <v>44714</v>
      </c>
      <c r="C126" s="106" t="s">
        <v>632</v>
      </c>
      <c r="D126" s="111" t="s">
        <v>84</v>
      </c>
      <c r="E126" s="111"/>
      <c r="F126" s="110" t="s">
        <v>638</v>
      </c>
      <c r="G126" s="106">
        <v>9175210180</v>
      </c>
      <c r="H126" s="106" t="s">
        <v>639</v>
      </c>
      <c r="I126" s="107">
        <v>44700</v>
      </c>
      <c r="J126" s="106" t="s">
        <v>180</v>
      </c>
      <c r="K126" s="114" t="s">
        <v>111</v>
      </c>
      <c r="L126" s="115" t="s">
        <v>165</v>
      </c>
      <c r="M126" s="106" t="s">
        <v>133</v>
      </c>
      <c r="N126" s="106" t="s">
        <v>114</v>
      </c>
      <c r="O126" s="106"/>
      <c r="P126" s="106"/>
      <c r="Q126" s="13"/>
      <c r="R126" s="13"/>
    </row>
    <row r="127" spans="1:18" s="14" customFormat="1" ht="126" hidden="1">
      <c r="A127" s="106">
        <v>125</v>
      </c>
      <c r="B127" s="107">
        <v>44714</v>
      </c>
      <c r="C127" s="106" t="s">
        <v>632</v>
      </c>
      <c r="D127" s="111" t="s">
        <v>84</v>
      </c>
      <c r="E127" s="111"/>
      <c r="F127" s="110" t="s">
        <v>643</v>
      </c>
      <c r="G127" s="106" t="s">
        <v>644</v>
      </c>
      <c r="H127" s="106" t="s">
        <v>635</v>
      </c>
      <c r="I127" s="107" t="s">
        <v>645</v>
      </c>
      <c r="J127" s="106" t="s">
        <v>179</v>
      </c>
      <c r="K127" s="106" t="s">
        <v>125</v>
      </c>
      <c r="L127" s="112" t="s">
        <v>162</v>
      </c>
      <c r="M127" s="106" t="s">
        <v>189</v>
      </c>
      <c r="N127" s="106"/>
      <c r="O127" s="106"/>
      <c r="P127" s="106"/>
      <c r="Q127" s="13"/>
      <c r="R127" s="13"/>
    </row>
    <row r="128" spans="1:18" s="14" customFormat="1" ht="63" hidden="1">
      <c r="A128" s="106">
        <v>126</v>
      </c>
      <c r="B128" s="107">
        <v>44714</v>
      </c>
      <c r="C128" s="106" t="s">
        <v>682</v>
      </c>
      <c r="D128" s="111" t="s">
        <v>84</v>
      </c>
      <c r="E128" s="111"/>
      <c r="F128" s="110" t="s">
        <v>683</v>
      </c>
      <c r="G128" s="106">
        <v>9262597569</v>
      </c>
      <c r="H128" s="106"/>
      <c r="I128" s="107"/>
      <c r="J128" s="106" t="s">
        <v>179</v>
      </c>
      <c r="K128" s="106" t="s">
        <v>113</v>
      </c>
      <c r="L128" s="112" t="s">
        <v>143</v>
      </c>
      <c r="M128" s="106"/>
      <c r="N128" s="106"/>
      <c r="O128" s="106"/>
      <c r="P128" s="106" t="s">
        <v>684</v>
      </c>
      <c r="Q128" s="13"/>
      <c r="R128" s="13"/>
    </row>
    <row r="129" spans="1:18" s="14" customFormat="1" ht="126" hidden="1">
      <c r="A129" s="106">
        <v>127</v>
      </c>
      <c r="B129" s="107">
        <v>44714</v>
      </c>
      <c r="C129" s="106" t="s">
        <v>682</v>
      </c>
      <c r="D129" s="111" t="s">
        <v>84</v>
      </c>
      <c r="E129" s="111"/>
      <c r="F129" s="110" t="s">
        <v>685</v>
      </c>
      <c r="G129" s="106" t="s">
        <v>686</v>
      </c>
      <c r="H129" s="106" t="s">
        <v>687</v>
      </c>
      <c r="I129" s="107">
        <v>44686</v>
      </c>
      <c r="J129" s="106" t="s">
        <v>134</v>
      </c>
      <c r="K129" s="106" t="s">
        <v>1</v>
      </c>
      <c r="L129" s="112" t="s">
        <v>166</v>
      </c>
      <c r="M129" s="106" t="s">
        <v>132</v>
      </c>
      <c r="N129" s="106"/>
      <c r="O129" s="106"/>
      <c r="P129" s="106" t="s">
        <v>688</v>
      </c>
      <c r="Q129" s="13"/>
      <c r="R129" s="13"/>
    </row>
    <row r="130" spans="1:18" s="14" customFormat="1" ht="94.5" hidden="1">
      <c r="A130" s="106">
        <v>128</v>
      </c>
      <c r="B130" s="107">
        <v>44714</v>
      </c>
      <c r="C130" s="106" t="s">
        <v>682</v>
      </c>
      <c r="D130" s="111" t="s">
        <v>84</v>
      </c>
      <c r="E130" s="111"/>
      <c r="F130" s="110" t="s">
        <v>689</v>
      </c>
      <c r="G130" s="106">
        <v>9175601797</v>
      </c>
      <c r="H130" s="106" t="s">
        <v>690</v>
      </c>
      <c r="I130" s="107">
        <v>44711</v>
      </c>
      <c r="J130" s="106" t="s">
        <v>180</v>
      </c>
      <c r="K130" s="106" t="s">
        <v>1</v>
      </c>
      <c r="L130" s="112" t="s">
        <v>165</v>
      </c>
      <c r="M130" s="106" t="s">
        <v>132</v>
      </c>
      <c r="N130" s="106"/>
      <c r="O130" s="106"/>
      <c r="P130" s="106" t="s">
        <v>691</v>
      </c>
      <c r="Q130" s="13"/>
      <c r="R130" s="13"/>
    </row>
    <row r="131" spans="1:18" s="14" customFormat="1" ht="126" hidden="1">
      <c r="A131" s="106">
        <v>129</v>
      </c>
      <c r="B131" s="107">
        <v>44714</v>
      </c>
      <c r="C131" s="106" t="s">
        <v>682</v>
      </c>
      <c r="D131" s="111" t="s">
        <v>84</v>
      </c>
      <c r="E131" s="111"/>
      <c r="F131" s="110" t="s">
        <v>698</v>
      </c>
      <c r="G131" s="106">
        <v>9854198595</v>
      </c>
      <c r="H131" s="106" t="s">
        <v>117</v>
      </c>
      <c r="I131" s="107">
        <v>44713</v>
      </c>
      <c r="J131" s="106" t="s">
        <v>180</v>
      </c>
      <c r="K131" s="106" t="s">
        <v>125</v>
      </c>
      <c r="L131" s="112" t="s">
        <v>162</v>
      </c>
      <c r="M131" s="106" t="s">
        <v>189</v>
      </c>
      <c r="N131" s="106"/>
      <c r="O131" s="106"/>
      <c r="P131" s="106"/>
      <c r="Q131" s="13"/>
      <c r="R131" s="13"/>
    </row>
    <row r="132" spans="1:18" s="14" customFormat="1" ht="126" hidden="1">
      <c r="A132" s="106">
        <v>130</v>
      </c>
      <c r="B132" s="107">
        <v>44714</v>
      </c>
      <c r="C132" s="106" t="s">
        <v>682</v>
      </c>
      <c r="D132" s="111" t="s">
        <v>84</v>
      </c>
      <c r="E132" s="111"/>
      <c r="F132" s="110" t="s">
        <v>699</v>
      </c>
      <c r="G132" s="106">
        <v>9268762543</v>
      </c>
      <c r="H132" s="106" t="s">
        <v>117</v>
      </c>
      <c r="I132" s="107">
        <v>44713</v>
      </c>
      <c r="J132" s="106" t="s">
        <v>180</v>
      </c>
      <c r="K132" s="106" t="s">
        <v>125</v>
      </c>
      <c r="L132" s="112" t="s">
        <v>162</v>
      </c>
      <c r="M132" s="106" t="s">
        <v>189</v>
      </c>
      <c r="N132" s="106"/>
      <c r="O132" s="106"/>
      <c r="P132" s="106"/>
      <c r="Q132" s="13"/>
      <c r="R132" s="13"/>
    </row>
    <row r="133" spans="1:18" s="14" customFormat="1" ht="94.5" hidden="1">
      <c r="A133" s="106">
        <v>131</v>
      </c>
      <c r="B133" s="107">
        <v>44714</v>
      </c>
      <c r="C133" s="106" t="s">
        <v>705</v>
      </c>
      <c r="D133" s="111" t="s">
        <v>84</v>
      </c>
      <c r="E133" s="111"/>
      <c r="F133" s="110" t="s">
        <v>706</v>
      </c>
      <c r="G133" s="106">
        <v>9060935453</v>
      </c>
      <c r="H133" s="106" t="s">
        <v>707</v>
      </c>
      <c r="I133" s="107">
        <v>44712</v>
      </c>
      <c r="J133" s="106" t="s">
        <v>180</v>
      </c>
      <c r="K133" s="106" t="s">
        <v>111</v>
      </c>
      <c r="L133" s="112" t="s">
        <v>165</v>
      </c>
      <c r="M133" s="106" t="s">
        <v>154</v>
      </c>
      <c r="N133" s="106" t="s">
        <v>114</v>
      </c>
      <c r="O133" s="106"/>
      <c r="P133" s="106"/>
      <c r="Q133" s="13"/>
      <c r="R133" s="13"/>
    </row>
    <row r="134" spans="1:18" s="14" customFormat="1" ht="126" hidden="1">
      <c r="A134" s="106">
        <v>132</v>
      </c>
      <c r="B134" s="107">
        <v>44714</v>
      </c>
      <c r="C134" s="106" t="s">
        <v>705</v>
      </c>
      <c r="D134" s="111" t="s">
        <v>84</v>
      </c>
      <c r="E134" s="111"/>
      <c r="F134" s="110" t="s">
        <v>708</v>
      </c>
      <c r="G134" s="106">
        <v>9154801230</v>
      </c>
      <c r="H134" s="106" t="s">
        <v>519</v>
      </c>
      <c r="I134" s="107">
        <v>44713</v>
      </c>
      <c r="J134" s="106" t="s">
        <v>180</v>
      </c>
      <c r="K134" s="106" t="s">
        <v>125</v>
      </c>
      <c r="L134" s="112" t="s">
        <v>162</v>
      </c>
      <c r="M134" s="106" t="s">
        <v>189</v>
      </c>
      <c r="N134" s="106"/>
      <c r="O134" s="106"/>
      <c r="P134" s="106"/>
      <c r="Q134" s="13"/>
      <c r="R134" s="13"/>
    </row>
    <row r="135" spans="1:18" s="14" customFormat="1" ht="126" hidden="1">
      <c r="A135" s="106">
        <v>133</v>
      </c>
      <c r="B135" s="107">
        <v>44714</v>
      </c>
      <c r="C135" s="106" t="s">
        <v>709</v>
      </c>
      <c r="D135" s="111" t="s">
        <v>84</v>
      </c>
      <c r="E135" s="111"/>
      <c r="F135" s="110" t="s">
        <v>718</v>
      </c>
      <c r="G135" s="106" t="s">
        <v>719</v>
      </c>
      <c r="H135" s="106" t="s">
        <v>720</v>
      </c>
      <c r="I135" s="107">
        <v>44678</v>
      </c>
      <c r="J135" s="106" t="s">
        <v>134</v>
      </c>
      <c r="K135" s="114" t="s">
        <v>125</v>
      </c>
      <c r="L135" s="115" t="s">
        <v>162</v>
      </c>
      <c r="M135" s="106" t="s">
        <v>128</v>
      </c>
      <c r="N135" s="106"/>
      <c r="O135" s="106"/>
      <c r="P135" s="106"/>
      <c r="Q135" s="13"/>
      <c r="R135" s="13"/>
    </row>
    <row r="136" spans="1:18" s="14" customFormat="1" ht="126" hidden="1">
      <c r="A136" s="106">
        <v>134</v>
      </c>
      <c r="B136" s="107">
        <v>44714</v>
      </c>
      <c r="C136" s="106" t="s">
        <v>709</v>
      </c>
      <c r="D136" s="111" t="s">
        <v>84</v>
      </c>
      <c r="E136" s="111"/>
      <c r="F136" s="110" t="s">
        <v>723</v>
      </c>
      <c r="G136" s="106">
        <v>9265245975</v>
      </c>
      <c r="H136" s="106" t="s">
        <v>635</v>
      </c>
      <c r="I136" s="107">
        <v>44713</v>
      </c>
      <c r="J136" s="106" t="s">
        <v>180</v>
      </c>
      <c r="K136" s="106" t="s">
        <v>125</v>
      </c>
      <c r="L136" s="112" t="s">
        <v>162</v>
      </c>
      <c r="M136" s="106" t="s">
        <v>189</v>
      </c>
      <c r="N136" s="106"/>
      <c r="O136" s="106"/>
      <c r="P136" s="106"/>
      <c r="Q136" s="13"/>
      <c r="R136" s="13"/>
    </row>
    <row r="137" spans="1:18" s="14" customFormat="1" ht="78.75" hidden="1">
      <c r="A137" s="106">
        <v>135</v>
      </c>
      <c r="B137" s="107">
        <v>44714</v>
      </c>
      <c r="C137" s="106" t="s">
        <v>737</v>
      </c>
      <c r="D137" s="111" t="s">
        <v>84</v>
      </c>
      <c r="E137" s="111"/>
      <c r="F137" s="105" t="s">
        <v>750</v>
      </c>
      <c r="G137" s="106" t="s">
        <v>751</v>
      </c>
      <c r="H137" s="106"/>
      <c r="I137" s="106"/>
      <c r="J137" s="106" t="s">
        <v>180</v>
      </c>
      <c r="K137" s="106" t="s">
        <v>113</v>
      </c>
      <c r="L137" s="112" t="str">
        <f ca="1">IFERROR(_xlfn.IFNA(VLOOKUP($K137,[45]коммент!$B:$C,2,0),""),"")</f>
        <v/>
      </c>
      <c r="M137" s="106"/>
      <c r="N137" s="106"/>
      <c r="O137" s="106"/>
      <c r="P137" s="106" t="s">
        <v>752</v>
      </c>
      <c r="Q137" s="13"/>
      <c r="R137" s="13"/>
    </row>
    <row r="138" spans="1:18" s="14" customFormat="1" ht="63" hidden="1">
      <c r="A138" s="106">
        <v>136</v>
      </c>
      <c r="B138" s="107">
        <v>44714</v>
      </c>
      <c r="C138" s="106" t="s">
        <v>737</v>
      </c>
      <c r="D138" s="111" t="s">
        <v>84</v>
      </c>
      <c r="E138" s="111"/>
      <c r="F138" s="105" t="s">
        <v>753</v>
      </c>
      <c r="G138" s="106" t="s">
        <v>754</v>
      </c>
      <c r="H138" s="106"/>
      <c r="I138" s="106"/>
      <c r="J138" s="106" t="s">
        <v>180</v>
      </c>
      <c r="K138" s="106" t="s">
        <v>113</v>
      </c>
      <c r="L138" s="112" t="str">
        <f ca="1">IFERROR(_xlfn.IFNA(VLOOKUP($K138,[45]коммент!$B:$C,2,0),""),"")</f>
        <v/>
      </c>
      <c r="M138" s="106"/>
      <c r="N138" s="106"/>
      <c r="O138" s="106"/>
      <c r="P138" s="106" t="s">
        <v>755</v>
      </c>
      <c r="Q138" s="13"/>
      <c r="R138" s="13"/>
    </row>
    <row r="139" spans="1:18" s="14" customFormat="1" ht="31.5" hidden="1">
      <c r="A139" s="106">
        <v>137</v>
      </c>
      <c r="B139" s="107">
        <v>44714</v>
      </c>
      <c r="C139" s="106" t="s">
        <v>737</v>
      </c>
      <c r="D139" s="111" t="s">
        <v>84</v>
      </c>
      <c r="E139" s="111"/>
      <c r="F139" s="105" t="s">
        <v>762</v>
      </c>
      <c r="G139" s="106" t="s">
        <v>763</v>
      </c>
      <c r="H139" s="106"/>
      <c r="I139" s="106"/>
      <c r="J139" s="106" t="s">
        <v>180</v>
      </c>
      <c r="K139" s="106" t="s">
        <v>125</v>
      </c>
      <c r="L139" s="112" t="str">
        <f ca="1">IFERROR(_xlfn.IFNA(VLOOKUP($K139,[45]коммент!$B:$C,2,0),""),"")</f>
        <v/>
      </c>
      <c r="M139" s="106" t="s">
        <v>189</v>
      </c>
      <c r="N139" s="106"/>
      <c r="O139" s="106"/>
      <c r="P139" s="106" t="s">
        <v>764</v>
      </c>
      <c r="Q139" s="13"/>
      <c r="R139" s="13"/>
    </row>
    <row r="140" spans="1:18" s="14" customFormat="1" ht="31.5" hidden="1">
      <c r="A140" s="106">
        <v>138</v>
      </c>
      <c r="B140" s="107">
        <v>44714</v>
      </c>
      <c r="C140" s="106" t="s">
        <v>737</v>
      </c>
      <c r="D140" s="111" t="s">
        <v>84</v>
      </c>
      <c r="E140" s="111"/>
      <c r="F140" s="105" t="s">
        <v>765</v>
      </c>
      <c r="G140" s="106" t="s">
        <v>766</v>
      </c>
      <c r="H140" s="106"/>
      <c r="I140" s="106"/>
      <c r="J140" s="106" t="s">
        <v>180</v>
      </c>
      <c r="K140" s="106" t="s">
        <v>125</v>
      </c>
      <c r="L140" s="112" t="str">
        <f ca="1">IFERROR(_xlfn.IFNA(VLOOKUP($K140,[45]коммент!$B:$C,2,0),""),"")</f>
        <v/>
      </c>
      <c r="M140" s="106" t="s">
        <v>189</v>
      </c>
      <c r="N140" s="106"/>
      <c r="O140" s="106"/>
      <c r="P140" s="106" t="s">
        <v>764</v>
      </c>
      <c r="Q140" s="13"/>
      <c r="R140" s="13"/>
    </row>
    <row r="141" spans="1:18" s="14" customFormat="1" hidden="1">
      <c r="A141" s="106">
        <v>139</v>
      </c>
      <c r="B141" s="107">
        <v>44714</v>
      </c>
      <c r="C141" s="106" t="s">
        <v>770</v>
      </c>
      <c r="D141" s="111" t="s">
        <v>84</v>
      </c>
      <c r="E141" s="111"/>
      <c r="F141" s="110" t="s">
        <v>784</v>
      </c>
      <c r="G141" s="106" t="s">
        <v>785</v>
      </c>
      <c r="H141" s="106" t="s">
        <v>635</v>
      </c>
      <c r="I141" s="107">
        <v>44713</v>
      </c>
      <c r="J141" s="106" t="s">
        <v>134</v>
      </c>
      <c r="K141" s="106" t="s">
        <v>125</v>
      </c>
      <c r="L141" s="112" t="str">
        <f ca="1">IFERROR(_xlfn.IFNA(VLOOKUP($K141,[46]коммент!$B:$C,2,0),""),"")</f>
        <v/>
      </c>
      <c r="M141" s="106" t="s">
        <v>189</v>
      </c>
      <c r="N141" s="106"/>
      <c r="O141" s="106"/>
      <c r="P141" s="106"/>
      <c r="Q141" s="13"/>
      <c r="R141" s="13"/>
    </row>
    <row r="142" spans="1:18" s="14" customFormat="1" ht="31.5" hidden="1">
      <c r="A142" s="106">
        <v>140</v>
      </c>
      <c r="B142" s="107">
        <v>44714</v>
      </c>
      <c r="C142" s="106" t="s">
        <v>770</v>
      </c>
      <c r="D142" s="111" t="s">
        <v>84</v>
      </c>
      <c r="E142" s="111"/>
      <c r="F142" s="110" t="s">
        <v>786</v>
      </c>
      <c r="G142" s="106" t="s">
        <v>787</v>
      </c>
      <c r="H142" s="106" t="s">
        <v>635</v>
      </c>
      <c r="I142" s="107">
        <v>44713</v>
      </c>
      <c r="J142" s="106" t="s">
        <v>180</v>
      </c>
      <c r="K142" s="106" t="s">
        <v>125</v>
      </c>
      <c r="L142" s="112" t="str">
        <f ca="1">IFERROR(_xlfn.IFNA(VLOOKUP($K142,[46]коммент!$B:$C,2,0),""),"")</f>
        <v/>
      </c>
      <c r="M142" s="106" t="s">
        <v>189</v>
      </c>
      <c r="N142" s="106"/>
      <c r="O142" s="106"/>
      <c r="P142" s="106"/>
      <c r="Q142" s="13"/>
      <c r="R142" s="13"/>
    </row>
    <row r="143" spans="1:18" s="14" customFormat="1" ht="31.5" hidden="1">
      <c r="A143" s="106">
        <v>141</v>
      </c>
      <c r="B143" s="107">
        <v>44714</v>
      </c>
      <c r="C143" s="106" t="s">
        <v>770</v>
      </c>
      <c r="D143" s="111" t="s">
        <v>84</v>
      </c>
      <c r="E143" s="111"/>
      <c r="F143" s="110" t="s">
        <v>788</v>
      </c>
      <c r="G143" s="106" t="s">
        <v>789</v>
      </c>
      <c r="H143" s="106" t="s">
        <v>635</v>
      </c>
      <c r="I143" s="107">
        <v>44713</v>
      </c>
      <c r="J143" s="106" t="s">
        <v>134</v>
      </c>
      <c r="K143" s="106" t="s">
        <v>125</v>
      </c>
      <c r="L143" s="112" t="str">
        <f ca="1">IFERROR(_xlfn.IFNA(VLOOKUP($K143,[46]коммент!$B:$C,2,0),""),"")</f>
        <v/>
      </c>
      <c r="M143" s="106" t="s">
        <v>189</v>
      </c>
      <c r="N143" s="106"/>
      <c r="O143" s="106"/>
      <c r="P143" s="106"/>
      <c r="Q143" s="13"/>
      <c r="R143" s="13"/>
    </row>
    <row r="144" spans="1:18" s="14" customFormat="1" hidden="1">
      <c r="A144" s="106">
        <v>142</v>
      </c>
      <c r="B144" s="107">
        <v>44714</v>
      </c>
      <c r="C144" s="106" t="s">
        <v>790</v>
      </c>
      <c r="D144" s="111" t="s">
        <v>84</v>
      </c>
      <c r="E144" s="111"/>
      <c r="F144" s="110" t="s">
        <v>791</v>
      </c>
      <c r="G144" s="106">
        <v>9136833599</v>
      </c>
      <c r="H144" s="119" t="s">
        <v>792</v>
      </c>
      <c r="I144" s="118">
        <v>44712</v>
      </c>
      <c r="J144" s="119" t="s">
        <v>180</v>
      </c>
      <c r="K144" s="119" t="s">
        <v>125</v>
      </c>
      <c r="L144" s="135" t="str">
        <f ca="1">IFERROR(_xlfn.IFNA(VLOOKUP($K144,[47]коммент!$B:$C,2,0),""),"")</f>
        <v/>
      </c>
      <c r="M144" s="106" t="s">
        <v>189</v>
      </c>
      <c r="N144" s="106"/>
      <c r="O144" s="106"/>
      <c r="P144" s="106"/>
      <c r="Q144" s="13"/>
      <c r="R144" s="13"/>
    </row>
    <row r="145" spans="1:18" s="14" customFormat="1" hidden="1">
      <c r="A145" s="106">
        <v>143</v>
      </c>
      <c r="B145" s="107">
        <v>44714</v>
      </c>
      <c r="C145" s="106" t="s">
        <v>790</v>
      </c>
      <c r="D145" s="111" t="s">
        <v>84</v>
      </c>
      <c r="E145" s="111"/>
      <c r="F145" s="110" t="s">
        <v>793</v>
      </c>
      <c r="G145" s="106">
        <v>9035516219</v>
      </c>
      <c r="H145" s="119" t="s">
        <v>792</v>
      </c>
      <c r="I145" s="118">
        <v>44711</v>
      </c>
      <c r="J145" s="114" t="s">
        <v>180</v>
      </c>
      <c r="K145" s="114" t="s">
        <v>125</v>
      </c>
      <c r="L145" s="115" t="str">
        <f ca="1">IFERROR(_xlfn.IFNA(VLOOKUP($K145,[48]коммент!$B:$C,2,0),""),"")</f>
        <v/>
      </c>
      <c r="M145" s="106" t="s">
        <v>189</v>
      </c>
      <c r="N145" s="106"/>
      <c r="O145" s="106"/>
      <c r="P145" s="106"/>
      <c r="Q145" s="13"/>
      <c r="R145" s="13"/>
    </row>
    <row r="146" spans="1:18" s="14" customFormat="1" hidden="1">
      <c r="A146" s="106">
        <v>144</v>
      </c>
      <c r="B146" s="107">
        <v>44714</v>
      </c>
      <c r="C146" s="106" t="s">
        <v>790</v>
      </c>
      <c r="D146" s="111" t="s">
        <v>84</v>
      </c>
      <c r="E146" s="111"/>
      <c r="F146" s="120" t="s">
        <v>794</v>
      </c>
      <c r="G146" s="119">
        <v>9773882069</v>
      </c>
      <c r="H146" s="118" t="s">
        <v>792</v>
      </c>
      <c r="I146" s="118">
        <v>44711</v>
      </c>
      <c r="J146" s="114" t="s">
        <v>180</v>
      </c>
      <c r="K146" s="114" t="s">
        <v>125</v>
      </c>
      <c r="L146" s="115" t="str">
        <f ca="1">IFERROR(_xlfn.IFNA(VLOOKUP($K146,[48]коммент!$B:$C,2,0),""),"")</f>
        <v/>
      </c>
      <c r="M146" s="119" t="s">
        <v>189</v>
      </c>
      <c r="N146" s="106"/>
      <c r="O146" s="106"/>
      <c r="P146" s="106"/>
      <c r="Q146" s="13"/>
      <c r="R146" s="13"/>
    </row>
    <row r="147" spans="1:18" s="14" customFormat="1" hidden="1">
      <c r="A147" s="106">
        <v>145</v>
      </c>
      <c r="B147" s="107">
        <v>44714</v>
      </c>
      <c r="C147" s="106" t="s">
        <v>790</v>
      </c>
      <c r="D147" s="111" t="s">
        <v>84</v>
      </c>
      <c r="E147" s="111"/>
      <c r="F147" s="110" t="s">
        <v>795</v>
      </c>
      <c r="G147" s="106">
        <v>9127236439</v>
      </c>
      <c r="H147" s="119" t="s">
        <v>792</v>
      </c>
      <c r="I147" s="118" t="s">
        <v>796</v>
      </c>
      <c r="J147" s="119" t="s">
        <v>179</v>
      </c>
      <c r="K147" s="119" t="s">
        <v>125</v>
      </c>
      <c r="L147" s="135" t="str">
        <f ca="1">IFERROR(_xlfn.IFNA(VLOOKUP($K147,[49]коммент!$B:$C,2,0),""),"")</f>
        <v/>
      </c>
      <c r="M147" s="119" t="s">
        <v>189</v>
      </c>
      <c r="N147" s="106"/>
      <c r="O147" s="106"/>
      <c r="P147" s="106" t="s">
        <v>797</v>
      </c>
      <c r="Q147" s="13"/>
      <c r="R147" s="13"/>
    </row>
    <row r="148" spans="1:18" s="14" customFormat="1" ht="31.5" hidden="1">
      <c r="A148" s="106">
        <v>146</v>
      </c>
      <c r="B148" s="107">
        <v>44714</v>
      </c>
      <c r="C148" s="106" t="s">
        <v>790</v>
      </c>
      <c r="D148" s="111" t="s">
        <v>84</v>
      </c>
      <c r="E148" s="111"/>
      <c r="F148" s="120" t="s">
        <v>801</v>
      </c>
      <c r="G148" s="119" t="s">
        <v>802</v>
      </c>
      <c r="H148" s="118" t="s">
        <v>792</v>
      </c>
      <c r="I148" s="118">
        <v>44713</v>
      </c>
      <c r="J148" s="119" t="s">
        <v>179</v>
      </c>
      <c r="K148" s="119" t="s">
        <v>125</v>
      </c>
      <c r="L148" s="135" t="str">
        <f ca="1">IFERROR(_xlfn.IFNA(VLOOKUP($K148,[49]коммент!$B:$C,2,0),""),"")</f>
        <v/>
      </c>
      <c r="M148" s="119" t="s">
        <v>189</v>
      </c>
      <c r="N148" s="106"/>
      <c r="O148" s="106"/>
      <c r="P148" s="106"/>
      <c r="Q148" s="13"/>
      <c r="R148" s="13"/>
    </row>
    <row r="149" spans="1:18" s="14" customFormat="1" hidden="1">
      <c r="A149" s="106">
        <v>147</v>
      </c>
      <c r="B149" s="107">
        <v>44714</v>
      </c>
      <c r="C149" s="106" t="s">
        <v>790</v>
      </c>
      <c r="D149" s="111" t="s">
        <v>84</v>
      </c>
      <c r="E149" s="111"/>
      <c r="F149" s="120" t="s">
        <v>803</v>
      </c>
      <c r="G149" s="119">
        <v>9264492275</v>
      </c>
      <c r="H149" s="118" t="s">
        <v>792</v>
      </c>
      <c r="I149" s="118">
        <v>44713</v>
      </c>
      <c r="J149" s="119" t="s">
        <v>180</v>
      </c>
      <c r="K149" s="119" t="s">
        <v>125</v>
      </c>
      <c r="L149" s="135" t="str">
        <f ca="1">IFERROR(_xlfn.IFNA(VLOOKUP($K149,[49]коммент!$B:$C,2,0),""),"")</f>
        <v/>
      </c>
      <c r="M149" s="119" t="s">
        <v>189</v>
      </c>
      <c r="N149" s="106"/>
      <c r="O149" s="106"/>
      <c r="P149" s="106"/>
      <c r="Q149" s="13"/>
      <c r="R149" s="13"/>
    </row>
    <row r="150" spans="1:18" s="14" customFormat="1" ht="31.5" hidden="1">
      <c r="A150" s="106">
        <v>148</v>
      </c>
      <c r="B150" s="107">
        <v>44714</v>
      </c>
      <c r="C150" s="106" t="s">
        <v>790</v>
      </c>
      <c r="D150" s="111" t="s">
        <v>84</v>
      </c>
      <c r="E150" s="111"/>
      <c r="F150" s="120" t="s">
        <v>807</v>
      </c>
      <c r="G150" s="119" t="s">
        <v>808</v>
      </c>
      <c r="H150" s="106" t="s">
        <v>499</v>
      </c>
      <c r="I150" s="118">
        <v>44685</v>
      </c>
      <c r="J150" s="114" t="s">
        <v>180</v>
      </c>
      <c r="K150" s="114" t="s">
        <v>125</v>
      </c>
      <c r="L150" s="115" t="str">
        <f ca="1">IFERROR(_xlfn.IFNA(VLOOKUP($K150,[50]коммент!$B:$C,2,0),""),"")</f>
        <v/>
      </c>
      <c r="M150" s="119" t="s">
        <v>128</v>
      </c>
      <c r="N150" s="106"/>
      <c r="O150" s="106"/>
      <c r="P150" s="106"/>
      <c r="Q150" s="13"/>
      <c r="R150" s="13"/>
    </row>
    <row r="151" spans="1:18" s="14" customFormat="1" hidden="1">
      <c r="A151" s="106">
        <v>149</v>
      </c>
      <c r="B151" s="107">
        <v>44714</v>
      </c>
      <c r="C151" s="106" t="s">
        <v>790</v>
      </c>
      <c r="D151" s="111" t="s">
        <v>84</v>
      </c>
      <c r="E151" s="111"/>
      <c r="F151" s="110" t="s">
        <v>810</v>
      </c>
      <c r="G151" s="106">
        <v>9153294864</v>
      </c>
      <c r="H151" s="106" t="s">
        <v>368</v>
      </c>
      <c r="I151" s="118">
        <v>44672</v>
      </c>
      <c r="J151" s="114" t="s">
        <v>134</v>
      </c>
      <c r="K151" s="114" t="s">
        <v>125</v>
      </c>
      <c r="L151" s="115" t="str">
        <f ca="1">IFERROR(_xlfn.IFNA(VLOOKUP($K151,[50]коммент!$B:$C,2,0),""),"")</f>
        <v/>
      </c>
      <c r="M151" s="106" t="s">
        <v>126</v>
      </c>
      <c r="N151" s="106"/>
      <c r="O151" s="106"/>
      <c r="P151" s="106"/>
      <c r="Q151" s="13"/>
      <c r="R151" s="13"/>
    </row>
    <row r="152" spans="1:18" s="14" customFormat="1" hidden="1">
      <c r="A152" s="106">
        <v>150</v>
      </c>
      <c r="B152" s="107">
        <v>44714</v>
      </c>
      <c r="C152" s="106" t="s">
        <v>817</v>
      </c>
      <c r="D152" s="111" t="s">
        <v>84</v>
      </c>
      <c r="E152" s="111"/>
      <c r="F152" s="110" t="s">
        <v>832</v>
      </c>
      <c r="G152" s="106">
        <v>9153313060</v>
      </c>
      <c r="H152" s="106" t="s">
        <v>833</v>
      </c>
      <c r="I152" s="107">
        <v>44706</v>
      </c>
      <c r="J152" s="106" t="s">
        <v>134</v>
      </c>
      <c r="K152" s="106" t="s">
        <v>111</v>
      </c>
      <c r="L152" s="112" t="str">
        <f ca="1">IFERROR(_xlfn.IFNA(VLOOKUP($K152,[51]коммент!$B:$C,2,0),""),"")</f>
        <v/>
      </c>
      <c r="M152" s="106" t="s">
        <v>154</v>
      </c>
      <c r="N152" s="106"/>
      <c r="O152" s="106"/>
      <c r="P152" s="106"/>
      <c r="Q152" s="13"/>
      <c r="R152" s="13"/>
    </row>
    <row r="153" spans="1:18" s="14" customFormat="1" ht="31.5" hidden="1">
      <c r="A153" s="106">
        <v>151</v>
      </c>
      <c r="B153" s="107">
        <v>44714</v>
      </c>
      <c r="C153" s="106" t="s">
        <v>817</v>
      </c>
      <c r="D153" s="111" t="s">
        <v>84</v>
      </c>
      <c r="E153" s="111"/>
      <c r="F153" s="123" t="s">
        <v>834</v>
      </c>
      <c r="G153" s="121" t="s">
        <v>835</v>
      </c>
      <c r="H153" s="121" t="s">
        <v>635</v>
      </c>
      <c r="I153" s="121" t="s">
        <v>836</v>
      </c>
      <c r="J153" s="121" t="s">
        <v>180</v>
      </c>
      <c r="K153" s="121" t="s">
        <v>125</v>
      </c>
      <c r="L153" s="124" t="str">
        <f ca="1">IFERROR(_xlfn.IFNA(VLOOKUP($K153,[52]коммент!$B:$C,2,0),""),"")</f>
        <v/>
      </c>
      <c r="M153" s="106" t="s">
        <v>189</v>
      </c>
      <c r="N153" s="106"/>
      <c r="O153" s="106"/>
      <c r="P153" s="106" t="s">
        <v>837</v>
      </c>
      <c r="Q153" s="13"/>
      <c r="R153" s="13"/>
    </row>
    <row r="154" spans="1:18" s="14" customFormat="1" ht="126" hidden="1">
      <c r="A154" s="106">
        <v>152</v>
      </c>
      <c r="B154" s="107">
        <v>44714</v>
      </c>
      <c r="C154" s="106" t="s">
        <v>839</v>
      </c>
      <c r="D154" s="111" t="s">
        <v>84</v>
      </c>
      <c r="E154" s="111"/>
      <c r="F154" s="110" t="s">
        <v>840</v>
      </c>
      <c r="G154" s="106" t="s">
        <v>841</v>
      </c>
      <c r="H154" s="106" t="s">
        <v>368</v>
      </c>
      <c r="I154" s="107">
        <v>44672</v>
      </c>
      <c r="J154" s="106" t="s">
        <v>134</v>
      </c>
      <c r="K154" s="125" t="s">
        <v>125</v>
      </c>
      <c r="L154" s="126" t="s">
        <v>162</v>
      </c>
      <c r="M154" s="106" t="s">
        <v>126</v>
      </c>
      <c r="N154" s="106"/>
      <c r="O154" s="106"/>
      <c r="P154" s="106" t="s">
        <v>842</v>
      </c>
      <c r="Q154" s="13"/>
      <c r="R154" s="13"/>
    </row>
    <row r="155" spans="1:18" s="14" customFormat="1" ht="94.5" hidden="1">
      <c r="A155" s="106">
        <v>153</v>
      </c>
      <c r="B155" s="107">
        <v>44714</v>
      </c>
      <c r="C155" s="106" t="s">
        <v>839</v>
      </c>
      <c r="D155" s="111" t="s">
        <v>84</v>
      </c>
      <c r="E155" s="111"/>
      <c r="F155" s="110" t="s">
        <v>843</v>
      </c>
      <c r="G155" s="106" t="s">
        <v>844</v>
      </c>
      <c r="H155" s="106" t="s">
        <v>845</v>
      </c>
      <c r="I155" s="107">
        <v>44706</v>
      </c>
      <c r="J155" s="106" t="s">
        <v>134</v>
      </c>
      <c r="K155" s="125" t="s">
        <v>111</v>
      </c>
      <c r="L155" s="126" t="s">
        <v>165</v>
      </c>
      <c r="M155" s="106" t="s">
        <v>154</v>
      </c>
      <c r="N155" s="106" t="s">
        <v>114</v>
      </c>
      <c r="O155" s="106"/>
      <c r="P155" s="106"/>
      <c r="Q155" s="13"/>
      <c r="R155" s="13"/>
    </row>
    <row r="156" spans="1:18" s="14" customFormat="1" ht="47.25" hidden="1">
      <c r="A156" s="106">
        <v>154</v>
      </c>
      <c r="B156" s="107">
        <v>44714</v>
      </c>
      <c r="C156" s="106" t="s">
        <v>839</v>
      </c>
      <c r="D156" s="111" t="s">
        <v>84</v>
      </c>
      <c r="E156" s="111"/>
      <c r="F156" s="110" t="s">
        <v>856</v>
      </c>
      <c r="G156" s="106" t="s">
        <v>857</v>
      </c>
      <c r="H156" s="106" t="s">
        <v>858</v>
      </c>
      <c r="I156" s="107">
        <v>15237</v>
      </c>
      <c r="J156" s="106" t="s">
        <v>180</v>
      </c>
      <c r="K156" s="106" t="s">
        <v>125</v>
      </c>
      <c r="L156" s="112" t="str">
        <f ca="1">IFERROR(_xlfn.IFNA(VLOOKUP($K156,[53]коммент!$B:$C,2,0),""),"")</f>
        <v/>
      </c>
      <c r="M156" s="106" t="s">
        <v>189</v>
      </c>
      <c r="N156" s="106"/>
      <c r="O156" s="106"/>
      <c r="P156" s="106" t="s">
        <v>859</v>
      </c>
      <c r="Q156" s="13"/>
      <c r="R156" s="13"/>
    </row>
    <row r="157" spans="1:18" s="14" customFormat="1" hidden="1">
      <c r="A157" s="106">
        <v>155</v>
      </c>
      <c r="B157" s="107">
        <v>44714</v>
      </c>
      <c r="C157" s="106" t="s">
        <v>1188</v>
      </c>
      <c r="D157" s="111" t="s">
        <v>84</v>
      </c>
      <c r="E157" s="111"/>
      <c r="F157" s="110" t="s">
        <v>1199</v>
      </c>
      <c r="G157" s="106" t="s">
        <v>1200</v>
      </c>
      <c r="H157" s="106" t="s">
        <v>481</v>
      </c>
      <c r="I157" s="107">
        <v>44703</v>
      </c>
      <c r="J157" s="106" t="s">
        <v>180</v>
      </c>
      <c r="K157" s="106" t="s">
        <v>125</v>
      </c>
      <c r="L157" s="112" t="str">
        <f ca="1">IFERROR(_xlfn.IFNA(VLOOKUP($K157,[54]коммент!$B:$C,2,0),""),"")</f>
        <v/>
      </c>
      <c r="M157" s="106" t="s">
        <v>189</v>
      </c>
      <c r="N157" s="106"/>
      <c r="O157" s="106"/>
      <c r="P157" s="106" t="s">
        <v>1201</v>
      </c>
      <c r="Q157" s="13"/>
      <c r="R157" s="13"/>
    </row>
    <row r="158" spans="1:18" s="14" customFormat="1" ht="47.25" hidden="1">
      <c r="A158" s="106">
        <v>156</v>
      </c>
      <c r="B158" s="107">
        <v>44714</v>
      </c>
      <c r="C158" s="106" t="s">
        <v>1285</v>
      </c>
      <c r="D158" s="111" t="s">
        <v>84</v>
      </c>
      <c r="E158" s="111"/>
      <c r="F158" s="109" t="s">
        <v>1291</v>
      </c>
      <c r="G158" s="106">
        <v>9059746039</v>
      </c>
      <c r="H158" s="106" t="s">
        <v>639</v>
      </c>
      <c r="I158" s="107">
        <v>44704</v>
      </c>
      <c r="J158" s="106" t="s">
        <v>180</v>
      </c>
      <c r="K158" s="106" t="s">
        <v>36</v>
      </c>
      <c r="L158" s="112" t="s">
        <v>157</v>
      </c>
      <c r="M158" s="106"/>
      <c r="N158" s="106"/>
      <c r="O158" s="106"/>
      <c r="P158" s="106" t="s">
        <v>1368</v>
      </c>
      <c r="Q158" s="13"/>
      <c r="R158" s="13"/>
    </row>
    <row r="159" spans="1:18" s="14" customFormat="1" ht="31.5" hidden="1">
      <c r="A159" s="106">
        <v>157</v>
      </c>
      <c r="B159" s="107">
        <v>44714</v>
      </c>
      <c r="C159" s="106" t="s">
        <v>1298</v>
      </c>
      <c r="D159" s="111" t="s">
        <v>84</v>
      </c>
      <c r="E159" s="111"/>
      <c r="F159" s="110" t="s">
        <v>1300</v>
      </c>
      <c r="G159" s="106" t="s">
        <v>1301</v>
      </c>
      <c r="H159" s="106"/>
      <c r="I159" s="107">
        <v>44713</v>
      </c>
      <c r="J159" s="106" t="s">
        <v>179</v>
      </c>
      <c r="K159" s="106" t="s">
        <v>175</v>
      </c>
      <c r="L159" s="112" t="str">
        <f ca="1">IFERROR(_xlfn.IFNA(VLOOKUP($K159,[55]коммент!$B:$C,2,0),""),"")</f>
        <v/>
      </c>
      <c r="M159" s="106"/>
      <c r="N159" s="106"/>
      <c r="O159" s="106"/>
      <c r="P159" s="106" t="s">
        <v>1302</v>
      </c>
      <c r="Q159" s="13"/>
      <c r="R159" s="13"/>
    </row>
    <row r="160" spans="1:18" s="14" customFormat="1" ht="31.5" hidden="1">
      <c r="A160" s="106">
        <v>158</v>
      </c>
      <c r="B160" s="107">
        <v>44714</v>
      </c>
      <c r="C160" s="106" t="s">
        <v>250</v>
      </c>
      <c r="D160" s="111" t="s">
        <v>38</v>
      </c>
      <c r="E160" s="111"/>
      <c r="F160" s="109" t="s">
        <v>254</v>
      </c>
      <c r="G160" s="106">
        <v>9031437642</v>
      </c>
      <c r="H160" s="106" t="s">
        <v>255</v>
      </c>
      <c r="I160" s="107">
        <v>44704</v>
      </c>
      <c r="J160" s="106" t="s">
        <v>180</v>
      </c>
      <c r="K160" s="106" t="s">
        <v>125</v>
      </c>
      <c r="L160" s="112" t="str">
        <f ca="1">IFERROR(_xlfn.IFNA(VLOOKUP($K160,[37]коммент!$B:$C,2,0),""),"")</f>
        <v/>
      </c>
      <c r="M160" s="106" t="s">
        <v>128</v>
      </c>
      <c r="N160" s="106"/>
      <c r="O160" s="106"/>
      <c r="P160" s="106"/>
      <c r="Q160" s="13"/>
      <c r="R160" s="13"/>
    </row>
    <row r="161" spans="1:18" s="14" customFormat="1" ht="31.5" hidden="1">
      <c r="A161" s="106">
        <v>159</v>
      </c>
      <c r="B161" s="107">
        <v>44714</v>
      </c>
      <c r="C161" s="106" t="s">
        <v>270</v>
      </c>
      <c r="D161" s="111" t="s">
        <v>38</v>
      </c>
      <c r="E161" s="111"/>
      <c r="F161" s="110" t="s">
        <v>275</v>
      </c>
      <c r="G161" s="106">
        <v>9032622424</v>
      </c>
      <c r="H161" s="106" t="s">
        <v>276</v>
      </c>
      <c r="I161" s="107">
        <v>44707</v>
      </c>
      <c r="J161" s="106" t="s">
        <v>180</v>
      </c>
      <c r="K161" s="106" t="s">
        <v>1</v>
      </c>
      <c r="L161" s="112" t="str">
        <f ca="1">IFERROR(_xlfn.IFNA(VLOOKUP($K161,[56]коммент!$B:$C,2,0),""),"")</f>
        <v/>
      </c>
      <c r="M161" s="106" t="s">
        <v>133</v>
      </c>
      <c r="N161" s="106"/>
      <c r="O161" s="106"/>
      <c r="P161" s="106"/>
      <c r="Q161" s="13"/>
      <c r="R161" s="13"/>
    </row>
    <row r="162" spans="1:18" s="14" customFormat="1" ht="31.5" hidden="1">
      <c r="A162" s="106">
        <v>160</v>
      </c>
      <c r="B162" s="107">
        <v>44714</v>
      </c>
      <c r="C162" s="106" t="s">
        <v>270</v>
      </c>
      <c r="D162" s="111" t="s">
        <v>38</v>
      </c>
      <c r="E162" s="111"/>
      <c r="F162" s="110" t="s">
        <v>277</v>
      </c>
      <c r="G162" s="106">
        <v>9165930967</v>
      </c>
      <c r="H162" s="106" t="s">
        <v>278</v>
      </c>
      <c r="I162" s="107">
        <v>44707</v>
      </c>
      <c r="J162" s="106" t="s">
        <v>180</v>
      </c>
      <c r="K162" s="106" t="s">
        <v>1</v>
      </c>
      <c r="L162" s="112" t="str">
        <f ca="1">IFERROR(_xlfn.IFNA(VLOOKUP($K162,[56]коммент!$B:$C,2,0),""),"")</f>
        <v/>
      </c>
      <c r="M162" s="106" t="s">
        <v>152</v>
      </c>
      <c r="N162" s="106"/>
      <c r="O162" s="106"/>
      <c r="P162" s="106"/>
      <c r="Q162" s="13"/>
      <c r="R162" s="13"/>
    </row>
    <row r="163" spans="1:18" s="14" customFormat="1" ht="31.5" hidden="1">
      <c r="A163" s="106">
        <v>161</v>
      </c>
      <c r="B163" s="107">
        <v>44714</v>
      </c>
      <c r="C163" s="106" t="s">
        <v>270</v>
      </c>
      <c r="D163" s="111" t="s">
        <v>38</v>
      </c>
      <c r="E163" s="111"/>
      <c r="F163" s="110" t="s">
        <v>280</v>
      </c>
      <c r="G163" s="106">
        <v>9689172951</v>
      </c>
      <c r="H163" s="106" t="s">
        <v>281</v>
      </c>
      <c r="I163" s="107">
        <v>44708</v>
      </c>
      <c r="J163" s="106" t="s">
        <v>180</v>
      </c>
      <c r="K163" s="106" t="s">
        <v>111</v>
      </c>
      <c r="L163" s="112" t="str">
        <f ca="1">IFERROR(_xlfn.IFNA(VLOOKUP($K163,[56]коммент!$B:$C,2,0),""),"")</f>
        <v/>
      </c>
      <c r="M163" s="106" t="s">
        <v>154</v>
      </c>
      <c r="N163" s="106" t="s">
        <v>114</v>
      </c>
      <c r="O163" s="106"/>
      <c r="P163" s="106"/>
      <c r="Q163" s="13"/>
      <c r="R163" s="13"/>
    </row>
    <row r="164" spans="1:18" s="14" customFormat="1" ht="31.5" hidden="1">
      <c r="A164" s="106">
        <v>162</v>
      </c>
      <c r="B164" s="107">
        <v>44714</v>
      </c>
      <c r="C164" s="106" t="s">
        <v>290</v>
      </c>
      <c r="D164" s="111" t="s">
        <v>38</v>
      </c>
      <c r="E164" s="111"/>
      <c r="F164" s="110" t="s">
        <v>300</v>
      </c>
      <c r="G164" s="106">
        <v>89629601109</v>
      </c>
      <c r="H164" s="106" t="s">
        <v>298</v>
      </c>
      <c r="I164" s="107">
        <v>44712</v>
      </c>
      <c r="J164" s="106" t="s">
        <v>180</v>
      </c>
      <c r="K164" s="106" t="s">
        <v>1</v>
      </c>
      <c r="L164" s="112" t="str">
        <f ca="1">IFERROR(_xlfn.IFNA(VLOOKUP($K164,[57]коммент!$B:$C,2,0),""),"")</f>
        <v/>
      </c>
      <c r="M164" s="106" t="s">
        <v>134</v>
      </c>
      <c r="N164" s="106"/>
      <c r="O164" s="106"/>
      <c r="P164" s="106"/>
      <c r="Q164" s="13"/>
      <c r="R164" s="13"/>
    </row>
    <row r="165" spans="1:18" s="14" customFormat="1" ht="31.5" hidden="1">
      <c r="A165" s="106">
        <v>163</v>
      </c>
      <c r="B165" s="107">
        <v>44714</v>
      </c>
      <c r="C165" s="106" t="s">
        <v>305</v>
      </c>
      <c r="D165" s="111" t="s">
        <v>38</v>
      </c>
      <c r="E165" s="111"/>
      <c r="F165" s="110" t="s">
        <v>317</v>
      </c>
      <c r="G165" s="106">
        <v>9266005361</v>
      </c>
      <c r="H165" s="106" t="s">
        <v>318</v>
      </c>
      <c r="I165" s="107">
        <v>44713</v>
      </c>
      <c r="J165" s="106" t="s">
        <v>179</v>
      </c>
      <c r="K165" s="106" t="s">
        <v>125</v>
      </c>
      <c r="L165" s="112" t="str">
        <f ca="1">IFERROR(_xlfn.IFNA(VLOOKUP($K165,[23]коммент!$B:$C,2,0),""),"")</f>
        <v/>
      </c>
      <c r="M165" s="106" t="s">
        <v>188</v>
      </c>
      <c r="N165" s="106"/>
      <c r="O165" s="106"/>
      <c r="P165" s="106" t="s">
        <v>319</v>
      </c>
      <c r="Q165" s="13"/>
      <c r="R165" s="13"/>
    </row>
    <row r="166" spans="1:18" s="14" customFormat="1" ht="31.5" hidden="1">
      <c r="A166" s="106">
        <v>164</v>
      </c>
      <c r="B166" s="107">
        <v>44714</v>
      </c>
      <c r="C166" s="106" t="s">
        <v>522</v>
      </c>
      <c r="D166" s="111" t="s">
        <v>38</v>
      </c>
      <c r="E166" s="111"/>
      <c r="F166" s="110" t="s">
        <v>553</v>
      </c>
      <c r="G166" s="106" t="s">
        <v>554</v>
      </c>
      <c r="H166" s="106" t="s">
        <v>555</v>
      </c>
      <c r="I166" s="107">
        <v>44714</v>
      </c>
      <c r="J166" s="106" t="s">
        <v>180</v>
      </c>
      <c r="K166" s="106" t="s">
        <v>36</v>
      </c>
      <c r="L166" s="112" t="str">
        <f ca="1">IFERROR(_xlfn.IFNA(VLOOKUP($K166,[44]коммент!$B:$C,2,0),""),"")</f>
        <v/>
      </c>
      <c r="M166" s="106"/>
      <c r="N166" s="106"/>
      <c r="O166" s="106"/>
      <c r="P166" s="106" t="s">
        <v>556</v>
      </c>
      <c r="Q166" s="13"/>
      <c r="R166" s="13"/>
    </row>
    <row r="167" spans="1:18" s="14" customFormat="1" ht="31.5" hidden="1">
      <c r="A167" s="106">
        <v>165</v>
      </c>
      <c r="B167" s="107">
        <v>44714</v>
      </c>
      <c r="C167" s="150" t="s">
        <v>838</v>
      </c>
      <c r="D167" s="111" t="s">
        <v>38</v>
      </c>
      <c r="E167" s="111"/>
      <c r="F167" s="110" t="s">
        <v>892</v>
      </c>
      <c r="G167" s="106" t="s">
        <v>893</v>
      </c>
      <c r="H167" s="106" t="s">
        <v>894</v>
      </c>
      <c r="I167" s="107">
        <v>44685</v>
      </c>
      <c r="J167" s="106" t="s">
        <v>134</v>
      </c>
      <c r="K167" s="106" t="s">
        <v>111</v>
      </c>
      <c r="L167" s="112" t="str">
        <f ca="1">IFERROR(_xlfn.IFNA(VLOOKUP($K167,[58]коммент!$B:$C,2,0),""),"")</f>
        <v/>
      </c>
      <c r="M167" s="106" t="s">
        <v>133</v>
      </c>
      <c r="N167" s="106" t="s">
        <v>183</v>
      </c>
      <c r="O167" s="106" t="s">
        <v>38</v>
      </c>
      <c r="P167" s="106"/>
      <c r="Q167" s="13"/>
      <c r="R167" s="13"/>
    </row>
    <row r="168" spans="1:18" s="14" customFormat="1" ht="31.5" hidden="1">
      <c r="A168" s="106">
        <v>166</v>
      </c>
      <c r="B168" s="107">
        <v>44714</v>
      </c>
      <c r="C168" s="106" t="s">
        <v>916</v>
      </c>
      <c r="D168" s="111" t="s">
        <v>38</v>
      </c>
      <c r="E168" s="111"/>
      <c r="F168" s="110" t="s">
        <v>917</v>
      </c>
      <c r="G168" s="106" t="s">
        <v>918</v>
      </c>
      <c r="H168" s="106" t="s">
        <v>919</v>
      </c>
      <c r="I168" s="107">
        <v>44713</v>
      </c>
      <c r="J168" s="106" t="s">
        <v>180</v>
      </c>
      <c r="K168" s="106" t="s">
        <v>111</v>
      </c>
      <c r="L168" s="112" t="str">
        <f ca="1">IFERROR(_xlfn.IFNA(VLOOKUP($K168,[5]коммент!$B:$C,2,0),""),"")</f>
        <v/>
      </c>
      <c r="M168" s="106" t="s">
        <v>154</v>
      </c>
      <c r="N168" s="106" t="s">
        <v>114</v>
      </c>
      <c r="O168" s="106"/>
      <c r="P168" s="106"/>
      <c r="Q168" s="13"/>
      <c r="R168" s="13"/>
    </row>
    <row r="169" spans="1:18" s="14" customFormat="1" ht="31.5" hidden="1">
      <c r="A169" s="106">
        <v>167</v>
      </c>
      <c r="B169" s="107">
        <v>44714</v>
      </c>
      <c r="C169" s="106" t="s">
        <v>1107</v>
      </c>
      <c r="D169" s="111" t="s">
        <v>38</v>
      </c>
      <c r="E169" s="111"/>
      <c r="F169" s="129" t="s">
        <v>1111</v>
      </c>
      <c r="G169" s="129" t="s">
        <v>1112</v>
      </c>
      <c r="H169" s="106" t="s">
        <v>1113</v>
      </c>
      <c r="I169" s="107">
        <v>44713</v>
      </c>
      <c r="J169" s="106" t="s">
        <v>134</v>
      </c>
      <c r="K169" s="106" t="s">
        <v>111</v>
      </c>
      <c r="L169" s="112" t="str">
        <f ca="1">IFERROR(_xlfn.IFNA(VLOOKUP($K169,[34]коммент!$B:$C,2,0),""),"")</f>
        <v/>
      </c>
      <c r="M169" s="106" t="s">
        <v>154</v>
      </c>
      <c r="N169" s="106"/>
      <c r="O169" s="106"/>
      <c r="P169" s="106"/>
      <c r="Q169" s="13"/>
      <c r="R169" s="13"/>
    </row>
    <row r="170" spans="1:18" s="14" customFormat="1" ht="31.5" hidden="1">
      <c r="A170" s="106">
        <v>168</v>
      </c>
      <c r="B170" s="107">
        <v>44714</v>
      </c>
      <c r="C170" s="106" t="s">
        <v>208</v>
      </c>
      <c r="D170" s="111" t="s">
        <v>207</v>
      </c>
      <c r="E170" s="111" t="s">
        <v>206</v>
      </c>
      <c r="F170" s="109" t="s">
        <v>210</v>
      </c>
      <c r="G170" s="105" t="s">
        <v>211</v>
      </c>
      <c r="H170" s="106" t="s">
        <v>209</v>
      </c>
      <c r="I170" s="107">
        <v>44713</v>
      </c>
      <c r="J170" s="106" t="s">
        <v>134</v>
      </c>
      <c r="K170" s="106" t="s">
        <v>111</v>
      </c>
      <c r="L170" s="112" t="str">
        <f ca="1">IFERROR(_xlfn.IFNA(VLOOKUP($K170,коммент!$B:$C,2,0),""),"")</f>
        <v/>
      </c>
      <c r="M170" s="106" t="s">
        <v>154</v>
      </c>
      <c r="N170" s="106" t="s">
        <v>114</v>
      </c>
      <c r="O170" s="106"/>
      <c r="P170" s="106"/>
      <c r="Q170" s="13"/>
      <c r="R170" s="13"/>
    </row>
    <row r="171" spans="1:18" s="14" customFormat="1" ht="47.25" hidden="1">
      <c r="A171" s="106">
        <v>169</v>
      </c>
      <c r="B171" s="107">
        <v>44714</v>
      </c>
      <c r="C171" s="106" t="s">
        <v>208</v>
      </c>
      <c r="D171" s="111" t="s">
        <v>207</v>
      </c>
      <c r="E171" s="111" t="s">
        <v>206</v>
      </c>
      <c r="F171" s="109" t="s">
        <v>210</v>
      </c>
      <c r="G171" s="105" t="s">
        <v>211</v>
      </c>
      <c r="H171" s="106" t="s">
        <v>209</v>
      </c>
      <c r="I171" s="107">
        <v>44713</v>
      </c>
      <c r="J171" s="106" t="s">
        <v>134</v>
      </c>
      <c r="K171" s="106" t="s">
        <v>36</v>
      </c>
      <c r="L171" s="112" t="str">
        <f ca="1">IFERROR(_xlfn.IFNA(VLOOKUP($K171,коммент!$B:$C,2,0),""),"")</f>
        <v/>
      </c>
      <c r="M171" s="106"/>
      <c r="N171" s="106"/>
      <c r="O171" s="106"/>
      <c r="P171" s="106" t="s">
        <v>212</v>
      </c>
      <c r="Q171" s="13"/>
      <c r="R171" s="13"/>
    </row>
    <row r="172" spans="1:18" s="14" customFormat="1" ht="31.5" hidden="1">
      <c r="A172" s="106">
        <v>170</v>
      </c>
      <c r="B172" s="107">
        <v>44714</v>
      </c>
      <c r="C172" s="106" t="s">
        <v>208</v>
      </c>
      <c r="D172" s="111" t="s">
        <v>207</v>
      </c>
      <c r="E172" s="111" t="s">
        <v>206</v>
      </c>
      <c r="F172" s="109" t="s">
        <v>213</v>
      </c>
      <c r="G172" s="106" t="s">
        <v>214</v>
      </c>
      <c r="H172" s="106" t="s">
        <v>215</v>
      </c>
      <c r="I172" s="107" t="s">
        <v>216</v>
      </c>
      <c r="J172" s="106" t="s">
        <v>180</v>
      </c>
      <c r="K172" s="106" t="s">
        <v>111</v>
      </c>
      <c r="L172" s="112" t="str">
        <f ca="1">IFERROR(_xlfn.IFNA(VLOOKUP($K172,коммент!$B:$C,2,0),""),"")</f>
        <v/>
      </c>
      <c r="M172" s="106" t="s">
        <v>154</v>
      </c>
      <c r="N172" s="106" t="s">
        <v>114</v>
      </c>
      <c r="O172" s="106"/>
      <c r="P172" s="106"/>
      <c r="Q172" s="13"/>
      <c r="R172" s="13"/>
    </row>
    <row r="173" spans="1:18" s="14" customFormat="1" ht="31.5" hidden="1">
      <c r="A173" s="106">
        <v>171</v>
      </c>
      <c r="B173" s="107">
        <v>44714</v>
      </c>
      <c r="C173" s="106" t="s">
        <v>208</v>
      </c>
      <c r="D173" s="111" t="s">
        <v>207</v>
      </c>
      <c r="E173" s="111"/>
      <c r="F173" s="109" t="s">
        <v>217</v>
      </c>
      <c r="G173" s="106" t="s">
        <v>218</v>
      </c>
      <c r="H173" s="107"/>
      <c r="I173" s="107">
        <v>44687</v>
      </c>
      <c r="J173" s="106" t="s">
        <v>134</v>
      </c>
      <c r="K173" s="106" t="s">
        <v>125</v>
      </c>
      <c r="L173" s="112" t="str">
        <f ca="1">IFERROR(_xlfn.IFNA(VLOOKUP($K173,коммент!$B:$C,2,0),""),"")</f>
        <v/>
      </c>
      <c r="M173" s="106" t="s">
        <v>128</v>
      </c>
      <c r="N173" s="106"/>
      <c r="O173" s="106"/>
      <c r="P173" s="106"/>
      <c r="Q173" s="13"/>
      <c r="R173" s="13"/>
    </row>
    <row r="174" spans="1:18" s="14" customFormat="1" ht="31.5" hidden="1">
      <c r="A174" s="106">
        <v>172</v>
      </c>
      <c r="B174" s="107">
        <v>44714</v>
      </c>
      <c r="C174" s="106" t="s">
        <v>208</v>
      </c>
      <c r="D174" s="111" t="s">
        <v>207</v>
      </c>
      <c r="E174" s="111" t="s">
        <v>206</v>
      </c>
      <c r="F174" s="109" t="s">
        <v>219</v>
      </c>
      <c r="G174" s="106">
        <v>9169857888</v>
      </c>
      <c r="H174" s="106" t="s">
        <v>220</v>
      </c>
      <c r="I174" s="107">
        <v>44708</v>
      </c>
      <c r="J174" s="106" t="s">
        <v>134</v>
      </c>
      <c r="K174" s="106" t="s">
        <v>111</v>
      </c>
      <c r="L174" s="112" t="str">
        <f ca="1">IFERROR(_xlfn.IFNA(VLOOKUP($K174,[59]коммент!$B:$C,2,0),""),"")</f>
        <v/>
      </c>
      <c r="M174" s="106" t="s">
        <v>154</v>
      </c>
      <c r="N174" s="106" t="s">
        <v>114</v>
      </c>
      <c r="O174" s="106"/>
      <c r="P174" s="106"/>
      <c r="Q174" s="13"/>
      <c r="R174" s="13"/>
    </row>
    <row r="175" spans="1:18" s="14" customFormat="1" ht="31.5" hidden="1">
      <c r="A175" s="106">
        <v>173</v>
      </c>
      <c r="B175" s="107">
        <v>44714</v>
      </c>
      <c r="C175" s="106" t="s">
        <v>208</v>
      </c>
      <c r="D175" s="111" t="s">
        <v>207</v>
      </c>
      <c r="E175" s="111" t="s">
        <v>204</v>
      </c>
      <c r="F175" s="129" t="s">
        <v>221</v>
      </c>
      <c r="G175" s="106" t="s">
        <v>223</v>
      </c>
      <c r="H175" s="106" t="s">
        <v>222</v>
      </c>
      <c r="I175" s="107">
        <v>44713</v>
      </c>
      <c r="J175" s="106" t="s">
        <v>180</v>
      </c>
      <c r="K175" s="106" t="s">
        <v>125</v>
      </c>
      <c r="L175" s="112" t="str">
        <f ca="1">IFERROR(_xlfn.IFNA(VLOOKUP($K175,коммент!$B:$C,2,0),""),"")</f>
        <v/>
      </c>
      <c r="M175" s="106" t="s">
        <v>188</v>
      </c>
      <c r="N175" s="106"/>
      <c r="O175" s="106"/>
      <c r="P175" s="106"/>
      <c r="Q175" s="13"/>
      <c r="R175" s="13"/>
    </row>
    <row r="176" spans="1:18" s="14" customFormat="1" ht="31.5" hidden="1">
      <c r="A176" s="106">
        <v>174</v>
      </c>
      <c r="B176" s="107">
        <v>44714</v>
      </c>
      <c r="C176" s="106" t="s">
        <v>208</v>
      </c>
      <c r="D176" s="111" t="s">
        <v>207</v>
      </c>
      <c r="E176" s="111"/>
      <c r="F176" s="109" t="s">
        <v>224</v>
      </c>
      <c r="G176" s="106">
        <v>9168084407</v>
      </c>
      <c r="H176" s="106" t="s">
        <v>225</v>
      </c>
      <c r="I176" s="107">
        <v>44713</v>
      </c>
      <c r="J176" s="106" t="s">
        <v>180</v>
      </c>
      <c r="K176" s="106" t="s">
        <v>111</v>
      </c>
      <c r="L176" s="112" t="str">
        <f ca="1">IFERROR(_xlfn.IFNA(VLOOKUP($K176,коммент!$B:$C,2,0),""),"")</f>
        <v/>
      </c>
      <c r="M176" s="106" t="s">
        <v>154</v>
      </c>
      <c r="N176" s="106" t="s">
        <v>114</v>
      </c>
      <c r="O176" s="106"/>
      <c r="P176" s="106"/>
      <c r="Q176" s="13"/>
      <c r="R176" s="13"/>
    </row>
    <row r="177" spans="1:18" s="14" customFormat="1" ht="31.5" hidden="1">
      <c r="A177" s="106">
        <v>175</v>
      </c>
      <c r="B177" s="107">
        <v>44714</v>
      </c>
      <c r="C177" s="106" t="s">
        <v>208</v>
      </c>
      <c r="D177" s="111" t="s">
        <v>207</v>
      </c>
      <c r="E177" s="111" t="s">
        <v>206</v>
      </c>
      <c r="F177" s="109" t="s">
        <v>226</v>
      </c>
      <c r="G177" s="106">
        <v>9150904031</v>
      </c>
      <c r="H177" s="106" t="s">
        <v>227</v>
      </c>
      <c r="I177" s="107">
        <v>44713</v>
      </c>
      <c r="J177" s="106" t="s">
        <v>180</v>
      </c>
      <c r="K177" s="106" t="s">
        <v>111</v>
      </c>
      <c r="L177" s="112" t="str">
        <f ca="1">IFERROR(_xlfn.IFNA(VLOOKUP($K177,коммент!$B:$C,2,0),""),"")</f>
        <v/>
      </c>
      <c r="M177" s="106" t="s">
        <v>154</v>
      </c>
      <c r="N177" s="106" t="s">
        <v>114</v>
      </c>
      <c r="O177" s="106"/>
      <c r="P177" s="106"/>
      <c r="Q177" s="13"/>
      <c r="R177" s="13"/>
    </row>
    <row r="178" spans="1:18" s="14" customFormat="1" ht="31.5" hidden="1">
      <c r="A178" s="106">
        <v>176</v>
      </c>
      <c r="B178" s="107">
        <v>44714</v>
      </c>
      <c r="C178" s="106" t="s">
        <v>208</v>
      </c>
      <c r="D178" s="111" t="s">
        <v>207</v>
      </c>
      <c r="E178" s="111"/>
      <c r="F178" s="105" t="s">
        <v>228</v>
      </c>
      <c r="G178" s="106">
        <v>9968694361</v>
      </c>
      <c r="H178" s="106"/>
      <c r="I178" s="107">
        <v>44706</v>
      </c>
      <c r="J178" s="106" t="s">
        <v>180</v>
      </c>
      <c r="K178" s="106" t="s">
        <v>125</v>
      </c>
      <c r="L178" s="112" t="str">
        <f ca="1">IFERROR(_xlfn.IFNA(VLOOKUP($K178,[59]коммент!$B:$C,2,0),""),"")</f>
        <v/>
      </c>
      <c r="M178" s="106" t="s">
        <v>128</v>
      </c>
      <c r="N178" s="106"/>
      <c r="O178" s="106"/>
      <c r="P178" s="106"/>
      <c r="Q178" s="13"/>
      <c r="R178" s="13"/>
    </row>
    <row r="179" spans="1:18" s="14" customFormat="1" ht="31.5" hidden="1">
      <c r="A179" s="106">
        <v>177</v>
      </c>
      <c r="B179" s="107">
        <v>44714</v>
      </c>
      <c r="C179" s="106" t="s">
        <v>208</v>
      </c>
      <c r="D179" s="111" t="s">
        <v>207</v>
      </c>
      <c r="E179" s="111"/>
      <c r="F179" s="129" t="s">
        <v>229</v>
      </c>
      <c r="G179" s="106">
        <v>9161888238</v>
      </c>
      <c r="H179" s="106"/>
      <c r="I179" s="107">
        <v>44713</v>
      </c>
      <c r="J179" s="106" t="s">
        <v>180</v>
      </c>
      <c r="K179" s="106" t="s">
        <v>125</v>
      </c>
      <c r="L179" s="112" t="str">
        <f ca="1">IFERROR(_xlfn.IFNA(VLOOKUP($K179,[59]коммент!$B:$C,2,0),""),"")</f>
        <v/>
      </c>
      <c r="M179" s="106" t="s">
        <v>188</v>
      </c>
      <c r="N179" s="106"/>
      <c r="O179" s="106"/>
      <c r="P179" s="106" t="s">
        <v>230</v>
      </c>
      <c r="Q179" s="13"/>
      <c r="R179" s="13"/>
    </row>
    <row r="180" spans="1:18" s="14" customFormat="1" ht="31.5" hidden="1">
      <c r="A180" s="106">
        <v>178</v>
      </c>
      <c r="B180" s="107">
        <v>44714</v>
      </c>
      <c r="C180" s="106" t="s">
        <v>208</v>
      </c>
      <c r="D180" s="111" t="s">
        <v>207</v>
      </c>
      <c r="E180" s="111" t="s">
        <v>205</v>
      </c>
      <c r="F180" s="129" t="s">
        <v>233</v>
      </c>
      <c r="G180" s="106">
        <v>9262507717</v>
      </c>
      <c r="H180" s="106"/>
      <c r="I180" s="107"/>
      <c r="J180" s="106" t="s">
        <v>179</v>
      </c>
      <c r="K180" s="106" t="s">
        <v>85</v>
      </c>
      <c r="L180" s="112" t="str">
        <f ca="1">IFERROR(_xlfn.IFNA(VLOOKUP($K180,коммент!$B:$C,2,0),""),"")</f>
        <v/>
      </c>
      <c r="M180" s="106" t="s">
        <v>129</v>
      </c>
      <c r="N180" s="106"/>
      <c r="O180" s="106"/>
      <c r="P180" s="106" t="s">
        <v>234</v>
      </c>
      <c r="Q180" s="13"/>
      <c r="R180" s="13"/>
    </row>
    <row r="181" spans="1:18" s="14" customFormat="1" ht="31.5" hidden="1">
      <c r="A181" s="106">
        <v>179</v>
      </c>
      <c r="B181" s="107">
        <v>44714</v>
      </c>
      <c r="C181" s="106" t="s">
        <v>237</v>
      </c>
      <c r="D181" s="111" t="s">
        <v>207</v>
      </c>
      <c r="E181" s="111" t="s">
        <v>202</v>
      </c>
      <c r="F181" s="110" t="s">
        <v>238</v>
      </c>
      <c r="G181" s="106">
        <v>9121258714</v>
      </c>
      <c r="H181" s="106" t="s">
        <v>239</v>
      </c>
      <c r="I181" s="107">
        <v>44708</v>
      </c>
      <c r="J181" s="106" t="s">
        <v>179</v>
      </c>
      <c r="K181" s="114" t="s">
        <v>111</v>
      </c>
      <c r="L181" s="115" t="str">
        <f ca="1">IFERROR(_xlfn.IFNA(VLOOKUP($K181,[60]коммент!$B:$C,2,0),""),"")</f>
        <v/>
      </c>
      <c r="M181" s="106" t="s">
        <v>154</v>
      </c>
      <c r="N181" s="106" t="s">
        <v>114</v>
      </c>
      <c r="O181" s="106"/>
      <c r="P181" s="106"/>
      <c r="Q181" s="13"/>
      <c r="R181" s="13"/>
    </row>
    <row r="182" spans="1:18" s="14" customFormat="1" ht="31.5" hidden="1">
      <c r="A182" s="106">
        <v>180</v>
      </c>
      <c r="B182" s="107">
        <v>44714</v>
      </c>
      <c r="C182" s="106" t="s">
        <v>270</v>
      </c>
      <c r="D182" s="111" t="s">
        <v>207</v>
      </c>
      <c r="E182" s="111"/>
      <c r="F182" s="110" t="s">
        <v>271</v>
      </c>
      <c r="G182" s="106">
        <v>9055174349</v>
      </c>
      <c r="H182" s="106" t="s">
        <v>272</v>
      </c>
      <c r="I182" s="107">
        <v>44707</v>
      </c>
      <c r="J182" s="106" t="s">
        <v>180</v>
      </c>
      <c r="K182" s="106" t="s">
        <v>1</v>
      </c>
      <c r="L182" s="112" t="str">
        <f ca="1">IFERROR(_xlfn.IFNA(VLOOKUP($K182,[56]коммент!$B:$C,2,0),""),"")</f>
        <v/>
      </c>
      <c r="M182" s="106" t="s">
        <v>152</v>
      </c>
      <c r="N182" s="106"/>
      <c r="O182" s="106"/>
      <c r="P182" s="106"/>
      <c r="Q182" s="13"/>
      <c r="R182" s="13"/>
    </row>
    <row r="183" spans="1:18" s="14" customFormat="1" ht="31.5" hidden="1">
      <c r="A183" s="106">
        <v>181</v>
      </c>
      <c r="B183" s="107">
        <v>44714</v>
      </c>
      <c r="C183" s="106" t="s">
        <v>270</v>
      </c>
      <c r="D183" s="111" t="s">
        <v>207</v>
      </c>
      <c r="E183" s="111"/>
      <c r="F183" s="110" t="s">
        <v>273</v>
      </c>
      <c r="G183" s="106">
        <v>9774765761</v>
      </c>
      <c r="H183" s="106" t="s">
        <v>274</v>
      </c>
      <c r="I183" s="107">
        <v>44713</v>
      </c>
      <c r="J183" s="106" t="s">
        <v>180</v>
      </c>
      <c r="K183" s="106" t="s">
        <v>111</v>
      </c>
      <c r="L183" s="112" t="str">
        <f ca="1">IFERROR(_xlfn.IFNA(VLOOKUP($K183,[56]коммент!$B:$C,2,0),""),"")</f>
        <v/>
      </c>
      <c r="M183" s="106" t="s">
        <v>154</v>
      </c>
      <c r="N183" s="106" t="s">
        <v>114</v>
      </c>
      <c r="O183" s="106"/>
      <c r="P183" s="106"/>
      <c r="Q183" s="13"/>
      <c r="R183" s="13"/>
    </row>
    <row r="184" spans="1:18" s="14" customFormat="1" ht="31.5" hidden="1">
      <c r="A184" s="106">
        <v>182</v>
      </c>
      <c r="B184" s="107">
        <v>44714</v>
      </c>
      <c r="C184" s="106" t="s">
        <v>270</v>
      </c>
      <c r="D184" s="111" t="s">
        <v>207</v>
      </c>
      <c r="E184" s="111"/>
      <c r="F184" s="110" t="s">
        <v>287</v>
      </c>
      <c r="G184" s="106">
        <v>9167202235</v>
      </c>
      <c r="H184" s="106" t="s">
        <v>288</v>
      </c>
      <c r="I184" s="107">
        <v>44713</v>
      </c>
      <c r="J184" s="106" t="s">
        <v>180</v>
      </c>
      <c r="K184" s="106" t="s">
        <v>1</v>
      </c>
      <c r="L184" s="112" t="str">
        <f ca="1">IFERROR(_xlfn.IFNA(VLOOKUP($K184,[56]коммент!$B:$C,2,0),""),"")</f>
        <v/>
      </c>
      <c r="M184" s="106" t="s">
        <v>152</v>
      </c>
      <c r="N184" s="106"/>
      <c r="O184" s="106"/>
      <c r="P184" s="106"/>
      <c r="Q184" s="13"/>
      <c r="R184" s="13"/>
    </row>
    <row r="185" spans="1:18" s="14" customFormat="1" ht="31.5" hidden="1">
      <c r="A185" s="106">
        <v>183</v>
      </c>
      <c r="B185" s="107">
        <v>44714</v>
      </c>
      <c r="C185" s="106" t="s">
        <v>290</v>
      </c>
      <c r="D185" s="111" t="s">
        <v>207</v>
      </c>
      <c r="E185" s="111"/>
      <c r="F185" s="110" t="s">
        <v>301</v>
      </c>
      <c r="G185" s="106">
        <v>89858003898</v>
      </c>
      <c r="H185" s="106" t="s">
        <v>302</v>
      </c>
      <c r="I185" s="107">
        <v>44714</v>
      </c>
      <c r="J185" s="106" t="s">
        <v>180</v>
      </c>
      <c r="K185" s="106" t="s">
        <v>111</v>
      </c>
      <c r="L185" s="112" t="str">
        <f ca="1">IFERROR(_xlfn.IFNA(VLOOKUP($K185,[57]коммент!$B:$C,2,0),""),"")</f>
        <v/>
      </c>
      <c r="M185" s="106" t="s">
        <v>133</v>
      </c>
      <c r="N185" s="106" t="s">
        <v>183</v>
      </c>
      <c r="O185" s="106" t="s">
        <v>207</v>
      </c>
      <c r="P185" s="106"/>
      <c r="Q185" s="13"/>
      <c r="R185" s="13"/>
    </row>
    <row r="186" spans="1:18" s="14" customFormat="1" ht="31.5" hidden="1">
      <c r="A186" s="106">
        <v>184</v>
      </c>
      <c r="B186" s="107">
        <v>44714</v>
      </c>
      <c r="C186" s="106" t="s">
        <v>376</v>
      </c>
      <c r="D186" s="111" t="s">
        <v>207</v>
      </c>
      <c r="E186" s="111" t="s">
        <v>202</v>
      </c>
      <c r="F186" s="110" t="s">
        <v>379</v>
      </c>
      <c r="G186" s="106">
        <v>9661999614</v>
      </c>
      <c r="H186" s="106" t="s">
        <v>380</v>
      </c>
      <c r="I186" s="107">
        <v>44670</v>
      </c>
      <c r="J186" s="106" t="s">
        <v>180</v>
      </c>
      <c r="K186" s="106" t="s">
        <v>85</v>
      </c>
      <c r="L186" s="112"/>
      <c r="M186" s="106" t="s">
        <v>129</v>
      </c>
      <c r="N186" s="106"/>
      <c r="O186" s="106"/>
      <c r="P186" s="106"/>
      <c r="Q186" s="13"/>
      <c r="R186" s="13"/>
    </row>
    <row r="187" spans="1:18" s="14" customFormat="1" ht="78.75" hidden="1">
      <c r="A187" s="106">
        <v>185</v>
      </c>
      <c r="B187" s="107">
        <v>44714</v>
      </c>
      <c r="C187" s="106" t="s">
        <v>412</v>
      </c>
      <c r="D187" s="111" t="s">
        <v>207</v>
      </c>
      <c r="E187" s="111" t="s">
        <v>206</v>
      </c>
      <c r="F187" s="109" t="s">
        <v>418</v>
      </c>
      <c r="G187" s="106">
        <v>9653316563</v>
      </c>
      <c r="H187" s="106" t="s">
        <v>220</v>
      </c>
      <c r="I187" s="107">
        <v>44713</v>
      </c>
      <c r="J187" s="106" t="s">
        <v>179</v>
      </c>
      <c r="K187" s="106" t="s">
        <v>36</v>
      </c>
      <c r="L187" s="112" t="str">
        <f ca="1">IFERROR(_xlfn.IFNA(VLOOKUP($K187,[3]коммент!$B:$C,2,0),""),"")</f>
        <v/>
      </c>
      <c r="M187" s="106"/>
      <c r="N187" s="106"/>
      <c r="O187" s="106"/>
      <c r="P187" s="106" t="s">
        <v>419</v>
      </c>
      <c r="Q187" s="13"/>
      <c r="R187" s="13"/>
    </row>
    <row r="188" spans="1:18" s="14" customFormat="1" ht="31.5" hidden="1">
      <c r="A188" s="106">
        <v>186</v>
      </c>
      <c r="B188" s="107">
        <v>44714</v>
      </c>
      <c r="C188" s="106" t="s">
        <v>522</v>
      </c>
      <c r="D188" s="111" t="s">
        <v>207</v>
      </c>
      <c r="E188" s="111"/>
      <c r="F188" s="110" t="s">
        <v>535</v>
      </c>
      <c r="G188" s="106" t="s">
        <v>536</v>
      </c>
      <c r="H188" s="106" t="s">
        <v>537</v>
      </c>
      <c r="I188" s="107">
        <v>44713</v>
      </c>
      <c r="J188" s="106" t="s">
        <v>180</v>
      </c>
      <c r="K188" s="106" t="s">
        <v>1</v>
      </c>
      <c r="L188" s="112" t="str">
        <f ca="1">IFERROR(_xlfn.IFNA(VLOOKUP($K188,[44]коммент!$B:$C,2,0),""),"")</f>
        <v/>
      </c>
      <c r="M188" s="106" t="s">
        <v>152</v>
      </c>
      <c r="N188" s="106"/>
      <c r="O188" s="106"/>
      <c r="P188" s="106" t="s">
        <v>538</v>
      </c>
      <c r="Q188" s="13"/>
      <c r="R188" s="13"/>
    </row>
    <row r="189" spans="1:18" s="14" customFormat="1" ht="126" hidden="1">
      <c r="A189" s="106">
        <v>187</v>
      </c>
      <c r="B189" s="107">
        <v>44714</v>
      </c>
      <c r="C189" s="106" t="s">
        <v>522</v>
      </c>
      <c r="D189" s="111" t="s">
        <v>207</v>
      </c>
      <c r="E189" s="111"/>
      <c r="F189" s="110" t="s">
        <v>550</v>
      </c>
      <c r="G189" s="106" t="s">
        <v>551</v>
      </c>
      <c r="H189" s="106" t="s">
        <v>291</v>
      </c>
      <c r="I189" s="107">
        <v>44695</v>
      </c>
      <c r="J189" s="106" t="s">
        <v>180</v>
      </c>
      <c r="K189" s="106" t="s">
        <v>125</v>
      </c>
      <c r="L189" s="112" t="s">
        <v>162</v>
      </c>
      <c r="M189" s="106" t="s">
        <v>127</v>
      </c>
      <c r="N189" s="106"/>
      <c r="O189" s="106"/>
      <c r="P189" s="106" t="s">
        <v>552</v>
      </c>
      <c r="Q189" s="13"/>
      <c r="R189" s="13"/>
    </row>
    <row r="190" spans="1:18" s="14" customFormat="1" ht="126" hidden="1">
      <c r="A190" s="106">
        <v>188</v>
      </c>
      <c r="B190" s="107">
        <v>44714</v>
      </c>
      <c r="C190" s="106" t="s">
        <v>557</v>
      </c>
      <c r="D190" s="111" t="s">
        <v>207</v>
      </c>
      <c r="E190" s="111" t="s">
        <v>205</v>
      </c>
      <c r="F190" s="110" t="s">
        <v>558</v>
      </c>
      <c r="G190" s="106" t="s">
        <v>559</v>
      </c>
      <c r="H190" s="106" t="s">
        <v>560</v>
      </c>
      <c r="I190" s="107">
        <v>44713</v>
      </c>
      <c r="J190" s="106" t="s">
        <v>180</v>
      </c>
      <c r="K190" s="106" t="s">
        <v>125</v>
      </c>
      <c r="L190" s="112" t="s">
        <v>162</v>
      </c>
      <c r="M190" s="106" t="s">
        <v>188</v>
      </c>
      <c r="N190" s="106"/>
      <c r="O190" s="106"/>
      <c r="P190" s="106" t="s">
        <v>561</v>
      </c>
      <c r="Q190" s="13"/>
      <c r="R190" s="13"/>
    </row>
    <row r="191" spans="1:18" s="14" customFormat="1" ht="94.5" hidden="1">
      <c r="A191" s="106">
        <v>189</v>
      </c>
      <c r="B191" s="107">
        <v>44714</v>
      </c>
      <c r="C191" s="106" t="s">
        <v>597</v>
      </c>
      <c r="D191" s="111" t="s">
        <v>207</v>
      </c>
      <c r="E191" s="111" t="s">
        <v>206</v>
      </c>
      <c r="F191" s="110" t="s">
        <v>598</v>
      </c>
      <c r="G191" s="106" t="s">
        <v>599</v>
      </c>
      <c r="H191" s="106" t="s">
        <v>600</v>
      </c>
      <c r="I191" s="107">
        <v>44704</v>
      </c>
      <c r="J191" s="106" t="s">
        <v>180</v>
      </c>
      <c r="K191" s="106" t="s">
        <v>1</v>
      </c>
      <c r="L191" s="112" t="s">
        <v>166</v>
      </c>
      <c r="M191" s="106" t="s">
        <v>133</v>
      </c>
      <c r="N191" s="106" t="s">
        <v>183</v>
      </c>
      <c r="O191" s="106" t="s">
        <v>207</v>
      </c>
      <c r="P191" s="106" t="s">
        <v>601</v>
      </c>
      <c r="Q191" s="13"/>
      <c r="R191" s="13"/>
    </row>
    <row r="192" spans="1:18" s="14" customFormat="1" ht="126" hidden="1">
      <c r="A192" s="106">
        <v>190</v>
      </c>
      <c r="B192" s="107">
        <v>44714</v>
      </c>
      <c r="C192" s="106" t="s">
        <v>660</v>
      </c>
      <c r="D192" s="111" t="s">
        <v>207</v>
      </c>
      <c r="E192" s="111" t="s">
        <v>202</v>
      </c>
      <c r="F192" s="110" t="s">
        <v>664</v>
      </c>
      <c r="G192" s="106" t="s">
        <v>665</v>
      </c>
      <c r="H192" s="106" t="s">
        <v>380</v>
      </c>
      <c r="I192" s="107">
        <v>44698</v>
      </c>
      <c r="J192" s="106" t="s">
        <v>180</v>
      </c>
      <c r="K192" s="106" t="s">
        <v>125</v>
      </c>
      <c r="L192" s="112" t="s">
        <v>162</v>
      </c>
      <c r="M192" s="106" t="s">
        <v>126</v>
      </c>
      <c r="N192" s="106"/>
      <c r="O192" s="106"/>
      <c r="P192" s="106"/>
      <c r="Q192" s="13"/>
      <c r="R192" s="13"/>
    </row>
    <row r="193" spans="1:18" s="14" customFormat="1" ht="94.5" hidden="1">
      <c r="A193" s="106">
        <v>191</v>
      </c>
      <c r="B193" s="107">
        <v>44714</v>
      </c>
      <c r="C193" s="106" t="s">
        <v>709</v>
      </c>
      <c r="D193" s="111" t="s">
        <v>207</v>
      </c>
      <c r="E193" s="111"/>
      <c r="F193" s="110" t="s">
        <v>713</v>
      </c>
      <c r="G193" s="106">
        <v>9670914008</v>
      </c>
      <c r="H193" s="106" t="s">
        <v>716</v>
      </c>
      <c r="I193" s="107">
        <v>44643</v>
      </c>
      <c r="J193" s="106" t="s">
        <v>184</v>
      </c>
      <c r="K193" s="106" t="s">
        <v>175</v>
      </c>
      <c r="L193" s="112" t="s">
        <v>176</v>
      </c>
      <c r="M193" s="106"/>
      <c r="N193" s="106"/>
      <c r="O193" s="106"/>
      <c r="P193" s="106" t="s">
        <v>717</v>
      </c>
      <c r="Q193" s="13"/>
      <c r="R193" s="13"/>
    </row>
    <row r="194" spans="1:18" s="14" customFormat="1" ht="78.75" hidden="1">
      <c r="A194" s="106">
        <v>192</v>
      </c>
      <c r="B194" s="107">
        <v>44714</v>
      </c>
      <c r="C194" s="106" t="s">
        <v>709</v>
      </c>
      <c r="D194" s="111" t="s">
        <v>207</v>
      </c>
      <c r="E194" s="111"/>
      <c r="F194" s="110" t="s">
        <v>721</v>
      </c>
      <c r="G194" s="106">
        <v>9099560336</v>
      </c>
      <c r="H194" s="106" t="s">
        <v>288</v>
      </c>
      <c r="I194" s="107">
        <v>44712</v>
      </c>
      <c r="J194" s="106" t="s">
        <v>134</v>
      </c>
      <c r="K194" s="106" t="s">
        <v>113</v>
      </c>
      <c r="L194" s="112" t="s">
        <v>143</v>
      </c>
      <c r="M194" s="106"/>
      <c r="N194" s="106"/>
      <c r="O194" s="106"/>
      <c r="P194" s="106" t="s">
        <v>722</v>
      </c>
      <c r="Q194" s="13"/>
      <c r="R194" s="13"/>
    </row>
    <row r="195" spans="1:18" s="14" customFormat="1" ht="94.5" hidden="1">
      <c r="A195" s="106">
        <v>193</v>
      </c>
      <c r="B195" s="107">
        <v>44714</v>
      </c>
      <c r="C195" s="106" t="s">
        <v>709</v>
      </c>
      <c r="D195" s="111" t="s">
        <v>207</v>
      </c>
      <c r="E195" s="111"/>
      <c r="F195" s="110" t="s">
        <v>728</v>
      </c>
      <c r="G195" s="106">
        <v>9772667802</v>
      </c>
      <c r="H195" s="106" t="s">
        <v>661</v>
      </c>
      <c r="I195" s="107">
        <v>44693</v>
      </c>
      <c r="J195" s="106" t="s">
        <v>180</v>
      </c>
      <c r="K195" s="106" t="s">
        <v>1</v>
      </c>
      <c r="L195" s="112" t="s">
        <v>165</v>
      </c>
      <c r="M195" s="106" t="s">
        <v>133</v>
      </c>
      <c r="N195" s="106"/>
      <c r="O195" s="106"/>
      <c r="P195" s="106"/>
      <c r="Q195" s="13"/>
      <c r="R195" s="13"/>
    </row>
    <row r="196" spans="1:18" s="14" customFormat="1" ht="94.5" hidden="1">
      <c r="A196" s="106">
        <v>194</v>
      </c>
      <c r="B196" s="107">
        <v>44714</v>
      </c>
      <c r="C196" s="106" t="s">
        <v>709</v>
      </c>
      <c r="D196" s="111" t="s">
        <v>207</v>
      </c>
      <c r="E196" s="111"/>
      <c r="F196" s="110" t="s">
        <v>729</v>
      </c>
      <c r="G196" s="106">
        <v>9250218899</v>
      </c>
      <c r="H196" s="106" t="s">
        <v>537</v>
      </c>
      <c r="I196" s="107">
        <v>44713</v>
      </c>
      <c r="J196" s="106" t="s">
        <v>180</v>
      </c>
      <c r="K196" s="106" t="s">
        <v>1</v>
      </c>
      <c r="L196" s="112" t="s">
        <v>166</v>
      </c>
      <c r="M196" s="106" t="s">
        <v>153</v>
      </c>
      <c r="N196" s="106"/>
      <c r="O196" s="106"/>
      <c r="P196" s="106" t="s">
        <v>730</v>
      </c>
      <c r="Q196" s="13"/>
      <c r="R196" s="13"/>
    </row>
    <row r="197" spans="1:18" s="14" customFormat="1" ht="94.5" hidden="1">
      <c r="A197" s="106">
        <v>195</v>
      </c>
      <c r="B197" s="107">
        <v>44714</v>
      </c>
      <c r="C197" s="106" t="s">
        <v>839</v>
      </c>
      <c r="D197" s="111" t="s">
        <v>207</v>
      </c>
      <c r="E197" s="111" t="s">
        <v>202</v>
      </c>
      <c r="F197" s="110" t="s">
        <v>846</v>
      </c>
      <c r="G197" s="106" t="s">
        <v>847</v>
      </c>
      <c r="H197" s="106" t="s">
        <v>848</v>
      </c>
      <c r="I197" s="107">
        <v>44708</v>
      </c>
      <c r="J197" s="106" t="s">
        <v>180</v>
      </c>
      <c r="K197" s="125" t="s">
        <v>111</v>
      </c>
      <c r="L197" s="126" t="s">
        <v>165</v>
      </c>
      <c r="M197" s="106" t="s">
        <v>154</v>
      </c>
      <c r="N197" s="106" t="s">
        <v>114</v>
      </c>
      <c r="O197" s="106"/>
      <c r="P197" s="106"/>
      <c r="Q197" s="13"/>
      <c r="R197" s="13"/>
    </row>
    <row r="198" spans="1:18" s="14" customFormat="1" ht="31.5" hidden="1">
      <c r="A198" s="106">
        <v>196</v>
      </c>
      <c r="B198" s="107">
        <v>44714</v>
      </c>
      <c r="C198" s="106" t="s">
        <v>839</v>
      </c>
      <c r="D198" s="111" t="s">
        <v>207</v>
      </c>
      <c r="E198" s="111" t="s">
        <v>205</v>
      </c>
      <c r="F198" s="110" t="s">
        <v>849</v>
      </c>
      <c r="G198" s="106" t="s">
        <v>850</v>
      </c>
      <c r="H198" s="106" t="s">
        <v>851</v>
      </c>
      <c r="I198" s="107">
        <v>44713</v>
      </c>
      <c r="J198" s="106" t="s">
        <v>134</v>
      </c>
      <c r="K198" s="106" t="s">
        <v>111</v>
      </c>
      <c r="L198" s="112" t="str">
        <f ca="1">IFERROR(_xlfn.IFNA(VLOOKUP($K198,[53]коммент!$B:$C,2,0),""),"")</f>
        <v/>
      </c>
      <c r="M198" s="106" t="s">
        <v>154</v>
      </c>
      <c r="N198" s="106" t="s">
        <v>114</v>
      </c>
      <c r="O198" s="106"/>
      <c r="P198" s="106"/>
      <c r="Q198" s="13"/>
      <c r="R198" s="13"/>
    </row>
    <row r="199" spans="1:18" s="14" customFormat="1" ht="31.5" hidden="1">
      <c r="A199" s="106">
        <v>197</v>
      </c>
      <c r="B199" s="107">
        <v>44714</v>
      </c>
      <c r="C199" s="106" t="s">
        <v>864</v>
      </c>
      <c r="D199" s="111" t="s">
        <v>207</v>
      </c>
      <c r="E199" s="111"/>
      <c r="F199" s="110" t="s">
        <v>872</v>
      </c>
      <c r="G199" s="106">
        <v>9264350933</v>
      </c>
      <c r="H199" s="106" t="s">
        <v>873</v>
      </c>
      <c r="I199" s="107">
        <v>44713</v>
      </c>
      <c r="J199" s="106" t="s">
        <v>180</v>
      </c>
      <c r="K199" s="106" t="s">
        <v>111</v>
      </c>
      <c r="L199" s="112" t="str">
        <f ca="1">IFERROR(_xlfn.IFNA(VLOOKUP($K199,[29]коммент!$B:$C,2,0),""),"")</f>
        <v/>
      </c>
      <c r="M199" s="106" t="s">
        <v>133</v>
      </c>
      <c r="N199" s="106" t="s">
        <v>114</v>
      </c>
      <c r="O199" s="106"/>
      <c r="P199" s="106" t="s">
        <v>874</v>
      </c>
      <c r="Q199" s="13"/>
      <c r="R199" s="13"/>
    </row>
    <row r="200" spans="1:18" s="14" customFormat="1" ht="31.5" hidden="1">
      <c r="A200" s="106">
        <v>198</v>
      </c>
      <c r="B200" s="107">
        <v>44714</v>
      </c>
      <c r="C200" s="106" t="s">
        <v>942</v>
      </c>
      <c r="D200" s="111" t="s">
        <v>207</v>
      </c>
      <c r="E200" s="111" t="s">
        <v>202</v>
      </c>
      <c r="F200" s="110" t="s">
        <v>943</v>
      </c>
      <c r="G200" s="106">
        <v>9671027058</v>
      </c>
      <c r="H200" s="106" t="s">
        <v>944</v>
      </c>
      <c r="I200" s="107">
        <v>44712</v>
      </c>
      <c r="J200" s="106" t="s">
        <v>134</v>
      </c>
      <c r="K200" s="106" t="s">
        <v>125</v>
      </c>
      <c r="L200" s="112" t="str">
        <f ca="1">IFERROR(_xlfn.IFNA(VLOOKUP($K200,[61]коммент!$B:$C,2,0),""),"")</f>
        <v/>
      </c>
      <c r="M200" s="106" t="s">
        <v>126</v>
      </c>
      <c r="N200" s="106"/>
      <c r="O200" s="106"/>
      <c r="P200" s="106"/>
      <c r="Q200" s="13"/>
      <c r="R200" s="13"/>
    </row>
    <row r="201" spans="1:18" s="14" customFormat="1" ht="31.5" hidden="1">
      <c r="A201" s="106">
        <v>199</v>
      </c>
      <c r="B201" s="107">
        <v>44714</v>
      </c>
      <c r="C201" s="106" t="s">
        <v>957</v>
      </c>
      <c r="D201" s="111" t="s">
        <v>207</v>
      </c>
      <c r="E201" s="111"/>
      <c r="F201" s="109" t="s">
        <v>958</v>
      </c>
      <c r="G201" s="106">
        <v>9779663770</v>
      </c>
      <c r="H201" s="106" t="s">
        <v>959</v>
      </c>
      <c r="I201" s="107">
        <v>44713</v>
      </c>
      <c r="J201" s="106" t="s">
        <v>134</v>
      </c>
      <c r="K201" s="106" t="s">
        <v>111</v>
      </c>
      <c r="L201" s="112" t="str">
        <f ca="1">IFERROR(_xlfn.IFNA(VLOOKUP($K201,[17]коммент!$B:$C,2,0),""),"")</f>
        <v/>
      </c>
      <c r="M201" s="106" t="s">
        <v>154</v>
      </c>
      <c r="N201" s="106" t="s">
        <v>114</v>
      </c>
      <c r="O201" s="106"/>
      <c r="P201" s="106"/>
      <c r="Q201" s="13"/>
      <c r="R201" s="13"/>
    </row>
    <row r="202" spans="1:18" s="14" customFormat="1" ht="31.5" hidden="1">
      <c r="A202" s="106">
        <v>200</v>
      </c>
      <c r="B202" s="107">
        <v>44714</v>
      </c>
      <c r="C202" s="106" t="s">
        <v>957</v>
      </c>
      <c r="D202" s="111" t="s">
        <v>207</v>
      </c>
      <c r="E202" s="111"/>
      <c r="F202" s="109" t="s">
        <v>971</v>
      </c>
      <c r="G202" s="106">
        <v>9639973131</v>
      </c>
      <c r="H202" s="106" t="s">
        <v>972</v>
      </c>
      <c r="I202" s="107">
        <v>44700</v>
      </c>
      <c r="J202" s="106" t="s">
        <v>134</v>
      </c>
      <c r="K202" s="114" t="s">
        <v>125</v>
      </c>
      <c r="L202" s="115" t="str">
        <f ca="1">IFERROR(_xlfn.IFNA(VLOOKUP($K202,[62]коммент!$B:$C,2,0),""),"")</f>
        <v/>
      </c>
      <c r="M202" s="106" t="s">
        <v>128</v>
      </c>
      <c r="N202" s="106"/>
      <c r="O202" s="106"/>
      <c r="P202" s="106"/>
      <c r="Q202" s="13"/>
      <c r="R202" s="13"/>
    </row>
    <row r="203" spans="1:18" s="14" customFormat="1" ht="31.5" hidden="1">
      <c r="A203" s="106">
        <v>201</v>
      </c>
      <c r="B203" s="107">
        <v>44714</v>
      </c>
      <c r="C203" s="107" t="s">
        <v>977</v>
      </c>
      <c r="D203" s="111" t="s">
        <v>207</v>
      </c>
      <c r="E203" s="111"/>
      <c r="F203" s="110" t="s">
        <v>984</v>
      </c>
      <c r="G203" s="106">
        <v>9775301663</v>
      </c>
      <c r="H203" s="106"/>
      <c r="I203" s="106"/>
      <c r="J203" s="106" t="s">
        <v>180</v>
      </c>
      <c r="K203" s="106" t="s">
        <v>85</v>
      </c>
      <c r="L203" s="112" t="str">
        <f ca="1">IFERROR(_xlfn.IFNA(VLOOKUP($K203,[63]коммент!$B:$C,2,0),""),"")</f>
        <v/>
      </c>
      <c r="M203" s="106" t="s">
        <v>129</v>
      </c>
      <c r="N203" s="106" t="s">
        <v>114</v>
      </c>
      <c r="O203" s="106"/>
      <c r="P203" s="106"/>
      <c r="Q203" s="13"/>
      <c r="R203" s="13"/>
    </row>
    <row r="204" spans="1:18" s="14" customFormat="1" ht="31.5" hidden="1">
      <c r="A204" s="106">
        <v>202</v>
      </c>
      <c r="B204" s="107">
        <v>44714</v>
      </c>
      <c r="C204" s="106" t="s">
        <v>1015</v>
      </c>
      <c r="D204" s="111" t="s">
        <v>207</v>
      </c>
      <c r="E204" s="111"/>
      <c r="F204" s="109" t="s">
        <v>1028</v>
      </c>
      <c r="G204" s="106">
        <v>9166496546</v>
      </c>
      <c r="H204" s="106" t="s">
        <v>1029</v>
      </c>
      <c r="I204" s="107">
        <v>44707</v>
      </c>
      <c r="J204" s="106" t="s">
        <v>180</v>
      </c>
      <c r="K204" s="114" t="s">
        <v>125</v>
      </c>
      <c r="L204" s="115" t="str">
        <f ca="1">IFERROR(_xlfn.IFNA(VLOOKUP($K204,[19]коммент!$B:$C,2,0),""),"")</f>
        <v/>
      </c>
      <c r="M204" s="106" t="s">
        <v>188</v>
      </c>
      <c r="N204" s="150"/>
      <c r="O204" s="150"/>
      <c r="P204" s="150" t="s">
        <v>1030</v>
      </c>
      <c r="Q204" s="13"/>
      <c r="R204" s="13"/>
    </row>
    <row r="205" spans="1:18" s="14" customFormat="1" ht="31.5" hidden="1">
      <c r="A205" s="106">
        <v>203</v>
      </c>
      <c r="B205" s="107">
        <v>44714</v>
      </c>
      <c r="C205" s="106" t="s">
        <v>1015</v>
      </c>
      <c r="D205" s="111" t="s">
        <v>207</v>
      </c>
      <c r="E205" s="111"/>
      <c r="F205" s="110" t="s">
        <v>1031</v>
      </c>
      <c r="G205" s="106" t="s">
        <v>1032</v>
      </c>
      <c r="H205" s="106" t="s">
        <v>1033</v>
      </c>
      <c r="I205" s="107">
        <v>44708</v>
      </c>
      <c r="J205" s="106" t="s">
        <v>180</v>
      </c>
      <c r="K205" s="114" t="s">
        <v>111</v>
      </c>
      <c r="L205" s="115" t="str">
        <f ca="1">IFERROR(_xlfn.IFNA(VLOOKUP($K205,[19]коммент!$B:$C,2,0),""),"")</f>
        <v/>
      </c>
      <c r="M205" s="106" t="s">
        <v>154</v>
      </c>
      <c r="N205" s="150"/>
      <c r="O205" s="150"/>
      <c r="P205" s="106"/>
      <c r="Q205" s="13"/>
      <c r="R205" s="13"/>
    </row>
    <row r="206" spans="1:18" s="14" customFormat="1" ht="31.5" hidden="1">
      <c r="A206" s="106">
        <v>204</v>
      </c>
      <c r="B206" s="107">
        <v>44714</v>
      </c>
      <c r="C206" s="106" t="s">
        <v>1015</v>
      </c>
      <c r="D206" s="111" t="s">
        <v>207</v>
      </c>
      <c r="E206" s="111"/>
      <c r="F206" s="110" t="s">
        <v>1034</v>
      </c>
      <c r="G206" s="106" t="s">
        <v>1035</v>
      </c>
      <c r="H206" s="106" t="s">
        <v>663</v>
      </c>
      <c r="I206" s="107">
        <v>44707</v>
      </c>
      <c r="J206" s="106" t="s">
        <v>134</v>
      </c>
      <c r="K206" s="150" t="s">
        <v>1</v>
      </c>
      <c r="L206" s="154" t="str">
        <f ca="1">IFERROR(_xlfn.IFNA(VLOOKUP($K206,[19]коммент!$B:$C,2,0),""),"")</f>
        <v/>
      </c>
      <c r="M206" s="106" t="s">
        <v>134</v>
      </c>
      <c r="N206" s="150"/>
      <c r="O206" s="150"/>
      <c r="P206" s="150"/>
      <c r="Q206" s="13"/>
      <c r="R206" s="13"/>
    </row>
    <row r="207" spans="1:18" s="14" customFormat="1" ht="78.75" hidden="1">
      <c r="A207" s="106">
        <v>205</v>
      </c>
      <c r="B207" s="107">
        <v>44714</v>
      </c>
      <c r="C207" s="106" t="s">
        <v>1015</v>
      </c>
      <c r="D207" s="111" t="s">
        <v>207</v>
      </c>
      <c r="E207" s="111"/>
      <c r="F207" s="110" t="s">
        <v>1038</v>
      </c>
      <c r="G207" s="106" t="s">
        <v>1039</v>
      </c>
      <c r="H207" s="106" t="s">
        <v>1040</v>
      </c>
      <c r="I207" s="107">
        <v>44707</v>
      </c>
      <c r="J207" s="106" t="s">
        <v>180</v>
      </c>
      <c r="K207" s="106" t="s">
        <v>125</v>
      </c>
      <c r="L207" s="112" t="str">
        <f ca="1">IFERROR(_xlfn.IFNA(VLOOKUP($K207,[19]коммент!$B:$C,2,0),""),"")</f>
        <v/>
      </c>
      <c r="M207" s="106" t="s">
        <v>189</v>
      </c>
      <c r="N207" s="150"/>
      <c r="O207" s="150"/>
      <c r="P207" s="150" t="s">
        <v>1041</v>
      </c>
      <c r="Q207" s="13"/>
      <c r="R207" s="13"/>
    </row>
    <row r="208" spans="1:18" s="14" customFormat="1" ht="47.25" hidden="1">
      <c r="A208" s="106">
        <v>206</v>
      </c>
      <c r="B208" s="107">
        <v>44714</v>
      </c>
      <c r="C208" s="106" t="s">
        <v>1015</v>
      </c>
      <c r="D208" s="111" t="s">
        <v>207</v>
      </c>
      <c r="E208" s="111"/>
      <c r="F208" s="110" t="s">
        <v>1042</v>
      </c>
      <c r="G208" s="106" t="s">
        <v>1043</v>
      </c>
      <c r="H208" s="106" t="s">
        <v>1044</v>
      </c>
      <c r="I208" s="107">
        <v>44709</v>
      </c>
      <c r="J208" s="106" t="s">
        <v>180</v>
      </c>
      <c r="K208" s="106" t="s">
        <v>36</v>
      </c>
      <c r="L208" s="112" t="str">
        <f ca="1">IFERROR(_xlfn.IFNA(VLOOKUP($K208,[19]коммент!$B:$C,2,0),""),"")</f>
        <v/>
      </c>
      <c r="M208" s="106"/>
      <c r="N208" s="150"/>
      <c r="O208" s="150"/>
      <c r="P208" s="150" t="s">
        <v>1045</v>
      </c>
      <c r="Q208" s="13"/>
      <c r="R208" s="13"/>
    </row>
    <row r="209" spans="1:18" s="14" customFormat="1" ht="31.5" hidden="1">
      <c r="A209" s="106">
        <v>207</v>
      </c>
      <c r="B209" s="107">
        <v>44714</v>
      </c>
      <c r="C209" s="106" t="s">
        <v>1015</v>
      </c>
      <c r="D209" s="111" t="s">
        <v>207</v>
      </c>
      <c r="E209" s="111"/>
      <c r="F209" s="110" t="s">
        <v>1074</v>
      </c>
      <c r="G209" s="106" t="s">
        <v>1075</v>
      </c>
      <c r="H209" s="106" t="s">
        <v>663</v>
      </c>
      <c r="I209" s="107">
        <v>44712</v>
      </c>
      <c r="J209" s="106" t="s">
        <v>134</v>
      </c>
      <c r="K209" s="106" t="s">
        <v>1</v>
      </c>
      <c r="L209" s="112" t="str">
        <f ca="1">IFERROR(_xlfn.IFNA(VLOOKUP($K209,[19]коммент!$B:$C,2,0),""),"")</f>
        <v/>
      </c>
      <c r="M209" s="106" t="s">
        <v>134</v>
      </c>
      <c r="N209" s="106"/>
      <c r="O209" s="106"/>
      <c r="P209" s="106"/>
      <c r="Q209" s="13"/>
      <c r="R209" s="13"/>
    </row>
    <row r="210" spans="1:18" s="14" customFormat="1" ht="31.5" hidden="1">
      <c r="A210" s="106">
        <v>208</v>
      </c>
      <c r="B210" s="107">
        <v>44714</v>
      </c>
      <c r="C210" s="106" t="s">
        <v>1114</v>
      </c>
      <c r="D210" s="111" t="s">
        <v>207</v>
      </c>
      <c r="E210" s="111" t="s">
        <v>202</v>
      </c>
      <c r="F210" s="129" t="s">
        <v>1115</v>
      </c>
      <c r="G210" s="129" t="s">
        <v>1116</v>
      </c>
      <c r="H210" s="106" t="s">
        <v>1117</v>
      </c>
      <c r="I210" s="107">
        <v>44713</v>
      </c>
      <c r="J210" s="106" t="s">
        <v>180</v>
      </c>
      <c r="K210" s="106" t="s">
        <v>111</v>
      </c>
      <c r="L210" s="112" t="str">
        <f ca="1">IFERROR(_xlfn.IFNA(VLOOKUP($K210,[34]коммент!$B:$C,2,0),""),"")</f>
        <v/>
      </c>
      <c r="M210" s="106" t="s">
        <v>154</v>
      </c>
      <c r="N210" s="106" t="s">
        <v>114</v>
      </c>
      <c r="O210" s="106"/>
      <c r="P210" s="106"/>
      <c r="Q210" s="13"/>
      <c r="R210" s="13"/>
    </row>
    <row r="211" spans="1:18" s="14" customFormat="1" ht="31.5" hidden="1">
      <c r="A211" s="106">
        <v>209</v>
      </c>
      <c r="B211" s="107">
        <v>44714</v>
      </c>
      <c r="C211" s="106" t="s">
        <v>1114</v>
      </c>
      <c r="D211" s="111" t="s">
        <v>207</v>
      </c>
      <c r="E211" s="111" t="s">
        <v>206</v>
      </c>
      <c r="F211" s="129" t="s">
        <v>1118</v>
      </c>
      <c r="G211" s="129" t="s">
        <v>1119</v>
      </c>
      <c r="H211" s="106" t="s">
        <v>215</v>
      </c>
      <c r="I211" s="107">
        <v>44713</v>
      </c>
      <c r="J211" s="106" t="s">
        <v>180</v>
      </c>
      <c r="K211" s="106" t="s">
        <v>111</v>
      </c>
      <c r="L211" s="112" t="str">
        <f ca="1">IFERROR(_xlfn.IFNA(VLOOKUP($K211,[34]коммент!$B:$C,2,0),""),"")</f>
        <v/>
      </c>
      <c r="M211" s="106" t="s">
        <v>154</v>
      </c>
      <c r="N211" s="106" t="s">
        <v>114</v>
      </c>
      <c r="O211" s="106"/>
      <c r="P211" s="106"/>
      <c r="Q211" s="13"/>
      <c r="R211" s="13"/>
    </row>
    <row r="212" spans="1:18" s="14" customFormat="1" ht="31.5" hidden="1">
      <c r="A212" s="106">
        <v>210</v>
      </c>
      <c r="B212" s="107">
        <v>44714</v>
      </c>
      <c r="C212" s="106" t="s">
        <v>1127</v>
      </c>
      <c r="D212" s="111" t="s">
        <v>207</v>
      </c>
      <c r="E212" s="111" t="s">
        <v>206</v>
      </c>
      <c r="F212" s="110" t="s">
        <v>1128</v>
      </c>
      <c r="G212" s="106">
        <v>9260790884</v>
      </c>
      <c r="H212" s="106" t="s">
        <v>220</v>
      </c>
      <c r="I212" s="107">
        <v>44706</v>
      </c>
      <c r="J212" s="106" t="s">
        <v>179</v>
      </c>
      <c r="K212" s="106" t="s">
        <v>125</v>
      </c>
      <c r="L212" s="112" t="str">
        <f ca="1">IFERROR(_xlfn.IFNA(VLOOKUP($K212,[64]коммент!$B:$C,2,0),""),"")</f>
        <v/>
      </c>
      <c r="M212" s="106" t="s">
        <v>128</v>
      </c>
      <c r="N212" s="106"/>
      <c r="O212" s="106"/>
      <c r="P212" s="106"/>
      <c r="Q212" s="13"/>
      <c r="R212" s="13"/>
    </row>
    <row r="213" spans="1:18" s="14" customFormat="1" ht="31.5" hidden="1">
      <c r="A213" s="106">
        <v>211</v>
      </c>
      <c r="B213" s="107">
        <v>44714</v>
      </c>
      <c r="C213" s="106" t="s">
        <v>1127</v>
      </c>
      <c r="D213" s="111" t="s">
        <v>207</v>
      </c>
      <c r="E213" s="111" t="s">
        <v>202</v>
      </c>
      <c r="F213" s="110" t="s">
        <v>1128</v>
      </c>
      <c r="G213" s="106">
        <v>9260790884</v>
      </c>
      <c r="H213" s="106" t="s">
        <v>1117</v>
      </c>
      <c r="I213" s="107">
        <v>44708</v>
      </c>
      <c r="J213" s="106" t="s">
        <v>180</v>
      </c>
      <c r="K213" s="106" t="s">
        <v>111</v>
      </c>
      <c r="L213" s="112" t="str">
        <f ca="1">IFERROR(_xlfn.IFNA(VLOOKUP($K213,[64]коммент!$B:$C,2,0),""),"")</f>
        <v/>
      </c>
      <c r="M213" s="106" t="s">
        <v>154</v>
      </c>
      <c r="N213" s="106"/>
      <c r="O213" s="106"/>
      <c r="P213" s="106"/>
      <c r="Q213" s="13"/>
      <c r="R213" s="13"/>
    </row>
    <row r="214" spans="1:18" s="14" customFormat="1" ht="63" hidden="1">
      <c r="A214" s="106">
        <v>212</v>
      </c>
      <c r="B214" s="107">
        <v>44714</v>
      </c>
      <c r="C214" s="106" t="s">
        <v>1127</v>
      </c>
      <c r="D214" s="111" t="s">
        <v>207</v>
      </c>
      <c r="E214" s="111" t="s">
        <v>206</v>
      </c>
      <c r="F214" s="110" t="s">
        <v>1129</v>
      </c>
      <c r="G214" s="106" t="s">
        <v>1130</v>
      </c>
      <c r="H214" s="106" t="s">
        <v>220</v>
      </c>
      <c r="I214" s="107">
        <v>44713</v>
      </c>
      <c r="J214" s="106" t="s">
        <v>179</v>
      </c>
      <c r="K214" s="106" t="s">
        <v>111</v>
      </c>
      <c r="L214" s="112" t="str">
        <f ca="1">IFERROR(_xlfn.IFNA(VLOOKUP($K214,[64]коммент!$B:$C,2,0),""),"")</f>
        <v/>
      </c>
      <c r="M214" s="106" t="s">
        <v>154</v>
      </c>
      <c r="N214" s="106"/>
      <c r="O214" s="106"/>
      <c r="P214" s="106"/>
      <c r="Q214" s="13"/>
      <c r="R214" s="13"/>
    </row>
    <row r="215" spans="1:18" s="14" customFormat="1" ht="31.5" hidden="1">
      <c r="A215" s="106">
        <v>213</v>
      </c>
      <c r="B215" s="107">
        <v>44714</v>
      </c>
      <c r="C215" s="106" t="s">
        <v>1141</v>
      </c>
      <c r="D215" s="111" t="s">
        <v>207</v>
      </c>
      <c r="E215" s="111" t="s">
        <v>206</v>
      </c>
      <c r="F215" s="110" t="s">
        <v>1145</v>
      </c>
      <c r="G215" s="106">
        <v>89151650773</v>
      </c>
      <c r="H215" s="106" t="s">
        <v>215</v>
      </c>
      <c r="I215" s="107">
        <v>44713</v>
      </c>
      <c r="J215" s="106" t="s">
        <v>180</v>
      </c>
      <c r="K215" s="106" t="s">
        <v>111</v>
      </c>
      <c r="L215" s="112" t="str">
        <f ca="1">IFERROR(_xlfn.IFNA(VLOOKUP($K215,[11]коммент!$B:$C,2,0),""),"")</f>
        <v/>
      </c>
      <c r="M215" s="106" t="s">
        <v>133</v>
      </c>
      <c r="N215" s="106" t="s">
        <v>183</v>
      </c>
      <c r="O215" s="106" t="s">
        <v>207</v>
      </c>
      <c r="P215" s="106" t="s">
        <v>1146</v>
      </c>
      <c r="Q215" s="13"/>
      <c r="R215" s="13"/>
    </row>
    <row r="216" spans="1:18" s="14" customFormat="1" ht="47.25" hidden="1">
      <c r="A216" s="106">
        <v>214</v>
      </c>
      <c r="B216" s="107">
        <v>44714</v>
      </c>
      <c r="C216" s="106" t="s">
        <v>1141</v>
      </c>
      <c r="D216" s="111" t="s">
        <v>207</v>
      </c>
      <c r="E216" s="111" t="s">
        <v>202</v>
      </c>
      <c r="F216" s="110" t="s">
        <v>1147</v>
      </c>
      <c r="G216" s="106">
        <v>89859648949</v>
      </c>
      <c r="H216" s="106" t="s">
        <v>1148</v>
      </c>
      <c r="I216" s="107">
        <v>44713</v>
      </c>
      <c r="J216" s="106" t="s">
        <v>180</v>
      </c>
      <c r="K216" s="106" t="s">
        <v>125</v>
      </c>
      <c r="L216" s="112" t="str">
        <f ca="1">IFERROR(_xlfn.IFNA(VLOOKUP($K216,[11]коммент!$B:$C,2,0),""),"")</f>
        <v/>
      </c>
      <c r="M216" s="106" t="s">
        <v>128</v>
      </c>
      <c r="N216" s="106"/>
      <c r="O216" s="106"/>
      <c r="P216" s="106" t="s">
        <v>1149</v>
      </c>
      <c r="Q216" s="13"/>
      <c r="R216" s="13"/>
    </row>
    <row r="217" spans="1:18" s="14" customFormat="1" ht="31.5" hidden="1">
      <c r="A217" s="106">
        <v>215</v>
      </c>
      <c r="B217" s="107">
        <v>44714</v>
      </c>
      <c r="C217" s="106" t="s">
        <v>1178</v>
      </c>
      <c r="D217" s="111" t="s">
        <v>207</v>
      </c>
      <c r="E217" s="111"/>
      <c r="F217" s="110" t="s">
        <v>1179</v>
      </c>
      <c r="G217" s="106">
        <v>9096976003</v>
      </c>
      <c r="H217" s="106" t="s">
        <v>272</v>
      </c>
      <c r="I217" s="107">
        <v>44705</v>
      </c>
      <c r="J217" s="106" t="s">
        <v>180</v>
      </c>
      <c r="K217" s="114" t="s">
        <v>111</v>
      </c>
      <c r="L217" s="115" t="str">
        <f ca="1">IFERROR(_xlfn.IFNA(VLOOKUP($K217,[65]коммент!$B:$C,2,0),""),"")</f>
        <v/>
      </c>
      <c r="M217" s="106" t="s">
        <v>133</v>
      </c>
      <c r="N217" s="106" t="s">
        <v>183</v>
      </c>
      <c r="O217" s="106" t="s">
        <v>207</v>
      </c>
      <c r="P217" s="106"/>
      <c r="Q217" s="13"/>
      <c r="R217" s="13"/>
    </row>
    <row r="218" spans="1:18" s="14" customFormat="1" ht="31.5" hidden="1">
      <c r="A218" s="106">
        <v>216</v>
      </c>
      <c r="B218" s="107">
        <v>44714</v>
      </c>
      <c r="C218" s="106" t="s">
        <v>1188</v>
      </c>
      <c r="D218" s="111" t="s">
        <v>207</v>
      </c>
      <c r="E218" s="111"/>
      <c r="F218" s="110" t="s">
        <v>1189</v>
      </c>
      <c r="G218" s="106" t="s">
        <v>1190</v>
      </c>
      <c r="H218" s="106" t="s">
        <v>537</v>
      </c>
      <c r="I218" s="107">
        <v>44698</v>
      </c>
      <c r="J218" s="106" t="s">
        <v>180</v>
      </c>
      <c r="K218" s="106" t="s">
        <v>111</v>
      </c>
      <c r="L218" s="112" t="str">
        <f ca="1">IFERROR(_xlfn.IFNA(VLOOKUP($K218,[54]коммент!$B:$C,2,0),""),"")</f>
        <v/>
      </c>
      <c r="M218" s="106" t="s">
        <v>133</v>
      </c>
      <c r="N218" s="106" t="s">
        <v>183</v>
      </c>
      <c r="O218" s="106" t="s">
        <v>207</v>
      </c>
      <c r="P218" s="106"/>
      <c r="Q218" s="13"/>
      <c r="R218" s="13"/>
    </row>
    <row r="219" spans="1:18" s="14" customFormat="1" ht="31.5" hidden="1">
      <c r="A219" s="106">
        <v>217</v>
      </c>
      <c r="B219" s="107">
        <v>44714</v>
      </c>
      <c r="C219" s="106" t="s">
        <v>1188</v>
      </c>
      <c r="D219" s="111" t="s">
        <v>207</v>
      </c>
      <c r="E219" s="111"/>
      <c r="F219" s="110" t="s">
        <v>1194</v>
      </c>
      <c r="G219" s="106" t="s">
        <v>1195</v>
      </c>
      <c r="H219" s="106"/>
      <c r="I219" s="106"/>
      <c r="J219" s="106" t="s">
        <v>180</v>
      </c>
      <c r="K219" s="106" t="s">
        <v>125</v>
      </c>
      <c r="L219" s="112" t="str">
        <f ca="1">IFERROR(_xlfn.IFNA(VLOOKUP($K219,[54]коммент!$B:$C,2,0),""),"")</f>
        <v/>
      </c>
      <c r="M219" s="106" t="s">
        <v>188</v>
      </c>
      <c r="N219" s="106"/>
      <c r="O219" s="106"/>
      <c r="P219" s="106" t="s">
        <v>1196</v>
      </c>
      <c r="Q219" s="13"/>
      <c r="R219" s="13"/>
    </row>
    <row r="220" spans="1:18" s="14" customFormat="1" ht="47.25" hidden="1">
      <c r="A220" s="106">
        <v>218</v>
      </c>
      <c r="B220" s="107">
        <v>44714</v>
      </c>
      <c r="C220" s="106" t="s">
        <v>1225</v>
      </c>
      <c r="D220" s="111" t="s">
        <v>207</v>
      </c>
      <c r="E220" s="111"/>
      <c r="F220" s="110" t="s">
        <v>1227</v>
      </c>
      <c r="G220" s="106">
        <v>9269082624</v>
      </c>
      <c r="H220" s="106" t="s">
        <v>1044</v>
      </c>
      <c r="I220" s="107">
        <v>44706</v>
      </c>
      <c r="J220" s="106" t="s">
        <v>180</v>
      </c>
      <c r="K220" s="106" t="s">
        <v>113</v>
      </c>
      <c r="L220" s="112" t="s">
        <v>143</v>
      </c>
      <c r="M220" s="106"/>
      <c r="N220" s="106"/>
      <c r="O220" s="106"/>
      <c r="P220" s="106" t="s">
        <v>1228</v>
      </c>
      <c r="Q220" s="13"/>
      <c r="R220" s="13"/>
    </row>
    <row r="221" spans="1:18" s="14" customFormat="1" ht="94.5" hidden="1">
      <c r="A221" s="106">
        <v>219</v>
      </c>
      <c r="B221" s="107">
        <v>44714</v>
      </c>
      <c r="C221" s="106" t="s">
        <v>1236</v>
      </c>
      <c r="D221" s="111" t="s">
        <v>207</v>
      </c>
      <c r="E221" s="111" t="s">
        <v>206</v>
      </c>
      <c r="F221" s="105" t="s">
        <v>1252</v>
      </c>
      <c r="G221" s="105" t="s">
        <v>1253</v>
      </c>
      <c r="H221" s="106" t="s">
        <v>1254</v>
      </c>
      <c r="I221" s="107">
        <v>44711</v>
      </c>
      <c r="J221" s="106" t="s">
        <v>134</v>
      </c>
      <c r="K221" s="119" t="s">
        <v>111</v>
      </c>
      <c r="L221" s="112" t="s">
        <v>165</v>
      </c>
      <c r="M221" s="106" t="s">
        <v>154</v>
      </c>
      <c r="N221" s="106"/>
      <c r="O221" s="106"/>
      <c r="P221" s="106" t="s">
        <v>1255</v>
      </c>
      <c r="Q221" s="13"/>
      <c r="R221" s="13"/>
    </row>
    <row r="222" spans="1:18" s="14" customFormat="1" ht="94.5" hidden="1">
      <c r="A222" s="106">
        <v>220</v>
      </c>
      <c r="B222" s="107">
        <v>44714</v>
      </c>
      <c r="C222" s="106" t="s">
        <v>1236</v>
      </c>
      <c r="D222" s="111" t="s">
        <v>207</v>
      </c>
      <c r="E222" s="111"/>
      <c r="F222" s="105" t="s">
        <v>1256</v>
      </c>
      <c r="G222" s="105" t="s">
        <v>1257</v>
      </c>
      <c r="H222" s="106" t="s">
        <v>292</v>
      </c>
      <c r="I222" s="107">
        <v>44708</v>
      </c>
      <c r="J222" s="106" t="s">
        <v>134</v>
      </c>
      <c r="K222" s="119" t="s">
        <v>111</v>
      </c>
      <c r="L222" s="112" t="s">
        <v>165</v>
      </c>
      <c r="M222" s="106" t="s">
        <v>154</v>
      </c>
      <c r="N222" s="106"/>
      <c r="O222" s="106"/>
      <c r="P222" s="106" t="s">
        <v>1258</v>
      </c>
      <c r="Q222" s="13"/>
      <c r="R222" s="13"/>
    </row>
    <row r="223" spans="1:18" s="14" customFormat="1" ht="126" hidden="1">
      <c r="A223" s="106">
        <v>221</v>
      </c>
      <c r="B223" s="107">
        <v>44714</v>
      </c>
      <c r="C223" s="106" t="s">
        <v>1236</v>
      </c>
      <c r="D223" s="111" t="s">
        <v>207</v>
      </c>
      <c r="E223" s="111"/>
      <c r="F223" s="129" t="s">
        <v>1259</v>
      </c>
      <c r="G223" s="129" t="s">
        <v>1260</v>
      </c>
      <c r="H223" s="106" t="s">
        <v>1261</v>
      </c>
      <c r="I223" s="107">
        <v>44713</v>
      </c>
      <c r="J223" s="106" t="s">
        <v>179</v>
      </c>
      <c r="K223" s="119" t="s">
        <v>125</v>
      </c>
      <c r="L223" s="112" t="s">
        <v>162</v>
      </c>
      <c r="M223" s="106" t="s">
        <v>188</v>
      </c>
      <c r="N223" s="106"/>
      <c r="O223" s="106"/>
      <c r="P223" s="106" t="s">
        <v>1262</v>
      </c>
      <c r="Q223" s="13"/>
      <c r="R223" s="13"/>
    </row>
    <row r="224" spans="1:18" s="14" customFormat="1" ht="63" hidden="1">
      <c r="A224" s="106">
        <v>222</v>
      </c>
      <c r="B224" s="107">
        <v>44714</v>
      </c>
      <c r="C224" s="106" t="s">
        <v>1236</v>
      </c>
      <c r="D224" s="111" t="s">
        <v>207</v>
      </c>
      <c r="E224" s="111" t="s">
        <v>206</v>
      </c>
      <c r="F224" s="129" t="s">
        <v>1263</v>
      </c>
      <c r="G224" s="129" t="s">
        <v>1264</v>
      </c>
      <c r="H224" s="106" t="s">
        <v>1265</v>
      </c>
      <c r="I224" s="107">
        <v>44713</v>
      </c>
      <c r="J224" s="106" t="s">
        <v>180</v>
      </c>
      <c r="K224" s="119" t="s">
        <v>36</v>
      </c>
      <c r="L224" s="112" t="s">
        <v>157</v>
      </c>
      <c r="M224" s="106"/>
      <c r="N224" s="106"/>
      <c r="O224" s="106"/>
      <c r="P224" s="106" t="s">
        <v>1266</v>
      </c>
      <c r="Q224" s="13"/>
      <c r="R224" s="13"/>
    </row>
    <row r="225" spans="1:18" s="14" customFormat="1" ht="94.5" hidden="1">
      <c r="A225" s="106">
        <v>223</v>
      </c>
      <c r="B225" s="107">
        <v>44714</v>
      </c>
      <c r="C225" s="106" t="s">
        <v>1236</v>
      </c>
      <c r="D225" s="111" t="s">
        <v>207</v>
      </c>
      <c r="E225" s="111" t="s">
        <v>206</v>
      </c>
      <c r="F225" s="129" t="s">
        <v>1267</v>
      </c>
      <c r="G225" s="129" t="s">
        <v>1268</v>
      </c>
      <c r="H225" s="106" t="s">
        <v>1254</v>
      </c>
      <c r="I225" s="107">
        <v>44713</v>
      </c>
      <c r="J225" s="106" t="s">
        <v>180</v>
      </c>
      <c r="K225" s="119" t="s">
        <v>111</v>
      </c>
      <c r="L225" s="112" t="s">
        <v>165</v>
      </c>
      <c r="M225" s="106" t="s">
        <v>154</v>
      </c>
      <c r="N225" s="106"/>
      <c r="O225" s="106"/>
      <c r="P225" s="106" t="s">
        <v>1255</v>
      </c>
      <c r="Q225" s="13"/>
      <c r="R225" s="13"/>
    </row>
    <row r="226" spans="1:18" s="14" customFormat="1" ht="126" hidden="1">
      <c r="A226" s="106">
        <v>224</v>
      </c>
      <c r="B226" s="107">
        <v>44714</v>
      </c>
      <c r="C226" s="106" t="s">
        <v>1236</v>
      </c>
      <c r="D226" s="111" t="s">
        <v>207</v>
      </c>
      <c r="E226" s="111"/>
      <c r="F226" s="129" t="s">
        <v>1259</v>
      </c>
      <c r="G226" s="129" t="s">
        <v>1260</v>
      </c>
      <c r="H226" s="106" t="s">
        <v>1261</v>
      </c>
      <c r="I226" s="107">
        <v>44713</v>
      </c>
      <c r="J226" s="106" t="s">
        <v>179</v>
      </c>
      <c r="K226" s="119" t="s">
        <v>125</v>
      </c>
      <c r="L226" s="112" t="s">
        <v>162</v>
      </c>
      <c r="M226" s="106" t="s">
        <v>188</v>
      </c>
      <c r="N226" s="106"/>
      <c r="O226" s="106"/>
      <c r="P226" s="106" t="s">
        <v>1269</v>
      </c>
      <c r="Q226" s="13"/>
      <c r="R226" s="13"/>
    </row>
    <row r="227" spans="1:18" s="14" customFormat="1" ht="94.5" hidden="1">
      <c r="A227" s="106">
        <v>225</v>
      </c>
      <c r="B227" s="107">
        <v>44714</v>
      </c>
      <c r="C227" s="106" t="s">
        <v>1285</v>
      </c>
      <c r="D227" s="111" t="s">
        <v>207</v>
      </c>
      <c r="E227" s="111" t="s">
        <v>206</v>
      </c>
      <c r="F227" s="109" t="s">
        <v>1288</v>
      </c>
      <c r="G227" s="106">
        <v>4999355042</v>
      </c>
      <c r="H227" s="106" t="s">
        <v>215</v>
      </c>
      <c r="I227" s="107">
        <v>44713</v>
      </c>
      <c r="J227" s="106" t="s">
        <v>180</v>
      </c>
      <c r="K227" s="106" t="s">
        <v>111</v>
      </c>
      <c r="L227" s="112" t="s">
        <v>165</v>
      </c>
      <c r="M227" s="106" t="s">
        <v>133</v>
      </c>
      <c r="N227" s="106" t="s">
        <v>183</v>
      </c>
      <c r="O227" s="106" t="s">
        <v>207</v>
      </c>
      <c r="P227" s="106"/>
      <c r="Q227" s="13"/>
      <c r="R227" s="13"/>
    </row>
    <row r="228" spans="1:18" s="14" customFormat="1" ht="94.5" hidden="1">
      <c r="A228" s="106">
        <v>226</v>
      </c>
      <c r="B228" s="107">
        <v>44714</v>
      </c>
      <c r="C228" s="106" t="s">
        <v>1285</v>
      </c>
      <c r="D228" s="111" t="s">
        <v>207</v>
      </c>
      <c r="E228" s="111" t="s">
        <v>206</v>
      </c>
      <c r="F228" s="109" t="s">
        <v>1289</v>
      </c>
      <c r="G228" s="106" t="s">
        <v>1290</v>
      </c>
      <c r="H228" s="106" t="s">
        <v>220</v>
      </c>
      <c r="I228" s="107">
        <v>44713</v>
      </c>
      <c r="J228" s="106" t="s">
        <v>179</v>
      </c>
      <c r="K228" s="106" t="s">
        <v>111</v>
      </c>
      <c r="L228" s="112" t="s">
        <v>165</v>
      </c>
      <c r="M228" s="106" t="s">
        <v>154</v>
      </c>
      <c r="N228" s="106"/>
      <c r="O228" s="106"/>
      <c r="P228" s="106"/>
      <c r="Q228" s="13"/>
      <c r="R228" s="13"/>
    </row>
    <row r="229" spans="1:18" s="14" customFormat="1" ht="31.5" hidden="1">
      <c r="A229" s="106">
        <v>227</v>
      </c>
      <c r="B229" s="107">
        <v>44714</v>
      </c>
      <c r="C229" s="106" t="s">
        <v>1303</v>
      </c>
      <c r="D229" s="111" t="s">
        <v>207</v>
      </c>
      <c r="E229" s="111"/>
      <c r="F229" s="110" t="s">
        <v>1312</v>
      </c>
      <c r="G229" s="106" t="s">
        <v>1313</v>
      </c>
      <c r="H229" s="106" t="s">
        <v>274</v>
      </c>
      <c r="I229" s="107">
        <v>44638</v>
      </c>
      <c r="J229" s="106" t="s">
        <v>184</v>
      </c>
      <c r="K229" s="106" t="s">
        <v>175</v>
      </c>
      <c r="L229" s="112" t="str">
        <f ca="1">IFERROR(_xlfn.IFNA(VLOOKUP($K229,[21]коммент!$B:$C,2,0),""),"")</f>
        <v/>
      </c>
      <c r="M229" s="106"/>
      <c r="N229" s="106"/>
      <c r="O229" s="106"/>
      <c r="P229" s="106" t="s">
        <v>1314</v>
      </c>
      <c r="Q229" s="13"/>
      <c r="R229" s="13"/>
    </row>
    <row r="230" spans="1:18" s="14" customFormat="1" ht="94.5" hidden="1">
      <c r="A230" s="106">
        <v>228</v>
      </c>
      <c r="B230" s="107">
        <v>44714</v>
      </c>
      <c r="C230" s="106" t="s">
        <v>1303</v>
      </c>
      <c r="D230" s="111" t="s">
        <v>207</v>
      </c>
      <c r="E230" s="111"/>
      <c r="F230" s="110" t="s">
        <v>1320</v>
      </c>
      <c r="G230" s="106" t="s">
        <v>1321</v>
      </c>
      <c r="H230" s="106" t="s">
        <v>1322</v>
      </c>
      <c r="I230" s="107">
        <v>44707</v>
      </c>
      <c r="J230" s="106" t="s">
        <v>180</v>
      </c>
      <c r="K230" s="106" t="s">
        <v>113</v>
      </c>
      <c r="L230" s="112" t="s">
        <v>165</v>
      </c>
      <c r="M230" s="106"/>
      <c r="N230" s="106" t="s">
        <v>183</v>
      </c>
      <c r="O230" s="106" t="s">
        <v>207</v>
      </c>
      <c r="P230" s="106" t="s">
        <v>1323</v>
      </c>
      <c r="Q230" s="13"/>
      <c r="R230" s="13"/>
    </row>
    <row r="231" spans="1:18" s="14" customFormat="1" ht="47.25" hidden="1">
      <c r="A231" s="106">
        <v>229</v>
      </c>
      <c r="B231" s="107">
        <v>44714</v>
      </c>
      <c r="C231" s="106" t="s">
        <v>1326</v>
      </c>
      <c r="D231" s="111" t="s">
        <v>207</v>
      </c>
      <c r="E231" s="111" t="s">
        <v>202</v>
      </c>
      <c r="F231" s="110" t="s">
        <v>1327</v>
      </c>
      <c r="G231" s="106" t="s">
        <v>1328</v>
      </c>
      <c r="H231" s="106" t="s">
        <v>382</v>
      </c>
      <c r="I231" s="107">
        <v>44701</v>
      </c>
      <c r="J231" s="106" t="s">
        <v>134</v>
      </c>
      <c r="K231" s="106" t="s">
        <v>36</v>
      </c>
      <c r="L231" s="112" t="s">
        <v>157</v>
      </c>
      <c r="M231" s="106"/>
      <c r="N231" s="106"/>
      <c r="O231" s="106"/>
      <c r="P231" s="106" t="s">
        <v>1329</v>
      </c>
      <c r="Q231" s="13"/>
      <c r="R231" s="13"/>
    </row>
    <row r="232" spans="1:18" s="14" customFormat="1" ht="31.5" hidden="1">
      <c r="A232" s="106">
        <v>230</v>
      </c>
      <c r="B232" s="107">
        <v>44714</v>
      </c>
      <c r="C232" s="106" t="s">
        <v>376</v>
      </c>
      <c r="D232" s="111" t="s">
        <v>96</v>
      </c>
      <c r="E232" s="111"/>
      <c r="F232" s="110" t="s">
        <v>377</v>
      </c>
      <c r="G232" s="106">
        <v>9508818835</v>
      </c>
      <c r="H232" s="106" t="s">
        <v>378</v>
      </c>
      <c r="I232" s="107">
        <v>44712</v>
      </c>
      <c r="J232" s="106" t="s">
        <v>180</v>
      </c>
      <c r="K232" s="106" t="s">
        <v>6</v>
      </c>
      <c r="L232" s="112"/>
      <c r="M232" s="106"/>
      <c r="N232" s="106"/>
      <c r="O232" s="106"/>
      <c r="P232" s="106"/>
      <c r="Q232" s="13"/>
      <c r="R232" s="13"/>
    </row>
    <row r="233" spans="1:18" s="14" customFormat="1" ht="94.5" hidden="1">
      <c r="A233" s="106">
        <v>231</v>
      </c>
      <c r="B233" s="107">
        <v>44714</v>
      </c>
      <c r="C233" s="106" t="s">
        <v>660</v>
      </c>
      <c r="D233" s="111" t="s">
        <v>96</v>
      </c>
      <c r="E233" s="111"/>
      <c r="F233" s="110" t="s">
        <v>666</v>
      </c>
      <c r="G233" s="106">
        <v>9680666028</v>
      </c>
      <c r="H233" s="106" t="s">
        <v>667</v>
      </c>
      <c r="I233" s="107">
        <v>44634</v>
      </c>
      <c r="J233" s="106" t="s">
        <v>134</v>
      </c>
      <c r="K233" s="106" t="s">
        <v>6</v>
      </c>
      <c r="L233" s="112" t="s">
        <v>147</v>
      </c>
      <c r="M233" s="106"/>
      <c r="N233" s="106"/>
      <c r="O233" s="106"/>
      <c r="P233" s="106"/>
      <c r="Q233" s="13"/>
      <c r="R233" s="13"/>
    </row>
    <row r="234" spans="1:18" s="14" customFormat="1" hidden="1">
      <c r="A234" s="106">
        <v>232</v>
      </c>
      <c r="B234" s="107">
        <v>44714</v>
      </c>
      <c r="C234" s="106" t="s">
        <v>376</v>
      </c>
      <c r="D234" s="111" t="s">
        <v>97</v>
      </c>
      <c r="E234" s="111"/>
      <c r="F234" s="110" t="s">
        <v>381</v>
      </c>
      <c r="G234" s="106">
        <v>9015226300</v>
      </c>
      <c r="H234" s="106" t="s">
        <v>382</v>
      </c>
      <c r="I234" s="107">
        <v>44686</v>
      </c>
      <c r="J234" s="106" t="s">
        <v>180</v>
      </c>
      <c r="K234" s="106" t="s">
        <v>85</v>
      </c>
      <c r="L234" s="112"/>
      <c r="M234" s="106" t="s">
        <v>188</v>
      </c>
      <c r="N234" s="106"/>
      <c r="O234" s="106"/>
      <c r="P234" s="106"/>
      <c r="Q234" s="13"/>
      <c r="R234" s="13"/>
    </row>
    <row r="235" spans="1:18" s="14" customFormat="1" ht="94.5" hidden="1">
      <c r="A235" s="106">
        <v>233</v>
      </c>
      <c r="B235" s="107">
        <v>44714</v>
      </c>
      <c r="C235" s="106" t="s">
        <v>660</v>
      </c>
      <c r="D235" s="111" t="s">
        <v>97</v>
      </c>
      <c r="E235" s="111"/>
      <c r="F235" s="110" t="s">
        <v>670</v>
      </c>
      <c r="G235" s="106">
        <v>9161422877</v>
      </c>
      <c r="H235" s="106" t="s">
        <v>671</v>
      </c>
      <c r="I235" s="107">
        <v>44713</v>
      </c>
      <c r="J235" s="106" t="s">
        <v>180</v>
      </c>
      <c r="K235" s="106" t="s">
        <v>111</v>
      </c>
      <c r="L235" s="112" t="s">
        <v>165</v>
      </c>
      <c r="M235" s="106" t="s">
        <v>130</v>
      </c>
      <c r="N235" s="106" t="s">
        <v>114</v>
      </c>
      <c r="O235" s="106"/>
      <c r="P235" s="106" t="s">
        <v>672</v>
      </c>
      <c r="Q235" s="13"/>
      <c r="R235" s="13"/>
    </row>
    <row r="236" spans="1:18" s="14" customFormat="1" ht="47.25" hidden="1">
      <c r="A236" s="106">
        <v>234</v>
      </c>
      <c r="B236" s="107">
        <v>44714</v>
      </c>
      <c r="C236" s="106" t="s">
        <v>1326</v>
      </c>
      <c r="D236" s="111" t="s">
        <v>97</v>
      </c>
      <c r="E236" s="111"/>
      <c r="F236" s="110" t="s">
        <v>1330</v>
      </c>
      <c r="G236" s="106" t="s">
        <v>1331</v>
      </c>
      <c r="H236" s="106"/>
      <c r="I236" s="106"/>
      <c r="J236" s="106" t="s">
        <v>180</v>
      </c>
      <c r="K236" s="106" t="s">
        <v>113</v>
      </c>
      <c r="L236" s="112" t="s">
        <v>143</v>
      </c>
      <c r="M236" s="106"/>
      <c r="N236" s="106"/>
      <c r="O236" s="106"/>
      <c r="P236" s="106" t="s">
        <v>1332</v>
      </c>
      <c r="Q236" s="13"/>
      <c r="R236" s="13"/>
    </row>
    <row r="237" spans="1:18" s="14" customFormat="1" ht="94.5" hidden="1">
      <c r="A237" s="106">
        <v>235</v>
      </c>
      <c r="B237" s="107">
        <v>44714</v>
      </c>
      <c r="C237" s="106" t="s">
        <v>660</v>
      </c>
      <c r="D237" s="111" t="s">
        <v>94</v>
      </c>
      <c r="E237" s="111"/>
      <c r="F237" s="110" t="s">
        <v>668</v>
      </c>
      <c r="G237" s="106">
        <v>9777295332</v>
      </c>
      <c r="H237" s="106" t="s">
        <v>669</v>
      </c>
      <c r="I237" s="107">
        <v>44713</v>
      </c>
      <c r="J237" s="106" t="s">
        <v>179</v>
      </c>
      <c r="K237" s="106" t="s">
        <v>6</v>
      </c>
      <c r="L237" s="112" t="s">
        <v>147</v>
      </c>
      <c r="M237" s="106"/>
      <c r="N237" s="106"/>
      <c r="O237" s="106"/>
      <c r="P237" s="106"/>
      <c r="Q237" s="13"/>
      <c r="R237" s="13"/>
    </row>
    <row r="238" spans="1:18" s="14" customFormat="1" ht="94.5" hidden="1">
      <c r="A238" s="106">
        <v>236</v>
      </c>
      <c r="B238" s="107">
        <v>44714</v>
      </c>
      <c r="C238" s="106" t="s">
        <v>660</v>
      </c>
      <c r="D238" s="111" t="s">
        <v>94</v>
      </c>
      <c r="E238" s="111"/>
      <c r="F238" s="110" t="s">
        <v>675</v>
      </c>
      <c r="G238" s="106">
        <v>9165810757</v>
      </c>
      <c r="H238" s="106" t="s">
        <v>676</v>
      </c>
      <c r="I238" s="107">
        <v>44702</v>
      </c>
      <c r="J238" s="106" t="s">
        <v>180</v>
      </c>
      <c r="K238" s="114" t="s">
        <v>6</v>
      </c>
      <c r="L238" s="115" t="s">
        <v>147</v>
      </c>
      <c r="M238" s="106"/>
      <c r="N238" s="106"/>
      <c r="O238" s="106"/>
      <c r="P238" s="106"/>
      <c r="Q238" s="13"/>
      <c r="R238" s="13"/>
    </row>
    <row r="239" spans="1:18" s="14" customFormat="1" ht="47.25" hidden="1">
      <c r="A239" s="106">
        <v>237</v>
      </c>
      <c r="B239" s="107">
        <v>44714</v>
      </c>
      <c r="C239" s="106" t="s">
        <v>660</v>
      </c>
      <c r="D239" s="111" t="s">
        <v>95</v>
      </c>
      <c r="E239" s="111"/>
      <c r="F239" s="110" t="s">
        <v>673</v>
      </c>
      <c r="G239" s="106">
        <v>9057875432</v>
      </c>
      <c r="H239" s="106" t="s">
        <v>378</v>
      </c>
      <c r="I239" s="107">
        <v>44714</v>
      </c>
      <c r="J239" s="106" t="s">
        <v>179</v>
      </c>
      <c r="K239" s="106" t="s">
        <v>85</v>
      </c>
      <c r="L239" s="112" t="s">
        <v>148</v>
      </c>
      <c r="M239" s="106" t="s">
        <v>129</v>
      </c>
      <c r="N239" s="106"/>
      <c r="O239" s="106"/>
      <c r="P239" s="106"/>
      <c r="Q239" s="13"/>
      <c r="R239" s="13"/>
    </row>
    <row r="240" spans="1:18" s="14" customFormat="1" ht="63" hidden="1">
      <c r="A240" s="106">
        <v>238</v>
      </c>
      <c r="B240" s="107">
        <v>44714</v>
      </c>
      <c r="C240" s="106" t="s">
        <v>660</v>
      </c>
      <c r="D240" s="111" t="s">
        <v>95</v>
      </c>
      <c r="E240" s="111"/>
      <c r="F240" s="110" t="s">
        <v>673</v>
      </c>
      <c r="G240" s="106">
        <v>9057875432</v>
      </c>
      <c r="H240" s="106" t="s">
        <v>378</v>
      </c>
      <c r="I240" s="107">
        <v>44714</v>
      </c>
      <c r="J240" s="106" t="s">
        <v>179</v>
      </c>
      <c r="K240" s="106" t="s">
        <v>149</v>
      </c>
      <c r="L240" s="112" t="s">
        <v>144</v>
      </c>
      <c r="M240" s="106"/>
      <c r="N240" s="106"/>
      <c r="O240" s="106"/>
      <c r="P240" s="106" t="s">
        <v>674</v>
      </c>
      <c r="Q240" s="13"/>
      <c r="R240" s="13"/>
    </row>
    <row r="241" spans="1:18" s="14" customFormat="1" hidden="1">
      <c r="A241" s="106">
        <v>239</v>
      </c>
      <c r="B241" s="107">
        <v>44714</v>
      </c>
      <c r="C241" s="106" t="s">
        <v>770</v>
      </c>
      <c r="D241" s="111" t="s">
        <v>185</v>
      </c>
      <c r="E241" s="111"/>
      <c r="F241" s="110" t="s">
        <v>771</v>
      </c>
      <c r="G241" s="106" t="s">
        <v>772</v>
      </c>
      <c r="H241" s="106"/>
      <c r="I241" s="106"/>
      <c r="J241" s="106" t="s">
        <v>180</v>
      </c>
      <c r="K241" s="106" t="s">
        <v>125</v>
      </c>
      <c r="L241" s="112" t="str">
        <f ca="1">IFERROR(_xlfn.IFNA(VLOOKUP($K241,[66]коммент!$B:$C,2,0),""),"")</f>
        <v/>
      </c>
      <c r="M241" s="106" t="s">
        <v>189</v>
      </c>
      <c r="N241" s="106"/>
      <c r="O241" s="106"/>
      <c r="P241" s="106"/>
      <c r="Q241" s="13"/>
      <c r="R241" s="13"/>
    </row>
    <row r="242" spans="1:18" s="14" customFormat="1" hidden="1">
      <c r="A242" s="106">
        <v>240</v>
      </c>
      <c r="B242" s="107">
        <v>44714</v>
      </c>
      <c r="C242" s="106" t="s">
        <v>770</v>
      </c>
      <c r="D242" s="111" t="s">
        <v>185</v>
      </c>
      <c r="E242" s="111"/>
      <c r="F242" s="110" t="s">
        <v>773</v>
      </c>
      <c r="G242" s="106" t="s">
        <v>774</v>
      </c>
      <c r="H242" s="106"/>
      <c r="I242" s="106"/>
      <c r="J242" s="106" t="s">
        <v>184</v>
      </c>
      <c r="K242" s="106" t="s">
        <v>125</v>
      </c>
      <c r="L242" s="112" t="str">
        <f ca="1">IFERROR(_xlfn.IFNA(VLOOKUP($K242,[46]коммент!$B:$C,2,0),""),"")</f>
        <v/>
      </c>
      <c r="M242" s="106" t="s">
        <v>189</v>
      </c>
      <c r="N242" s="106"/>
      <c r="O242" s="106"/>
      <c r="P242" s="106"/>
      <c r="Q242" s="13"/>
      <c r="R242" s="13"/>
    </row>
    <row r="243" spans="1:18" s="14" customFormat="1" ht="31.5" hidden="1">
      <c r="A243" s="106">
        <v>241</v>
      </c>
      <c r="B243" s="107">
        <v>44714</v>
      </c>
      <c r="C243" s="106" t="s">
        <v>770</v>
      </c>
      <c r="D243" s="111" t="s">
        <v>185</v>
      </c>
      <c r="E243" s="111"/>
      <c r="F243" s="110" t="s">
        <v>775</v>
      </c>
      <c r="G243" s="106" t="s">
        <v>776</v>
      </c>
      <c r="H243" s="106"/>
      <c r="I243" s="106"/>
      <c r="J243" s="106" t="s">
        <v>184</v>
      </c>
      <c r="K243" s="106" t="s">
        <v>125</v>
      </c>
      <c r="L243" s="112" t="str">
        <f ca="1">IFERROR(_xlfn.IFNA(VLOOKUP($K243,[46]коммент!$B:$C,2,0),""),"")</f>
        <v/>
      </c>
      <c r="M243" s="106" t="s">
        <v>189</v>
      </c>
      <c r="N243" s="106"/>
      <c r="O243" s="106"/>
      <c r="P243" s="106"/>
      <c r="Q243" s="13"/>
      <c r="R243" s="13"/>
    </row>
    <row r="244" spans="1:18" s="14" customFormat="1" ht="31.5" hidden="1">
      <c r="A244" s="106">
        <v>242</v>
      </c>
      <c r="B244" s="107">
        <v>44714</v>
      </c>
      <c r="C244" s="106" t="s">
        <v>1157</v>
      </c>
      <c r="D244" s="111" t="s">
        <v>185</v>
      </c>
      <c r="E244" s="111"/>
      <c r="F244" s="110" t="s">
        <v>1162</v>
      </c>
      <c r="G244" s="106" t="s">
        <v>1163</v>
      </c>
      <c r="H244" s="106" t="s">
        <v>1164</v>
      </c>
      <c r="I244" s="107">
        <v>44708</v>
      </c>
      <c r="J244" s="106" t="s">
        <v>180</v>
      </c>
      <c r="K244" s="125" t="s">
        <v>125</v>
      </c>
      <c r="L244" s="126" t="str">
        <f ca="1">IFERROR(_xlfn.IFNA(VLOOKUP($K244,[20]коммент!$B:$C,2,0),""),"")</f>
        <v/>
      </c>
      <c r="M244" s="106" t="s">
        <v>188</v>
      </c>
      <c r="N244" s="106"/>
      <c r="O244" s="106"/>
      <c r="P244" s="106"/>
      <c r="Q244" s="13"/>
      <c r="R244" s="13"/>
    </row>
    <row r="245" spans="1:18" s="14" customFormat="1" ht="31.5" hidden="1">
      <c r="A245" s="106">
        <v>243</v>
      </c>
      <c r="B245" s="107">
        <v>44714</v>
      </c>
      <c r="C245" s="106" t="s">
        <v>1157</v>
      </c>
      <c r="D245" s="111" t="s">
        <v>185</v>
      </c>
      <c r="E245" s="111"/>
      <c r="F245" s="110" t="s">
        <v>1165</v>
      </c>
      <c r="G245" s="106" t="s">
        <v>1166</v>
      </c>
      <c r="H245" s="106" t="s">
        <v>1164</v>
      </c>
      <c r="I245" s="106" t="s">
        <v>1167</v>
      </c>
      <c r="J245" s="106" t="s">
        <v>180</v>
      </c>
      <c r="K245" s="106" t="s">
        <v>125</v>
      </c>
      <c r="L245" s="112" t="str">
        <f ca="1">IFERROR(_xlfn.IFNA(VLOOKUP($K245,[20]коммент!$B:$C,2,0),""),"")</f>
        <v/>
      </c>
      <c r="M245" s="106" t="s">
        <v>188</v>
      </c>
      <c r="N245" s="106"/>
      <c r="O245" s="106"/>
      <c r="P245" s="106"/>
      <c r="Q245" s="13"/>
      <c r="R245" s="13"/>
    </row>
    <row r="246" spans="1:18" s="14" customFormat="1" ht="94.5" hidden="1">
      <c r="A246" s="106">
        <v>244</v>
      </c>
      <c r="B246" s="107">
        <v>44714</v>
      </c>
      <c r="C246" s="106" t="s">
        <v>1303</v>
      </c>
      <c r="D246" s="111" t="s">
        <v>185</v>
      </c>
      <c r="E246" s="111"/>
      <c r="F246" s="105" t="s">
        <v>1365</v>
      </c>
      <c r="G246" s="128" t="s">
        <v>1366</v>
      </c>
      <c r="H246" s="128" t="s">
        <v>1367</v>
      </c>
      <c r="I246" s="107">
        <v>44712</v>
      </c>
      <c r="J246" s="106" t="s">
        <v>184</v>
      </c>
      <c r="K246" s="106" t="s">
        <v>111</v>
      </c>
      <c r="L246" s="112" t="s">
        <v>165</v>
      </c>
      <c r="M246" s="106" t="s">
        <v>118</v>
      </c>
      <c r="N246" s="106" t="s">
        <v>183</v>
      </c>
      <c r="O246" s="106" t="s">
        <v>185</v>
      </c>
      <c r="P246" s="106"/>
      <c r="Q246" s="13"/>
      <c r="R246" s="13"/>
    </row>
    <row r="247" spans="1:18" s="14" customFormat="1" ht="31.5" hidden="1">
      <c r="A247" s="106">
        <v>245</v>
      </c>
      <c r="B247" s="107">
        <v>44714</v>
      </c>
      <c r="C247" s="106" t="s">
        <v>477</v>
      </c>
      <c r="D247" s="111" t="s">
        <v>82</v>
      </c>
      <c r="E247" s="111"/>
      <c r="F247" s="129" t="s">
        <v>478</v>
      </c>
      <c r="G247" s="106">
        <v>9264956590</v>
      </c>
      <c r="H247" s="106"/>
      <c r="I247" s="106"/>
      <c r="J247" s="106" t="s">
        <v>179</v>
      </c>
      <c r="K247" s="106" t="s">
        <v>6</v>
      </c>
      <c r="L247" s="112" t="str">
        <f ca="1">IFERROR(_xlfn.IFNA(VLOOKUP($K247,[15]коммент!$B:$C,2,0),""),"")</f>
        <v/>
      </c>
      <c r="M247" s="106"/>
      <c r="N247" s="106"/>
      <c r="O247" s="106"/>
      <c r="P247" s="106"/>
      <c r="Q247" s="13"/>
      <c r="R247" s="13"/>
    </row>
    <row r="248" spans="1:18" s="14" customFormat="1" ht="94.5" hidden="1">
      <c r="A248" s="106">
        <v>246</v>
      </c>
      <c r="B248" s="107">
        <v>44714</v>
      </c>
      <c r="C248" s="106" t="s">
        <v>632</v>
      </c>
      <c r="D248" s="111" t="s">
        <v>82</v>
      </c>
      <c r="E248" s="111"/>
      <c r="F248" s="110" t="s">
        <v>647</v>
      </c>
      <c r="G248" s="106" t="s">
        <v>648</v>
      </c>
      <c r="H248" s="106"/>
      <c r="I248" s="107"/>
      <c r="J248" s="106" t="s">
        <v>180</v>
      </c>
      <c r="K248" s="106" t="s">
        <v>6</v>
      </c>
      <c r="L248" s="112" t="s">
        <v>147</v>
      </c>
      <c r="M248" s="106"/>
      <c r="N248" s="106"/>
      <c r="O248" s="106"/>
      <c r="P248" s="106"/>
      <c r="Q248" s="13"/>
      <c r="R248" s="13"/>
    </row>
    <row r="249" spans="1:18" s="14" customFormat="1" ht="94.5" hidden="1">
      <c r="A249" s="106">
        <v>247</v>
      </c>
      <c r="B249" s="107">
        <v>44714</v>
      </c>
      <c r="C249" s="106" t="s">
        <v>632</v>
      </c>
      <c r="D249" s="111" t="s">
        <v>82</v>
      </c>
      <c r="E249" s="111"/>
      <c r="F249" s="110" t="s">
        <v>652</v>
      </c>
      <c r="G249" s="106" t="s">
        <v>653</v>
      </c>
      <c r="H249" s="106" t="s">
        <v>654</v>
      </c>
      <c r="I249" s="107">
        <v>44713</v>
      </c>
      <c r="J249" s="106" t="s">
        <v>180</v>
      </c>
      <c r="K249" s="106" t="s">
        <v>111</v>
      </c>
      <c r="L249" s="112" t="s">
        <v>165</v>
      </c>
      <c r="M249" s="106" t="s">
        <v>130</v>
      </c>
      <c r="N249" s="106" t="s">
        <v>190</v>
      </c>
      <c r="O249" s="106"/>
      <c r="P249" s="106" t="s">
        <v>655</v>
      </c>
      <c r="Q249" s="13"/>
      <c r="R249" s="13"/>
    </row>
    <row r="250" spans="1:18" s="14" customFormat="1" ht="94.5" hidden="1">
      <c r="A250" s="106">
        <v>248</v>
      </c>
      <c r="B250" s="107">
        <v>44714</v>
      </c>
      <c r="C250" s="106" t="s">
        <v>632</v>
      </c>
      <c r="D250" s="111" t="s">
        <v>82</v>
      </c>
      <c r="E250" s="111"/>
      <c r="F250" s="110" t="s">
        <v>652</v>
      </c>
      <c r="G250" s="106" t="s">
        <v>653</v>
      </c>
      <c r="H250" s="106" t="s">
        <v>654</v>
      </c>
      <c r="I250" s="107">
        <v>44713</v>
      </c>
      <c r="J250" s="106" t="s">
        <v>180</v>
      </c>
      <c r="K250" s="106" t="s">
        <v>111</v>
      </c>
      <c r="L250" s="112" t="s">
        <v>165</v>
      </c>
      <c r="M250" s="106" t="s">
        <v>130</v>
      </c>
      <c r="N250" s="106" t="s">
        <v>114</v>
      </c>
      <c r="O250" s="106"/>
      <c r="P250" s="106" t="s">
        <v>656</v>
      </c>
      <c r="Q250" s="13"/>
      <c r="R250" s="13"/>
    </row>
    <row r="251" spans="1:18" s="14" customFormat="1" ht="31.5" hidden="1">
      <c r="A251" s="106">
        <v>249</v>
      </c>
      <c r="B251" s="107">
        <v>44714</v>
      </c>
      <c r="C251" s="106" t="s">
        <v>770</v>
      </c>
      <c r="D251" s="111" t="s">
        <v>82</v>
      </c>
      <c r="E251" s="111"/>
      <c r="F251" s="110" t="s">
        <v>780</v>
      </c>
      <c r="G251" s="106" t="s">
        <v>781</v>
      </c>
      <c r="H251" s="106"/>
      <c r="I251" s="106"/>
      <c r="J251" s="106" t="s">
        <v>180</v>
      </c>
      <c r="K251" s="106" t="s">
        <v>6</v>
      </c>
      <c r="L251" s="112" t="str">
        <f ca="1">IFERROR(_xlfn.IFNA(VLOOKUP($K251,[46]коммент!$B:$C,2,0),""),"")</f>
        <v/>
      </c>
      <c r="M251" s="106"/>
      <c r="N251" s="106"/>
      <c r="O251" s="106"/>
      <c r="P251" s="106"/>
      <c r="Q251" s="13"/>
      <c r="R251" s="13"/>
    </row>
    <row r="252" spans="1:18" s="14" customFormat="1" ht="126" hidden="1">
      <c r="A252" s="106">
        <v>250</v>
      </c>
      <c r="B252" s="107">
        <v>44714</v>
      </c>
      <c r="C252" s="106" t="s">
        <v>790</v>
      </c>
      <c r="D252" s="111" t="s">
        <v>194</v>
      </c>
      <c r="E252" s="111"/>
      <c r="F252" s="110" t="s">
        <v>798</v>
      </c>
      <c r="G252" s="106">
        <v>9272820235</v>
      </c>
      <c r="H252" s="106" t="s">
        <v>799</v>
      </c>
      <c r="I252" s="118">
        <v>44710</v>
      </c>
      <c r="J252" s="114" t="s">
        <v>179</v>
      </c>
      <c r="K252" s="114" t="s">
        <v>125</v>
      </c>
      <c r="L252" s="115" t="s">
        <v>162</v>
      </c>
      <c r="M252" s="119" t="s">
        <v>118</v>
      </c>
      <c r="N252" s="106"/>
      <c r="O252" s="106"/>
      <c r="P252" s="106" t="s">
        <v>800</v>
      </c>
      <c r="Q252" s="13"/>
      <c r="R252" s="13"/>
    </row>
    <row r="253" spans="1:18" s="14" customFormat="1" ht="94.5" hidden="1">
      <c r="A253" s="106">
        <v>251</v>
      </c>
      <c r="B253" s="107">
        <v>44714</v>
      </c>
      <c r="C253" s="106" t="s">
        <v>606</v>
      </c>
      <c r="D253" s="111" t="s">
        <v>55</v>
      </c>
      <c r="E253" s="111"/>
      <c r="F253" s="110" t="s">
        <v>607</v>
      </c>
      <c r="G253" s="106">
        <v>89164996710</v>
      </c>
      <c r="H253" s="106" t="s">
        <v>608</v>
      </c>
      <c r="I253" s="107">
        <v>44544</v>
      </c>
      <c r="J253" s="106" t="s">
        <v>179</v>
      </c>
      <c r="K253" s="106" t="s">
        <v>6</v>
      </c>
      <c r="L253" s="112" t="s">
        <v>147</v>
      </c>
      <c r="M253" s="106"/>
      <c r="N253" s="106"/>
      <c r="O253" s="106"/>
      <c r="P253" s="106"/>
      <c r="Q253" s="13"/>
      <c r="R253" s="13"/>
    </row>
    <row r="254" spans="1:18" s="14" customFormat="1" ht="47.25" hidden="1">
      <c r="A254" s="106">
        <v>252</v>
      </c>
      <c r="B254" s="107">
        <v>44714</v>
      </c>
      <c r="C254" s="106" t="s">
        <v>606</v>
      </c>
      <c r="D254" s="111" t="s">
        <v>55</v>
      </c>
      <c r="E254" s="111"/>
      <c r="F254" s="110" t="s">
        <v>622</v>
      </c>
      <c r="G254" s="106">
        <v>89779359057</v>
      </c>
      <c r="H254" s="106"/>
      <c r="I254" s="107"/>
      <c r="J254" s="106" t="s">
        <v>180</v>
      </c>
      <c r="K254" s="106" t="s">
        <v>85</v>
      </c>
      <c r="L254" s="112" t="s">
        <v>148</v>
      </c>
      <c r="M254" s="106" t="s">
        <v>129</v>
      </c>
      <c r="N254" s="106"/>
      <c r="O254" s="106"/>
      <c r="P254" s="106" t="s">
        <v>623</v>
      </c>
      <c r="Q254" s="13"/>
      <c r="R254" s="13"/>
    </row>
    <row r="255" spans="1:18" s="14" customFormat="1" ht="94.5" hidden="1">
      <c r="A255" s="106">
        <v>253</v>
      </c>
      <c r="B255" s="107">
        <v>44714</v>
      </c>
      <c r="C255" s="106" t="s">
        <v>606</v>
      </c>
      <c r="D255" s="111" t="s">
        <v>55</v>
      </c>
      <c r="E255" s="111"/>
      <c r="F255" s="110" t="s">
        <v>624</v>
      </c>
      <c r="G255" s="106">
        <v>89857618942</v>
      </c>
      <c r="H255" s="106" t="s">
        <v>625</v>
      </c>
      <c r="I255" s="107">
        <v>44693</v>
      </c>
      <c r="J255" s="106" t="s">
        <v>179</v>
      </c>
      <c r="K255" s="106" t="s">
        <v>6</v>
      </c>
      <c r="L255" s="112" t="s">
        <v>147</v>
      </c>
      <c r="M255" s="106"/>
      <c r="N255" s="106"/>
      <c r="O255" s="106"/>
      <c r="P255" s="106"/>
      <c r="Q255" s="13"/>
      <c r="R255" s="13"/>
    </row>
    <row r="256" spans="1:18" s="14" customFormat="1" ht="31.5" hidden="1">
      <c r="A256" s="106">
        <v>254</v>
      </c>
      <c r="B256" s="107">
        <v>44714</v>
      </c>
      <c r="C256" s="106" t="s">
        <v>1178</v>
      </c>
      <c r="D256" s="111" t="s">
        <v>65</v>
      </c>
      <c r="E256" s="111"/>
      <c r="F256" s="110" t="s">
        <v>1180</v>
      </c>
      <c r="G256" s="106" t="s">
        <v>1181</v>
      </c>
      <c r="H256" s="106" t="s">
        <v>338</v>
      </c>
      <c r="I256" s="107">
        <v>44705</v>
      </c>
      <c r="J256" s="106" t="s">
        <v>180</v>
      </c>
      <c r="K256" s="106" t="s">
        <v>6</v>
      </c>
      <c r="L256" s="112" t="str">
        <f ca="1">IFERROR(_xlfn.IFNA(VLOOKUP($K256,[40]коммент!$B:$C,2,0),""),"")</f>
        <v/>
      </c>
      <c r="M256" s="106"/>
      <c r="N256" s="106"/>
      <c r="O256" s="106"/>
      <c r="P256" s="106"/>
      <c r="Q256" s="13"/>
      <c r="R256" s="13"/>
    </row>
    <row r="257" spans="1:18" s="14" customFormat="1" ht="31.5" hidden="1">
      <c r="A257" s="106">
        <v>255</v>
      </c>
      <c r="B257" s="107">
        <v>44714</v>
      </c>
      <c r="C257" s="106" t="s">
        <v>903</v>
      </c>
      <c r="D257" s="111" t="s">
        <v>46</v>
      </c>
      <c r="E257" s="111"/>
      <c r="F257" s="109" t="s">
        <v>909</v>
      </c>
      <c r="G257" s="106" t="s">
        <v>910</v>
      </c>
      <c r="H257" s="106"/>
      <c r="I257" s="106"/>
      <c r="J257" s="106" t="s">
        <v>180</v>
      </c>
      <c r="K257" s="106" t="s">
        <v>6</v>
      </c>
      <c r="L257" s="112" t="str">
        <f ca="1">IFERROR(_xlfn.IFNA(VLOOKUP($K257,[31]коммент!$B:$C,2,0),""),"")</f>
        <v/>
      </c>
      <c r="M257" s="106"/>
      <c r="N257" s="106"/>
      <c r="O257" s="106"/>
      <c r="P257" s="130"/>
      <c r="Q257" s="13"/>
      <c r="R257" s="13"/>
    </row>
    <row r="258" spans="1:18" s="14" customFormat="1" hidden="1">
      <c r="A258" s="106">
        <v>256</v>
      </c>
      <c r="B258" s="107">
        <v>44714</v>
      </c>
      <c r="C258" s="106" t="s">
        <v>1107</v>
      </c>
      <c r="D258" s="111" t="s">
        <v>46</v>
      </c>
      <c r="E258" s="111"/>
      <c r="F258" s="129" t="s">
        <v>1108</v>
      </c>
      <c r="G258" s="129" t="s">
        <v>1109</v>
      </c>
      <c r="H258" s="106" t="s">
        <v>600</v>
      </c>
      <c r="I258" s="107">
        <v>44639</v>
      </c>
      <c r="J258" s="106" t="s">
        <v>179</v>
      </c>
      <c r="K258" s="106" t="s">
        <v>111</v>
      </c>
      <c r="L258" s="112" t="str">
        <f ca="1">IFERROR(_xlfn.IFNA(VLOOKUP($K258,[34]коммент!$B:$C,2,0),""),"")</f>
        <v/>
      </c>
      <c r="M258" s="106" t="s">
        <v>130</v>
      </c>
      <c r="N258" s="106" t="s">
        <v>114</v>
      </c>
      <c r="O258" s="106"/>
      <c r="P258" s="106" t="s">
        <v>1110</v>
      </c>
      <c r="Q258" s="13"/>
      <c r="R258" s="13"/>
    </row>
    <row r="259" spans="1:18" s="14" customFormat="1" ht="47.25" hidden="1">
      <c r="A259" s="106">
        <v>257</v>
      </c>
      <c r="B259" s="107">
        <v>44714</v>
      </c>
      <c r="C259" s="106" t="s">
        <v>1114</v>
      </c>
      <c r="D259" s="111" t="s">
        <v>46</v>
      </c>
      <c r="E259" s="111"/>
      <c r="F259" s="129" t="s">
        <v>1124</v>
      </c>
      <c r="G259" s="129" t="s">
        <v>1125</v>
      </c>
      <c r="H259" s="106"/>
      <c r="I259" s="107"/>
      <c r="J259" s="106" t="s">
        <v>179</v>
      </c>
      <c r="K259" s="106" t="s">
        <v>113</v>
      </c>
      <c r="L259" s="112" t="str">
        <f ca="1">IFERROR(_xlfn.IFNA(VLOOKUP($K259,[34]коммент!$B:$C,2,0),""),"")</f>
        <v/>
      </c>
      <c r="M259" s="106"/>
      <c r="N259" s="106"/>
      <c r="O259" s="106"/>
      <c r="P259" s="106" t="s">
        <v>1126</v>
      </c>
      <c r="Q259" s="13"/>
      <c r="R259" s="13"/>
    </row>
    <row r="260" spans="1:18" s="14" customFormat="1" hidden="1">
      <c r="A260" s="106">
        <v>258</v>
      </c>
      <c r="B260" s="107">
        <v>44714</v>
      </c>
      <c r="C260" s="106" t="s">
        <v>1127</v>
      </c>
      <c r="D260" s="111" t="s">
        <v>46</v>
      </c>
      <c r="E260" s="111"/>
      <c r="F260" s="110" t="s">
        <v>1136</v>
      </c>
      <c r="G260" s="106">
        <v>9265916528</v>
      </c>
      <c r="H260" s="106"/>
      <c r="I260" s="106"/>
      <c r="J260" s="106" t="s">
        <v>180</v>
      </c>
      <c r="K260" s="106" t="s">
        <v>85</v>
      </c>
      <c r="L260" s="112" t="str">
        <f ca="1">IFERROR(_xlfn.IFNA(VLOOKUP($K260,[64]коммент!$B:$C,2,0),""),"")</f>
        <v/>
      </c>
      <c r="M260" s="106" t="s">
        <v>129</v>
      </c>
      <c r="N260" s="106"/>
      <c r="O260" s="106"/>
      <c r="P260" s="106"/>
      <c r="Q260" s="13"/>
      <c r="R260" s="13"/>
    </row>
    <row r="261" spans="1:18" s="14" customFormat="1" ht="94.5" hidden="1">
      <c r="A261" s="106">
        <v>259</v>
      </c>
      <c r="B261" s="107">
        <v>44714</v>
      </c>
      <c r="C261" s="106" t="s">
        <v>1236</v>
      </c>
      <c r="D261" s="111" t="s">
        <v>46</v>
      </c>
      <c r="E261" s="111"/>
      <c r="F261" s="105" t="s">
        <v>1237</v>
      </c>
      <c r="G261" s="105" t="s">
        <v>1238</v>
      </c>
      <c r="H261" s="106" t="s">
        <v>1239</v>
      </c>
      <c r="I261" s="107">
        <v>44645</v>
      </c>
      <c r="J261" s="106" t="s">
        <v>180</v>
      </c>
      <c r="K261" s="119" t="s">
        <v>175</v>
      </c>
      <c r="L261" s="112" t="s">
        <v>176</v>
      </c>
      <c r="M261" s="106"/>
      <c r="N261" s="106"/>
      <c r="O261" s="106"/>
      <c r="P261" s="106" t="s">
        <v>1240</v>
      </c>
      <c r="Q261" s="13"/>
      <c r="R261" s="13"/>
    </row>
    <row r="262" spans="1:18" s="14" customFormat="1" ht="94.5" hidden="1">
      <c r="A262" s="106">
        <v>260</v>
      </c>
      <c r="B262" s="107">
        <v>44714</v>
      </c>
      <c r="C262" s="106" t="s">
        <v>1236</v>
      </c>
      <c r="D262" s="111" t="s">
        <v>46</v>
      </c>
      <c r="E262" s="111"/>
      <c r="F262" s="105" t="s">
        <v>1241</v>
      </c>
      <c r="G262" s="105" t="s">
        <v>1242</v>
      </c>
      <c r="H262" s="106" t="s">
        <v>1243</v>
      </c>
      <c r="I262" s="107">
        <v>44631</v>
      </c>
      <c r="J262" s="106" t="s">
        <v>179</v>
      </c>
      <c r="K262" s="119" t="s">
        <v>175</v>
      </c>
      <c r="L262" s="112" t="s">
        <v>176</v>
      </c>
      <c r="M262" s="106"/>
      <c r="N262" s="106"/>
      <c r="O262" s="106"/>
      <c r="P262" s="106" t="s">
        <v>1244</v>
      </c>
      <c r="Q262" s="13"/>
      <c r="R262" s="13"/>
    </row>
    <row r="263" spans="1:18" s="14" customFormat="1" ht="78.75" hidden="1">
      <c r="A263" s="106">
        <v>261</v>
      </c>
      <c r="B263" s="107">
        <v>44714</v>
      </c>
      <c r="C263" s="106" t="s">
        <v>1236</v>
      </c>
      <c r="D263" s="111" t="s">
        <v>46</v>
      </c>
      <c r="E263" s="111"/>
      <c r="F263" s="129" t="s">
        <v>1249</v>
      </c>
      <c r="G263" s="129" t="s">
        <v>1250</v>
      </c>
      <c r="H263" s="106"/>
      <c r="I263" s="107"/>
      <c r="J263" s="106" t="s">
        <v>180</v>
      </c>
      <c r="K263" s="119" t="s">
        <v>85</v>
      </c>
      <c r="L263" s="112" t="s">
        <v>148</v>
      </c>
      <c r="M263" s="106" t="s">
        <v>129</v>
      </c>
      <c r="N263" s="106" t="s">
        <v>114</v>
      </c>
      <c r="O263" s="106"/>
      <c r="P263" s="106" t="s">
        <v>1251</v>
      </c>
      <c r="Q263" s="13"/>
      <c r="R263" s="13"/>
    </row>
    <row r="264" spans="1:18" s="14" customFormat="1" ht="47.25" hidden="1">
      <c r="A264" s="106">
        <v>262</v>
      </c>
      <c r="B264" s="107">
        <v>44714</v>
      </c>
      <c r="C264" s="106" t="s">
        <v>1236</v>
      </c>
      <c r="D264" s="111" t="s">
        <v>46</v>
      </c>
      <c r="E264" s="111"/>
      <c r="F264" s="129" t="s">
        <v>1275</v>
      </c>
      <c r="G264" s="129" t="s">
        <v>1276</v>
      </c>
      <c r="H264" s="106"/>
      <c r="I264" s="107"/>
      <c r="J264" s="106" t="s">
        <v>179</v>
      </c>
      <c r="K264" s="119" t="s">
        <v>85</v>
      </c>
      <c r="L264" s="112" t="s">
        <v>148</v>
      </c>
      <c r="M264" s="106" t="s">
        <v>129</v>
      </c>
      <c r="N264" s="106" t="s">
        <v>114</v>
      </c>
      <c r="O264" s="106"/>
      <c r="P264" s="106" t="s">
        <v>1277</v>
      </c>
      <c r="Q264" s="13"/>
      <c r="R264" s="13"/>
    </row>
    <row r="265" spans="1:18" s="14" customFormat="1" ht="31.5" hidden="1">
      <c r="A265" s="106">
        <v>263</v>
      </c>
      <c r="B265" s="107">
        <v>44714</v>
      </c>
      <c r="C265" s="106" t="s">
        <v>1337</v>
      </c>
      <c r="D265" s="111" t="s">
        <v>46</v>
      </c>
      <c r="E265" s="111"/>
      <c r="F265" s="110" t="s">
        <v>1344</v>
      </c>
      <c r="G265" s="106" t="s">
        <v>1345</v>
      </c>
      <c r="H265" s="106" t="s">
        <v>1346</v>
      </c>
      <c r="I265" s="107">
        <v>44637</v>
      </c>
      <c r="J265" s="106" t="s">
        <v>179</v>
      </c>
      <c r="K265" s="106" t="s">
        <v>113</v>
      </c>
      <c r="L265" s="112" t="str">
        <f ca="1">IFERROR(_xlfn.IFNA(VLOOKUP($K265,[67]коммент!$B:$C,2,0),""),"")</f>
        <v/>
      </c>
      <c r="M265" s="106"/>
      <c r="N265" s="106"/>
      <c r="O265" s="106"/>
      <c r="P265" s="106" t="s">
        <v>1347</v>
      </c>
      <c r="Q265" s="13"/>
      <c r="R265" s="13"/>
    </row>
    <row r="266" spans="1:18" s="14" customFormat="1" hidden="1">
      <c r="A266" s="106">
        <v>264</v>
      </c>
      <c r="B266" s="107">
        <v>44714</v>
      </c>
      <c r="C266" s="106" t="s">
        <v>237</v>
      </c>
      <c r="D266" s="111" t="s">
        <v>90</v>
      </c>
      <c r="E266" s="111"/>
      <c r="F266" s="110" t="s">
        <v>240</v>
      </c>
      <c r="G266" s="106">
        <v>9851768581</v>
      </c>
      <c r="H266" s="106" t="s">
        <v>241</v>
      </c>
      <c r="I266" s="107">
        <v>44622</v>
      </c>
      <c r="J266" s="106" t="s">
        <v>179</v>
      </c>
      <c r="K266" s="106" t="s">
        <v>175</v>
      </c>
      <c r="L266" s="112" t="str">
        <f ca="1">IFERROR(_xlfn.IFNA(VLOOKUP($K266,[68]коммент!$B:$C,2,0),""),"")</f>
        <v/>
      </c>
      <c r="M266" s="106"/>
      <c r="N266" s="106"/>
      <c r="O266" s="106"/>
      <c r="P266" s="106" t="s">
        <v>242</v>
      </c>
      <c r="Q266" s="13"/>
      <c r="R266" s="13"/>
    </row>
    <row r="267" spans="1:18" s="14" customFormat="1" ht="31.5" hidden="1">
      <c r="A267" s="106">
        <v>265</v>
      </c>
      <c r="B267" s="107">
        <v>44714</v>
      </c>
      <c r="C267" s="106" t="s">
        <v>383</v>
      </c>
      <c r="D267" s="111" t="s">
        <v>90</v>
      </c>
      <c r="E267" s="111"/>
      <c r="F267" s="120" t="s">
        <v>402</v>
      </c>
      <c r="G267" s="119" t="s">
        <v>403</v>
      </c>
      <c r="H267" s="119" t="s">
        <v>404</v>
      </c>
      <c r="I267" s="118">
        <v>44712</v>
      </c>
      <c r="J267" s="119" t="s">
        <v>179</v>
      </c>
      <c r="K267" s="119" t="s">
        <v>6</v>
      </c>
      <c r="L267" s="135" t="str">
        <f ca="1">IFERROR(_xlfn.IFNA(VLOOKUP($K267,[2]коммент!$B:$C,2,0),""),"")</f>
        <v/>
      </c>
      <c r="M267" s="106"/>
      <c r="N267" s="106"/>
      <c r="O267" s="106"/>
      <c r="P267" s="106"/>
      <c r="Q267" s="13"/>
      <c r="R267" s="13"/>
    </row>
    <row r="268" spans="1:18" s="14" customFormat="1" ht="31.5" hidden="1">
      <c r="A268" s="106">
        <v>266</v>
      </c>
      <c r="B268" s="107">
        <v>44714</v>
      </c>
      <c r="C268" s="106" t="s">
        <v>412</v>
      </c>
      <c r="D268" s="111" t="s">
        <v>90</v>
      </c>
      <c r="E268" s="111"/>
      <c r="F268" s="109" t="s">
        <v>416</v>
      </c>
      <c r="G268" s="106">
        <v>985012899</v>
      </c>
      <c r="H268" s="106"/>
      <c r="I268" s="106"/>
      <c r="J268" s="106" t="s">
        <v>180</v>
      </c>
      <c r="K268" s="106" t="s">
        <v>6</v>
      </c>
      <c r="L268" s="112" t="str">
        <f ca="1">IFERROR(_xlfn.IFNA(VLOOKUP($K268,[3]коммент!$B:$C,2,0),""),"")</f>
        <v/>
      </c>
      <c r="M268" s="106"/>
      <c r="N268" s="106"/>
      <c r="O268" s="106"/>
      <c r="P268" s="106"/>
      <c r="Q268" s="13"/>
      <c r="R268" s="13"/>
    </row>
    <row r="269" spans="1:18" s="14" customFormat="1" ht="31.5" hidden="1">
      <c r="A269" s="106">
        <v>267</v>
      </c>
      <c r="B269" s="107">
        <v>44714</v>
      </c>
      <c r="C269" s="106" t="s">
        <v>949</v>
      </c>
      <c r="D269" s="111" t="s">
        <v>90</v>
      </c>
      <c r="E269" s="111"/>
      <c r="F269" s="109" t="s">
        <v>955</v>
      </c>
      <c r="G269" s="106" t="s">
        <v>956</v>
      </c>
      <c r="H269" s="106"/>
      <c r="I269" s="106"/>
      <c r="J269" s="106" t="s">
        <v>180</v>
      </c>
      <c r="K269" s="106" t="s">
        <v>6</v>
      </c>
      <c r="L269" s="112" t="str">
        <f ca="1">IFERROR(_xlfn.IFNA(VLOOKUP($K269,[6]коммент!$B:$C,2,0),""),"")</f>
        <v/>
      </c>
      <c r="M269" s="106"/>
      <c r="N269" s="106"/>
      <c r="O269" s="106"/>
      <c r="P269" s="106"/>
      <c r="Q269" s="13"/>
      <c r="R269" s="13"/>
    </row>
    <row r="270" spans="1:18" s="14" customFormat="1" ht="94.5" hidden="1">
      <c r="A270" s="106">
        <v>268</v>
      </c>
      <c r="B270" s="107">
        <v>44714</v>
      </c>
      <c r="C270" s="106" t="s">
        <v>1208</v>
      </c>
      <c r="D270" s="111" t="s">
        <v>90</v>
      </c>
      <c r="E270" s="111"/>
      <c r="F270" s="110" t="s">
        <v>1213</v>
      </c>
      <c r="G270" s="106">
        <v>9269311478</v>
      </c>
      <c r="H270" s="106" t="s">
        <v>389</v>
      </c>
      <c r="I270" s="107">
        <v>44553</v>
      </c>
      <c r="J270" s="106" t="s">
        <v>184</v>
      </c>
      <c r="K270" s="106" t="s">
        <v>175</v>
      </c>
      <c r="L270" s="112" t="s">
        <v>176</v>
      </c>
      <c r="M270" s="106"/>
      <c r="N270" s="106"/>
      <c r="O270" s="106"/>
      <c r="P270" s="106" t="s">
        <v>1214</v>
      </c>
      <c r="Q270" s="13"/>
      <c r="R270" s="13"/>
    </row>
    <row r="271" spans="1:18" s="14" customFormat="1" ht="63" hidden="1">
      <c r="A271" s="106">
        <v>269</v>
      </c>
      <c r="B271" s="107">
        <v>44714</v>
      </c>
      <c r="C271" s="106" t="s">
        <v>1208</v>
      </c>
      <c r="D271" s="111" t="s">
        <v>90</v>
      </c>
      <c r="E271" s="111"/>
      <c r="F271" s="110" t="s">
        <v>1217</v>
      </c>
      <c r="G271" s="106">
        <v>9067075431</v>
      </c>
      <c r="H271" s="106" t="s">
        <v>435</v>
      </c>
      <c r="I271" s="107">
        <v>44524</v>
      </c>
      <c r="J271" s="106" t="s">
        <v>184</v>
      </c>
      <c r="K271" s="106" t="s">
        <v>149</v>
      </c>
      <c r="L271" s="112" t="s">
        <v>144</v>
      </c>
      <c r="M271" s="106"/>
      <c r="N271" s="106"/>
      <c r="O271" s="106"/>
      <c r="P271" s="106"/>
      <c r="Q271" s="13"/>
      <c r="R271" s="13"/>
    </row>
    <row r="272" spans="1:18" s="14" customFormat="1" hidden="1">
      <c r="A272" s="106">
        <v>270</v>
      </c>
      <c r="B272" s="107">
        <v>44714</v>
      </c>
      <c r="C272" s="106" t="s">
        <v>438</v>
      </c>
      <c r="D272" s="111" t="s">
        <v>30</v>
      </c>
      <c r="E272" s="111"/>
      <c r="F272" s="109" t="s">
        <v>452</v>
      </c>
      <c r="G272" s="106">
        <v>9057270988</v>
      </c>
      <c r="H272" s="106" t="s">
        <v>453</v>
      </c>
      <c r="I272" s="107">
        <v>44902</v>
      </c>
      <c r="J272" s="106" t="s">
        <v>184</v>
      </c>
      <c r="K272" s="106" t="s">
        <v>175</v>
      </c>
      <c r="L272" s="112" t="str">
        <f ca="1">IFERROR(_xlfn.IFNA(VLOOKUP($K272,[13]коммент!$B:$C,2,0),""),"")</f>
        <v/>
      </c>
      <c r="M272" s="106"/>
      <c r="N272" s="106"/>
      <c r="O272" s="106"/>
      <c r="P272" s="106" t="s">
        <v>454</v>
      </c>
      <c r="Q272" s="13"/>
      <c r="R272" s="13"/>
    </row>
    <row r="273" spans="1:18" s="14" customFormat="1" hidden="1">
      <c r="A273" s="106">
        <v>271</v>
      </c>
      <c r="B273" s="107">
        <v>44714</v>
      </c>
      <c r="C273" s="106" t="s">
        <v>864</v>
      </c>
      <c r="D273" s="111" t="s">
        <v>30</v>
      </c>
      <c r="E273" s="111"/>
      <c r="F273" s="110" t="s">
        <v>881</v>
      </c>
      <c r="G273" s="106">
        <v>9055178928</v>
      </c>
      <c r="H273" s="106"/>
      <c r="I273" s="106"/>
      <c r="J273" s="106" t="s">
        <v>180</v>
      </c>
      <c r="K273" s="106" t="s">
        <v>85</v>
      </c>
      <c r="L273" s="112" t="str">
        <f ca="1">IFERROR(_xlfn.IFNA(VLOOKUP($K273,[29]коммент!$B:$C,2,0),""),"")</f>
        <v/>
      </c>
      <c r="M273" s="106" t="s">
        <v>129</v>
      </c>
      <c r="N273" s="106"/>
      <c r="O273" s="106"/>
      <c r="P273" s="106"/>
      <c r="Q273" s="13"/>
      <c r="R273" s="13"/>
    </row>
    <row r="274" spans="1:18" s="14" customFormat="1" ht="63" hidden="1">
      <c r="A274" s="106">
        <v>272</v>
      </c>
      <c r="B274" s="107">
        <v>44714</v>
      </c>
      <c r="C274" s="106" t="s">
        <v>864</v>
      </c>
      <c r="D274" s="111" t="s">
        <v>30</v>
      </c>
      <c r="E274" s="111"/>
      <c r="F274" s="110" t="s">
        <v>881</v>
      </c>
      <c r="G274" s="106">
        <v>9055178928</v>
      </c>
      <c r="H274" s="106"/>
      <c r="I274" s="106"/>
      <c r="J274" s="106" t="s">
        <v>180</v>
      </c>
      <c r="K274" s="106" t="s">
        <v>149</v>
      </c>
      <c r="L274" s="112" t="str">
        <f ca="1">IFERROR(_xlfn.IFNA(VLOOKUP($K274,[29]коммент!$B:$C,2,0),""),"")</f>
        <v/>
      </c>
      <c r="M274" s="106"/>
      <c r="N274" s="106"/>
      <c r="O274" s="106"/>
      <c r="P274" s="106"/>
      <c r="Q274" s="13"/>
      <c r="R274" s="13"/>
    </row>
    <row r="275" spans="1:18" s="14" customFormat="1" hidden="1">
      <c r="A275" s="106">
        <v>273</v>
      </c>
      <c r="B275" s="107">
        <v>44714</v>
      </c>
      <c r="C275" s="106" t="s">
        <v>926</v>
      </c>
      <c r="D275" s="111" t="s">
        <v>30</v>
      </c>
      <c r="E275" s="111"/>
      <c r="F275" s="110" t="s">
        <v>927</v>
      </c>
      <c r="G275" s="106" t="s">
        <v>928</v>
      </c>
      <c r="H275" s="106"/>
      <c r="I275" s="106"/>
      <c r="J275" s="106" t="s">
        <v>179</v>
      </c>
      <c r="K275" s="106" t="s">
        <v>85</v>
      </c>
      <c r="L275" s="112" t="str">
        <f ca="1">IFERROR(_xlfn.IFNA(VLOOKUP($K275,[32]коммент!$B:$C,2,0),""),"")</f>
        <v/>
      </c>
      <c r="M275" s="106" t="s">
        <v>129</v>
      </c>
      <c r="N275" s="106"/>
      <c r="O275" s="106"/>
      <c r="P275" s="106" t="s">
        <v>929</v>
      </c>
      <c r="Q275" s="13"/>
      <c r="R275" s="13"/>
    </row>
    <row r="276" spans="1:18" s="14" customFormat="1" ht="31.5" hidden="1">
      <c r="A276" s="106">
        <v>274</v>
      </c>
      <c r="B276" s="107">
        <v>44714</v>
      </c>
      <c r="C276" s="107" t="s">
        <v>977</v>
      </c>
      <c r="D276" s="111" t="s">
        <v>30</v>
      </c>
      <c r="E276" s="111"/>
      <c r="F276" s="110" t="s">
        <v>983</v>
      </c>
      <c r="G276" s="106">
        <v>9037656712</v>
      </c>
      <c r="H276" s="106"/>
      <c r="I276" s="106"/>
      <c r="J276" s="106" t="s">
        <v>180</v>
      </c>
      <c r="K276" s="106" t="s">
        <v>6</v>
      </c>
      <c r="L276" s="112" t="str">
        <f ca="1">IFERROR(_xlfn.IFNA(VLOOKUP($K276,[63]коммент!$B:$C,2,0),""),"")</f>
        <v/>
      </c>
      <c r="M276" s="106"/>
      <c r="N276" s="106"/>
      <c r="O276" s="106"/>
      <c r="P276" s="106"/>
      <c r="Q276" s="13"/>
      <c r="R276" s="13"/>
    </row>
    <row r="277" spans="1:18" s="14" customFormat="1" ht="31.5" hidden="1">
      <c r="A277" s="106">
        <v>275</v>
      </c>
      <c r="B277" s="107">
        <v>44714</v>
      </c>
      <c r="C277" s="132" t="s">
        <v>996</v>
      </c>
      <c r="D277" s="131" t="s">
        <v>30</v>
      </c>
      <c r="E277" s="131"/>
      <c r="F277" s="133" t="s">
        <v>1009</v>
      </c>
      <c r="G277" s="132" t="s">
        <v>1010</v>
      </c>
      <c r="H277" s="132"/>
      <c r="I277" s="132"/>
      <c r="J277" s="132" t="s">
        <v>180</v>
      </c>
      <c r="K277" s="132" t="s">
        <v>6</v>
      </c>
      <c r="L277" s="112" t="str">
        <f ca="1">IFERROR(_xlfn.IFNA(VLOOKUP($K277,[18]коммент!$B:$C,2,0),""),"")</f>
        <v/>
      </c>
      <c r="M277" s="132"/>
      <c r="N277" s="132"/>
      <c r="O277" s="132"/>
      <c r="P277" s="132"/>
      <c r="Q277" s="13"/>
      <c r="R277" s="13"/>
    </row>
    <row r="278" spans="1:18" s="14" customFormat="1" ht="31.5" hidden="1">
      <c r="A278" s="106">
        <v>276</v>
      </c>
      <c r="B278" s="107">
        <v>44714</v>
      </c>
      <c r="C278" s="106" t="s">
        <v>1015</v>
      </c>
      <c r="D278" s="111" t="s">
        <v>30</v>
      </c>
      <c r="E278" s="111"/>
      <c r="F278" s="110" t="s">
        <v>1024</v>
      </c>
      <c r="G278" s="106" t="s">
        <v>1025</v>
      </c>
      <c r="H278" s="106"/>
      <c r="I278" s="107"/>
      <c r="J278" s="106" t="s">
        <v>180</v>
      </c>
      <c r="K278" s="150" t="s">
        <v>6</v>
      </c>
      <c r="L278" s="154" t="str">
        <f ca="1">IFERROR(_xlfn.IFNA(VLOOKUP($K278,[19]коммент!$B:$C,2,0),""),"")</f>
        <v/>
      </c>
      <c r="M278" s="106"/>
      <c r="N278" s="150"/>
      <c r="O278" s="150"/>
      <c r="P278" s="150"/>
      <c r="Q278" s="13"/>
      <c r="R278" s="13"/>
    </row>
    <row r="279" spans="1:18" s="14" customFormat="1" ht="31.5" hidden="1">
      <c r="A279" s="106">
        <v>277</v>
      </c>
      <c r="B279" s="107">
        <v>44714</v>
      </c>
      <c r="C279" s="106" t="s">
        <v>1015</v>
      </c>
      <c r="D279" s="111" t="s">
        <v>30</v>
      </c>
      <c r="E279" s="111"/>
      <c r="F279" s="110" t="s">
        <v>1036</v>
      </c>
      <c r="G279" s="106" t="s">
        <v>1037</v>
      </c>
      <c r="H279" s="106"/>
      <c r="I279" s="107"/>
      <c r="J279" s="106" t="s">
        <v>180</v>
      </c>
      <c r="K279" s="150" t="s">
        <v>6</v>
      </c>
      <c r="L279" s="154" t="str">
        <f ca="1">IFERROR(_xlfn.IFNA(VLOOKUP($K279,[19]коммент!$B:$C,2,0),""),"")</f>
        <v/>
      </c>
      <c r="M279" s="106"/>
      <c r="N279" s="150"/>
      <c r="O279" s="150"/>
      <c r="P279" s="150"/>
      <c r="Q279" s="13"/>
      <c r="R279" s="13"/>
    </row>
    <row r="280" spans="1:18" s="14" customFormat="1" ht="204.75" hidden="1">
      <c r="A280" s="106">
        <v>278</v>
      </c>
      <c r="B280" s="107">
        <v>44714</v>
      </c>
      <c r="C280" s="106" t="s">
        <v>1157</v>
      </c>
      <c r="D280" s="111" t="s">
        <v>30</v>
      </c>
      <c r="E280" s="111"/>
      <c r="F280" s="110" t="s">
        <v>1168</v>
      </c>
      <c r="G280" s="106" t="s">
        <v>1169</v>
      </c>
      <c r="H280" s="106" t="s">
        <v>1170</v>
      </c>
      <c r="I280" s="107">
        <v>44692</v>
      </c>
      <c r="J280" s="106" t="s">
        <v>134</v>
      </c>
      <c r="K280" s="106" t="s">
        <v>113</v>
      </c>
      <c r="L280" s="112" t="str">
        <f ca="1">IFERROR(_xlfn.IFNA(VLOOKUP($K280,[20]коммент!$B:$C,2,0),""),"")</f>
        <v/>
      </c>
      <c r="M280" s="106"/>
      <c r="N280" s="106"/>
      <c r="O280" s="106"/>
      <c r="P280" s="106" t="s">
        <v>1171</v>
      </c>
      <c r="Q280" s="13"/>
      <c r="R280" s="13"/>
    </row>
    <row r="281" spans="1:18" s="14" customFormat="1" hidden="1">
      <c r="A281" s="106">
        <v>279</v>
      </c>
      <c r="B281" s="107">
        <v>44714</v>
      </c>
      <c r="C281" s="106" t="s">
        <v>208</v>
      </c>
      <c r="D281" s="111" t="s">
        <v>45</v>
      </c>
      <c r="E281" s="111"/>
      <c r="F281" s="129" t="s">
        <v>233</v>
      </c>
      <c r="G281" s="106">
        <v>9262507717</v>
      </c>
      <c r="H281" s="106"/>
      <c r="I281" s="107"/>
      <c r="J281" s="106" t="s">
        <v>179</v>
      </c>
      <c r="K281" s="106" t="s">
        <v>85</v>
      </c>
      <c r="L281" s="112" t="str">
        <f ca="1">IFERROR(_xlfn.IFNA(VLOOKUP($K281,коммент!$B:$C,2,0),""),"")</f>
        <v/>
      </c>
      <c r="M281" s="106" t="s">
        <v>129</v>
      </c>
      <c r="N281" s="106"/>
      <c r="O281" s="106"/>
      <c r="P281" s="106" t="s">
        <v>234</v>
      </c>
      <c r="Q281" s="13"/>
      <c r="R281" s="13"/>
    </row>
    <row r="282" spans="1:18" s="14" customFormat="1" hidden="1">
      <c r="A282" s="106">
        <v>280</v>
      </c>
      <c r="B282" s="107">
        <v>44714</v>
      </c>
      <c r="C282" s="106" t="s">
        <v>1141</v>
      </c>
      <c r="D282" s="111" t="s">
        <v>45</v>
      </c>
      <c r="E282" s="111"/>
      <c r="F282" s="110" t="s">
        <v>1156</v>
      </c>
      <c r="G282" s="106">
        <v>89856996148</v>
      </c>
      <c r="H282" s="106"/>
      <c r="I282" s="107"/>
      <c r="J282" s="106" t="s">
        <v>184</v>
      </c>
      <c r="K282" s="106" t="s">
        <v>175</v>
      </c>
      <c r="L282" s="112" t="str">
        <f ca="1">IFERROR(_xlfn.IFNA(VLOOKUP($K282,[11]коммент!$B:$C,2,0),""),"")</f>
        <v/>
      </c>
      <c r="M282" s="106"/>
      <c r="N282" s="106"/>
      <c r="O282" s="106"/>
      <c r="P282" s="106"/>
      <c r="Q282" s="13"/>
      <c r="R282" s="13"/>
    </row>
    <row r="283" spans="1:18" s="14" customFormat="1" ht="78.75" hidden="1">
      <c r="A283" s="106">
        <v>281</v>
      </c>
      <c r="B283" s="107">
        <v>44714</v>
      </c>
      <c r="C283" s="106" t="s">
        <v>1230</v>
      </c>
      <c r="D283" s="111" t="s">
        <v>45</v>
      </c>
      <c r="E283" s="111"/>
      <c r="F283" s="110" t="s">
        <v>1233</v>
      </c>
      <c r="G283" s="106">
        <v>9104439716</v>
      </c>
      <c r="H283" s="106"/>
      <c r="I283" s="106"/>
      <c r="J283" s="106" t="s">
        <v>180</v>
      </c>
      <c r="K283" s="106" t="s">
        <v>85</v>
      </c>
      <c r="L283" s="112" t="s">
        <v>148</v>
      </c>
      <c r="M283" s="106" t="s">
        <v>129</v>
      </c>
      <c r="N283" s="106"/>
      <c r="O283" s="106"/>
      <c r="P283" s="106" t="s">
        <v>1234</v>
      </c>
      <c r="Q283" s="13"/>
      <c r="R283" s="13"/>
    </row>
    <row r="284" spans="1:18" s="14" customFormat="1" ht="31.5" hidden="1">
      <c r="A284" s="106">
        <v>282</v>
      </c>
      <c r="B284" s="107">
        <v>44714</v>
      </c>
      <c r="C284" s="106" t="s">
        <v>790</v>
      </c>
      <c r="D284" s="111" t="s">
        <v>81</v>
      </c>
      <c r="E284" s="111"/>
      <c r="F284" s="110" t="s">
        <v>805</v>
      </c>
      <c r="G284" s="106">
        <v>9037438988</v>
      </c>
      <c r="H284" s="119"/>
      <c r="I284" s="118"/>
      <c r="J284" s="119" t="s">
        <v>180</v>
      </c>
      <c r="K284" s="119" t="s">
        <v>6</v>
      </c>
      <c r="L284" s="135" t="str">
        <f ca="1">IFERROR(_xlfn.IFNA(VLOOKUP($K284,[49]коммент!$B:$C,2,0),""),"")</f>
        <v/>
      </c>
      <c r="M284" s="119"/>
      <c r="N284" s="106"/>
      <c r="O284" s="106"/>
      <c r="P284" s="106" t="s">
        <v>806</v>
      </c>
      <c r="Q284" s="13"/>
      <c r="R284" s="13"/>
    </row>
    <row r="285" spans="1:18" s="14" customFormat="1" ht="94.5" hidden="1">
      <c r="A285" s="106">
        <v>283</v>
      </c>
      <c r="B285" s="107">
        <v>44714</v>
      </c>
      <c r="C285" s="106" t="s">
        <v>817</v>
      </c>
      <c r="D285" s="111" t="s">
        <v>81</v>
      </c>
      <c r="E285" s="111"/>
      <c r="F285" s="123" t="s">
        <v>823</v>
      </c>
      <c r="G285" s="121">
        <v>9265529992</v>
      </c>
      <c r="H285" s="121"/>
      <c r="I285" s="121"/>
      <c r="J285" s="121" t="s">
        <v>184</v>
      </c>
      <c r="K285" s="121" t="s">
        <v>113</v>
      </c>
      <c r="L285" s="124" t="str">
        <f ca="1">IFERROR(_xlfn.IFNA(VLOOKUP($K285,[69]коммент!$B:$C,2,0),""),"")</f>
        <v/>
      </c>
      <c r="M285" s="106"/>
      <c r="N285" s="106"/>
      <c r="O285" s="106"/>
      <c r="P285" s="106" t="s">
        <v>824</v>
      </c>
      <c r="Q285" s="13"/>
      <c r="R285" s="13"/>
    </row>
    <row r="286" spans="1:18" s="14" customFormat="1" ht="94.5" hidden="1">
      <c r="A286" s="106">
        <v>284</v>
      </c>
      <c r="B286" s="107">
        <v>44714</v>
      </c>
      <c r="C286" s="106" t="s">
        <v>839</v>
      </c>
      <c r="D286" s="111" t="s">
        <v>81</v>
      </c>
      <c r="E286" s="111"/>
      <c r="F286" s="110" t="s">
        <v>862</v>
      </c>
      <c r="G286" s="106" t="s">
        <v>863</v>
      </c>
      <c r="H286" s="106" t="s">
        <v>646</v>
      </c>
      <c r="I286" s="107">
        <v>44510</v>
      </c>
      <c r="J286" s="106" t="s">
        <v>180</v>
      </c>
      <c r="K286" s="125" t="s">
        <v>6</v>
      </c>
      <c r="L286" s="126" t="s">
        <v>147</v>
      </c>
      <c r="M286" s="106"/>
      <c r="N286" s="106"/>
      <c r="O286" s="106"/>
      <c r="P286" s="106"/>
      <c r="Q286" s="13"/>
      <c r="R286" s="13"/>
    </row>
    <row r="287" spans="1:18" s="14" customFormat="1" ht="31.5" hidden="1">
      <c r="A287" s="106">
        <v>285</v>
      </c>
      <c r="B287" s="107">
        <v>44714</v>
      </c>
      <c r="C287" s="106" t="s">
        <v>1188</v>
      </c>
      <c r="D287" s="111" t="s">
        <v>81</v>
      </c>
      <c r="E287" s="111"/>
      <c r="F287" s="110" t="s">
        <v>1197</v>
      </c>
      <c r="G287" s="106" t="s">
        <v>1198</v>
      </c>
      <c r="H287" s="106"/>
      <c r="I287" s="106"/>
      <c r="J287" s="106" t="s">
        <v>180</v>
      </c>
      <c r="K287" s="106" t="s">
        <v>6</v>
      </c>
      <c r="L287" s="112" t="str">
        <f ca="1">IFERROR(_xlfn.IFNA(VLOOKUP($K287,[54]коммент!$B:$C,2,0),""),"")</f>
        <v/>
      </c>
      <c r="M287" s="106"/>
      <c r="N287" s="106"/>
      <c r="O287" s="106"/>
      <c r="P287" s="106"/>
      <c r="Q287" s="13"/>
      <c r="R287" s="13"/>
    </row>
    <row r="288" spans="1:18" s="14" customFormat="1" ht="94.5" hidden="1">
      <c r="A288" s="106">
        <v>286</v>
      </c>
      <c r="B288" s="107">
        <v>44714</v>
      </c>
      <c r="C288" s="106" t="s">
        <v>522</v>
      </c>
      <c r="D288" s="111" t="s">
        <v>80</v>
      </c>
      <c r="E288" s="111"/>
      <c r="F288" s="110" t="s">
        <v>539</v>
      </c>
      <c r="G288" s="106" t="s">
        <v>540</v>
      </c>
      <c r="H288" s="106" t="s">
        <v>526</v>
      </c>
      <c r="I288" s="107">
        <v>44704</v>
      </c>
      <c r="J288" s="106" t="s">
        <v>180</v>
      </c>
      <c r="K288" s="106" t="s">
        <v>111</v>
      </c>
      <c r="L288" s="112" t="s">
        <v>165</v>
      </c>
      <c r="M288" s="106" t="s">
        <v>130</v>
      </c>
      <c r="N288" s="106" t="s">
        <v>114</v>
      </c>
      <c r="O288" s="106"/>
      <c r="P288" s="106" t="s">
        <v>541</v>
      </c>
      <c r="Q288" s="13"/>
      <c r="R288" s="13"/>
    </row>
    <row r="289" spans="1:18" s="14" customFormat="1" ht="94.5" hidden="1">
      <c r="A289" s="106">
        <v>287</v>
      </c>
      <c r="B289" s="107">
        <v>44714</v>
      </c>
      <c r="C289" s="106" t="s">
        <v>682</v>
      </c>
      <c r="D289" s="111" t="s">
        <v>80</v>
      </c>
      <c r="E289" s="111"/>
      <c r="F289" s="110" t="s">
        <v>692</v>
      </c>
      <c r="G289" s="106">
        <v>9055425542</v>
      </c>
      <c r="H289" s="106" t="s">
        <v>693</v>
      </c>
      <c r="I289" s="107">
        <v>44658</v>
      </c>
      <c r="J289" s="106" t="s">
        <v>179</v>
      </c>
      <c r="K289" s="106" t="s">
        <v>111</v>
      </c>
      <c r="L289" s="112" t="s">
        <v>165</v>
      </c>
      <c r="M289" s="106" t="s">
        <v>130</v>
      </c>
      <c r="N289" s="106" t="s">
        <v>114</v>
      </c>
      <c r="O289" s="106"/>
      <c r="P289" s="106" t="s">
        <v>694</v>
      </c>
      <c r="Q289" s="13"/>
      <c r="R289" s="13"/>
    </row>
    <row r="290" spans="1:18" s="14" customFormat="1" ht="94.5" hidden="1">
      <c r="A290" s="106">
        <v>288</v>
      </c>
      <c r="B290" s="107">
        <v>44714</v>
      </c>
      <c r="C290" s="106" t="s">
        <v>682</v>
      </c>
      <c r="D290" s="111" t="s">
        <v>80</v>
      </c>
      <c r="E290" s="111"/>
      <c r="F290" s="110" t="s">
        <v>700</v>
      </c>
      <c r="G290" s="106">
        <v>9251846414</v>
      </c>
      <c r="H290" s="106" t="s">
        <v>701</v>
      </c>
      <c r="I290" s="107">
        <v>44473</v>
      </c>
      <c r="J290" s="106" t="s">
        <v>184</v>
      </c>
      <c r="K290" s="106" t="s">
        <v>175</v>
      </c>
      <c r="L290" s="112" t="s">
        <v>176</v>
      </c>
      <c r="M290" s="106"/>
      <c r="N290" s="106"/>
      <c r="O290" s="106"/>
      <c r="P290" s="106" t="s">
        <v>702</v>
      </c>
      <c r="Q290" s="13"/>
      <c r="R290" s="13"/>
    </row>
    <row r="291" spans="1:18" s="14" customFormat="1" ht="47.25" hidden="1">
      <c r="A291" s="106">
        <v>289</v>
      </c>
      <c r="B291" s="107">
        <v>44714</v>
      </c>
      <c r="C291" s="106" t="s">
        <v>737</v>
      </c>
      <c r="D291" s="111" t="s">
        <v>80</v>
      </c>
      <c r="E291" s="111"/>
      <c r="F291" s="105" t="s">
        <v>738</v>
      </c>
      <c r="G291" s="106" t="s">
        <v>739</v>
      </c>
      <c r="H291" s="106"/>
      <c r="I291" s="106"/>
      <c r="J291" s="106" t="s">
        <v>179</v>
      </c>
      <c r="K291" s="106" t="s">
        <v>113</v>
      </c>
      <c r="L291" s="112" t="str">
        <f ca="1">IFERROR(_xlfn.IFNA(VLOOKUP($K291,[45]коммент!$B:$C,2,0),""),"")</f>
        <v/>
      </c>
      <c r="M291" s="106"/>
      <c r="N291" s="106"/>
      <c r="O291" s="106"/>
      <c r="P291" s="106" t="s">
        <v>740</v>
      </c>
      <c r="Q291" s="13"/>
      <c r="R291" s="13"/>
    </row>
    <row r="292" spans="1:18" s="14" customFormat="1" hidden="1">
      <c r="A292" s="106">
        <v>290</v>
      </c>
      <c r="B292" s="107">
        <v>44714</v>
      </c>
      <c r="C292" s="106" t="s">
        <v>737</v>
      </c>
      <c r="D292" s="111" t="s">
        <v>80</v>
      </c>
      <c r="E292" s="111"/>
      <c r="F292" s="105" t="s">
        <v>747</v>
      </c>
      <c r="G292" s="106" t="s">
        <v>748</v>
      </c>
      <c r="H292" s="106"/>
      <c r="I292" s="106"/>
      <c r="J292" s="106" t="s">
        <v>134</v>
      </c>
      <c r="K292" s="106" t="s">
        <v>85</v>
      </c>
      <c r="L292" s="112" t="str">
        <f ca="1">IFERROR(_xlfn.IFNA(VLOOKUP($K292,[45]коммент!$B:$C,2,0),""),"")</f>
        <v/>
      </c>
      <c r="M292" s="106" t="s">
        <v>129</v>
      </c>
      <c r="N292" s="106"/>
      <c r="O292" s="106"/>
      <c r="P292" s="106" t="s">
        <v>749</v>
      </c>
      <c r="Q292" s="13"/>
      <c r="R292" s="13"/>
    </row>
    <row r="293" spans="1:18" s="14" customFormat="1" ht="47.25" hidden="1">
      <c r="A293" s="106">
        <v>291</v>
      </c>
      <c r="B293" s="107">
        <v>44714</v>
      </c>
      <c r="C293" s="106" t="s">
        <v>817</v>
      </c>
      <c r="D293" s="111" t="s">
        <v>80</v>
      </c>
      <c r="E293" s="111"/>
      <c r="F293" s="110" t="s">
        <v>818</v>
      </c>
      <c r="G293" s="106">
        <v>9057715282</v>
      </c>
      <c r="H293" s="106" t="s">
        <v>819</v>
      </c>
      <c r="I293" s="107">
        <v>44713</v>
      </c>
      <c r="J293" s="106" t="s">
        <v>134</v>
      </c>
      <c r="K293" s="106" t="s">
        <v>111</v>
      </c>
      <c r="L293" s="112" t="str">
        <f ca="1">IFERROR(_xlfn.IFNA(VLOOKUP($K293,[51]коммент!$B:$C,2,0),""),"")</f>
        <v/>
      </c>
      <c r="M293" s="106" t="s">
        <v>130</v>
      </c>
      <c r="N293" s="106" t="s">
        <v>114</v>
      </c>
      <c r="O293" s="106"/>
      <c r="P293" s="106" t="s">
        <v>820</v>
      </c>
      <c r="Q293" s="13"/>
      <c r="R293" s="13"/>
    </row>
    <row r="294" spans="1:18" s="14" customFormat="1" ht="31.5" hidden="1">
      <c r="A294" s="106">
        <v>292</v>
      </c>
      <c r="B294" s="107">
        <v>44714</v>
      </c>
      <c r="C294" s="106" t="s">
        <v>817</v>
      </c>
      <c r="D294" s="111" t="s">
        <v>79</v>
      </c>
      <c r="E294" s="111"/>
      <c r="F294" s="110" t="s">
        <v>821</v>
      </c>
      <c r="G294" s="106" t="s">
        <v>822</v>
      </c>
      <c r="H294" s="106"/>
      <c r="I294" s="106"/>
      <c r="J294" s="106" t="s">
        <v>179</v>
      </c>
      <c r="K294" s="106" t="s">
        <v>6</v>
      </c>
      <c r="L294" s="112" t="str">
        <f ca="1">IFERROR(_xlfn.IFNA(VLOOKUP($K294,[70]коммент!$B:$C,2,0),""),"")</f>
        <v/>
      </c>
      <c r="M294" s="106"/>
      <c r="N294" s="106"/>
      <c r="O294" s="106"/>
      <c r="P294" s="106"/>
      <c r="Q294" s="13"/>
      <c r="R294" s="13"/>
    </row>
    <row r="295" spans="1:18" s="14" customFormat="1" ht="31.5" hidden="1">
      <c r="A295" s="106">
        <v>293</v>
      </c>
      <c r="B295" s="107">
        <v>44714</v>
      </c>
      <c r="C295" s="106" t="s">
        <v>237</v>
      </c>
      <c r="D295" s="111" t="s">
        <v>78</v>
      </c>
      <c r="E295" s="111"/>
      <c r="F295" s="110" t="s">
        <v>248</v>
      </c>
      <c r="G295" s="106" t="s">
        <v>249</v>
      </c>
      <c r="H295" s="106"/>
      <c r="I295" s="106"/>
      <c r="J295" s="106" t="s">
        <v>179</v>
      </c>
      <c r="K295" s="106" t="s">
        <v>6</v>
      </c>
      <c r="L295" s="112" t="str">
        <f ca="1">IFERROR(_xlfn.IFNA(VLOOKUP($K295,[68]коммент!$B:$C,2,0),""),"")</f>
        <v/>
      </c>
      <c r="M295" s="106"/>
      <c r="N295" s="106"/>
      <c r="O295" s="106"/>
      <c r="P295" s="106"/>
      <c r="Q295" s="13"/>
      <c r="R295" s="13"/>
    </row>
    <row r="296" spans="1:18" s="14" customFormat="1" ht="47.25" hidden="1">
      <c r="A296" s="106">
        <v>294</v>
      </c>
      <c r="B296" s="107">
        <v>44714</v>
      </c>
      <c r="C296" s="106" t="s">
        <v>568</v>
      </c>
      <c r="D296" s="111" t="s">
        <v>78</v>
      </c>
      <c r="E296" s="111"/>
      <c r="F296" s="110" t="s">
        <v>580</v>
      </c>
      <c r="G296" s="106" t="s">
        <v>581</v>
      </c>
      <c r="H296" s="106"/>
      <c r="I296" s="107"/>
      <c r="J296" s="106" t="s">
        <v>134</v>
      </c>
      <c r="K296" s="106" t="s">
        <v>85</v>
      </c>
      <c r="L296" s="112" t="s">
        <v>148</v>
      </c>
      <c r="M296" s="106" t="s">
        <v>129</v>
      </c>
      <c r="N296" s="106"/>
      <c r="O296" s="106"/>
      <c r="P296" s="106"/>
      <c r="Q296" s="13"/>
      <c r="R296" s="13"/>
    </row>
    <row r="297" spans="1:18" s="14" customFormat="1" ht="94.5" hidden="1">
      <c r="A297" s="106">
        <v>295</v>
      </c>
      <c r="B297" s="107">
        <v>44714</v>
      </c>
      <c r="C297" s="106" t="s">
        <v>568</v>
      </c>
      <c r="D297" s="111" t="s">
        <v>78</v>
      </c>
      <c r="E297" s="111"/>
      <c r="F297" s="110" t="s">
        <v>587</v>
      </c>
      <c r="G297" s="106" t="s">
        <v>588</v>
      </c>
      <c r="H297" s="106"/>
      <c r="I297" s="107"/>
      <c r="J297" s="106" t="s">
        <v>180</v>
      </c>
      <c r="K297" s="106" t="s">
        <v>6</v>
      </c>
      <c r="L297" s="112" t="s">
        <v>147</v>
      </c>
      <c r="M297" s="106"/>
      <c r="N297" s="106"/>
      <c r="O297" s="106"/>
      <c r="P297" s="106"/>
      <c r="Q297" s="13"/>
      <c r="R297" s="13"/>
    </row>
    <row r="298" spans="1:18" s="14" customFormat="1" ht="78.75" hidden="1">
      <c r="A298" s="106">
        <v>296</v>
      </c>
      <c r="B298" s="107">
        <v>44714</v>
      </c>
      <c r="C298" s="106" t="s">
        <v>682</v>
      </c>
      <c r="D298" s="111" t="s">
        <v>78</v>
      </c>
      <c r="E298" s="111"/>
      <c r="F298" s="110" t="s">
        <v>695</v>
      </c>
      <c r="G298" s="106">
        <v>9197616727</v>
      </c>
      <c r="H298" s="106" t="s">
        <v>696</v>
      </c>
      <c r="I298" s="107">
        <v>44712</v>
      </c>
      <c r="J298" s="106" t="s">
        <v>180</v>
      </c>
      <c r="K298" s="106" t="s">
        <v>113</v>
      </c>
      <c r="L298" s="112" t="s">
        <v>143</v>
      </c>
      <c r="M298" s="106"/>
      <c r="N298" s="106"/>
      <c r="O298" s="106"/>
      <c r="P298" s="106" t="s">
        <v>697</v>
      </c>
      <c r="Q298" s="13"/>
      <c r="R298" s="13"/>
    </row>
    <row r="299" spans="1:18" s="14" customFormat="1" ht="63" hidden="1">
      <c r="A299" s="106">
        <v>297</v>
      </c>
      <c r="B299" s="107">
        <v>44714</v>
      </c>
      <c r="C299" s="106" t="s">
        <v>737</v>
      </c>
      <c r="D299" s="146" t="s">
        <v>78</v>
      </c>
      <c r="E299" s="146"/>
      <c r="F299" s="105" t="s">
        <v>741</v>
      </c>
      <c r="G299" s="106" t="s">
        <v>742</v>
      </c>
      <c r="H299" s="106" t="s">
        <v>743</v>
      </c>
      <c r="I299" s="107">
        <v>44702</v>
      </c>
      <c r="J299" s="114" t="s">
        <v>179</v>
      </c>
      <c r="K299" s="114" t="s">
        <v>111</v>
      </c>
      <c r="L299" s="115" t="str">
        <f ca="1">IFERROR(_xlfn.IFNA(VLOOKUP($K299,[71]коммент!$B:$C,2,0),""),"")</f>
        <v/>
      </c>
      <c r="M299" s="106" t="s">
        <v>130</v>
      </c>
      <c r="N299" s="106" t="s">
        <v>183</v>
      </c>
      <c r="O299" s="106" t="s">
        <v>78</v>
      </c>
      <c r="P299" s="106" t="s">
        <v>744</v>
      </c>
      <c r="Q299" s="13"/>
      <c r="R299" s="13"/>
    </row>
    <row r="300" spans="1:18" s="14" customFormat="1" ht="31.5" hidden="1">
      <c r="A300" s="106">
        <v>298</v>
      </c>
      <c r="B300" s="107">
        <v>44714</v>
      </c>
      <c r="C300" s="106" t="s">
        <v>737</v>
      </c>
      <c r="D300" s="111" t="s">
        <v>78</v>
      </c>
      <c r="E300" s="111"/>
      <c r="F300" s="105" t="s">
        <v>745</v>
      </c>
      <c r="G300" s="106" t="s">
        <v>746</v>
      </c>
      <c r="H300" s="106"/>
      <c r="I300" s="106"/>
      <c r="J300" s="106" t="s">
        <v>179</v>
      </c>
      <c r="K300" s="106" t="s">
        <v>6</v>
      </c>
      <c r="L300" s="112" t="str">
        <f ca="1">IFERROR(_xlfn.IFNA(VLOOKUP($K300,[72]коммент!$B:$C,2,0),""),"")</f>
        <v/>
      </c>
      <c r="M300" s="106"/>
      <c r="N300" s="106"/>
      <c r="O300" s="106"/>
      <c r="P300" s="106"/>
      <c r="Q300" s="13"/>
      <c r="R300" s="13"/>
    </row>
    <row r="301" spans="1:18" s="14" customFormat="1" ht="31.5" hidden="1">
      <c r="A301" s="106">
        <v>299</v>
      </c>
      <c r="B301" s="107">
        <v>44714</v>
      </c>
      <c r="C301" s="106" t="s">
        <v>737</v>
      </c>
      <c r="D301" s="111" t="s">
        <v>78</v>
      </c>
      <c r="E301" s="111"/>
      <c r="F301" s="105" t="s">
        <v>756</v>
      </c>
      <c r="G301" s="106" t="s">
        <v>757</v>
      </c>
      <c r="H301" s="106"/>
      <c r="I301" s="106"/>
      <c r="J301" s="106" t="s">
        <v>134</v>
      </c>
      <c r="K301" s="106" t="s">
        <v>6</v>
      </c>
      <c r="L301" s="112" t="str">
        <f ca="1">IFERROR(_xlfn.IFNA(VLOOKUP($K301,[45]коммент!$B:$C,2,0),""),"")</f>
        <v/>
      </c>
      <c r="M301" s="106"/>
      <c r="N301" s="106"/>
      <c r="O301" s="106"/>
      <c r="P301" s="106"/>
      <c r="Q301" s="13"/>
      <c r="R301" s="13"/>
    </row>
    <row r="302" spans="1:18" s="14" customFormat="1" ht="141.75" hidden="1">
      <c r="A302" s="106">
        <v>300</v>
      </c>
      <c r="B302" s="107">
        <v>44714</v>
      </c>
      <c r="C302" s="106" t="s">
        <v>737</v>
      </c>
      <c r="D302" s="111" t="s">
        <v>78</v>
      </c>
      <c r="E302" s="111"/>
      <c r="F302" s="105" t="s">
        <v>767</v>
      </c>
      <c r="G302" s="106" t="s">
        <v>768</v>
      </c>
      <c r="H302" s="106" t="s">
        <v>642</v>
      </c>
      <c r="I302" s="107">
        <v>44711</v>
      </c>
      <c r="J302" s="106" t="s">
        <v>180</v>
      </c>
      <c r="K302" s="106" t="s">
        <v>113</v>
      </c>
      <c r="L302" s="112" t="s">
        <v>165</v>
      </c>
      <c r="M302" s="106" t="s">
        <v>130</v>
      </c>
      <c r="N302" s="106" t="s">
        <v>114</v>
      </c>
      <c r="O302" s="106"/>
      <c r="P302" s="106" t="s">
        <v>769</v>
      </c>
      <c r="Q302" s="13"/>
      <c r="R302" s="13"/>
    </row>
    <row r="303" spans="1:18" s="14" customFormat="1" hidden="1">
      <c r="A303" s="106">
        <v>301</v>
      </c>
      <c r="B303" s="107">
        <v>44714</v>
      </c>
      <c r="C303" s="106" t="s">
        <v>817</v>
      </c>
      <c r="D303" s="111" t="s">
        <v>78</v>
      </c>
      <c r="E303" s="111"/>
      <c r="F303" s="110" t="s">
        <v>825</v>
      </c>
      <c r="G303" s="106">
        <v>9161987686</v>
      </c>
      <c r="H303" s="106" t="s">
        <v>826</v>
      </c>
      <c r="I303" s="107">
        <v>44713</v>
      </c>
      <c r="J303" s="106" t="s">
        <v>184</v>
      </c>
      <c r="K303" s="106" t="s">
        <v>111</v>
      </c>
      <c r="L303" s="112" t="str">
        <f ca="1">IFERROR(_xlfn.IFNA(VLOOKUP($K303,[51]коммент!$B:$C,2,0),""),"")</f>
        <v/>
      </c>
      <c r="M303" s="106" t="s">
        <v>130</v>
      </c>
      <c r="N303" s="106" t="s">
        <v>183</v>
      </c>
      <c r="O303" s="106" t="s">
        <v>78</v>
      </c>
      <c r="P303" s="106" t="s">
        <v>827</v>
      </c>
      <c r="Q303" s="13"/>
      <c r="R303" s="13"/>
    </row>
    <row r="304" spans="1:18" s="14" customFormat="1" ht="31.5" hidden="1">
      <c r="A304" s="106">
        <v>302</v>
      </c>
      <c r="B304" s="107">
        <v>44714</v>
      </c>
      <c r="C304" s="106" t="s">
        <v>839</v>
      </c>
      <c r="D304" s="111" t="s">
        <v>78</v>
      </c>
      <c r="E304" s="111"/>
      <c r="F304" s="110" t="s">
        <v>852</v>
      </c>
      <c r="G304" s="106" t="s">
        <v>853</v>
      </c>
      <c r="H304" s="106" t="s">
        <v>854</v>
      </c>
      <c r="I304" s="107">
        <v>44712</v>
      </c>
      <c r="J304" s="106" t="s">
        <v>134</v>
      </c>
      <c r="K304" s="106" t="s">
        <v>113</v>
      </c>
      <c r="L304" s="112" t="str">
        <f ca="1">IFERROR(_xlfn.IFNA(VLOOKUP($K304,[53]коммент!$B:$C,2,0),""),"")</f>
        <v/>
      </c>
      <c r="M304" s="106"/>
      <c r="N304" s="106"/>
      <c r="O304" s="106"/>
      <c r="P304" s="106" t="s">
        <v>855</v>
      </c>
      <c r="Q304" s="13"/>
      <c r="R304" s="13"/>
    </row>
    <row r="305" spans="1:18" s="14" customFormat="1" ht="31.5" hidden="1">
      <c r="A305" s="106">
        <v>303</v>
      </c>
      <c r="B305" s="107">
        <v>44714</v>
      </c>
      <c r="C305" s="106" t="s">
        <v>383</v>
      </c>
      <c r="D305" s="111" t="s">
        <v>91</v>
      </c>
      <c r="E305" s="111"/>
      <c r="F305" s="120" t="s">
        <v>405</v>
      </c>
      <c r="G305" s="119">
        <v>9164496789</v>
      </c>
      <c r="H305" s="118" t="s">
        <v>406</v>
      </c>
      <c r="I305" s="118">
        <v>44712</v>
      </c>
      <c r="J305" s="119" t="s">
        <v>134</v>
      </c>
      <c r="K305" s="119" t="s">
        <v>6</v>
      </c>
      <c r="L305" s="135" t="str">
        <f ca="1">IFERROR(_xlfn.IFNA(VLOOKUP($K305,[2]коммент!$B:$C,2,0),""),"")</f>
        <v/>
      </c>
      <c r="M305" s="106"/>
      <c r="N305" s="106"/>
      <c r="O305" s="106"/>
      <c r="P305" s="106"/>
      <c r="Q305" s="13"/>
      <c r="R305" s="13"/>
    </row>
    <row r="306" spans="1:18" s="14" customFormat="1" ht="31.5" hidden="1">
      <c r="A306" s="106">
        <v>304</v>
      </c>
      <c r="B306" s="107">
        <v>44714</v>
      </c>
      <c r="C306" s="106" t="s">
        <v>916</v>
      </c>
      <c r="D306" s="111" t="s">
        <v>91</v>
      </c>
      <c r="E306" s="111"/>
      <c r="F306" s="110" t="s">
        <v>924</v>
      </c>
      <c r="G306" s="106">
        <v>89162172626</v>
      </c>
      <c r="H306" s="106"/>
      <c r="I306" s="106"/>
      <c r="J306" s="106" t="s">
        <v>179</v>
      </c>
      <c r="K306" s="106" t="s">
        <v>85</v>
      </c>
      <c r="L306" s="112" t="str">
        <f ca="1">IFERROR(_xlfn.IFNA(VLOOKUP($K306,[5]коммент!$B:$C,2,0),""),"")</f>
        <v/>
      </c>
      <c r="M306" s="106" t="s">
        <v>129</v>
      </c>
      <c r="N306" s="106"/>
      <c r="O306" s="106"/>
      <c r="P306" s="106" t="s">
        <v>925</v>
      </c>
      <c r="Q306" s="13"/>
      <c r="R306" s="13"/>
    </row>
    <row r="307" spans="1:18" s="14" customFormat="1" ht="63" hidden="1">
      <c r="A307" s="106">
        <v>305</v>
      </c>
      <c r="B307" s="107">
        <v>44714</v>
      </c>
      <c r="C307" s="106" t="s">
        <v>1080</v>
      </c>
      <c r="D307" s="111" t="s">
        <v>91</v>
      </c>
      <c r="E307" s="111"/>
      <c r="F307" s="110" t="s">
        <v>1085</v>
      </c>
      <c r="G307" s="106">
        <v>89262845877</v>
      </c>
      <c r="H307" s="106" t="s">
        <v>1086</v>
      </c>
      <c r="I307" s="107">
        <v>44529</v>
      </c>
      <c r="J307" s="106" t="s">
        <v>184</v>
      </c>
      <c r="K307" s="106" t="s">
        <v>175</v>
      </c>
      <c r="L307" s="112" t="str">
        <f ca="1">IFERROR(_xlfn.IFNA(VLOOKUP($K307,[7]коммент!$B:$C,2,0),""),"")</f>
        <v/>
      </c>
      <c r="M307" s="106"/>
      <c r="N307" s="106"/>
      <c r="O307" s="106"/>
      <c r="P307" s="106" t="s">
        <v>1087</v>
      </c>
      <c r="Q307" s="13"/>
      <c r="R307" s="13"/>
    </row>
    <row r="308" spans="1:18" s="14" customFormat="1" ht="31.5" hidden="1">
      <c r="A308" s="106">
        <v>306</v>
      </c>
      <c r="B308" s="107">
        <v>44714</v>
      </c>
      <c r="C308" s="106" t="s">
        <v>1080</v>
      </c>
      <c r="D308" s="111" t="s">
        <v>91</v>
      </c>
      <c r="E308" s="111"/>
      <c r="F308" s="110" t="s">
        <v>1088</v>
      </c>
      <c r="G308" s="106">
        <v>89582222401</v>
      </c>
      <c r="H308" s="106"/>
      <c r="I308" s="106"/>
      <c r="J308" s="106" t="s">
        <v>184</v>
      </c>
      <c r="K308" s="106" t="s">
        <v>6</v>
      </c>
      <c r="L308" s="112" t="str">
        <f ca="1">IFERROR(_xlfn.IFNA(VLOOKUP($K308,[7]коммент!$B:$C,2,0),""),"")</f>
        <v/>
      </c>
      <c r="M308" s="106"/>
      <c r="N308" s="106"/>
      <c r="O308" s="106"/>
      <c r="P308" s="106"/>
      <c r="Q308" s="13"/>
      <c r="R308" s="13"/>
    </row>
    <row r="309" spans="1:18" s="14" customFormat="1" ht="31.5" hidden="1">
      <c r="A309" s="106">
        <v>307</v>
      </c>
      <c r="B309" s="107">
        <v>44714</v>
      </c>
      <c r="C309" s="106" t="s">
        <v>1089</v>
      </c>
      <c r="D309" s="111" t="s">
        <v>91</v>
      </c>
      <c r="E309" s="111"/>
      <c r="F309" s="110" t="s">
        <v>1090</v>
      </c>
      <c r="G309" s="106" t="s">
        <v>1091</v>
      </c>
      <c r="H309" s="106"/>
      <c r="I309" s="106"/>
      <c r="J309" s="106" t="s">
        <v>180</v>
      </c>
      <c r="K309" s="106" t="s">
        <v>6</v>
      </c>
      <c r="L309" s="112" t="str">
        <f ca="1">IFERROR(_xlfn.IFNA(VLOOKUP($K309,[8]коммент!$B:$C,2,0),""),"")</f>
        <v/>
      </c>
      <c r="M309" s="106"/>
      <c r="N309" s="106"/>
      <c r="O309" s="106"/>
      <c r="P309" s="106"/>
      <c r="Q309" s="13"/>
      <c r="R309" s="13"/>
    </row>
    <row r="310" spans="1:18" s="14" customFormat="1" ht="47.25" hidden="1">
      <c r="A310" s="106">
        <v>308</v>
      </c>
      <c r="B310" s="107">
        <v>44714</v>
      </c>
      <c r="C310" s="106" t="s">
        <v>1208</v>
      </c>
      <c r="D310" s="111" t="s">
        <v>91</v>
      </c>
      <c r="E310" s="111"/>
      <c r="F310" s="110" t="s">
        <v>1209</v>
      </c>
      <c r="G310" s="106" t="s">
        <v>1210</v>
      </c>
      <c r="H310" s="106"/>
      <c r="I310" s="106"/>
      <c r="J310" s="106" t="s">
        <v>180</v>
      </c>
      <c r="K310" s="106" t="s">
        <v>113</v>
      </c>
      <c r="L310" s="112" t="s">
        <v>143</v>
      </c>
      <c r="M310" s="106"/>
      <c r="N310" s="106"/>
      <c r="O310" s="106"/>
      <c r="P310" s="106" t="s">
        <v>1211</v>
      </c>
      <c r="Q310" s="13"/>
      <c r="R310" s="13"/>
    </row>
    <row r="311" spans="1:18" s="14" customFormat="1" ht="31.5" hidden="1">
      <c r="A311" s="106">
        <v>309</v>
      </c>
      <c r="B311" s="107">
        <v>44714</v>
      </c>
      <c r="C311" s="106" t="s">
        <v>1285</v>
      </c>
      <c r="D311" s="111" t="s">
        <v>91</v>
      </c>
      <c r="E311" s="111"/>
      <c r="F311" s="109" t="s">
        <v>1292</v>
      </c>
      <c r="G311" s="106">
        <v>9154170190</v>
      </c>
      <c r="H311" s="106"/>
      <c r="I311" s="106"/>
      <c r="J311" s="106" t="s">
        <v>180</v>
      </c>
      <c r="K311" s="106" t="s">
        <v>113</v>
      </c>
      <c r="L311" s="112" t="s">
        <v>143</v>
      </c>
      <c r="M311" s="106"/>
      <c r="N311" s="106"/>
      <c r="O311" s="106"/>
      <c r="P311" s="106" t="s">
        <v>1293</v>
      </c>
      <c r="Q311" s="13"/>
      <c r="R311" s="13"/>
    </row>
    <row r="312" spans="1:18" s="14" customFormat="1" ht="94.5" hidden="1">
      <c r="A312" s="106">
        <v>310</v>
      </c>
      <c r="B312" s="107">
        <v>44714</v>
      </c>
      <c r="C312" s="106" t="s">
        <v>1285</v>
      </c>
      <c r="D312" s="111" t="s">
        <v>91</v>
      </c>
      <c r="E312" s="111"/>
      <c r="F312" s="109" t="s">
        <v>1296</v>
      </c>
      <c r="G312" s="106" t="s">
        <v>1297</v>
      </c>
      <c r="H312" s="106"/>
      <c r="I312" s="106"/>
      <c r="J312" s="106" t="s">
        <v>179</v>
      </c>
      <c r="K312" s="106" t="s">
        <v>6</v>
      </c>
      <c r="L312" s="112" t="s">
        <v>147</v>
      </c>
      <c r="M312" s="106"/>
      <c r="N312" s="106"/>
      <c r="O312" s="106"/>
      <c r="P312" s="106"/>
      <c r="Q312" s="13"/>
      <c r="R312" s="13"/>
    </row>
    <row r="313" spans="1:18" s="14" customFormat="1" ht="110.25" hidden="1">
      <c r="A313" s="106">
        <v>311</v>
      </c>
      <c r="B313" s="107">
        <v>44714</v>
      </c>
      <c r="C313" s="106" t="s">
        <v>522</v>
      </c>
      <c r="D313" s="111" t="s">
        <v>77</v>
      </c>
      <c r="E313" s="111"/>
      <c r="F313" s="110" t="s">
        <v>527</v>
      </c>
      <c r="G313" s="106" t="s">
        <v>528</v>
      </c>
      <c r="H313" s="106"/>
      <c r="I313" s="107"/>
      <c r="J313" s="106" t="s">
        <v>180</v>
      </c>
      <c r="K313" s="106" t="s">
        <v>113</v>
      </c>
      <c r="L313" s="112" t="str">
        <f ca="1">IFERROR(_xlfn.IFNA(VLOOKUP($K313,[44]коммент!$B:$C,2,0),""),"")</f>
        <v/>
      </c>
      <c r="M313" s="106"/>
      <c r="N313" s="106"/>
      <c r="O313" s="106"/>
      <c r="P313" s="106" t="s">
        <v>529</v>
      </c>
      <c r="Q313" s="13"/>
      <c r="R313" s="13"/>
    </row>
    <row r="314" spans="1:18" s="14" customFormat="1" ht="31.5" hidden="1">
      <c r="A314" s="106">
        <v>312</v>
      </c>
      <c r="B314" s="107">
        <v>44714</v>
      </c>
      <c r="C314" s="106" t="s">
        <v>522</v>
      </c>
      <c r="D314" s="111" t="s">
        <v>77</v>
      </c>
      <c r="E314" s="111"/>
      <c r="F314" s="110" t="s">
        <v>542</v>
      </c>
      <c r="G314" s="106" t="s">
        <v>543</v>
      </c>
      <c r="H314" s="106" t="s">
        <v>506</v>
      </c>
      <c r="I314" s="107">
        <v>44698</v>
      </c>
      <c r="J314" s="106" t="s">
        <v>180</v>
      </c>
      <c r="K314" s="106" t="s">
        <v>111</v>
      </c>
      <c r="L314" s="112" t="str">
        <f ca="1">IFERROR(_xlfn.IFNA(VLOOKUP($K314,[44]коммент!$B:$C,2,0),""),"")</f>
        <v/>
      </c>
      <c r="M314" s="106" t="s">
        <v>130</v>
      </c>
      <c r="N314" s="106" t="s">
        <v>183</v>
      </c>
      <c r="O314" s="106" t="s">
        <v>77</v>
      </c>
      <c r="P314" s="106" t="s">
        <v>544</v>
      </c>
      <c r="Q314" s="13"/>
      <c r="R314" s="13"/>
    </row>
    <row r="315" spans="1:18" s="14" customFormat="1" ht="31.5" hidden="1">
      <c r="A315" s="106">
        <v>313</v>
      </c>
      <c r="B315" s="107">
        <v>44714</v>
      </c>
      <c r="C315" s="106" t="s">
        <v>383</v>
      </c>
      <c r="D315" s="111" t="s">
        <v>89</v>
      </c>
      <c r="E315" s="111"/>
      <c r="F315" s="120" t="s">
        <v>407</v>
      </c>
      <c r="G315" s="119">
        <v>9175587098</v>
      </c>
      <c r="H315" s="118" t="s">
        <v>408</v>
      </c>
      <c r="I315" s="118">
        <v>44641</v>
      </c>
      <c r="J315" s="119" t="s">
        <v>179</v>
      </c>
      <c r="K315" s="119" t="s">
        <v>6</v>
      </c>
      <c r="L315" s="135" t="str">
        <f ca="1">IFERROR(_xlfn.IFNA(VLOOKUP($K315,[2]коммент!$B:$C,2,0),""),"")</f>
        <v/>
      </c>
      <c r="M315" s="106"/>
      <c r="N315" s="106"/>
      <c r="O315" s="106"/>
      <c r="P315" s="106"/>
      <c r="Q315" s="13"/>
      <c r="R315" s="13"/>
    </row>
    <row r="316" spans="1:18" s="14" customFormat="1" ht="31.5" hidden="1">
      <c r="A316" s="106">
        <v>314</v>
      </c>
      <c r="B316" s="107">
        <v>44714</v>
      </c>
      <c r="C316" s="106" t="s">
        <v>412</v>
      </c>
      <c r="D316" s="111" t="s">
        <v>89</v>
      </c>
      <c r="E316" s="111"/>
      <c r="F316" s="109" t="s">
        <v>417</v>
      </c>
      <c r="G316" s="106">
        <v>9165177167</v>
      </c>
      <c r="H316" s="106"/>
      <c r="I316" s="106"/>
      <c r="J316" s="106" t="s">
        <v>179</v>
      </c>
      <c r="K316" s="106" t="s">
        <v>6</v>
      </c>
      <c r="L316" s="112" t="str">
        <f ca="1">IFERROR(_xlfn.IFNA(VLOOKUP($K316,[3]коммент!$B:$C,2,0),""),"")</f>
        <v/>
      </c>
      <c r="M316" s="106"/>
      <c r="N316" s="106"/>
      <c r="O316" s="106"/>
      <c r="P316" s="106"/>
      <c r="Q316" s="13"/>
      <c r="R316" s="13"/>
    </row>
    <row r="317" spans="1:18" s="14" customFormat="1" hidden="1">
      <c r="A317" s="106">
        <v>315</v>
      </c>
      <c r="B317" s="107">
        <v>44714</v>
      </c>
      <c r="C317" s="106" t="s">
        <v>949</v>
      </c>
      <c r="D317" s="111" t="s">
        <v>89</v>
      </c>
      <c r="E317" s="111"/>
      <c r="F317" s="109" t="s">
        <v>952</v>
      </c>
      <c r="G317" s="106">
        <v>9168188498</v>
      </c>
      <c r="H317" s="106"/>
      <c r="I317" s="106"/>
      <c r="J317" s="106" t="s">
        <v>180</v>
      </c>
      <c r="K317" s="114" t="s">
        <v>85</v>
      </c>
      <c r="L317" s="115" t="str">
        <f ca="1">IFERROR(_xlfn.IFNA(VLOOKUP($K317,[73]коммент!$B:$C,2,0),""),"")</f>
        <v/>
      </c>
      <c r="M317" s="106" t="s">
        <v>129</v>
      </c>
      <c r="N317" s="106" t="s">
        <v>114</v>
      </c>
      <c r="O317" s="106"/>
      <c r="P317" s="106"/>
      <c r="Q317" s="13"/>
      <c r="R317" s="13"/>
    </row>
    <row r="318" spans="1:18" s="14" customFormat="1" ht="94.5" hidden="1">
      <c r="A318" s="106">
        <v>316</v>
      </c>
      <c r="B318" s="107">
        <v>44714</v>
      </c>
      <c r="C318" s="106" t="s">
        <v>237</v>
      </c>
      <c r="D318" s="111" t="s">
        <v>76</v>
      </c>
      <c r="E318" s="111"/>
      <c r="F318" s="110" t="s">
        <v>243</v>
      </c>
      <c r="G318" s="106" t="s">
        <v>244</v>
      </c>
      <c r="H318" s="106" t="s">
        <v>245</v>
      </c>
      <c r="I318" s="107">
        <v>44650</v>
      </c>
      <c r="J318" s="106" t="s">
        <v>179</v>
      </c>
      <c r="K318" s="114" t="s">
        <v>111</v>
      </c>
      <c r="L318" s="115" t="s">
        <v>165</v>
      </c>
      <c r="M318" s="106" t="s">
        <v>130</v>
      </c>
      <c r="N318" s="106" t="s">
        <v>183</v>
      </c>
      <c r="O318" s="106" t="s">
        <v>25</v>
      </c>
      <c r="P318" s="106" t="s">
        <v>246</v>
      </c>
      <c r="Q318" s="13"/>
      <c r="R318" s="13"/>
    </row>
    <row r="319" spans="1:18" s="14" customFormat="1" ht="31.5" hidden="1">
      <c r="A319" s="106">
        <v>317</v>
      </c>
      <c r="B319" s="107">
        <v>44714</v>
      </c>
      <c r="C319" s="106" t="s">
        <v>237</v>
      </c>
      <c r="D319" s="111" t="s">
        <v>76</v>
      </c>
      <c r="E319" s="111"/>
      <c r="F319" s="110" t="s">
        <v>247</v>
      </c>
      <c r="G319" s="106">
        <v>9859984632</v>
      </c>
      <c r="H319" s="106"/>
      <c r="I319" s="106"/>
      <c r="J319" s="106" t="s">
        <v>179</v>
      </c>
      <c r="K319" s="106" t="s">
        <v>6</v>
      </c>
      <c r="L319" s="112" t="str">
        <f ca="1">IFERROR(_xlfn.IFNA(VLOOKUP($K319,[68]коммент!$B:$C,2,0),""),"")</f>
        <v/>
      </c>
      <c r="M319" s="106"/>
      <c r="N319" s="106"/>
      <c r="O319" s="106"/>
      <c r="P319" s="106"/>
      <c r="Q319" s="13"/>
      <c r="R319" s="13"/>
    </row>
    <row r="320" spans="1:18" s="14" customFormat="1" ht="94.5" hidden="1">
      <c r="A320" s="106">
        <v>318</v>
      </c>
      <c r="B320" s="107">
        <v>44714</v>
      </c>
      <c r="C320" s="106" t="s">
        <v>568</v>
      </c>
      <c r="D320" s="111" t="s">
        <v>76</v>
      </c>
      <c r="E320" s="111"/>
      <c r="F320" s="110" t="s">
        <v>569</v>
      </c>
      <c r="G320" s="106">
        <v>9269937245</v>
      </c>
      <c r="H320" s="106"/>
      <c r="I320" s="107"/>
      <c r="J320" s="106" t="s">
        <v>180</v>
      </c>
      <c r="K320" s="106" t="s">
        <v>6</v>
      </c>
      <c r="L320" s="112" t="s">
        <v>147</v>
      </c>
      <c r="M320" s="106"/>
      <c r="N320" s="106"/>
      <c r="O320" s="106"/>
      <c r="P320" s="106"/>
      <c r="Q320" s="13"/>
      <c r="R320" s="13"/>
    </row>
    <row r="321" spans="1:18" s="14" customFormat="1" ht="47.25" hidden="1">
      <c r="A321" s="106">
        <v>319</v>
      </c>
      <c r="B321" s="107">
        <v>44714</v>
      </c>
      <c r="C321" s="106" t="s">
        <v>568</v>
      </c>
      <c r="D321" s="111" t="s">
        <v>76</v>
      </c>
      <c r="E321" s="111"/>
      <c r="F321" s="110" t="s">
        <v>572</v>
      </c>
      <c r="G321" s="106">
        <v>4959474271</v>
      </c>
      <c r="H321" s="106"/>
      <c r="I321" s="107"/>
      <c r="J321" s="106" t="s">
        <v>180</v>
      </c>
      <c r="K321" s="106" t="s">
        <v>85</v>
      </c>
      <c r="L321" s="112" t="s">
        <v>148</v>
      </c>
      <c r="M321" s="106" t="s">
        <v>130</v>
      </c>
      <c r="N321" s="106"/>
      <c r="O321" s="106"/>
      <c r="P321" s="106"/>
      <c r="Q321" s="13"/>
      <c r="R321" s="13"/>
    </row>
    <row r="322" spans="1:18" s="14" customFormat="1" ht="94.5" hidden="1">
      <c r="A322" s="106">
        <v>320</v>
      </c>
      <c r="B322" s="107">
        <v>44714</v>
      </c>
      <c r="C322" s="106" t="s">
        <v>568</v>
      </c>
      <c r="D322" s="111" t="s">
        <v>76</v>
      </c>
      <c r="E322" s="111"/>
      <c r="F322" s="110" t="s">
        <v>585</v>
      </c>
      <c r="G322" s="106" t="s">
        <v>586</v>
      </c>
      <c r="H322" s="106"/>
      <c r="I322" s="107"/>
      <c r="J322" s="106" t="s">
        <v>180</v>
      </c>
      <c r="K322" s="106" t="s">
        <v>6</v>
      </c>
      <c r="L322" s="112" t="s">
        <v>147</v>
      </c>
      <c r="M322" s="106"/>
      <c r="N322" s="106"/>
      <c r="O322" s="106"/>
      <c r="P322" s="106"/>
      <c r="Q322" s="13"/>
      <c r="R322" s="13"/>
    </row>
    <row r="323" spans="1:18" s="14" customFormat="1" ht="94.5" hidden="1">
      <c r="A323" s="106">
        <v>321</v>
      </c>
      <c r="B323" s="107">
        <v>44714</v>
      </c>
      <c r="C323" s="106" t="s">
        <v>568</v>
      </c>
      <c r="D323" s="111" t="s">
        <v>76</v>
      </c>
      <c r="E323" s="111"/>
      <c r="F323" s="110" t="s">
        <v>589</v>
      </c>
      <c r="G323" s="106">
        <v>9099357155</v>
      </c>
      <c r="H323" s="106"/>
      <c r="I323" s="107"/>
      <c r="J323" s="106" t="s">
        <v>184</v>
      </c>
      <c r="K323" s="106" t="s">
        <v>6</v>
      </c>
      <c r="L323" s="112" t="s">
        <v>147</v>
      </c>
      <c r="M323" s="106"/>
      <c r="N323" s="106"/>
      <c r="O323" s="106"/>
      <c r="P323" s="106"/>
      <c r="Q323" s="13"/>
      <c r="R323" s="13"/>
    </row>
    <row r="324" spans="1:18" s="14" customFormat="1" ht="94.5" hidden="1">
      <c r="A324" s="106">
        <v>322</v>
      </c>
      <c r="B324" s="107">
        <v>44714</v>
      </c>
      <c r="C324" s="106" t="s">
        <v>568</v>
      </c>
      <c r="D324" s="111" t="s">
        <v>76</v>
      </c>
      <c r="E324" s="111"/>
      <c r="F324" s="110" t="s">
        <v>590</v>
      </c>
      <c r="G324" s="106">
        <v>9032890658</v>
      </c>
      <c r="H324" s="106"/>
      <c r="I324" s="107"/>
      <c r="J324" s="106" t="s">
        <v>180</v>
      </c>
      <c r="K324" s="106" t="s">
        <v>6</v>
      </c>
      <c r="L324" s="112" t="s">
        <v>147</v>
      </c>
      <c r="M324" s="106"/>
      <c r="N324" s="106"/>
      <c r="O324" s="106"/>
      <c r="P324" s="106"/>
      <c r="Q324" s="13"/>
      <c r="R324" s="13"/>
    </row>
    <row r="325" spans="1:18" s="14" customFormat="1" ht="94.5" hidden="1">
      <c r="A325" s="106">
        <v>323</v>
      </c>
      <c r="B325" s="107">
        <v>44714</v>
      </c>
      <c r="C325" s="106" t="s">
        <v>568</v>
      </c>
      <c r="D325" s="111" t="s">
        <v>76</v>
      </c>
      <c r="E325" s="111"/>
      <c r="F325" s="110" t="s">
        <v>591</v>
      </c>
      <c r="G325" s="106">
        <v>9025639061</v>
      </c>
      <c r="H325" s="106"/>
      <c r="I325" s="107"/>
      <c r="J325" s="106" t="s">
        <v>179</v>
      </c>
      <c r="K325" s="106" t="s">
        <v>6</v>
      </c>
      <c r="L325" s="112" t="s">
        <v>147</v>
      </c>
      <c r="M325" s="106"/>
      <c r="N325" s="106"/>
      <c r="O325" s="106"/>
      <c r="P325" s="106"/>
      <c r="Q325" s="13"/>
      <c r="R325" s="13"/>
    </row>
    <row r="326" spans="1:18" s="14" customFormat="1" ht="94.5" hidden="1">
      <c r="A326" s="106">
        <v>324</v>
      </c>
      <c r="B326" s="107">
        <v>44714</v>
      </c>
      <c r="C326" s="106" t="s">
        <v>632</v>
      </c>
      <c r="D326" s="111" t="s">
        <v>76</v>
      </c>
      <c r="E326" s="111"/>
      <c r="F326" s="110" t="s">
        <v>649</v>
      </c>
      <c r="G326" s="106" t="s">
        <v>650</v>
      </c>
      <c r="H326" s="106" t="s">
        <v>646</v>
      </c>
      <c r="I326" s="107">
        <v>44638</v>
      </c>
      <c r="J326" s="106" t="s">
        <v>179</v>
      </c>
      <c r="K326" s="106" t="s">
        <v>111</v>
      </c>
      <c r="L326" s="112" t="s">
        <v>165</v>
      </c>
      <c r="M326" s="106" t="s">
        <v>130</v>
      </c>
      <c r="N326" s="106" t="s">
        <v>114</v>
      </c>
      <c r="O326" s="106"/>
      <c r="P326" s="106" t="s">
        <v>651</v>
      </c>
      <c r="Q326" s="13"/>
      <c r="R326" s="13"/>
    </row>
    <row r="327" spans="1:18" s="14" customFormat="1" ht="94.5" hidden="1">
      <c r="A327" s="106">
        <v>325</v>
      </c>
      <c r="B327" s="107">
        <v>44714</v>
      </c>
      <c r="C327" s="106" t="s">
        <v>632</v>
      </c>
      <c r="D327" s="111" t="s">
        <v>76</v>
      </c>
      <c r="E327" s="111"/>
      <c r="F327" s="110" t="s">
        <v>657</v>
      </c>
      <c r="G327" s="106" t="s">
        <v>658</v>
      </c>
      <c r="H327" s="106"/>
      <c r="I327" s="107"/>
      <c r="J327" s="106" t="s">
        <v>184</v>
      </c>
      <c r="K327" s="106" t="s">
        <v>36</v>
      </c>
      <c r="L327" s="112" t="s">
        <v>157</v>
      </c>
      <c r="M327" s="106"/>
      <c r="N327" s="106"/>
      <c r="O327" s="106"/>
      <c r="P327" s="106" t="s">
        <v>659</v>
      </c>
      <c r="Q327" s="13"/>
      <c r="R327" s="13"/>
    </row>
    <row r="328" spans="1:18" s="14" customFormat="1" ht="94.5" hidden="1">
      <c r="A328" s="106">
        <v>326</v>
      </c>
      <c r="B328" s="107">
        <v>44714</v>
      </c>
      <c r="C328" s="106" t="s">
        <v>682</v>
      </c>
      <c r="D328" s="111" t="s">
        <v>76</v>
      </c>
      <c r="E328" s="111"/>
      <c r="F328" s="110" t="s">
        <v>703</v>
      </c>
      <c r="G328" s="106">
        <v>9037828955</v>
      </c>
      <c r="H328" s="106"/>
      <c r="I328" s="107"/>
      <c r="J328" s="106" t="s">
        <v>184</v>
      </c>
      <c r="K328" s="106" t="s">
        <v>6</v>
      </c>
      <c r="L328" s="112" t="s">
        <v>147</v>
      </c>
      <c r="M328" s="106"/>
      <c r="N328" s="106"/>
      <c r="O328" s="106"/>
      <c r="P328" s="106" t="s">
        <v>704</v>
      </c>
      <c r="Q328" s="13"/>
      <c r="R328" s="13"/>
    </row>
    <row r="329" spans="1:18" s="14" customFormat="1" ht="94.5" hidden="1">
      <c r="A329" s="106">
        <v>327</v>
      </c>
      <c r="B329" s="107">
        <v>44714</v>
      </c>
      <c r="C329" s="106" t="s">
        <v>709</v>
      </c>
      <c r="D329" s="111" t="s">
        <v>76</v>
      </c>
      <c r="E329" s="111"/>
      <c r="F329" s="110" t="s">
        <v>711</v>
      </c>
      <c r="G329" s="106">
        <v>4994971308</v>
      </c>
      <c r="H329" s="106" t="s">
        <v>488</v>
      </c>
      <c r="I329" s="107">
        <v>44707</v>
      </c>
      <c r="J329" s="106" t="s">
        <v>179</v>
      </c>
      <c r="K329" s="106" t="s">
        <v>111</v>
      </c>
      <c r="L329" s="112" t="s">
        <v>165</v>
      </c>
      <c r="M329" s="106" t="s">
        <v>130</v>
      </c>
      <c r="N329" s="106" t="s">
        <v>183</v>
      </c>
      <c r="O329" s="106" t="s">
        <v>76</v>
      </c>
      <c r="P329" s="106" t="s">
        <v>712</v>
      </c>
      <c r="Q329" s="13"/>
      <c r="R329" s="13"/>
    </row>
    <row r="330" spans="1:18" s="14" customFormat="1" ht="94.5" hidden="1">
      <c r="A330" s="106">
        <v>328</v>
      </c>
      <c r="B330" s="107">
        <v>44714</v>
      </c>
      <c r="C330" s="106" t="s">
        <v>709</v>
      </c>
      <c r="D330" s="111" t="s">
        <v>76</v>
      </c>
      <c r="E330" s="111"/>
      <c r="F330" s="110" t="s">
        <v>724</v>
      </c>
      <c r="G330" s="106">
        <v>4991927705</v>
      </c>
      <c r="H330" s="106" t="s">
        <v>725</v>
      </c>
      <c r="I330" s="107">
        <v>44713</v>
      </c>
      <c r="J330" s="106" t="s">
        <v>179</v>
      </c>
      <c r="K330" s="106" t="s">
        <v>111</v>
      </c>
      <c r="L330" s="112" t="s">
        <v>165</v>
      </c>
      <c r="M330" s="106" t="s">
        <v>130</v>
      </c>
      <c r="N330" s="106" t="s">
        <v>114</v>
      </c>
      <c r="O330" s="106"/>
      <c r="P330" s="106" t="s">
        <v>726</v>
      </c>
      <c r="Q330" s="13"/>
      <c r="R330" s="13"/>
    </row>
    <row r="331" spans="1:18" s="14" customFormat="1" ht="94.5" hidden="1">
      <c r="A331" s="106">
        <v>329</v>
      </c>
      <c r="B331" s="107">
        <v>44714</v>
      </c>
      <c r="C331" s="106" t="s">
        <v>709</v>
      </c>
      <c r="D331" s="111" t="s">
        <v>76</v>
      </c>
      <c r="E331" s="111"/>
      <c r="F331" s="110" t="s">
        <v>734</v>
      </c>
      <c r="G331" s="106">
        <v>9858782242</v>
      </c>
      <c r="H331" s="106" t="s">
        <v>735</v>
      </c>
      <c r="I331" s="107">
        <v>44701</v>
      </c>
      <c r="J331" s="106" t="s">
        <v>180</v>
      </c>
      <c r="K331" s="106" t="s">
        <v>111</v>
      </c>
      <c r="L331" s="112" t="s">
        <v>165</v>
      </c>
      <c r="M331" s="106" t="s">
        <v>130</v>
      </c>
      <c r="N331" s="106" t="s">
        <v>114</v>
      </c>
      <c r="O331" s="106"/>
      <c r="P331" s="106" t="s">
        <v>736</v>
      </c>
      <c r="Q331" s="13"/>
      <c r="R331" s="13"/>
    </row>
    <row r="332" spans="1:18" s="14" customFormat="1" hidden="1">
      <c r="A332" s="106">
        <v>330</v>
      </c>
      <c r="B332" s="107">
        <v>44714</v>
      </c>
      <c r="C332" s="106" t="s">
        <v>737</v>
      </c>
      <c r="D332" s="111" t="s">
        <v>76</v>
      </c>
      <c r="E332" s="111"/>
      <c r="F332" s="105" t="s">
        <v>758</v>
      </c>
      <c r="G332" s="106" t="s">
        <v>759</v>
      </c>
      <c r="H332" s="106" t="s">
        <v>760</v>
      </c>
      <c r="I332" s="107">
        <v>44697</v>
      </c>
      <c r="J332" s="106" t="s">
        <v>179</v>
      </c>
      <c r="K332" s="106" t="s">
        <v>111</v>
      </c>
      <c r="L332" s="112" t="str">
        <f ca="1">IFERROR(_xlfn.IFNA(VLOOKUP($K332,[45]коммент!$B:$C,2,0),""),"")</f>
        <v/>
      </c>
      <c r="M332" s="106" t="s">
        <v>130</v>
      </c>
      <c r="N332" s="106" t="s">
        <v>114</v>
      </c>
      <c r="O332" s="106"/>
      <c r="P332" s="106" t="s">
        <v>761</v>
      </c>
      <c r="Q332" s="13"/>
      <c r="R332" s="13"/>
    </row>
    <row r="333" spans="1:18" s="14" customFormat="1" hidden="1">
      <c r="A333" s="106">
        <v>331</v>
      </c>
      <c r="B333" s="107">
        <v>44714</v>
      </c>
      <c r="C333" s="106" t="s">
        <v>770</v>
      </c>
      <c r="D333" s="111" t="s">
        <v>76</v>
      </c>
      <c r="E333" s="111"/>
      <c r="F333" s="110" t="s">
        <v>777</v>
      </c>
      <c r="G333" s="106" t="s">
        <v>778</v>
      </c>
      <c r="H333" s="106"/>
      <c r="I333" s="106"/>
      <c r="J333" s="106" t="s">
        <v>184</v>
      </c>
      <c r="K333" s="106" t="s">
        <v>175</v>
      </c>
      <c r="L333" s="112" t="str">
        <f ca="1">IFERROR(_xlfn.IFNA(VLOOKUP($K333,[46]коммент!$B:$C,2,0),""),"")</f>
        <v/>
      </c>
      <c r="M333" s="106"/>
      <c r="N333" s="106"/>
      <c r="O333" s="106"/>
      <c r="P333" s="106" t="s">
        <v>779</v>
      </c>
      <c r="Q333" s="13"/>
      <c r="R333" s="13"/>
    </row>
    <row r="334" spans="1:18" s="14" customFormat="1" ht="31.5" hidden="1">
      <c r="A334" s="106">
        <v>332</v>
      </c>
      <c r="B334" s="107">
        <v>44714</v>
      </c>
      <c r="C334" s="106" t="s">
        <v>770</v>
      </c>
      <c r="D334" s="111" t="s">
        <v>76</v>
      </c>
      <c r="E334" s="111"/>
      <c r="F334" s="110" t="s">
        <v>782</v>
      </c>
      <c r="G334" s="106" t="s">
        <v>783</v>
      </c>
      <c r="H334" s="106" t="s">
        <v>735</v>
      </c>
      <c r="I334" s="107">
        <v>44545</v>
      </c>
      <c r="J334" s="106" t="s">
        <v>184</v>
      </c>
      <c r="K334" s="106" t="s">
        <v>175</v>
      </c>
      <c r="L334" s="112" t="str">
        <f ca="1">IFERROR(_xlfn.IFNA(VLOOKUP($K334,[46]коммент!$B:$C,2,0),""),"")</f>
        <v/>
      </c>
      <c r="M334" s="106"/>
      <c r="N334" s="106"/>
      <c r="O334" s="106"/>
      <c r="P334" s="106" t="s">
        <v>454</v>
      </c>
      <c r="Q334" s="13"/>
      <c r="R334" s="13"/>
    </row>
    <row r="335" spans="1:18" s="14" customFormat="1" hidden="1">
      <c r="A335" s="106">
        <v>333</v>
      </c>
      <c r="B335" s="107">
        <v>44714</v>
      </c>
      <c r="C335" s="106" t="s">
        <v>790</v>
      </c>
      <c r="D335" s="111" t="s">
        <v>76</v>
      </c>
      <c r="E335" s="111"/>
      <c r="F335" s="110" t="s">
        <v>804</v>
      </c>
      <c r="G335" s="106">
        <v>9035905557</v>
      </c>
      <c r="H335" s="119"/>
      <c r="I335" s="118"/>
      <c r="J335" s="119" t="s">
        <v>180</v>
      </c>
      <c r="K335" s="119" t="s">
        <v>121</v>
      </c>
      <c r="L335" s="135" t="str">
        <f ca="1">IFERROR(_xlfn.IFNA(VLOOKUP($K335,[49]коммент!$B:$C,2,0),""),"")</f>
        <v/>
      </c>
      <c r="M335" s="119"/>
      <c r="N335" s="106"/>
      <c r="O335" s="106"/>
      <c r="P335" s="106"/>
      <c r="Q335" s="13"/>
      <c r="R335" s="13"/>
    </row>
    <row r="336" spans="1:18" s="14" customFormat="1" ht="31.5" hidden="1">
      <c r="A336" s="106">
        <v>334</v>
      </c>
      <c r="B336" s="107">
        <v>44714</v>
      </c>
      <c r="C336" s="106" t="s">
        <v>790</v>
      </c>
      <c r="D336" s="111" t="s">
        <v>76</v>
      </c>
      <c r="E336" s="111"/>
      <c r="F336" s="110" t="s">
        <v>809</v>
      </c>
      <c r="G336" s="106">
        <v>9066222382</v>
      </c>
      <c r="H336" s="106"/>
      <c r="I336" s="107"/>
      <c r="J336" s="119" t="s">
        <v>184</v>
      </c>
      <c r="K336" s="119" t="s">
        <v>6</v>
      </c>
      <c r="L336" s="135" t="str">
        <f ca="1">IFERROR(_xlfn.IFNA(VLOOKUP($K336,[49]коммент!$B:$C,2,0),""),"")</f>
        <v/>
      </c>
      <c r="M336" s="119"/>
      <c r="N336" s="106"/>
      <c r="O336" s="106"/>
      <c r="P336" s="106"/>
      <c r="Q336" s="13"/>
      <c r="R336" s="13"/>
    </row>
    <row r="337" spans="1:18" s="14" customFormat="1" hidden="1">
      <c r="A337" s="106">
        <v>335</v>
      </c>
      <c r="B337" s="107">
        <v>44714</v>
      </c>
      <c r="C337" s="106" t="s">
        <v>790</v>
      </c>
      <c r="D337" s="111" t="s">
        <v>76</v>
      </c>
      <c r="E337" s="111"/>
      <c r="F337" s="110" t="s">
        <v>811</v>
      </c>
      <c r="G337" s="106">
        <v>9775922062</v>
      </c>
      <c r="H337" s="119" t="s">
        <v>654</v>
      </c>
      <c r="I337" s="118">
        <v>44713</v>
      </c>
      <c r="J337" s="119" t="s">
        <v>179</v>
      </c>
      <c r="K337" s="119" t="s">
        <v>111</v>
      </c>
      <c r="L337" s="135" t="str">
        <f ca="1">IFERROR(_xlfn.IFNA(VLOOKUP($K337,[74]коммент!$B:$C,2,0),""),"")</f>
        <v/>
      </c>
      <c r="M337" s="119" t="s">
        <v>130</v>
      </c>
      <c r="N337" s="106" t="s">
        <v>114</v>
      </c>
      <c r="O337" s="106"/>
      <c r="P337" s="106" t="s">
        <v>731</v>
      </c>
      <c r="Q337" s="13"/>
      <c r="R337" s="13"/>
    </row>
    <row r="338" spans="1:18" s="14" customFormat="1" ht="110.25" hidden="1">
      <c r="A338" s="106">
        <v>336</v>
      </c>
      <c r="B338" s="107">
        <v>44714</v>
      </c>
      <c r="C338" s="106" t="s">
        <v>817</v>
      </c>
      <c r="D338" s="111" t="s">
        <v>76</v>
      </c>
      <c r="E338" s="111"/>
      <c r="F338" s="123" t="s">
        <v>828</v>
      </c>
      <c r="G338" s="121" t="s">
        <v>829</v>
      </c>
      <c r="H338" s="121" t="s">
        <v>830</v>
      </c>
      <c r="I338" s="122">
        <v>44711</v>
      </c>
      <c r="J338" s="121" t="s">
        <v>179</v>
      </c>
      <c r="K338" s="121" t="s">
        <v>111</v>
      </c>
      <c r="L338" s="124" t="str">
        <f ca="1">IFERROR(_xlfn.IFNA(VLOOKUP($K338,[70]коммент!$B:$C,2,0),""),"")</f>
        <v/>
      </c>
      <c r="M338" s="106" t="s">
        <v>130</v>
      </c>
      <c r="N338" s="106" t="s">
        <v>183</v>
      </c>
      <c r="O338" s="106" t="s">
        <v>25</v>
      </c>
      <c r="P338" s="106" t="s">
        <v>831</v>
      </c>
      <c r="Q338" s="13"/>
      <c r="R338" s="13"/>
    </row>
    <row r="339" spans="1:18" s="14" customFormat="1" ht="31.5" hidden="1">
      <c r="A339" s="106">
        <v>337</v>
      </c>
      <c r="B339" s="107">
        <v>44714</v>
      </c>
      <c r="C339" s="106" t="s">
        <v>839</v>
      </c>
      <c r="D339" s="111" t="s">
        <v>76</v>
      </c>
      <c r="E339" s="111"/>
      <c r="F339" s="110" t="s">
        <v>860</v>
      </c>
      <c r="G339" s="106" t="s">
        <v>861</v>
      </c>
      <c r="H339" s="106" t="s">
        <v>701</v>
      </c>
      <c r="I339" s="107">
        <v>44578</v>
      </c>
      <c r="J339" s="106" t="s">
        <v>179</v>
      </c>
      <c r="K339" s="106" t="s">
        <v>6</v>
      </c>
      <c r="L339" s="112" t="str">
        <f ca="1">IFERROR(_xlfn.IFNA(VLOOKUP($K339,[53]коммент!$B:$C,2,0),""),"")</f>
        <v/>
      </c>
      <c r="M339" s="106"/>
      <c r="N339" s="106"/>
      <c r="O339" s="106"/>
      <c r="P339" s="106"/>
      <c r="Q339" s="13"/>
      <c r="R339" s="13"/>
    </row>
    <row r="340" spans="1:18" s="14" customFormat="1" ht="31.5" hidden="1">
      <c r="A340" s="106">
        <v>338</v>
      </c>
      <c r="B340" s="107">
        <v>44714</v>
      </c>
      <c r="C340" s="106" t="s">
        <v>366</v>
      </c>
      <c r="D340" s="111" t="s">
        <v>88</v>
      </c>
      <c r="E340" s="111"/>
      <c r="F340" s="110" t="s">
        <v>373</v>
      </c>
      <c r="G340" s="106" t="s">
        <v>374</v>
      </c>
      <c r="H340" s="106" t="s">
        <v>375</v>
      </c>
      <c r="I340" s="107">
        <v>44526</v>
      </c>
      <c r="J340" s="106" t="s">
        <v>184</v>
      </c>
      <c r="K340" s="106" t="s">
        <v>85</v>
      </c>
      <c r="L340" s="112" t="str">
        <f ca="1">IFERROR(_xlfn.IFNA(VLOOKUP($K340,[25]коммент!$B:$C,2,0),""),"")</f>
        <v/>
      </c>
      <c r="M340" s="106" t="s">
        <v>129</v>
      </c>
      <c r="N340" s="106"/>
      <c r="O340" s="106"/>
      <c r="P340" s="106"/>
      <c r="Q340" s="13"/>
      <c r="R340" s="13"/>
    </row>
    <row r="341" spans="1:18" s="14" customFormat="1" ht="31.5" hidden="1">
      <c r="A341" s="106">
        <v>339</v>
      </c>
      <c r="B341" s="107">
        <v>44714</v>
      </c>
      <c r="C341" s="106" t="s">
        <v>383</v>
      </c>
      <c r="D341" s="111" t="s">
        <v>88</v>
      </c>
      <c r="E341" s="111"/>
      <c r="F341" s="110" t="s">
        <v>384</v>
      </c>
      <c r="G341" s="106" t="s">
        <v>385</v>
      </c>
      <c r="H341" s="106" t="s">
        <v>386</v>
      </c>
      <c r="I341" s="107">
        <v>44713</v>
      </c>
      <c r="J341" s="106" t="s">
        <v>179</v>
      </c>
      <c r="K341" s="106" t="s">
        <v>111</v>
      </c>
      <c r="L341" s="112" t="str">
        <f ca="1">IFERROR(_xlfn.IFNA(VLOOKUP($K341,[2]коммент!$B:$C,2,0),""),"")</f>
        <v/>
      </c>
      <c r="M341" s="106" t="s">
        <v>130</v>
      </c>
      <c r="N341" s="106" t="s">
        <v>114</v>
      </c>
      <c r="O341" s="106"/>
      <c r="P341" s="106" t="s">
        <v>387</v>
      </c>
      <c r="Q341" s="13"/>
      <c r="R341" s="13"/>
    </row>
    <row r="342" spans="1:18" s="14" customFormat="1" hidden="1">
      <c r="A342" s="106">
        <v>340</v>
      </c>
      <c r="B342" s="107">
        <v>44714</v>
      </c>
      <c r="C342" s="106" t="s">
        <v>383</v>
      </c>
      <c r="D342" s="111" t="s">
        <v>88</v>
      </c>
      <c r="E342" s="111"/>
      <c r="F342" s="120" t="s">
        <v>392</v>
      </c>
      <c r="G342" s="119">
        <v>9163346498</v>
      </c>
      <c r="H342" s="119" t="s">
        <v>393</v>
      </c>
      <c r="I342" s="118">
        <v>44704</v>
      </c>
      <c r="J342" s="119" t="s">
        <v>180</v>
      </c>
      <c r="K342" s="119" t="s">
        <v>85</v>
      </c>
      <c r="L342" s="135" t="str">
        <f ca="1">IFERROR(_xlfn.IFNA(VLOOKUP($K342,[2]коммент!$B:$C,2,0),""),"")</f>
        <v/>
      </c>
      <c r="M342" s="106" t="s">
        <v>129</v>
      </c>
      <c r="N342" s="106" t="s">
        <v>114</v>
      </c>
      <c r="O342" s="106"/>
      <c r="P342" s="106"/>
      <c r="Q342" s="13"/>
      <c r="R342" s="13"/>
    </row>
    <row r="343" spans="1:18" s="14" customFormat="1" hidden="1">
      <c r="A343" s="106">
        <v>341</v>
      </c>
      <c r="B343" s="107">
        <v>44714</v>
      </c>
      <c r="C343" s="106" t="s">
        <v>383</v>
      </c>
      <c r="D343" s="111" t="s">
        <v>88</v>
      </c>
      <c r="E343" s="111"/>
      <c r="F343" s="120" t="s">
        <v>394</v>
      </c>
      <c r="G343" s="119">
        <v>9164703659</v>
      </c>
      <c r="H343" s="118" t="s">
        <v>395</v>
      </c>
      <c r="I343" s="118">
        <v>44637</v>
      </c>
      <c r="J343" s="119" t="s">
        <v>179</v>
      </c>
      <c r="K343" s="119" t="s">
        <v>85</v>
      </c>
      <c r="L343" s="135" t="str">
        <f ca="1">IFERROR(_xlfn.IFNA(VLOOKUP($K343,[2]коммент!$B:$C,2,0),""),"")</f>
        <v/>
      </c>
      <c r="M343" s="106" t="s">
        <v>129</v>
      </c>
      <c r="N343" s="106" t="s">
        <v>114</v>
      </c>
      <c r="O343" s="106"/>
      <c r="P343" s="106"/>
      <c r="Q343" s="13"/>
      <c r="R343" s="13"/>
    </row>
    <row r="344" spans="1:18" s="14" customFormat="1" hidden="1">
      <c r="A344" s="106">
        <v>342</v>
      </c>
      <c r="B344" s="107">
        <v>44714</v>
      </c>
      <c r="C344" s="106" t="s">
        <v>383</v>
      </c>
      <c r="D344" s="111" t="s">
        <v>88</v>
      </c>
      <c r="E344" s="111"/>
      <c r="F344" s="120" t="s">
        <v>396</v>
      </c>
      <c r="G344" s="119">
        <v>9259027385</v>
      </c>
      <c r="H344" s="119" t="s">
        <v>389</v>
      </c>
      <c r="I344" s="118">
        <v>44558</v>
      </c>
      <c r="J344" s="119" t="s">
        <v>184</v>
      </c>
      <c r="K344" s="119" t="s">
        <v>175</v>
      </c>
      <c r="L344" s="135" t="str">
        <f ca="1">IFERROR(_xlfn.IFNA(VLOOKUP($K344,[2]коммент!$B:$C,2,0),""),"")</f>
        <v/>
      </c>
      <c r="M344" s="106"/>
      <c r="N344" s="106"/>
      <c r="O344" s="106"/>
      <c r="P344" s="106" t="s">
        <v>397</v>
      </c>
      <c r="Q344" s="13"/>
      <c r="R344" s="13"/>
    </row>
    <row r="345" spans="1:18" s="14" customFormat="1" ht="31.5" hidden="1">
      <c r="A345" s="106">
        <v>343</v>
      </c>
      <c r="B345" s="107">
        <v>44714</v>
      </c>
      <c r="C345" s="106" t="s">
        <v>383</v>
      </c>
      <c r="D345" s="111" t="s">
        <v>88</v>
      </c>
      <c r="E345" s="111"/>
      <c r="F345" s="144" t="s">
        <v>398</v>
      </c>
      <c r="G345" s="114" t="s">
        <v>399</v>
      </c>
      <c r="H345" s="114" t="s">
        <v>400</v>
      </c>
      <c r="I345" s="143">
        <v>44672</v>
      </c>
      <c r="J345" s="114" t="s">
        <v>179</v>
      </c>
      <c r="K345" s="114" t="s">
        <v>111</v>
      </c>
      <c r="L345" s="115" t="str">
        <f ca="1">IFERROR(_xlfn.IFNA(VLOOKUP($K345,[2]коммент!$B:$C,2,0),""),"")</f>
        <v/>
      </c>
      <c r="M345" s="106" t="s">
        <v>130</v>
      </c>
      <c r="N345" s="106" t="s">
        <v>114</v>
      </c>
      <c r="O345" s="106"/>
      <c r="P345" s="106" t="s">
        <v>401</v>
      </c>
      <c r="Q345" s="13"/>
      <c r="R345" s="13"/>
    </row>
    <row r="346" spans="1:18" s="14" customFormat="1" ht="31.5" hidden="1">
      <c r="A346" s="106">
        <v>344</v>
      </c>
      <c r="B346" s="107">
        <v>44714</v>
      </c>
      <c r="C346" s="106" t="s">
        <v>812</v>
      </c>
      <c r="D346" s="111" t="s">
        <v>88</v>
      </c>
      <c r="E346" s="111"/>
      <c r="F346" s="109" t="s">
        <v>813</v>
      </c>
      <c r="G346" s="106" t="s">
        <v>814</v>
      </c>
      <c r="H346" s="106"/>
      <c r="I346" s="106"/>
      <c r="J346" s="106" t="s">
        <v>180</v>
      </c>
      <c r="K346" s="106" t="s">
        <v>6</v>
      </c>
      <c r="L346" s="112" t="str">
        <f ca="1">IFERROR(_xlfn.IFNA(VLOOKUP($K346,[4]коммент!$B:$C,2,0),""),"")</f>
        <v/>
      </c>
      <c r="M346" s="106"/>
      <c r="N346" s="106"/>
      <c r="O346" s="106"/>
      <c r="P346" s="106"/>
      <c r="Q346" s="13"/>
      <c r="R346" s="13"/>
    </row>
    <row r="347" spans="1:18" s="14" customFormat="1" hidden="1">
      <c r="A347" s="106">
        <v>345</v>
      </c>
      <c r="B347" s="107">
        <v>44714</v>
      </c>
      <c r="C347" s="106" t="s">
        <v>949</v>
      </c>
      <c r="D347" s="111" t="s">
        <v>88</v>
      </c>
      <c r="E347" s="111"/>
      <c r="F347" s="109" t="s">
        <v>953</v>
      </c>
      <c r="G347" s="106" t="s">
        <v>954</v>
      </c>
      <c r="H347" s="106"/>
      <c r="I347" s="106"/>
      <c r="J347" s="106" t="s">
        <v>180</v>
      </c>
      <c r="K347" s="106" t="s">
        <v>85</v>
      </c>
      <c r="L347" s="112" t="str">
        <f ca="1">IFERROR(_xlfn.IFNA(VLOOKUP($K347,[6]коммент!$B:$C,2,0),""),"")</f>
        <v/>
      </c>
      <c r="M347" s="106" t="s">
        <v>129</v>
      </c>
      <c r="N347" s="106" t="s">
        <v>114</v>
      </c>
      <c r="O347" s="106"/>
      <c r="P347" s="106"/>
      <c r="Q347" s="13"/>
      <c r="R347" s="13"/>
    </row>
    <row r="348" spans="1:18" s="14" customFormat="1" ht="31.5" hidden="1">
      <c r="A348" s="106">
        <v>346</v>
      </c>
      <c r="B348" s="107">
        <v>44714</v>
      </c>
      <c r="C348" s="106" t="s">
        <v>1089</v>
      </c>
      <c r="D348" s="111" t="s">
        <v>88</v>
      </c>
      <c r="E348" s="111"/>
      <c r="F348" s="110" t="s">
        <v>1092</v>
      </c>
      <c r="G348" s="106" t="s">
        <v>1093</v>
      </c>
      <c r="H348" s="106"/>
      <c r="I348" s="106"/>
      <c r="J348" s="106" t="s">
        <v>180</v>
      </c>
      <c r="K348" s="106" t="s">
        <v>6</v>
      </c>
      <c r="L348" s="112" t="str">
        <f ca="1">IFERROR(_xlfn.IFNA(VLOOKUP($K348,[8]коммент!$B:$C,2,0),""),"")</f>
        <v/>
      </c>
      <c r="M348" s="106"/>
      <c r="N348" s="106"/>
      <c r="O348" s="106"/>
      <c r="P348" s="106"/>
      <c r="Q348" s="13"/>
      <c r="R348" s="13"/>
    </row>
    <row r="349" spans="1:18" s="14" customFormat="1" ht="31.5" hidden="1">
      <c r="A349" s="106">
        <v>347</v>
      </c>
      <c r="B349" s="107">
        <v>44714</v>
      </c>
      <c r="C349" s="106" t="s">
        <v>1089</v>
      </c>
      <c r="D349" s="111" t="s">
        <v>88</v>
      </c>
      <c r="E349" s="111"/>
      <c r="F349" s="110" t="s">
        <v>1105</v>
      </c>
      <c r="G349" s="106" t="s">
        <v>1106</v>
      </c>
      <c r="H349" s="106"/>
      <c r="I349" s="106"/>
      <c r="J349" s="106" t="s">
        <v>180</v>
      </c>
      <c r="K349" s="106" t="s">
        <v>6</v>
      </c>
      <c r="L349" s="112" t="str">
        <f ca="1">IFERROR(_xlfn.IFNA(VLOOKUP($K349,[8]коммент!$B:$C,2,0),""),"")</f>
        <v/>
      </c>
      <c r="M349" s="106"/>
      <c r="N349" s="106"/>
      <c r="O349" s="106"/>
      <c r="P349" s="106"/>
      <c r="Q349" s="13"/>
      <c r="R349" s="13"/>
    </row>
    <row r="350" spans="1:18" s="14" customFormat="1" ht="31.5" hidden="1">
      <c r="A350" s="106">
        <v>348</v>
      </c>
      <c r="B350" s="107">
        <v>44714</v>
      </c>
      <c r="C350" s="119" t="s">
        <v>1137</v>
      </c>
      <c r="D350" s="111" t="s">
        <v>88</v>
      </c>
      <c r="E350" s="111"/>
      <c r="F350" s="109" t="s">
        <v>1140</v>
      </c>
      <c r="G350" s="106">
        <v>89166560160</v>
      </c>
      <c r="H350" s="106"/>
      <c r="I350" s="106"/>
      <c r="J350" s="106" t="s">
        <v>180</v>
      </c>
      <c r="K350" s="106" t="s">
        <v>6</v>
      </c>
      <c r="L350" s="112" t="str">
        <f ca="1">IFERROR(_xlfn.IFNA(VLOOKUP($K350,[10]коммент!$B:$C,2,0),""),"")</f>
        <v/>
      </c>
      <c r="M350" s="106"/>
      <c r="N350" s="106"/>
      <c r="O350" s="106"/>
      <c r="P350" s="106"/>
      <c r="Q350" s="13"/>
      <c r="R350" s="13"/>
    </row>
    <row r="351" spans="1:18" s="14" customFormat="1" ht="63" hidden="1">
      <c r="A351" s="106">
        <v>349</v>
      </c>
      <c r="B351" s="107">
        <v>44714</v>
      </c>
      <c r="C351" s="106" t="s">
        <v>1208</v>
      </c>
      <c r="D351" s="111" t="s">
        <v>88</v>
      </c>
      <c r="E351" s="111"/>
      <c r="F351" s="110" t="s">
        <v>1216</v>
      </c>
      <c r="G351" s="106">
        <v>9060744464</v>
      </c>
      <c r="H351" s="106"/>
      <c r="I351" s="106"/>
      <c r="J351" s="106" t="s">
        <v>180</v>
      </c>
      <c r="K351" s="106" t="s">
        <v>149</v>
      </c>
      <c r="L351" s="112" t="s">
        <v>144</v>
      </c>
      <c r="M351" s="106"/>
      <c r="N351" s="106"/>
      <c r="O351" s="106"/>
      <c r="P351" s="106"/>
      <c r="Q351" s="13"/>
      <c r="R351" s="13"/>
    </row>
    <row r="352" spans="1:18" s="14" customFormat="1" ht="110.25" hidden="1">
      <c r="A352" s="106">
        <v>350</v>
      </c>
      <c r="B352" s="107">
        <v>44714</v>
      </c>
      <c r="C352" s="106" t="s">
        <v>864</v>
      </c>
      <c r="D352" s="111" t="s">
        <v>29</v>
      </c>
      <c r="E352" s="111"/>
      <c r="F352" s="110" t="s">
        <v>870</v>
      </c>
      <c r="G352" s="106">
        <v>9102526762</v>
      </c>
      <c r="H352" s="106"/>
      <c r="I352" s="106"/>
      <c r="J352" s="106" t="s">
        <v>180</v>
      </c>
      <c r="K352" s="106" t="s">
        <v>113</v>
      </c>
      <c r="L352" s="112" t="str">
        <f ca="1">IFERROR(_xlfn.IFNA(VLOOKUP($K352,[29]коммент!$B:$C,2,0),""),"")</f>
        <v/>
      </c>
      <c r="M352" s="106"/>
      <c r="N352" s="106"/>
      <c r="O352" s="106"/>
      <c r="P352" s="106" t="s">
        <v>871</v>
      </c>
      <c r="Q352" s="13"/>
      <c r="R352" s="13"/>
    </row>
    <row r="353" spans="1:18" s="14" customFormat="1" hidden="1">
      <c r="A353" s="106">
        <v>351</v>
      </c>
      <c r="B353" s="107">
        <v>44714</v>
      </c>
      <c r="C353" s="106" t="s">
        <v>926</v>
      </c>
      <c r="D353" s="111" t="s">
        <v>29</v>
      </c>
      <c r="E353" s="111"/>
      <c r="F353" s="110" t="s">
        <v>930</v>
      </c>
      <c r="G353" s="106" t="s">
        <v>931</v>
      </c>
      <c r="H353" s="106"/>
      <c r="I353" s="106"/>
      <c r="J353" s="106" t="s">
        <v>180</v>
      </c>
      <c r="K353" s="106" t="s">
        <v>85</v>
      </c>
      <c r="L353" s="112" t="str">
        <f ca="1">IFERROR(_xlfn.IFNA(VLOOKUP($K353,[32]коммент!$B:$C,2,0),""),"")</f>
        <v/>
      </c>
      <c r="M353" s="106" t="s">
        <v>129</v>
      </c>
      <c r="N353" s="106"/>
      <c r="O353" s="106"/>
      <c r="P353" s="106"/>
      <c r="Q353" s="13"/>
      <c r="R353" s="13"/>
    </row>
    <row r="354" spans="1:18" s="14" customFormat="1" ht="63" hidden="1">
      <c r="A354" s="106">
        <v>352</v>
      </c>
      <c r="B354" s="107">
        <v>44714</v>
      </c>
      <c r="C354" s="106" t="s">
        <v>926</v>
      </c>
      <c r="D354" s="111" t="s">
        <v>29</v>
      </c>
      <c r="E354" s="111"/>
      <c r="F354" s="110" t="s">
        <v>940</v>
      </c>
      <c r="G354" s="106" t="s">
        <v>941</v>
      </c>
      <c r="H354" s="106"/>
      <c r="I354" s="106"/>
      <c r="J354" s="106" t="s">
        <v>180</v>
      </c>
      <c r="K354" s="106" t="s">
        <v>149</v>
      </c>
      <c r="L354" s="112" t="str">
        <f ca="1">IFERROR(_xlfn.IFNA(VLOOKUP($K354,[32]коммент!$B:$C,2,0),""),"")</f>
        <v/>
      </c>
      <c r="M354" s="106"/>
      <c r="N354" s="106"/>
      <c r="O354" s="106"/>
      <c r="P354" s="106"/>
      <c r="Q354" s="13"/>
      <c r="R354" s="13"/>
    </row>
    <row r="355" spans="1:18" s="14" customFormat="1" ht="31.5" hidden="1">
      <c r="A355" s="106">
        <v>353</v>
      </c>
      <c r="B355" s="107">
        <v>44714</v>
      </c>
      <c r="C355" s="106" t="s">
        <v>1157</v>
      </c>
      <c r="D355" s="111" t="s">
        <v>29</v>
      </c>
      <c r="E355" s="111"/>
      <c r="F355" s="110" t="s">
        <v>1172</v>
      </c>
      <c r="G355" s="106" t="s">
        <v>1173</v>
      </c>
      <c r="H355" s="106"/>
      <c r="I355" s="106"/>
      <c r="J355" s="106" t="s">
        <v>180</v>
      </c>
      <c r="K355" s="106" t="s">
        <v>6</v>
      </c>
      <c r="L355" s="112" t="str">
        <f ca="1">IFERROR(_xlfn.IFNA(VLOOKUP($K355,[20]коммент!$B:$C,2,0),""),"")</f>
        <v/>
      </c>
      <c r="M355" s="106"/>
      <c r="N355" s="106"/>
      <c r="O355" s="106"/>
      <c r="P355" s="106" t="s">
        <v>1174</v>
      </c>
      <c r="Q355" s="13"/>
      <c r="R355" s="13"/>
    </row>
    <row r="356" spans="1:18" s="14" customFormat="1" ht="31.5" hidden="1">
      <c r="A356" s="106">
        <v>354</v>
      </c>
      <c r="B356" s="107">
        <v>44714</v>
      </c>
      <c r="C356" s="106" t="s">
        <v>256</v>
      </c>
      <c r="D356" s="111" t="s">
        <v>59</v>
      </c>
      <c r="E356" s="111"/>
      <c r="F356" s="109" t="s">
        <v>262</v>
      </c>
      <c r="G356" s="106" t="s">
        <v>263</v>
      </c>
      <c r="H356" s="106"/>
      <c r="I356" s="106"/>
      <c r="J356" s="106" t="s">
        <v>180</v>
      </c>
      <c r="K356" s="106" t="s">
        <v>6</v>
      </c>
      <c r="L356" s="112" t="str">
        <f ca="1">IFERROR(_xlfn.IFNA(VLOOKUP($K356,[37]коммент!$B:$C,2,0),""),"")</f>
        <v/>
      </c>
      <c r="M356" s="106"/>
      <c r="N356" s="106"/>
      <c r="O356" s="106"/>
      <c r="P356" s="106"/>
      <c r="Q356" s="13"/>
      <c r="R356" s="13"/>
    </row>
    <row r="357" spans="1:18" s="14" customFormat="1" ht="31.5" hidden="1">
      <c r="A357" s="106">
        <v>355</v>
      </c>
      <c r="B357" s="107">
        <v>44714</v>
      </c>
      <c r="C357" s="106" t="s">
        <v>256</v>
      </c>
      <c r="D357" s="111" t="s">
        <v>59</v>
      </c>
      <c r="E357" s="111"/>
      <c r="F357" s="109" t="s">
        <v>266</v>
      </c>
      <c r="G357" s="106">
        <v>9163214703</v>
      </c>
      <c r="H357" s="106"/>
      <c r="I357" s="106"/>
      <c r="J357" s="106" t="s">
        <v>180</v>
      </c>
      <c r="K357" s="106" t="s">
        <v>85</v>
      </c>
      <c r="L357" s="112" t="str">
        <f ca="1">IFERROR(_xlfn.IFNA(VLOOKUP($K357,[37]коммент!$B:$C,2,0),""),"")</f>
        <v/>
      </c>
      <c r="M357" s="106" t="s">
        <v>129</v>
      </c>
      <c r="N357" s="106"/>
      <c r="O357" s="106"/>
      <c r="P357" s="106" t="s">
        <v>267</v>
      </c>
      <c r="Q357" s="13"/>
      <c r="R357" s="13"/>
    </row>
    <row r="358" spans="1:18" s="14" customFormat="1" ht="94.5" hidden="1">
      <c r="A358" s="106">
        <v>356</v>
      </c>
      <c r="B358" s="107">
        <v>44714</v>
      </c>
      <c r="C358" s="106" t="s">
        <v>331</v>
      </c>
      <c r="D358" s="111" t="s">
        <v>59</v>
      </c>
      <c r="E358" s="111"/>
      <c r="F358" s="110" t="s">
        <v>351</v>
      </c>
      <c r="G358" s="106">
        <v>9057315727</v>
      </c>
      <c r="H358" s="106" t="s">
        <v>352</v>
      </c>
      <c r="I358" s="107">
        <v>44644</v>
      </c>
      <c r="J358" s="114" t="s">
        <v>179</v>
      </c>
      <c r="K358" s="114" t="s">
        <v>111</v>
      </c>
      <c r="L358" s="115" t="s">
        <v>165</v>
      </c>
      <c r="M358" s="106" t="s">
        <v>130</v>
      </c>
      <c r="N358" s="106" t="s">
        <v>114</v>
      </c>
      <c r="O358" s="106"/>
      <c r="P358" s="106" t="s">
        <v>353</v>
      </c>
      <c r="Q358" s="13"/>
      <c r="R358" s="13"/>
    </row>
    <row r="359" spans="1:18" s="14" customFormat="1" ht="94.5" hidden="1">
      <c r="A359" s="106">
        <v>357</v>
      </c>
      <c r="B359" s="107">
        <v>44714</v>
      </c>
      <c r="C359" s="106" t="s">
        <v>606</v>
      </c>
      <c r="D359" s="111" t="s">
        <v>59</v>
      </c>
      <c r="E359" s="111"/>
      <c r="F359" s="110" t="s">
        <v>620</v>
      </c>
      <c r="G359" s="106">
        <v>89104729061</v>
      </c>
      <c r="H359" s="106" t="s">
        <v>621</v>
      </c>
      <c r="I359" s="107">
        <v>44636</v>
      </c>
      <c r="J359" s="106" t="s">
        <v>184</v>
      </c>
      <c r="K359" s="106" t="s">
        <v>175</v>
      </c>
      <c r="L359" s="112" t="s">
        <v>176</v>
      </c>
      <c r="M359" s="106"/>
      <c r="N359" s="106"/>
      <c r="O359" s="106"/>
      <c r="P359" s="106" t="s">
        <v>299</v>
      </c>
      <c r="Q359" s="13"/>
      <c r="R359" s="13"/>
    </row>
    <row r="360" spans="1:18" s="14" customFormat="1" ht="47.25" hidden="1">
      <c r="A360" s="106">
        <v>358</v>
      </c>
      <c r="B360" s="107">
        <v>44714</v>
      </c>
      <c r="C360" s="106" t="s">
        <v>985</v>
      </c>
      <c r="D360" s="111" t="s">
        <v>59</v>
      </c>
      <c r="E360" s="111"/>
      <c r="F360" s="109" t="s">
        <v>992</v>
      </c>
      <c r="G360" s="106">
        <v>84954347937</v>
      </c>
      <c r="H360" s="106" t="s">
        <v>555</v>
      </c>
      <c r="I360" s="107">
        <v>44730</v>
      </c>
      <c r="J360" s="106" t="s">
        <v>184</v>
      </c>
      <c r="K360" s="106" t="s">
        <v>113</v>
      </c>
      <c r="L360" s="112" t="str">
        <f ca="1">IFERROR(_xlfn.IFNA(VLOOKUP($K360,[75]коммент!$B:$C,2,0),""),"")</f>
        <v/>
      </c>
      <c r="M360" s="106"/>
      <c r="N360" s="106"/>
      <c r="O360" s="106"/>
      <c r="P360" s="106" t="s">
        <v>993</v>
      </c>
      <c r="Q360" s="13"/>
      <c r="R360" s="13"/>
    </row>
    <row r="361" spans="1:18" s="14" customFormat="1" hidden="1">
      <c r="A361" s="106">
        <v>359</v>
      </c>
      <c r="B361" s="107">
        <v>44714</v>
      </c>
      <c r="C361" s="106" t="s">
        <v>208</v>
      </c>
      <c r="D361" s="111" t="s">
        <v>67</v>
      </c>
      <c r="E361" s="111"/>
      <c r="F361" s="109" t="s">
        <v>231</v>
      </c>
      <c r="G361" s="106">
        <v>9162235157</v>
      </c>
      <c r="H361" s="106"/>
      <c r="I361" s="107"/>
      <c r="J361" s="106" t="s">
        <v>180</v>
      </c>
      <c r="K361" s="106" t="s">
        <v>85</v>
      </c>
      <c r="L361" s="112" t="str">
        <f ca="1">IFERROR(_xlfn.IFNA(VLOOKUP($K361,коммент!$B:$C,2,0),""),"")</f>
        <v/>
      </c>
      <c r="M361" s="106" t="s">
        <v>129</v>
      </c>
      <c r="N361" s="106"/>
      <c r="O361" s="106"/>
      <c r="P361" s="106" t="s">
        <v>232</v>
      </c>
      <c r="Q361" s="13"/>
      <c r="R361" s="13"/>
    </row>
    <row r="362" spans="1:18" s="14" customFormat="1" ht="31.5" hidden="1">
      <c r="A362" s="106">
        <v>360</v>
      </c>
      <c r="B362" s="107">
        <v>44714</v>
      </c>
      <c r="C362" s="106" t="s">
        <v>208</v>
      </c>
      <c r="D362" s="111" t="s">
        <v>67</v>
      </c>
      <c r="E362" s="111"/>
      <c r="F362" s="109" t="s">
        <v>235</v>
      </c>
      <c r="G362" s="106" t="s">
        <v>236</v>
      </c>
      <c r="H362" s="106"/>
      <c r="I362" s="106"/>
      <c r="J362" s="106" t="s">
        <v>180</v>
      </c>
      <c r="K362" s="106" t="s">
        <v>6</v>
      </c>
      <c r="L362" s="112" t="str">
        <f ca="1">IFERROR(_xlfn.IFNA(VLOOKUP($K362,коммент!$B:$C,2,0),""),"")</f>
        <v/>
      </c>
      <c r="M362" s="106"/>
      <c r="N362" s="106"/>
      <c r="O362" s="106"/>
      <c r="P362" s="106"/>
      <c r="Q362" s="13"/>
      <c r="R362" s="13"/>
    </row>
    <row r="363" spans="1:18" s="14" customFormat="1" ht="31.5" hidden="1">
      <c r="A363" s="106">
        <v>361</v>
      </c>
      <c r="B363" s="107">
        <v>44714</v>
      </c>
      <c r="C363" s="106" t="s">
        <v>1337</v>
      </c>
      <c r="D363" s="111" t="s">
        <v>67</v>
      </c>
      <c r="E363" s="111"/>
      <c r="F363" s="110" t="s">
        <v>1343</v>
      </c>
      <c r="G363" s="106">
        <v>9264369880</v>
      </c>
      <c r="H363" s="106" t="s">
        <v>426</v>
      </c>
      <c r="I363" s="107">
        <v>44669</v>
      </c>
      <c r="J363" s="106" t="s">
        <v>180</v>
      </c>
      <c r="K363" s="106" t="s">
        <v>6</v>
      </c>
      <c r="L363" s="112" t="str">
        <f ca="1">IFERROR(_xlfn.IFNA(VLOOKUP($K363,[67]коммент!$B:$C,2,0),""),"")</f>
        <v/>
      </c>
      <c r="M363" s="106"/>
      <c r="N363" s="106"/>
      <c r="O363" s="106"/>
      <c r="P363" s="106"/>
      <c r="Q363" s="13"/>
      <c r="R363" s="13"/>
    </row>
    <row r="364" spans="1:18" s="14" customFormat="1" ht="94.5" hidden="1">
      <c r="A364" s="106">
        <v>362</v>
      </c>
      <c r="B364" s="107">
        <v>44714</v>
      </c>
      <c r="C364" s="106" t="s">
        <v>606</v>
      </c>
      <c r="D364" s="111" t="s">
        <v>49</v>
      </c>
      <c r="E364" s="111"/>
      <c r="F364" s="110" t="s">
        <v>618</v>
      </c>
      <c r="G364" s="106">
        <v>89099507745</v>
      </c>
      <c r="H364" s="106" t="s">
        <v>432</v>
      </c>
      <c r="I364" s="107">
        <v>44607</v>
      </c>
      <c r="J364" s="106" t="s">
        <v>184</v>
      </c>
      <c r="K364" s="106" t="s">
        <v>175</v>
      </c>
      <c r="L364" s="112" t="s">
        <v>176</v>
      </c>
      <c r="M364" s="106"/>
      <c r="N364" s="106"/>
      <c r="O364" s="106"/>
      <c r="P364" s="106" t="s">
        <v>619</v>
      </c>
      <c r="Q364" s="13"/>
      <c r="R364" s="13"/>
    </row>
    <row r="365" spans="1:18" s="14" customFormat="1" ht="94.5" hidden="1">
      <c r="A365" s="106">
        <v>363</v>
      </c>
      <c r="B365" s="107">
        <v>44714</v>
      </c>
      <c r="C365" s="106" t="s">
        <v>606</v>
      </c>
      <c r="D365" s="111" t="s">
        <v>49</v>
      </c>
      <c r="E365" s="111"/>
      <c r="F365" s="110" t="s">
        <v>627</v>
      </c>
      <c r="G365" s="106">
        <v>89104137911</v>
      </c>
      <c r="H365" s="106" t="s">
        <v>628</v>
      </c>
      <c r="I365" s="107">
        <v>44551</v>
      </c>
      <c r="J365" s="106" t="s">
        <v>184</v>
      </c>
      <c r="K365" s="106" t="s">
        <v>175</v>
      </c>
      <c r="L365" s="112" t="s">
        <v>176</v>
      </c>
      <c r="M365" s="106"/>
      <c r="N365" s="106"/>
      <c r="O365" s="106"/>
      <c r="P365" s="106" t="s">
        <v>246</v>
      </c>
      <c r="Q365" s="13"/>
      <c r="R365" s="13"/>
    </row>
    <row r="366" spans="1:18" s="14" customFormat="1" ht="31.5" hidden="1">
      <c r="A366" s="106">
        <v>364</v>
      </c>
      <c r="B366" s="107">
        <v>44714</v>
      </c>
      <c r="C366" s="132" t="s">
        <v>996</v>
      </c>
      <c r="D366" s="131" t="s">
        <v>49</v>
      </c>
      <c r="E366" s="131"/>
      <c r="F366" s="151" t="s">
        <v>1011</v>
      </c>
      <c r="G366" s="152" t="s">
        <v>1012</v>
      </c>
      <c r="H366" s="132"/>
      <c r="I366" s="132"/>
      <c r="J366" s="132" t="s">
        <v>179</v>
      </c>
      <c r="K366" s="132" t="s">
        <v>6</v>
      </c>
      <c r="L366" s="112" t="str">
        <f ca="1">IFERROR(_xlfn.IFNA(VLOOKUP($K366,[18]коммент!$B:$C,2,0),""),"")</f>
        <v/>
      </c>
      <c r="M366" s="132"/>
      <c r="N366" s="132"/>
      <c r="O366" s="132"/>
      <c r="P366" s="132"/>
      <c r="Q366" s="13"/>
      <c r="R366" s="13"/>
    </row>
    <row r="367" spans="1:18" s="14" customFormat="1" ht="63" hidden="1">
      <c r="A367" s="106">
        <v>365</v>
      </c>
      <c r="B367" s="107">
        <v>44714</v>
      </c>
      <c r="C367" s="106" t="s">
        <v>597</v>
      </c>
      <c r="D367" s="111" t="s">
        <v>24</v>
      </c>
      <c r="E367" s="111"/>
      <c r="F367" s="110" t="s">
        <v>602</v>
      </c>
      <c r="G367" s="106" t="s">
        <v>603</v>
      </c>
      <c r="H367" s="106"/>
      <c r="I367" s="107"/>
      <c r="J367" s="106" t="s">
        <v>180</v>
      </c>
      <c r="K367" s="106" t="s">
        <v>85</v>
      </c>
      <c r="L367" s="112" t="s">
        <v>148</v>
      </c>
      <c r="M367" s="106" t="s">
        <v>129</v>
      </c>
      <c r="N367" s="106"/>
      <c r="O367" s="106"/>
      <c r="P367" s="106" t="s">
        <v>604</v>
      </c>
      <c r="Q367" s="13"/>
      <c r="R367" s="13"/>
    </row>
    <row r="368" spans="1:18" s="14" customFormat="1" ht="31.5" hidden="1">
      <c r="A368" s="106">
        <v>366</v>
      </c>
      <c r="B368" s="107">
        <v>44714</v>
      </c>
      <c r="C368" s="106" t="s">
        <v>864</v>
      </c>
      <c r="D368" s="111" t="s">
        <v>24</v>
      </c>
      <c r="E368" s="111"/>
      <c r="F368" s="110" t="s">
        <v>889</v>
      </c>
      <c r="G368" s="106" t="s">
        <v>890</v>
      </c>
      <c r="H368" s="106" t="s">
        <v>891</v>
      </c>
      <c r="I368" s="107">
        <v>44645</v>
      </c>
      <c r="J368" s="106" t="s">
        <v>184</v>
      </c>
      <c r="K368" s="106" t="s">
        <v>175</v>
      </c>
      <c r="L368" s="112" t="str">
        <f ca="1">IFERROR(_xlfn.IFNA(VLOOKUP($K368,[29]коммент!$B:$C,2,0),""),"")</f>
        <v/>
      </c>
      <c r="M368" s="106"/>
      <c r="N368" s="106"/>
      <c r="O368" s="106"/>
      <c r="P368" s="106" t="s">
        <v>454</v>
      </c>
      <c r="Q368" s="13"/>
      <c r="R368" s="13"/>
    </row>
    <row r="369" spans="1:18" s="14" customFormat="1" hidden="1">
      <c r="A369" s="106">
        <v>367</v>
      </c>
      <c r="B369" s="107">
        <v>44714</v>
      </c>
      <c r="C369" s="106" t="s">
        <v>903</v>
      </c>
      <c r="D369" s="111" t="s">
        <v>24</v>
      </c>
      <c r="E369" s="111"/>
      <c r="F369" s="109" t="s">
        <v>904</v>
      </c>
      <c r="G369" s="106">
        <v>89160636390</v>
      </c>
      <c r="H369" s="106" t="s">
        <v>905</v>
      </c>
      <c r="I369" s="107">
        <v>44613</v>
      </c>
      <c r="J369" s="106" t="s">
        <v>179</v>
      </c>
      <c r="K369" s="106" t="s">
        <v>85</v>
      </c>
      <c r="L369" s="112" t="str">
        <f ca="1">IFERROR(_xlfn.IFNA(VLOOKUP($K369,[31]коммент!$B:$C,2,0),""),"")</f>
        <v/>
      </c>
      <c r="M369" s="106" t="s">
        <v>129</v>
      </c>
      <c r="N369" s="106"/>
      <c r="O369" s="106"/>
      <c r="P369" s="106"/>
      <c r="Q369" s="13"/>
      <c r="R369" s="13"/>
    </row>
    <row r="370" spans="1:18" s="14" customFormat="1" ht="94.5" hidden="1">
      <c r="A370" s="106">
        <v>368</v>
      </c>
      <c r="B370" s="107">
        <v>44714</v>
      </c>
      <c r="C370" s="106" t="s">
        <v>1230</v>
      </c>
      <c r="D370" s="111" t="s">
        <v>24</v>
      </c>
      <c r="E370" s="111"/>
      <c r="F370" s="110" t="s">
        <v>1235</v>
      </c>
      <c r="G370" s="106">
        <v>9259378044</v>
      </c>
      <c r="H370" s="106"/>
      <c r="I370" s="106"/>
      <c r="J370" s="106" t="s">
        <v>180</v>
      </c>
      <c r="K370" s="106" t="s">
        <v>6</v>
      </c>
      <c r="L370" s="112" t="s">
        <v>147</v>
      </c>
      <c r="M370" s="106"/>
      <c r="N370" s="106"/>
      <c r="O370" s="106"/>
      <c r="P370" s="106"/>
      <c r="Q370" s="13"/>
      <c r="R370" s="13"/>
    </row>
    <row r="371" spans="1:18" s="14" customFormat="1" ht="63" hidden="1">
      <c r="A371" s="106">
        <v>369</v>
      </c>
      <c r="B371" s="107">
        <v>44714</v>
      </c>
      <c r="C371" s="106" t="s">
        <v>250</v>
      </c>
      <c r="D371" s="111" t="s">
        <v>64</v>
      </c>
      <c r="E371" s="111"/>
      <c r="F371" s="109" t="s">
        <v>251</v>
      </c>
      <c r="G371" s="106">
        <v>9260900957</v>
      </c>
      <c r="H371" s="106"/>
      <c r="I371" s="106"/>
      <c r="J371" s="106" t="s">
        <v>180</v>
      </c>
      <c r="K371" s="106" t="s">
        <v>149</v>
      </c>
      <c r="L371" s="112" t="str">
        <f ca="1">IFERROR(_xlfn.IFNA(VLOOKUP($K371,[37]коммент!$B:$C,2,0),""),"")</f>
        <v/>
      </c>
      <c r="M371" s="106"/>
      <c r="N371" s="106"/>
      <c r="O371" s="106"/>
      <c r="P371" s="106" t="s">
        <v>252</v>
      </c>
      <c r="Q371" s="13"/>
      <c r="R371" s="13"/>
    </row>
    <row r="372" spans="1:18" s="14" customFormat="1" ht="31.5" hidden="1">
      <c r="A372" s="106">
        <v>370</v>
      </c>
      <c r="B372" s="107">
        <v>44714</v>
      </c>
      <c r="C372" s="106" t="s">
        <v>256</v>
      </c>
      <c r="D372" s="111" t="s">
        <v>64</v>
      </c>
      <c r="E372" s="111"/>
      <c r="F372" s="129" t="s">
        <v>264</v>
      </c>
      <c r="G372" s="106">
        <v>9168358234</v>
      </c>
      <c r="H372" s="106"/>
      <c r="I372" s="106"/>
      <c r="J372" s="106" t="s">
        <v>180</v>
      </c>
      <c r="K372" s="106" t="s">
        <v>85</v>
      </c>
      <c r="L372" s="112" t="str">
        <f ca="1">IFERROR(_xlfn.IFNA(VLOOKUP($K372,[37]коммент!$B:$C,2,0),""),"")</f>
        <v/>
      </c>
      <c r="M372" s="106" t="s">
        <v>129</v>
      </c>
      <c r="N372" s="106"/>
      <c r="O372" s="106"/>
      <c r="P372" s="106" t="s">
        <v>265</v>
      </c>
      <c r="Q372" s="13"/>
      <c r="R372" s="13"/>
    </row>
    <row r="373" spans="1:18" s="14" customFormat="1" ht="63" hidden="1">
      <c r="A373" s="106">
        <v>371</v>
      </c>
      <c r="B373" s="107">
        <v>44714</v>
      </c>
      <c r="C373" s="114" t="s">
        <v>455</v>
      </c>
      <c r="D373" s="111" t="s">
        <v>64</v>
      </c>
      <c r="E373" s="111"/>
      <c r="F373" s="144" t="s">
        <v>466</v>
      </c>
      <c r="G373" s="114" t="s">
        <v>467</v>
      </c>
      <c r="H373" s="114"/>
      <c r="I373" s="143"/>
      <c r="J373" s="114" t="s">
        <v>180</v>
      </c>
      <c r="K373" s="114" t="s">
        <v>36</v>
      </c>
      <c r="L373" s="115" t="s">
        <v>157</v>
      </c>
      <c r="M373" s="114"/>
      <c r="N373" s="114"/>
      <c r="O373" s="114"/>
      <c r="P373" s="114" t="s">
        <v>468</v>
      </c>
      <c r="Q373" s="13"/>
      <c r="R373" s="13"/>
    </row>
    <row r="374" spans="1:18" s="14" customFormat="1" ht="31.5" hidden="1">
      <c r="A374" s="106">
        <v>372</v>
      </c>
      <c r="B374" s="107">
        <v>44714</v>
      </c>
      <c r="C374" s="119" t="s">
        <v>455</v>
      </c>
      <c r="D374" s="111" t="s">
        <v>64</v>
      </c>
      <c r="E374" s="111"/>
      <c r="F374" s="110" t="s">
        <v>472</v>
      </c>
      <c r="G374" s="106" t="s">
        <v>473</v>
      </c>
      <c r="H374" s="106"/>
      <c r="I374" s="106"/>
      <c r="J374" s="106" t="s">
        <v>179</v>
      </c>
      <c r="K374" s="106" t="s">
        <v>6</v>
      </c>
      <c r="L374" s="112" t="str">
        <f ca="1">IFERROR(_xlfn.IFNA(VLOOKUP($K374,[14]коммент!$B:$C,2,0),""),"")</f>
        <v/>
      </c>
      <c r="M374" s="106"/>
      <c r="N374" s="106"/>
      <c r="O374" s="106"/>
      <c r="P374" s="106"/>
      <c r="Q374" s="13"/>
      <c r="R374" s="13"/>
    </row>
    <row r="375" spans="1:18" s="14" customFormat="1" ht="94.5" hidden="1">
      <c r="A375" s="106">
        <v>373</v>
      </c>
      <c r="B375" s="107">
        <v>44714</v>
      </c>
      <c r="C375" s="106" t="s">
        <v>557</v>
      </c>
      <c r="D375" s="111" t="s">
        <v>64</v>
      </c>
      <c r="E375" s="111"/>
      <c r="F375" s="110" t="s">
        <v>565</v>
      </c>
      <c r="G375" s="106" t="s">
        <v>566</v>
      </c>
      <c r="H375" s="106" t="s">
        <v>567</v>
      </c>
      <c r="I375" s="107">
        <v>44644</v>
      </c>
      <c r="J375" s="106" t="s">
        <v>184</v>
      </c>
      <c r="K375" s="106" t="s">
        <v>175</v>
      </c>
      <c r="L375" s="112" t="s">
        <v>176</v>
      </c>
      <c r="M375" s="106" t="s">
        <v>130</v>
      </c>
      <c r="N375" s="106" t="s">
        <v>114</v>
      </c>
      <c r="O375" s="106"/>
      <c r="P375" s="106" t="s">
        <v>296</v>
      </c>
      <c r="Q375" s="13"/>
      <c r="R375" s="13"/>
    </row>
    <row r="376" spans="1:18" s="14" customFormat="1" hidden="1">
      <c r="A376" s="106">
        <v>374</v>
      </c>
      <c r="B376" s="107">
        <v>44714</v>
      </c>
      <c r="C376" s="106" t="s">
        <v>903</v>
      </c>
      <c r="D376" s="111" t="s">
        <v>64</v>
      </c>
      <c r="E376" s="111"/>
      <c r="F376" s="109" t="s">
        <v>908</v>
      </c>
      <c r="G376" s="106">
        <v>4957014552</v>
      </c>
      <c r="H376" s="106" t="s">
        <v>564</v>
      </c>
      <c r="I376" s="107">
        <v>44713</v>
      </c>
      <c r="J376" s="106" t="s">
        <v>134</v>
      </c>
      <c r="K376" s="106" t="s">
        <v>111</v>
      </c>
      <c r="L376" s="112" t="str">
        <f ca="1">IFERROR(_xlfn.IFNA(VLOOKUP($K376,[31]коммент!$B:$C,2,0),""),"")</f>
        <v/>
      </c>
      <c r="M376" s="106" t="s">
        <v>154</v>
      </c>
      <c r="N376" s="106"/>
      <c r="O376" s="106"/>
      <c r="P376" s="106"/>
      <c r="Q376" s="13"/>
      <c r="R376" s="13"/>
    </row>
    <row r="377" spans="1:18" s="14" customFormat="1" ht="31.5" hidden="1">
      <c r="A377" s="106">
        <v>375</v>
      </c>
      <c r="B377" s="107">
        <v>44714</v>
      </c>
      <c r="C377" s="106" t="s">
        <v>903</v>
      </c>
      <c r="D377" s="111" t="s">
        <v>64</v>
      </c>
      <c r="E377" s="111"/>
      <c r="F377" s="129" t="s">
        <v>915</v>
      </c>
      <c r="G377" s="106">
        <v>89169198212</v>
      </c>
      <c r="H377" s="106"/>
      <c r="I377" s="106"/>
      <c r="J377" s="106" t="s">
        <v>180</v>
      </c>
      <c r="K377" s="106" t="s">
        <v>6</v>
      </c>
      <c r="L377" s="112" t="str">
        <f ca="1">IFERROR(_xlfn.IFNA(VLOOKUP($K377,[31]коммент!$B:$C,2,0),""),"")</f>
        <v/>
      </c>
      <c r="M377" s="106"/>
      <c r="N377" s="106"/>
      <c r="O377" s="106"/>
      <c r="P377" s="106"/>
      <c r="Q377" s="13"/>
      <c r="R377" s="13"/>
    </row>
    <row r="378" spans="1:18" s="14" customFormat="1" hidden="1">
      <c r="A378" s="106">
        <v>376</v>
      </c>
      <c r="B378" s="107">
        <v>44714</v>
      </c>
      <c r="C378" s="106" t="s">
        <v>305</v>
      </c>
      <c r="D378" s="111" t="s">
        <v>63</v>
      </c>
      <c r="E378" s="111"/>
      <c r="F378" s="110" t="s">
        <v>320</v>
      </c>
      <c r="G378" s="106">
        <v>9153357770</v>
      </c>
      <c r="H378" s="106" t="s">
        <v>321</v>
      </c>
      <c r="I378" s="107">
        <v>44533</v>
      </c>
      <c r="J378" s="106" t="s">
        <v>184</v>
      </c>
      <c r="K378" s="106" t="s">
        <v>175</v>
      </c>
      <c r="L378" s="112" t="str">
        <f ca="1">IFERROR(_xlfn.IFNA(VLOOKUP($K378,[23]коммент!$B:$C,2,0),""),"")</f>
        <v/>
      </c>
      <c r="M378" s="106"/>
      <c r="N378" s="106"/>
      <c r="O378" s="106"/>
      <c r="P378" s="106" t="s">
        <v>322</v>
      </c>
      <c r="Q378" s="13"/>
      <c r="R378" s="13"/>
    </row>
    <row r="379" spans="1:18" s="14" customFormat="1" ht="31.5" hidden="1">
      <c r="A379" s="106">
        <v>377</v>
      </c>
      <c r="B379" s="107">
        <v>44714</v>
      </c>
      <c r="C379" s="119" t="s">
        <v>455</v>
      </c>
      <c r="D379" s="111" t="s">
        <v>63</v>
      </c>
      <c r="E379" s="111"/>
      <c r="F379" s="110" t="s">
        <v>456</v>
      </c>
      <c r="G379" s="106" t="s">
        <v>457</v>
      </c>
      <c r="H379" s="118" t="s">
        <v>458</v>
      </c>
      <c r="I379" s="118">
        <v>44713</v>
      </c>
      <c r="J379" s="119" t="s">
        <v>180</v>
      </c>
      <c r="K379" s="106" t="s">
        <v>121</v>
      </c>
      <c r="L379" s="112" t="str">
        <f ca="1">IFERROR(_xlfn.IFNA(VLOOKUP($K379,[14]коммент!$B:$C,2,0),""),"")</f>
        <v/>
      </c>
      <c r="M379" s="106"/>
      <c r="N379" s="106"/>
      <c r="O379" s="106"/>
      <c r="P379" s="106"/>
      <c r="Q379" s="13"/>
      <c r="R379" s="13"/>
    </row>
    <row r="380" spans="1:18" s="14" customFormat="1" hidden="1">
      <c r="A380" s="106">
        <v>378</v>
      </c>
      <c r="B380" s="107">
        <v>44714</v>
      </c>
      <c r="C380" s="106" t="s">
        <v>985</v>
      </c>
      <c r="D380" s="111" t="s">
        <v>63</v>
      </c>
      <c r="E380" s="111"/>
      <c r="F380" s="109" t="s">
        <v>988</v>
      </c>
      <c r="G380" s="106">
        <v>89055404575</v>
      </c>
      <c r="H380" s="106"/>
      <c r="I380" s="106"/>
      <c r="J380" s="106" t="s">
        <v>179</v>
      </c>
      <c r="K380" s="106" t="s">
        <v>85</v>
      </c>
      <c r="L380" s="112" t="str">
        <f ca="1">IFERROR(_xlfn.IFNA(VLOOKUP($K380,[75]коммент!$B:$C,2,0),""),"")</f>
        <v/>
      </c>
      <c r="M380" s="106" t="s">
        <v>129</v>
      </c>
      <c r="N380" s="106" t="s">
        <v>114</v>
      </c>
      <c r="O380" s="106"/>
      <c r="P380" s="106" t="s">
        <v>989</v>
      </c>
      <c r="Q380" s="13"/>
      <c r="R380" s="13"/>
    </row>
    <row r="381" spans="1:18" s="14" customFormat="1" hidden="1">
      <c r="A381" s="106">
        <v>379</v>
      </c>
      <c r="B381" s="107">
        <v>44714</v>
      </c>
      <c r="C381" s="106" t="s">
        <v>985</v>
      </c>
      <c r="D381" s="111" t="s">
        <v>63</v>
      </c>
      <c r="E381" s="111"/>
      <c r="F381" s="109" t="s">
        <v>990</v>
      </c>
      <c r="G381" s="106">
        <v>89057039836</v>
      </c>
      <c r="H381" s="106" t="s">
        <v>315</v>
      </c>
      <c r="I381" s="107">
        <v>44713</v>
      </c>
      <c r="J381" s="106" t="s">
        <v>180</v>
      </c>
      <c r="K381" s="106" t="s">
        <v>1</v>
      </c>
      <c r="L381" s="112" t="str">
        <f ca="1">IFERROR(_xlfn.IFNA(VLOOKUP($K381,[75]коммент!$B:$C,2,0),""),"")</f>
        <v/>
      </c>
      <c r="M381" s="106" t="s">
        <v>152</v>
      </c>
      <c r="N381" s="106" t="s">
        <v>183</v>
      </c>
      <c r="O381" s="106" t="s">
        <v>38</v>
      </c>
      <c r="P381" s="106" t="s">
        <v>991</v>
      </c>
      <c r="Q381" s="13"/>
      <c r="R381" s="13"/>
    </row>
    <row r="382" spans="1:18" s="14" customFormat="1" ht="31.5" hidden="1">
      <c r="A382" s="106">
        <v>380</v>
      </c>
      <c r="B382" s="107">
        <v>44714</v>
      </c>
      <c r="C382" s="106" t="s">
        <v>1337</v>
      </c>
      <c r="D382" s="111" t="s">
        <v>63</v>
      </c>
      <c r="E382" s="111"/>
      <c r="F382" s="110" t="s">
        <v>1339</v>
      </c>
      <c r="G382" s="106" t="s">
        <v>1340</v>
      </c>
      <c r="H382" s="106" t="s">
        <v>1341</v>
      </c>
      <c r="I382" s="107">
        <v>44713</v>
      </c>
      <c r="J382" s="106" t="s">
        <v>179</v>
      </c>
      <c r="K382" s="106" t="s">
        <v>111</v>
      </c>
      <c r="L382" s="112" t="str">
        <f ca="1">IFERROR(_xlfn.IFNA(VLOOKUP($K382,[67]коммент!$B:$C,2,0),""),"")</f>
        <v/>
      </c>
      <c r="M382" s="106" t="s">
        <v>130</v>
      </c>
      <c r="N382" s="106" t="s">
        <v>183</v>
      </c>
      <c r="O382" s="106" t="s">
        <v>63</v>
      </c>
      <c r="P382" s="106" t="s">
        <v>246</v>
      </c>
      <c r="Q382" s="13"/>
      <c r="R382" s="13"/>
    </row>
    <row r="383" spans="1:18" s="14" customFormat="1" ht="31.5" hidden="1">
      <c r="A383" s="106">
        <v>381</v>
      </c>
      <c r="B383" s="107">
        <v>44714</v>
      </c>
      <c r="C383" s="106" t="s">
        <v>1337</v>
      </c>
      <c r="D383" s="111" t="s">
        <v>63</v>
      </c>
      <c r="E383" s="111"/>
      <c r="F383" s="110" t="s">
        <v>1339</v>
      </c>
      <c r="G383" s="106" t="s">
        <v>1340</v>
      </c>
      <c r="H383" s="106" t="s">
        <v>1341</v>
      </c>
      <c r="I383" s="107">
        <v>44713</v>
      </c>
      <c r="J383" s="106" t="s">
        <v>179</v>
      </c>
      <c r="K383" s="106" t="s">
        <v>111</v>
      </c>
      <c r="L383" s="112" t="str">
        <f ca="1">IFERROR(_xlfn.IFNA(VLOOKUP($K383,[67]коммент!$B:$C,2,0),""),"")</f>
        <v/>
      </c>
      <c r="M383" s="106" t="s">
        <v>130</v>
      </c>
      <c r="N383" s="106" t="s">
        <v>114</v>
      </c>
      <c r="O383" s="106"/>
      <c r="P383" s="106" t="s">
        <v>1342</v>
      </c>
      <c r="Q383" s="13"/>
      <c r="R383" s="13"/>
    </row>
    <row r="384" spans="1:18" s="14" customFormat="1" ht="31.5" hidden="1">
      <c r="A384" s="106">
        <v>382</v>
      </c>
      <c r="B384" s="107">
        <v>44714</v>
      </c>
      <c r="C384" s="106" t="s">
        <v>270</v>
      </c>
      <c r="D384" s="111" t="s">
        <v>21</v>
      </c>
      <c r="E384" s="111"/>
      <c r="F384" s="110" t="s">
        <v>279</v>
      </c>
      <c r="G384" s="106">
        <v>9646229169</v>
      </c>
      <c r="H384" s="106"/>
      <c r="I384" s="106"/>
      <c r="J384" s="106" t="s">
        <v>180</v>
      </c>
      <c r="K384" s="106" t="s">
        <v>6</v>
      </c>
      <c r="L384" s="112" t="str">
        <f ca="1">IFERROR(_xlfn.IFNA(VLOOKUP($K384,[56]коммент!$B:$C,2,0),""),"")</f>
        <v/>
      </c>
      <c r="M384" s="106"/>
      <c r="N384" s="106"/>
      <c r="O384" s="106"/>
      <c r="P384" s="106"/>
      <c r="Q384" s="13"/>
      <c r="R384" s="13"/>
    </row>
    <row r="385" spans="1:18" s="14" customFormat="1" hidden="1">
      <c r="A385" s="106">
        <v>383</v>
      </c>
      <c r="B385" s="107">
        <v>44714</v>
      </c>
      <c r="C385" s="106" t="s">
        <v>290</v>
      </c>
      <c r="D385" s="111" t="s">
        <v>21</v>
      </c>
      <c r="E385" s="111"/>
      <c r="F385" s="110" t="s">
        <v>294</v>
      </c>
      <c r="G385" s="106">
        <v>89771352314</v>
      </c>
      <c r="H385" s="106" t="s">
        <v>295</v>
      </c>
      <c r="I385" s="107">
        <v>44711</v>
      </c>
      <c r="J385" s="106" t="s">
        <v>180</v>
      </c>
      <c r="K385" s="137" t="s">
        <v>111</v>
      </c>
      <c r="L385" s="139" t="str">
        <f ca="1">IFERROR(_xlfn.IFNA(VLOOKUP($K385,[76]коммент!$B:$C,2,0),""),"")</f>
        <v/>
      </c>
      <c r="M385" s="106" t="s">
        <v>130</v>
      </c>
      <c r="N385" s="106" t="s">
        <v>183</v>
      </c>
      <c r="O385" s="106" t="s">
        <v>21</v>
      </c>
      <c r="P385" s="106" t="s">
        <v>296</v>
      </c>
      <c r="Q385" s="13"/>
      <c r="R385" s="13"/>
    </row>
    <row r="386" spans="1:18" s="14" customFormat="1" ht="31.5" hidden="1">
      <c r="A386" s="106">
        <v>384</v>
      </c>
      <c r="B386" s="107">
        <v>44714</v>
      </c>
      <c r="C386" s="106" t="s">
        <v>957</v>
      </c>
      <c r="D386" s="111" t="s">
        <v>21</v>
      </c>
      <c r="E386" s="111"/>
      <c r="F386" s="109" t="s">
        <v>976</v>
      </c>
      <c r="G386" s="106">
        <v>9166189621</v>
      </c>
      <c r="H386" s="106"/>
      <c r="I386" s="107"/>
      <c r="J386" s="106" t="s">
        <v>180</v>
      </c>
      <c r="K386" s="114" t="s">
        <v>6</v>
      </c>
      <c r="L386" s="115" t="str">
        <f ca="1">IFERROR(_xlfn.IFNA(VLOOKUP($K386,[17]коммент!$B:$C,2,0),""),"")</f>
        <v/>
      </c>
      <c r="M386" s="106"/>
      <c r="N386" s="106"/>
      <c r="O386" s="106"/>
      <c r="P386" s="106"/>
      <c r="Q386" s="13"/>
      <c r="R386" s="13"/>
    </row>
    <row r="387" spans="1:18" s="14" customFormat="1" ht="31.5" hidden="1">
      <c r="A387" s="106">
        <v>385</v>
      </c>
      <c r="B387" s="107">
        <v>44714</v>
      </c>
      <c r="C387" s="106" t="s">
        <v>1298</v>
      </c>
      <c r="D387" s="111" t="s">
        <v>54</v>
      </c>
      <c r="E387" s="111"/>
      <c r="F387" s="110" t="s">
        <v>1299</v>
      </c>
      <c r="G387" s="106">
        <v>9854711960</v>
      </c>
      <c r="H387" s="106"/>
      <c r="I387" s="107"/>
      <c r="J387" s="106" t="s">
        <v>179</v>
      </c>
      <c r="K387" s="106" t="s">
        <v>6</v>
      </c>
      <c r="L387" s="112" t="str">
        <f ca="1">IFERROR(_xlfn.IFNA(VLOOKUP($K387,[55]коммент!$B:$C,2,0),""),"")</f>
        <v/>
      </c>
      <c r="M387" s="106"/>
      <c r="N387" s="106"/>
      <c r="O387" s="106"/>
      <c r="P387" s="106"/>
      <c r="Q387" s="13"/>
      <c r="R387" s="13"/>
    </row>
    <row r="388" spans="1:18" s="14" customFormat="1" ht="31.5" hidden="1">
      <c r="A388" s="106">
        <v>386</v>
      </c>
      <c r="B388" s="107">
        <v>44714</v>
      </c>
      <c r="C388" s="106" t="s">
        <v>1351</v>
      </c>
      <c r="D388" s="111" t="s">
        <v>54</v>
      </c>
      <c r="E388" s="111"/>
      <c r="F388" s="110" t="s">
        <v>1354</v>
      </c>
      <c r="G388" s="106">
        <v>9162461110</v>
      </c>
      <c r="H388" s="106"/>
      <c r="I388" s="106"/>
      <c r="J388" s="106" t="s">
        <v>180</v>
      </c>
      <c r="K388" s="106" t="s">
        <v>6</v>
      </c>
      <c r="L388" s="112" t="str">
        <f ca="1">IFERROR(_xlfn.IFNA(VLOOKUP($K388,[77]коммент!$B:$C,2,0),""),"")</f>
        <v/>
      </c>
      <c r="M388" s="106"/>
      <c r="N388" s="106"/>
      <c r="O388" s="106"/>
      <c r="P388" s="106"/>
      <c r="Q388" s="13"/>
      <c r="R388" s="13"/>
    </row>
    <row r="389" spans="1:18" s="14" customFormat="1" ht="110.25" hidden="1">
      <c r="A389" s="106">
        <v>387</v>
      </c>
      <c r="B389" s="107">
        <v>44714</v>
      </c>
      <c r="C389" s="106" t="s">
        <v>1351</v>
      </c>
      <c r="D389" s="111" t="s">
        <v>54</v>
      </c>
      <c r="E389" s="111"/>
      <c r="F389" s="110" t="s">
        <v>1364</v>
      </c>
      <c r="G389" s="106">
        <v>9163707620</v>
      </c>
      <c r="H389" s="106"/>
      <c r="I389" s="106"/>
      <c r="J389" s="106" t="s">
        <v>180</v>
      </c>
      <c r="K389" s="106" t="s">
        <v>32</v>
      </c>
      <c r="L389" s="112" t="str">
        <f ca="1">IFERROR(_xlfn.IFNA(VLOOKUP($K389,[78]коммент!$B:$C,2,0),""),"")</f>
        <v/>
      </c>
      <c r="M389" s="106"/>
      <c r="N389" s="106"/>
      <c r="O389" s="106"/>
      <c r="P389" s="106" t="s">
        <v>1370</v>
      </c>
      <c r="Q389" s="13"/>
      <c r="R389" s="13"/>
    </row>
    <row r="390" spans="1:18" s="14" customFormat="1" hidden="1">
      <c r="A390" s="106">
        <v>388</v>
      </c>
      <c r="B390" s="107">
        <v>44714</v>
      </c>
      <c r="C390" s="106" t="s">
        <v>985</v>
      </c>
      <c r="D390" s="111" t="s">
        <v>52</v>
      </c>
      <c r="E390" s="111"/>
      <c r="F390" s="109" t="s">
        <v>994</v>
      </c>
      <c r="G390" s="106">
        <v>89805382465</v>
      </c>
      <c r="H390" s="106" t="s">
        <v>432</v>
      </c>
      <c r="I390" s="107">
        <v>44631</v>
      </c>
      <c r="J390" s="106" t="s">
        <v>184</v>
      </c>
      <c r="K390" s="106" t="s">
        <v>175</v>
      </c>
      <c r="L390" s="112" t="str">
        <f ca="1">IFERROR(_xlfn.IFNA(VLOOKUP($K390,[79]коммент!$B:$C,2,0),""),"")</f>
        <v/>
      </c>
      <c r="M390" s="106"/>
      <c r="N390" s="106"/>
      <c r="O390" s="106"/>
      <c r="P390" s="106" t="s">
        <v>995</v>
      </c>
      <c r="Q390" s="13"/>
      <c r="R390" s="13"/>
    </row>
    <row r="391" spans="1:18" s="14" customFormat="1" ht="31.5" hidden="1">
      <c r="A391" s="106">
        <v>389</v>
      </c>
      <c r="B391" s="107">
        <v>44714</v>
      </c>
      <c r="C391" s="106" t="s">
        <v>1351</v>
      </c>
      <c r="D391" s="111" t="s">
        <v>52</v>
      </c>
      <c r="E391" s="111"/>
      <c r="F391" s="110" t="s">
        <v>1353</v>
      </c>
      <c r="G391" s="106">
        <v>9152021162</v>
      </c>
      <c r="H391" s="106"/>
      <c r="I391" s="106"/>
      <c r="J391" s="106" t="s">
        <v>184</v>
      </c>
      <c r="K391" s="106" t="s">
        <v>6</v>
      </c>
      <c r="L391" s="112" t="str">
        <f ca="1">IFERROR(_xlfn.IFNA(VLOOKUP($K391,[77]коммент!$B:$C,2,0),""),"")</f>
        <v/>
      </c>
      <c r="M391" s="106"/>
      <c r="N391" s="106"/>
      <c r="O391" s="106"/>
      <c r="P391" s="106"/>
      <c r="Q391" s="13"/>
      <c r="R391" s="13"/>
    </row>
    <row r="392" spans="1:18" s="14" customFormat="1" hidden="1">
      <c r="A392" s="106">
        <v>390</v>
      </c>
      <c r="B392" s="107">
        <v>44714</v>
      </c>
      <c r="C392" s="106" t="s">
        <v>1351</v>
      </c>
      <c r="D392" s="111" t="s">
        <v>52</v>
      </c>
      <c r="E392" s="111"/>
      <c r="F392" s="110" t="s">
        <v>1361</v>
      </c>
      <c r="G392" s="106">
        <v>9629138408</v>
      </c>
      <c r="H392" s="106" t="s">
        <v>1362</v>
      </c>
      <c r="I392" s="107">
        <v>44606</v>
      </c>
      <c r="J392" s="106" t="s">
        <v>180</v>
      </c>
      <c r="K392" s="106" t="s">
        <v>175</v>
      </c>
      <c r="L392" s="112" t="str">
        <f ca="1">IFERROR(_xlfn.IFNA(VLOOKUP($K392,[80]коммент!$B:$C,2,0),""),"")</f>
        <v/>
      </c>
      <c r="M392" s="106"/>
      <c r="N392" s="106" t="s">
        <v>114</v>
      </c>
      <c r="O392" s="106"/>
      <c r="P392" s="106" t="s">
        <v>731</v>
      </c>
      <c r="Q392" s="13"/>
      <c r="R392" s="13"/>
    </row>
    <row r="393" spans="1:18" s="14" customFormat="1" ht="31.5" hidden="1">
      <c r="A393" s="106">
        <v>391</v>
      </c>
      <c r="B393" s="107">
        <v>44714</v>
      </c>
      <c r="C393" s="106" t="s">
        <v>305</v>
      </c>
      <c r="D393" s="111" t="s">
        <v>51</v>
      </c>
      <c r="E393" s="111"/>
      <c r="F393" s="110" t="s">
        <v>311</v>
      </c>
      <c r="G393" s="106" t="s">
        <v>312</v>
      </c>
      <c r="H393" s="106"/>
      <c r="I393" s="106"/>
      <c r="J393" s="106" t="s">
        <v>180</v>
      </c>
      <c r="K393" s="106" t="s">
        <v>121</v>
      </c>
      <c r="L393" s="112" t="str">
        <f ca="1">IFERROR(_xlfn.IFNA(VLOOKUP($K393,[23]коммент!$B:$C,2,0),""),"")</f>
        <v/>
      </c>
      <c r="M393" s="106"/>
      <c r="N393" s="106"/>
      <c r="O393" s="106"/>
      <c r="P393" s="106"/>
      <c r="Q393" s="13"/>
      <c r="R393" s="13"/>
    </row>
    <row r="394" spans="1:18" s="14" customFormat="1" ht="31.5" hidden="1">
      <c r="A394" s="106">
        <v>392</v>
      </c>
      <c r="B394" s="107">
        <v>44714</v>
      </c>
      <c r="C394" s="106" t="s">
        <v>305</v>
      </c>
      <c r="D394" s="111" t="s">
        <v>51</v>
      </c>
      <c r="E394" s="111"/>
      <c r="F394" s="110" t="s">
        <v>323</v>
      </c>
      <c r="G394" s="106">
        <v>9859410184</v>
      </c>
      <c r="H394" s="106"/>
      <c r="I394" s="106"/>
      <c r="J394" s="106" t="s">
        <v>180</v>
      </c>
      <c r="K394" s="106" t="s">
        <v>6</v>
      </c>
      <c r="L394" s="112" t="str">
        <f ca="1">IFERROR(_xlfn.IFNA(VLOOKUP($K394,[23]коммент!$B:$C,2,0),""),"")</f>
        <v/>
      </c>
      <c r="M394" s="106"/>
      <c r="N394" s="106"/>
      <c r="O394" s="106"/>
      <c r="P394" s="106"/>
      <c r="Q394" s="13"/>
      <c r="R394" s="13"/>
    </row>
    <row r="395" spans="1:18" s="14" customFormat="1" hidden="1">
      <c r="A395" s="106">
        <v>393</v>
      </c>
      <c r="B395" s="107">
        <v>44714</v>
      </c>
      <c r="C395" s="106" t="s">
        <v>305</v>
      </c>
      <c r="D395" s="111" t="s">
        <v>51</v>
      </c>
      <c r="E395" s="111"/>
      <c r="F395" s="110" t="s">
        <v>324</v>
      </c>
      <c r="G395" s="106">
        <v>9038433101</v>
      </c>
      <c r="H395" s="106"/>
      <c r="I395" s="106"/>
      <c r="J395" s="106" t="s">
        <v>184</v>
      </c>
      <c r="K395" s="106" t="s">
        <v>111</v>
      </c>
      <c r="L395" s="112" t="str">
        <f ca="1">IFERROR(_xlfn.IFNA(VLOOKUP($K395,[23]коммент!$B:$C,2,0),""),"")</f>
        <v/>
      </c>
      <c r="M395" s="106" t="s">
        <v>130</v>
      </c>
      <c r="N395" s="106" t="s">
        <v>183</v>
      </c>
      <c r="O395" s="106" t="s">
        <v>51</v>
      </c>
      <c r="P395" s="106" t="s">
        <v>246</v>
      </c>
      <c r="Q395" s="13"/>
      <c r="R395" s="13"/>
    </row>
    <row r="396" spans="1:18" s="14" customFormat="1" ht="31.5" hidden="1">
      <c r="A396" s="106">
        <v>394</v>
      </c>
      <c r="B396" s="107">
        <v>44714</v>
      </c>
      <c r="C396" s="132" t="s">
        <v>996</v>
      </c>
      <c r="D396" s="131" t="s">
        <v>51</v>
      </c>
      <c r="E396" s="131"/>
      <c r="F396" s="151" t="s">
        <v>1003</v>
      </c>
      <c r="G396" s="153" t="s">
        <v>1004</v>
      </c>
      <c r="H396" s="132"/>
      <c r="I396" s="132"/>
      <c r="J396" s="132" t="s">
        <v>184</v>
      </c>
      <c r="K396" s="132" t="s">
        <v>6</v>
      </c>
      <c r="L396" s="112" t="str">
        <f ca="1">IFERROR(_xlfn.IFNA(VLOOKUP($K396,[18]коммент!$B:$C,2,0),""),"")</f>
        <v/>
      </c>
      <c r="M396" s="132"/>
      <c r="N396" s="132"/>
      <c r="O396" s="132"/>
      <c r="P396" s="132"/>
      <c r="Q396" s="13"/>
      <c r="R396" s="13"/>
    </row>
    <row r="397" spans="1:18" s="14" customFormat="1" ht="31.5" hidden="1">
      <c r="A397" s="106">
        <v>395</v>
      </c>
      <c r="B397" s="107">
        <v>44714</v>
      </c>
      <c r="C397" s="106" t="s">
        <v>1351</v>
      </c>
      <c r="D397" s="111" t="s">
        <v>51</v>
      </c>
      <c r="E397" s="111"/>
      <c r="F397" s="110" t="s">
        <v>1360</v>
      </c>
      <c r="G397" s="106">
        <v>9636243665</v>
      </c>
      <c r="H397" s="106"/>
      <c r="I397" s="106"/>
      <c r="J397" s="106" t="s">
        <v>179</v>
      </c>
      <c r="K397" s="106" t="s">
        <v>6</v>
      </c>
      <c r="L397" s="112" t="str">
        <f ca="1">IFERROR(_xlfn.IFNA(VLOOKUP($K397,[78]коммент!$B:$C,2,0),""),"")</f>
        <v/>
      </c>
      <c r="M397" s="106"/>
      <c r="N397" s="106"/>
      <c r="O397" s="106"/>
      <c r="P397" s="106"/>
      <c r="Q397" s="13"/>
      <c r="R397" s="13"/>
    </row>
    <row r="398" spans="1:18" s="14" customFormat="1" ht="31.5" hidden="1">
      <c r="A398" s="106">
        <v>396</v>
      </c>
      <c r="B398" s="107">
        <v>44714</v>
      </c>
      <c r="C398" s="150" t="s">
        <v>513</v>
      </c>
      <c r="D398" s="111" t="s">
        <v>27</v>
      </c>
      <c r="E398" s="111"/>
      <c r="F398" s="109" t="s">
        <v>521</v>
      </c>
      <c r="G398" s="106">
        <v>9067557553</v>
      </c>
      <c r="H398" s="106"/>
      <c r="I398" s="106"/>
      <c r="J398" s="106" t="s">
        <v>180</v>
      </c>
      <c r="K398" s="106" t="s">
        <v>6</v>
      </c>
      <c r="L398" s="112" t="str">
        <f ca="1">IFERROR(_xlfn.IFNA(VLOOKUP($K398,[43]коммент!$B:$C,2,0),""),"")</f>
        <v/>
      </c>
      <c r="M398" s="106"/>
      <c r="N398" s="106"/>
      <c r="O398" s="106"/>
      <c r="P398" s="106"/>
      <c r="Q398" s="13"/>
      <c r="R398" s="13"/>
    </row>
    <row r="399" spans="1:18" s="14" customFormat="1" ht="31.5" hidden="1">
      <c r="A399" s="106">
        <v>397</v>
      </c>
      <c r="B399" s="107">
        <v>44714</v>
      </c>
      <c r="C399" s="106" t="s">
        <v>957</v>
      </c>
      <c r="D399" s="111" t="s">
        <v>27</v>
      </c>
      <c r="E399" s="111"/>
      <c r="F399" s="109" t="s">
        <v>962</v>
      </c>
      <c r="G399" s="106">
        <v>9154242236</v>
      </c>
      <c r="H399" s="106" t="s">
        <v>963</v>
      </c>
      <c r="I399" s="107">
        <v>44713</v>
      </c>
      <c r="J399" s="106" t="s">
        <v>134</v>
      </c>
      <c r="K399" s="106" t="s">
        <v>111</v>
      </c>
      <c r="L399" s="112" t="str">
        <f ca="1">IFERROR(_xlfn.IFNA(VLOOKUP($K399,[17]коммент!$B:$C,2,0),""),"")</f>
        <v/>
      </c>
      <c r="M399" s="106" t="s">
        <v>130</v>
      </c>
      <c r="N399" s="106" t="s">
        <v>183</v>
      </c>
      <c r="O399" s="106" t="s">
        <v>27</v>
      </c>
      <c r="P399" s="106" t="s">
        <v>964</v>
      </c>
      <c r="Q399" s="13"/>
      <c r="R399" s="13"/>
    </row>
    <row r="400" spans="1:18" s="14" customFormat="1" ht="47.25" hidden="1">
      <c r="A400" s="106">
        <v>398</v>
      </c>
      <c r="B400" s="107">
        <v>44714</v>
      </c>
      <c r="C400" s="106" t="s">
        <v>1015</v>
      </c>
      <c r="D400" s="111" t="s">
        <v>27</v>
      </c>
      <c r="E400" s="111"/>
      <c r="F400" s="110" t="s">
        <v>1020</v>
      </c>
      <c r="G400" s="106" t="s">
        <v>1021</v>
      </c>
      <c r="H400" s="106" t="s">
        <v>1022</v>
      </c>
      <c r="I400" s="107">
        <v>44620</v>
      </c>
      <c r="J400" s="106" t="s">
        <v>184</v>
      </c>
      <c r="K400" s="150" t="s">
        <v>175</v>
      </c>
      <c r="L400" s="154" t="str">
        <f ca="1">IFERROR(_xlfn.IFNA(VLOOKUP($K400,[19]коммент!$B:$C,2,0),""),"")</f>
        <v/>
      </c>
      <c r="M400" s="106"/>
      <c r="N400" s="106" t="s">
        <v>114</v>
      </c>
      <c r="O400" s="106"/>
      <c r="P400" s="106" t="s">
        <v>1023</v>
      </c>
      <c r="Q400" s="13"/>
      <c r="R400" s="13"/>
    </row>
    <row r="401" spans="1:18" s="14" customFormat="1" hidden="1">
      <c r="A401" s="106">
        <v>399</v>
      </c>
      <c r="B401" s="107">
        <v>44714</v>
      </c>
      <c r="C401" s="106" t="s">
        <v>1303</v>
      </c>
      <c r="D401" s="111" t="s">
        <v>27</v>
      </c>
      <c r="E401" s="111"/>
      <c r="F401" s="105" t="s">
        <v>1306</v>
      </c>
      <c r="G401" s="127" t="s">
        <v>1307</v>
      </c>
      <c r="H401" s="127" t="s">
        <v>888</v>
      </c>
      <c r="I401" s="107">
        <v>44545</v>
      </c>
      <c r="J401" s="106" t="s">
        <v>184</v>
      </c>
      <c r="K401" s="106" t="s">
        <v>175</v>
      </c>
      <c r="L401" s="112" t="str">
        <f ca="1">IFERROR(_xlfn.IFNA(VLOOKUP($K401,[21]коммент!$B:$C,2,0),""),"")</f>
        <v/>
      </c>
      <c r="M401" s="106"/>
      <c r="N401" s="106"/>
      <c r="O401" s="106"/>
      <c r="P401" s="106" t="s">
        <v>1308</v>
      </c>
      <c r="Q401" s="13"/>
      <c r="R401" s="13"/>
    </row>
    <row r="402" spans="1:18" s="14" customFormat="1" ht="63" hidden="1">
      <c r="A402" s="106">
        <v>400</v>
      </c>
      <c r="B402" s="107">
        <v>44714</v>
      </c>
      <c r="C402" s="106" t="s">
        <v>1303</v>
      </c>
      <c r="D402" s="111" t="s">
        <v>27</v>
      </c>
      <c r="E402" s="111"/>
      <c r="F402" s="110" t="s">
        <v>1315</v>
      </c>
      <c r="G402" s="106" t="s">
        <v>1316</v>
      </c>
      <c r="H402" s="106"/>
      <c r="I402" s="106"/>
      <c r="J402" s="106" t="s">
        <v>180</v>
      </c>
      <c r="K402" s="106" t="s">
        <v>149</v>
      </c>
      <c r="L402" s="112" t="str">
        <f ca="1">IFERROR(_xlfn.IFNA(VLOOKUP($K402,[21]коммент!$B:$C,2,0),""),"")</f>
        <v/>
      </c>
      <c r="M402" s="106"/>
      <c r="N402" s="106"/>
      <c r="O402" s="106"/>
      <c r="P402" s="106"/>
      <c r="Q402" s="13"/>
      <c r="R402" s="13"/>
    </row>
    <row r="403" spans="1:18" s="14" customFormat="1" ht="47.25" hidden="1">
      <c r="A403" s="106">
        <v>401</v>
      </c>
      <c r="B403" s="107">
        <v>44714</v>
      </c>
      <c r="C403" s="106" t="s">
        <v>331</v>
      </c>
      <c r="D403" s="111" t="s">
        <v>50</v>
      </c>
      <c r="E403" s="111"/>
      <c r="F403" s="105" t="s">
        <v>357</v>
      </c>
      <c r="G403" s="109" t="s">
        <v>358</v>
      </c>
      <c r="H403" s="106" t="s">
        <v>359</v>
      </c>
      <c r="I403" s="107">
        <v>44518</v>
      </c>
      <c r="J403" s="106" t="s">
        <v>184</v>
      </c>
      <c r="K403" s="106" t="s">
        <v>36</v>
      </c>
      <c r="L403" s="112" t="str">
        <f ca="1">IFERROR(_xlfn.IFNA(VLOOKUP($K403,[24]коммент!$B:$C,2,0),""),"")</f>
        <v/>
      </c>
      <c r="M403" s="106"/>
      <c r="N403" s="106"/>
      <c r="O403" s="106"/>
      <c r="P403" s="106" t="s">
        <v>360</v>
      </c>
      <c r="Q403" s="13"/>
      <c r="R403" s="13"/>
    </row>
    <row r="404" spans="1:18" s="14" customFormat="1" ht="31.5" hidden="1">
      <c r="A404" s="106">
        <v>402</v>
      </c>
      <c r="B404" s="107">
        <v>44714</v>
      </c>
      <c r="C404" s="106" t="s">
        <v>331</v>
      </c>
      <c r="D404" s="111" t="s">
        <v>50</v>
      </c>
      <c r="E404" s="111"/>
      <c r="F404" s="105" t="s">
        <v>361</v>
      </c>
      <c r="G404" s="105" t="s">
        <v>362</v>
      </c>
      <c r="H404" s="106"/>
      <c r="I404" s="106"/>
      <c r="J404" s="106" t="s">
        <v>180</v>
      </c>
      <c r="K404" s="106" t="s">
        <v>6</v>
      </c>
      <c r="L404" s="112" t="str">
        <f ca="1">IFERROR(_xlfn.IFNA(VLOOKUP($K404,[24]коммент!$B:$C,2,0),""),"")</f>
        <v/>
      </c>
      <c r="M404" s="106"/>
      <c r="N404" s="106"/>
      <c r="O404" s="106"/>
      <c r="P404" s="106"/>
      <c r="Q404" s="13"/>
      <c r="R404" s="13"/>
    </row>
    <row r="405" spans="1:18" s="14" customFormat="1" ht="63" hidden="1">
      <c r="A405" s="106">
        <v>403</v>
      </c>
      <c r="B405" s="107">
        <v>44714</v>
      </c>
      <c r="C405" s="132" t="s">
        <v>996</v>
      </c>
      <c r="D405" s="131" t="s">
        <v>50</v>
      </c>
      <c r="E405" s="131"/>
      <c r="F405" s="151" t="s">
        <v>999</v>
      </c>
      <c r="G405" s="152" t="s">
        <v>1000</v>
      </c>
      <c r="H405" s="132" t="s">
        <v>1001</v>
      </c>
      <c r="I405" s="113">
        <v>44692</v>
      </c>
      <c r="J405" s="132" t="s">
        <v>184</v>
      </c>
      <c r="K405" s="132" t="s">
        <v>36</v>
      </c>
      <c r="L405" s="112" t="str">
        <f ca="1">IFERROR(_xlfn.IFNA(VLOOKUP($K405,[18]коммент!$B:$C,2,0),""),"")</f>
        <v/>
      </c>
      <c r="M405" s="132"/>
      <c r="N405" s="132"/>
      <c r="O405" s="132"/>
      <c r="P405" s="132" t="s">
        <v>1002</v>
      </c>
      <c r="Q405" s="13"/>
      <c r="R405" s="13"/>
    </row>
    <row r="406" spans="1:18" s="14" customFormat="1" ht="31.5" hidden="1">
      <c r="A406" s="106">
        <v>404</v>
      </c>
      <c r="B406" s="107">
        <v>44714</v>
      </c>
      <c r="C406" s="106" t="s">
        <v>1089</v>
      </c>
      <c r="D406" s="111" t="s">
        <v>50</v>
      </c>
      <c r="E406" s="111"/>
      <c r="F406" s="110" t="s">
        <v>1100</v>
      </c>
      <c r="G406" s="106" t="s">
        <v>1101</v>
      </c>
      <c r="H406" s="106"/>
      <c r="I406" s="106"/>
      <c r="J406" s="106" t="s">
        <v>179</v>
      </c>
      <c r="K406" s="106" t="s">
        <v>6</v>
      </c>
      <c r="L406" s="112" t="str">
        <f ca="1">IFERROR(_xlfn.IFNA(VLOOKUP($K406,[8]коммент!$B:$C,2,0),""),"")</f>
        <v/>
      </c>
      <c r="M406" s="106"/>
      <c r="N406" s="106"/>
      <c r="O406" s="106"/>
      <c r="P406" s="106"/>
      <c r="Q406" s="13"/>
      <c r="R406" s="13"/>
    </row>
    <row r="407" spans="1:18" s="14" customFormat="1" ht="78.75" hidden="1">
      <c r="A407" s="106">
        <v>405</v>
      </c>
      <c r="B407" s="107">
        <v>44714</v>
      </c>
      <c r="C407" s="106" t="s">
        <v>660</v>
      </c>
      <c r="D407" s="111" t="s">
        <v>43</v>
      </c>
      <c r="E407" s="111"/>
      <c r="F407" s="110" t="s">
        <v>677</v>
      </c>
      <c r="G407" s="106" t="s">
        <v>678</v>
      </c>
      <c r="H407" s="106" t="s">
        <v>679</v>
      </c>
      <c r="I407" s="107">
        <v>44355</v>
      </c>
      <c r="J407" s="106" t="s">
        <v>180</v>
      </c>
      <c r="K407" s="106" t="s">
        <v>113</v>
      </c>
      <c r="L407" s="112" t="s">
        <v>143</v>
      </c>
      <c r="M407" s="106" t="s">
        <v>129</v>
      </c>
      <c r="N407" s="106"/>
      <c r="O407" s="106"/>
      <c r="P407" s="106" t="s">
        <v>680</v>
      </c>
      <c r="Q407" s="13"/>
      <c r="R407" s="13"/>
    </row>
    <row r="408" spans="1:18" s="14" customFormat="1" ht="94.5" hidden="1">
      <c r="A408" s="106">
        <v>406</v>
      </c>
      <c r="B408" s="107">
        <v>44714</v>
      </c>
      <c r="C408" s="106" t="s">
        <v>660</v>
      </c>
      <c r="D408" s="111" t="s">
        <v>43</v>
      </c>
      <c r="E408" s="111"/>
      <c r="F408" s="110" t="s">
        <v>677</v>
      </c>
      <c r="G408" s="106" t="s">
        <v>678</v>
      </c>
      <c r="H408" s="106" t="s">
        <v>679</v>
      </c>
      <c r="I408" s="107">
        <v>44355</v>
      </c>
      <c r="J408" s="106" t="s">
        <v>180</v>
      </c>
      <c r="K408" s="106" t="s">
        <v>149</v>
      </c>
      <c r="L408" s="112" t="s">
        <v>144</v>
      </c>
      <c r="M408" s="106"/>
      <c r="N408" s="106"/>
      <c r="O408" s="106"/>
      <c r="P408" s="106" t="s">
        <v>681</v>
      </c>
      <c r="Q408" s="13"/>
      <c r="R408" s="13"/>
    </row>
    <row r="409" spans="1:18" s="14" customFormat="1" hidden="1">
      <c r="A409" s="106">
        <v>407</v>
      </c>
      <c r="B409" s="107">
        <v>44714</v>
      </c>
      <c r="C409" s="106" t="s">
        <v>903</v>
      </c>
      <c r="D409" s="111" t="s">
        <v>43</v>
      </c>
      <c r="E409" s="111"/>
      <c r="F409" s="129" t="s">
        <v>911</v>
      </c>
      <c r="G409" s="106">
        <v>89855000707</v>
      </c>
      <c r="H409" s="106"/>
      <c r="I409" s="106"/>
      <c r="J409" s="106" t="s">
        <v>134</v>
      </c>
      <c r="K409" s="106" t="s">
        <v>85</v>
      </c>
      <c r="L409" s="112" t="str">
        <f ca="1">IFERROR(_xlfn.IFNA(VLOOKUP($K409,[31]коммент!$B:$C,2,0),""),"")</f>
        <v/>
      </c>
      <c r="M409" s="106" t="s">
        <v>129</v>
      </c>
      <c r="N409" s="106"/>
      <c r="O409" s="106"/>
      <c r="P409" s="106"/>
      <c r="Q409" s="13"/>
      <c r="R409" s="13"/>
    </row>
    <row r="410" spans="1:18" s="14" customFormat="1" hidden="1">
      <c r="A410" s="106">
        <v>408</v>
      </c>
      <c r="B410" s="107">
        <v>44714</v>
      </c>
      <c r="C410" s="106" t="s">
        <v>903</v>
      </c>
      <c r="D410" s="111" t="s">
        <v>43</v>
      </c>
      <c r="E410" s="111"/>
      <c r="F410" s="109" t="s">
        <v>912</v>
      </c>
      <c r="G410" s="106">
        <v>89199670220</v>
      </c>
      <c r="H410" s="106"/>
      <c r="I410" s="106"/>
      <c r="J410" s="106" t="s">
        <v>179</v>
      </c>
      <c r="K410" s="106" t="s">
        <v>85</v>
      </c>
      <c r="L410" s="112" t="str">
        <f ca="1">IFERROR(_xlfn.IFNA(VLOOKUP($K410,[31]коммент!$B:$C,2,0),""),"")</f>
        <v/>
      </c>
      <c r="M410" s="106" t="s">
        <v>129</v>
      </c>
      <c r="N410" s="106"/>
      <c r="O410" s="106"/>
      <c r="P410" s="106"/>
      <c r="Q410" s="13"/>
      <c r="R410" s="13"/>
    </row>
    <row r="411" spans="1:18" s="14" customFormat="1" ht="31.5" hidden="1">
      <c r="A411" s="106">
        <v>409</v>
      </c>
      <c r="B411" s="107">
        <v>44714</v>
      </c>
      <c r="C411" s="106" t="s">
        <v>1127</v>
      </c>
      <c r="D411" s="111" t="s">
        <v>43</v>
      </c>
      <c r="E411" s="111"/>
      <c r="F411" s="110" t="s">
        <v>1132</v>
      </c>
      <c r="G411" s="106">
        <v>9278985589</v>
      </c>
      <c r="H411" s="106" t="s">
        <v>1133</v>
      </c>
      <c r="I411" s="107">
        <v>44595</v>
      </c>
      <c r="J411" s="106" t="s">
        <v>180</v>
      </c>
      <c r="K411" s="106" t="s">
        <v>6</v>
      </c>
      <c r="L411" s="112" t="str">
        <f ca="1">IFERROR(_xlfn.IFNA(VLOOKUP($K411,[64]коммент!$B:$C,2,0),""),"")</f>
        <v/>
      </c>
      <c r="M411" s="106"/>
      <c r="N411" s="106"/>
      <c r="O411" s="106"/>
      <c r="P411" s="106"/>
      <c r="Q411" s="13"/>
      <c r="R411" s="13"/>
    </row>
    <row r="412" spans="1:18" s="14" customFormat="1" ht="78.75" hidden="1">
      <c r="A412" s="106">
        <v>410</v>
      </c>
      <c r="B412" s="107">
        <v>44714</v>
      </c>
      <c r="C412" s="106" t="s">
        <v>1141</v>
      </c>
      <c r="D412" s="111" t="s">
        <v>43</v>
      </c>
      <c r="E412" s="111"/>
      <c r="F412" s="110" t="s">
        <v>1152</v>
      </c>
      <c r="G412" s="106"/>
      <c r="H412" s="107" t="s">
        <v>1153</v>
      </c>
      <c r="I412" s="107">
        <v>44711</v>
      </c>
      <c r="J412" s="106" t="s">
        <v>180</v>
      </c>
      <c r="K412" s="106" t="s">
        <v>113</v>
      </c>
      <c r="L412" s="112" t="str">
        <f ca="1">IFERROR(_xlfn.IFNA(VLOOKUP($K412,[11]коммент!$B:$C,2,0),""),"")</f>
        <v/>
      </c>
      <c r="M412" s="106"/>
      <c r="N412" s="106"/>
      <c r="O412" s="106"/>
      <c r="P412" s="106" t="s">
        <v>1154</v>
      </c>
      <c r="Q412" s="13"/>
      <c r="R412" s="13"/>
    </row>
    <row r="413" spans="1:18" s="14" customFormat="1" hidden="1">
      <c r="A413" s="106">
        <v>411</v>
      </c>
      <c r="B413" s="107">
        <v>44714</v>
      </c>
      <c r="C413" s="106" t="s">
        <v>1141</v>
      </c>
      <c r="D413" s="111" t="s">
        <v>43</v>
      </c>
      <c r="E413" s="111"/>
      <c r="F413" s="110" t="s">
        <v>1155</v>
      </c>
      <c r="G413" s="106">
        <v>89175355295</v>
      </c>
      <c r="H413" s="106"/>
      <c r="I413" s="107"/>
      <c r="J413" s="106" t="s">
        <v>179</v>
      </c>
      <c r="K413" s="106" t="s">
        <v>85</v>
      </c>
      <c r="L413" s="112" t="str">
        <f ca="1">IFERROR(_xlfn.IFNA(VLOOKUP($K413,[11]коммент!$B:$C,2,0),""),"")</f>
        <v/>
      </c>
      <c r="M413" s="106" t="s">
        <v>130</v>
      </c>
      <c r="N413" s="106"/>
      <c r="O413" s="106"/>
      <c r="P413" s="106"/>
      <c r="Q413" s="13"/>
      <c r="R413" s="13"/>
    </row>
    <row r="414" spans="1:18" s="14" customFormat="1" ht="94.5" hidden="1">
      <c r="A414" s="106">
        <v>412</v>
      </c>
      <c r="B414" s="107">
        <v>44714</v>
      </c>
      <c r="C414" s="106" t="s">
        <v>1208</v>
      </c>
      <c r="D414" s="111" t="s">
        <v>43</v>
      </c>
      <c r="E414" s="111"/>
      <c r="F414" s="110" t="s">
        <v>1212</v>
      </c>
      <c r="G414" s="106">
        <v>9859219772</v>
      </c>
      <c r="H414" s="106" t="s">
        <v>600</v>
      </c>
      <c r="I414" s="107">
        <v>44637</v>
      </c>
      <c r="J414" s="106" t="s">
        <v>184</v>
      </c>
      <c r="K414" s="106" t="s">
        <v>175</v>
      </c>
      <c r="L414" s="112" t="s">
        <v>176</v>
      </c>
      <c r="M414" s="106"/>
      <c r="N414" s="106"/>
      <c r="O414" s="106"/>
      <c r="P414" s="106" t="s">
        <v>296</v>
      </c>
      <c r="Q414" s="13"/>
      <c r="R414" s="13"/>
    </row>
    <row r="415" spans="1:18" s="14" customFormat="1" ht="94.5" hidden="1">
      <c r="A415" s="106">
        <v>413</v>
      </c>
      <c r="B415" s="107">
        <v>44714</v>
      </c>
      <c r="C415" s="106" t="s">
        <v>1225</v>
      </c>
      <c r="D415" s="111" t="s">
        <v>43</v>
      </c>
      <c r="E415" s="111"/>
      <c r="F415" s="110" t="s">
        <v>1226</v>
      </c>
      <c r="G415" s="106">
        <v>9166299106</v>
      </c>
      <c r="H415" s="106"/>
      <c r="I415" s="106"/>
      <c r="J415" s="106" t="s">
        <v>180</v>
      </c>
      <c r="K415" s="106" t="s">
        <v>6</v>
      </c>
      <c r="L415" s="112" t="s">
        <v>147</v>
      </c>
      <c r="M415" s="106"/>
      <c r="N415" s="106"/>
      <c r="O415" s="106"/>
      <c r="P415" s="106"/>
      <c r="Q415" s="13"/>
      <c r="R415" s="13"/>
    </row>
    <row r="416" spans="1:18" s="14" customFormat="1" ht="31.5" hidden="1">
      <c r="A416" s="106">
        <v>414</v>
      </c>
      <c r="B416" s="107">
        <v>44714</v>
      </c>
      <c r="C416" s="106" t="s">
        <v>709</v>
      </c>
      <c r="D416" s="111" t="s">
        <v>22</v>
      </c>
      <c r="E416" s="111"/>
      <c r="F416" s="110" t="s">
        <v>710</v>
      </c>
      <c r="G416" s="106">
        <v>9166138833</v>
      </c>
      <c r="H416" s="106" t="s">
        <v>274</v>
      </c>
      <c r="I416" s="107">
        <v>44708</v>
      </c>
      <c r="J416" s="106" t="s">
        <v>180</v>
      </c>
      <c r="K416" s="106" t="s">
        <v>6</v>
      </c>
      <c r="L416" s="112"/>
      <c r="M416" s="106" t="s">
        <v>189</v>
      </c>
      <c r="N416" s="106"/>
      <c r="O416" s="106"/>
      <c r="P416" s="106"/>
      <c r="Q416" s="13"/>
      <c r="R416" s="13"/>
    </row>
    <row r="417" spans="1:18" s="14" customFormat="1" ht="63" hidden="1">
      <c r="A417" s="106">
        <v>415</v>
      </c>
      <c r="B417" s="107">
        <v>44714</v>
      </c>
      <c r="C417" s="106" t="s">
        <v>957</v>
      </c>
      <c r="D417" s="111" t="s">
        <v>22</v>
      </c>
      <c r="E417" s="111"/>
      <c r="F417" s="109" t="s">
        <v>973</v>
      </c>
      <c r="G417" s="106">
        <v>9267612364</v>
      </c>
      <c r="H417" s="106" t="s">
        <v>974</v>
      </c>
      <c r="I417" s="107">
        <v>44517</v>
      </c>
      <c r="J417" s="106" t="s">
        <v>184</v>
      </c>
      <c r="K417" s="106" t="s">
        <v>149</v>
      </c>
      <c r="L417" s="112" t="str">
        <f ca="1">IFERROR(_xlfn.IFNA(VLOOKUP($K417,[17]коммент!$B:$C,2,0),""),"")</f>
        <v/>
      </c>
      <c r="M417" s="106"/>
      <c r="N417" s="106"/>
      <c r="O417" s="106"/>
      <c r="P417" s="106"/>
      <c r="Q417" s="13"/>
      <c r="R417" s="13"/>
    </row>
    <row r="418" spans="1:18" s="14" customFormat="1" ht="94.5" hidden="1">
      <c r="A418" s="106">
        <v>416</v>
      </c>
      <c r="B418" s="107">
        <v>44714</v>
      </c>
      <c r="C418" s="106" t="s">
        <v>1236</v>
      </c>
      <c r="D418" s="111" t="s">
        <v>22</v>
      </c>
      <c r="E418" s="111"/>
      <c r="F418" s="105" t="s">
        <v>1245</v>
      </c>
      <c r="G418" s="105" t="s">
        <v>1246</v>
      </c>
      <c r="H418" s="106" t="s">
        <v>1247</v>
      </c>
      <c r="I418" s="107">
        <v>44518</v>
      </c>
      <c r="J418" s="106" t="s">
        <v>180</v>
      </c>
      <c r="K418" s="114" t="s">
        <v>175</v>
      </c>
      <c r="L418" s="112" t="s">
        <v>176</v>
      </c>
      <c r="M418" s="106"/>
      <c r="N418" s="106"/>
      <c r="O418" s="106"/>
      <c r="P418" s="106" t="s">
        <v>1248</v>
      </c>
      <c r="Q418" s="13"/>
      <c r="R418" s="13"/>
    </row>
    <row r="419" spans="1:18" s="14" customFormat="1" ht="63" hidden="1">
      <c r="A419" s="106">
        <v>417</v>
      </c>
      <c r="B419" s="107">
        <v>44714</v>
      </c>
      <c r="C419" s="106" t="s">
        <v>1236</v>
      </c>
      <c r="D419" s="111" t="s">
        <v>22</v>
      </c>
      <c r="E419" s="111"/>
      <c r="F419" s="129" t="s">
        <v>1259</v>
      </c>
      <c r="G419" s="129" t="s">
        <v>1260</v>
      </c>
      <c r="H419" s="106"/>
      <c r="I419" s="107"/>
      <c r="J419" s="106" t="s">
        <v>180</v>
      </c>
      <c r="K419" s="119" t="s">
        <v>85</v>
      </c>
      <c r="L419" s="112" t="s">
        <v>148</v>
      </c>
      <c r="M419" s="106" t="s">
        <v>129</v>
      </c>
      <c r="N419" s="106" t="s">
        <v>114</v>
      </c>
      <c r="O419" s="106"/>
      <c r="P419" s="106" t="s">
        <v>1270</v>
      </c>
      <c r="Q419" s="13"/>
      <c r="R419" s="13"/>
    </row>
    <row r="420" spans="1:18" s="14" customFormat="1" ht="94.5" hidden="1">
      <c r="A420" s="106">
        <v>418</v>
      </c>
      <c r="B420" s="107">
        <v>44714</v>
      </c>
      <c r="C420" s="106" t="s">
        <v>1236</v>
      </c>
      <c r="D420" s="111" t="s">
        <v>22</v>
      </c>
      <c r="E420" s="111"/>
      <c r="F420" s="105" t="s">
        <v>1282</v>
      </c>
      <c r="G420" s="109" t="s">
        <v>1283</v>
      </c>
      <c r="H420" s="106"/>
      <c r="I420" s="107"/>
      <c r="J420" s="106" t="s">
        <v>179</v>
      </c>
      <c r="K420" s="119" t="s">
        <v>6</v>
      </c>
      <c r="L420" s="112" t="s">
        <v>147</v>
      </c>
      <c r="M420" s="106"/>
      <c r="N420" s="106"/>
      <c r="O420" s="106"/>
      <c r="P420" s="106" t="s">
        <v>1284</v>
      </c>
      <c r="Q420" s="13"/>
      <c r="R420" s="13"/>
    </row>
    <row r="421" spans="1:18" s="14" customFormat="1" ht="31.5" hidden="1">
      <c r="A421" s="106">
        <v>419</v>
      </c>
      <c r="B421" s="107">
        <v>44714</v>
      </c>
      <c r="C421" s="106" t="s">
        <v>305</v>
      </c>
      <c r="D421" s="111" t="s">
        <v>58</v>
      </c>
      <c r="E421" s="111"/>
      <c r="F421" s="110" t="s">
        <v>325</v>
      </c>
      <c r="G421" s="106" t="s">
        <v>326</v>
      </c>
      <c r="H421" s="106"/>
      <c r="I421" s="106"/>
      <c r="J421" s="106" t="s">
        <v>179</v>
      </c>
      <c r="K421" s="106" t="s">
        <v>6</v>
      </c>
      <c r="L421" s="112" t="str">
        <f ca="1">IFERROR(_xlfn.IFNA(VLOOKUP($K421,[23]коммент!$B:$C,2,0),""),"")</f>
        <v/>
      </c>
      <c r="M421" s="106"/>
      <c r="N421" s="106"/>
      <c r="O421" s="106"/>
      <c r="P421" s="106"/>
      <c r="Q421" s="13"/>
      <c r="R421" s="13"/>
    </row>
    <row r="422" spans="1:18" s="14" customFormat="1" ht="31.5" hidden="1">
      <c r="A422" s="106">
        <v>420</v>
      </c>
      <c r="B422" s="107">
        <v>44714</v>
      </c>
      <c r="C422" s="106" t="s">
        <v>305</v>
      </c>
      <c r="D422" s="111" t="s">
        <v>58</v>
      </c>
      <c r="E422" s="111"/>
      <c r="F422" s="110" t="s">
        <v>327</v>
      </c>
      <c r="G422" s="106">
        <v>9265300080</v>
      </c>
      <c r="H422" s="106"/>
      <c r="I422" s="106"/>
      <c r="J422" s="106" t="s">
        <v>184</v>
      </c>
      <c r="K422" s="106" t="s">
        <v>6</v>
      </c>
      <c r="L422" s="112" t="str">
        <f ca="1">IFERROR(_xlfn.IFNA(VLOOKUP($K422,[23]коммент!$B:$C,2,0),""),"")</f>
        <v/>
      </c>
      <c r="M422" s="106"/>
      <c r="N422" s="106"/>
      <c r="O422" s="106"/>
      <c r="P422" s="106"/>
      <c r="Q422" s="13"/>
      <c r="R422" s="13"/>
    </row>
    <row r="423" spans="1:18" s="14" customFormat="1" ht="47.25" hidden="1">
      <c r="A423" s="106">
        <v>421</v>
      </c>
      <c r="B423" s="107">
        <v>44714</v>
      </c>
      <c r="C423" s="106" t="s">
        <v>331</v>
      </c>
      <c r="D423" s="111" t="s">
        <v>58</v>
      </c>
      <c r="E423" s="111"/>
      <c r="F423" s="109" t="s">
        <v>363</v>
      </c>
      <c r="G423" s="109" t="s">
        <v>364</v>
      </c>
      <c r="H423" s="106"/>
      <c r="I423" s="106"/>
      <c r="J423" s="106" t="s">
        <v>180</v>
      </c>
      <c r="K423" s="106" t="s">
        <v>36</v>
      </c>
      <c r="L423" s="112" t="str">
        <f ca="1">IFERROR(_xlfn.IFNA(VLOOKUP($K423,[24]коммент!$B:$C,2,0),""),"")</f>
        <v/>
      </c>
      <c r="M423" s="106"/>
      <c r="N423" s="106"/>
      <c r="O423" s="106"/>
      <c r="P423" s="106" t="s">
        <v>365</v>
      </c>
      <c r="Q423" s="13"/>
      <c r="R423" s="13"/>
    </row>
    <row r="424" spans="1:18" s="14" customFormat="1" ht="94.5" hidden="1">
      <c r="A424" s="106">
        <v>422</v>
      </c>
      <c r="B424" s="107">
        <v>44714</v>
      </c>
      <c r="C424" s="106" t="s">
        <v>1236</v>
      </c>
      <c r="D424" s="111" t="s">
        <v>58</v>
      </c>
      <c r="E424" s="111"/>
      <c r="F424" s="105" t="s">
        <v>1278</v>
      </c>
      <c r="G424" s="105" t="s">
        <v>1279</v>
      </c>
      <c r="H424" s="106" t="s">
        <v>1280</v>
      </c>
      <c r="I424" s="107">
        <v>44625</v>
      </c>
      <c r="J424" s="106" t="s">
        <v>179</v>
      </c>
      <c r="K424" s="119" t="s">
        <v>175</v>
      </c>
      <c r="L424" s="112" t="s">
        <v>176</v>
      </c>
      <c r="M424" s="106"/>
      <c r="N424" s="106"/>
      <c r="O424" s="106"/>
      <c r="P424" s="106" t="s">
        <v>1281</v>
      </c>
      <c r="Q424" s="13"/>
      <c r="R424" s="13"/>
    </row>
    <row r="425" spans="1:18" s="14" customFormat="1" hidden="1">
      <c r="A425" s="106">
        <v>423</v>
      </c>
      <c r="B425" s="107">
        <v>44714</v>
      </c>
      <c r="C425" s="106" t="s">
        <v>957</v>
      </c>
      <c r="D425" s="111" t="s">
        <v>20</v>
      </c>
      <c r="E425" s="111"/>
      <c r="F425" s="109" t="s">
        <v>969</v>
      </c>
      <c r="G425" s="106">
        <v>9050370161</v>
      </c>
      <c r="H425" s="106" t="s">
        <v>905</v>
      </c>
      <c r="I425" s="107">
        <v>44638</v>
      </c>
      <c r="J425" s="106" t="s">
        <v>184</v>
      </c>
      <c r="K425" s="106" t="s">
        <v>175</v>
      </c>
      <c r="L425" s="112" t="str">
        <f ca="1">IFERROR(_xlfn.IFNA(VLOOKUP($K425,[17]коммент!$B:$C,2,0),""),"")</f>
        <v/>
      </c>
      <c r="M425" s="106"/>
      <c r="N425" s="106" t="s">
        <v>114</v>
      </c>
      <c r="O425" s="106"/>
      <c r="P425" s="106" t="s">
        <v>970</v>
      </c>
      <c r="Q425" s="13"/>
      <c r="R425" s="13"/>
    </row>
    <row r="426" spans="1:18" s="14" customFormat="1" ht="31.5" hidden="1">
      <c r="A426" s="106">
        <v>424</v>
      </c>
      <c r="B426" s="107">
        <v>44714</v>
      </c>
      <c r="C426" s="106" t="s">
        <v>957</v>
      </c>
      <c r="D426" s="111" t="s">
        <v>20</v>
      </c>
      <c r="E426" s="111"/>
      <c r="F426" s="109" t="s">
        <v>975</v>
      </c>
      <c r="G426" s="106">
        <v>9163739181</v>
      </c>
      <c r="H426" s="106" t="s">
        <v>274</v>
      </c>
      <c r="I426" s="107">
        <v>44698</v>
      </c>
      <c r="J426" s="106" t="s">
        <v>180</v>
      </c>
      <c r="K426" s="106" t="s">
        <v>6</v>
      </c>
      <c r="L426" s="112" t="str">
        <f ca="1">IFERROR(_xlfn.IFNA(VLOOKUP($K426,[17]коммент!$B:$C,2,0),""),"")</f>
        <v/>
      </c>
      <c r="M426" s="106"/>
      <c r="N426" s="106"/>
      <c r="O426" s="106"/>
      <c r="P426" s="106"/>
      <c r="Q426" s="13"/>
      <c r="R426" s="13"/>
    </row>
    <row r="427" spans="1:18" s="14" customFormat="1" ht="31.5" hidden="1">
      <c r="A427" s="106">
        <v>425</v>
      </c>
      <c r="B427" s="107">
        <v>44714</v>
      </c>
      <c r="C427" s="107" t="s">
        <v>977</v>
      </c>
      <c r="D427" s="111" t="s">
        <v>20</v>
      </c>
      <c r="E427" s="111"/>
      <c r="F427" s="110" t="s">
        <v>978</v>
      </c>
      <c r="G427" s="106">
        <v>9265284385</v>
      </c>
      <c r="H427" s="106" t="s">
        <v>979</v>
      </c>
      <c r="I427" s="107">
        <v>44543</v>
      </c>
      <c r="J427" s="106" t="s">
        <v>184</v>
      </c>
      <c r="K427" s="106" t="s">
        <v>175</v>
      </c>
      <c r="L427" s="112" t="str">
        <f ca="1">IFERROR(_xlfn.IFNA(VLOOKUP($K427,[63]коммент!$B:$C,2,0),""),"")</f>
        <v/>
      </c>
      <c r="M427" s="106"/>
      <c r="N427" s="106" t="s">
        <v>114</v>
      </c>
      <c r="O427" s="106"/>
      <c r="P427" s="106" t="s">
        <v>980</v>
      </c>
      <c r="Q427" s="13"/>
      <c r="R427" s="13"/>
    </row>
    <row r="428" spans="1:18" s="14" customFormat="1" hidden="1">
      <c r="A428" s="106">
        <v>426</v>
      </c>
      <c r="B428" s="107">
        <v>44714</v>
      </c>
      <c r="C428" s="107" t="s">
        <v>977</v>
      </c>
      <c r="D428" s="111" t="s">
        <v>20</v>
      </c>
      <c r="E428" s="111"/>
      <c r="F428" s="110" t="s">
        <v>981</v>
      </c>
      <c r="G428" s="106">
        <v>9151518438</v>
      </c>
      <c r="H428" s="106" t="s">
        <v>979</v>
      </c>
      <c r="I428" s="107">
        <v>44523</v>
      </c>
      <c r="J428" s="106" t="s">
        <v>184</v>
      </c>
      <c r="K428" s="106" t="s">
        <v>175</v>
      </c>
      <c r="L428" s="112" t="str">
        <f ca="1">IFERROR(_xlfn.IFNA(VLOOKUP($K428,[63]коммент!$B:$C,2,0),""),"")</f>
        <v/>
      </c>
      <c r="M428" s="106"/>
      <c r="N428" s="106" t="s">
        <v>114</v>
      </c>
      <c r="O428" s="106"/>
      <c r="P428" s="106" t="s">
        <v>982</v>
      </c>
      <c r="Q428" s="13"/>
      <c r="R428" s="13"/>
    </row>
    <row r="429" spans="1:18" s="14" customFormat="1" hidden="1">
      <c r="A429" s="106">
        <v>427</v>
      </c>
      <c r="B429" s="107">
        <v>44714</v>
      </c>
      <c r="C429" s="107" t="s">
        <v>977</v>
      </c>
      <c r="D429" s="111" t="s">
        <v>20</v>
      </c>
      <c r="E429" s="111"/>
      <c r="F429" s="110" t="s">
        <v>984</v>
      </c>
      <c r="G429" s="106">
        <v>9775301663</v>
      </c>
      <c r="H429" s="106"/>
      <c r="I429" s="106"/>
      <c r="J429" s="106" t="s">
        <v>180</v>
      </c>
      <c r="K429" s="106" t="s">
        <v>85</v>
      </c>
      <c r="L429" s="112" t="str">
        <f ca="1">IFERROR(_xlfn.IFNA(VLOOKUP($K429,[63]коммент!$B:$C,2,0),""),"")</f>
        <v/>
      </c>
      <c r="M429" s="106" t="s">
        <v>129</v>
      </c>
      <c r="N429" s="106" t="s">
        <v>114</v>
      </c>
      <c r="O429" s="106"/>
      <c r="P429" s="106"/>
      <c r="Q429" s="13"/>
      <c r="R429" s="13"/>
    </row>
    <row r="430" spans="1:18" s="14" customFormat="1" ht="63" hidden="1">
      <c r="A430" s="106">
        <v>428</v>
      </c>
      <c r="B430" s="107">
        <v>44714</v>
      </c>
      <c r="C430" s="107" t="s">
        <v>977</v>
      </c>
      <c r="D430" s="111" t="s">
        <v>20</v>
      </c>
      <c r="E430" s="111"/>
      <c r="F430" s="110" t="s">
        <v>984</v>
      </c>
      <c r="G430" s="106">
        <v>9775301663</v>
      </c>
      <c r="H430" s="106"/>
      <c r="I430" s="106"/>
      <c r="J430" s="106" t="s">
        <v>180</v>
      </c>
      <c r="K430" s="106" t="s">
        <v>149</v>
      </c>
      <c r="L430" s="112" t="str">
        <f ca="1">IFERROR(_xlfn.IFNA(VLOOKUP($K430,[63]коммент!$B:$C,2,0),""),"")</f>
        <v/>
      </c>
      <c r="M430" s="106"/>
      <c r="N430" s="106"/>
      <c r="O430" s="106"/>
      <c r="P430" s="106"/>
      <c r="Q430" s="13"/>
      <c r="R430" s="13"/>
    </row>
    <row r="431" spans="1:18" s="14" customFormat="1" ht="31.5" hidden="1">
      <c r="A431" s="106">
        <v>429</v>
      </c>
      <c r="B431" s="107">
        <v>44714</v>
      </c>
      <c r="C431" s="106" t="s">
        <v>1015</v>
      </c>
      <c r="D431" s="111" t="s">
        <v>20</v>
      </c>
      <c r="E431" s="111"/>
      <c r="F431" s="129" t="s">
        <v>1016</v>
      </c>
      <c r="G431" s="129" t="s">
        <v>1017</v>
      </c>
      <c r="H431" s="106" t="s">
        <v>1018</v>
      </c>
      <c r="I431" s="107">
        <v>44362</v>
      </c>
      <c r="J431" s="106" t="s">
        <v>184</v>
      </c>
      <c r="K431" s="150" t="s">
        <v>175</v>
      </c>
      <c r="L431" s="154" t="str">
        <f ca="1">IFERROR(_xlfn.IFNA(VLOOKUP($K431,[19]коммент!$B:$C,2,0),""),"")</f>
        <v/>
      </c>
      <c r="M431" s="106"/>
      <c r="N431" s="106" t="s">
        <v>114</v>
      </c>
      <c r="O431" s="106"/>
      <c r="P431" s="106" t="s">
        <v>1019</v>
      </c>
      <c r="Q431" s="13"/>
      <c r="R431" s="13"/>
    </row>
    <row r="432" spans="1:18" s="14" customFormat="1" ht="31.5" hidden="1">
      <c r="A432" s="106">
        <v>430</v>
      </c>
      <c r="B432" s="107">
        <v>44714</v>
      </c>
      <c r="C432" s="106" t="s">
        <v>1015</v>
      </c>
      <c r="D432" s="111" t="s">
        <v>20</v>
      </c>
      <c r="E432" s="111"/>
      <c r="F432" s="110" t="s">
        <v>1026</v>
      </c>
      <c r="G432" s="106" t="s">
        <v>1027</v>
      </c>
      <c r="H432" s="106"/>
      <c r="I432" s="107"/>
      <c r="J432" s="106" t="s">
        <v>180</v>
      </c>
      <c r="K432" s="150" t="s">
        <v>6</v>
      </c>
      <c r="L432" s="154" t="str">
        <f ca="1">IFERROR(_xlfn.IFNA(VLOOKUP($K432,[19]коммент!$B:$C,2,0),""),"")</f>
        <v/>
      </c>
      <c r="M432" s="106"/>
      <c r="N432" s="150"/>
      <c r="O432" s="150"/>
      <c r="P432" s="150"/>
      <c r="Q432" s="13"/>
      <c r="R432" s="13"/>
    </row>
    <row r="433" spans="1:18" s="14" customFormat="1" hidden="1">
      <c r="A433" s="106">
        <v>431</v>
      </c>
      <c r="B433" s="107">
        <v>44714</v>
      </c>
      <c r="C433" s="106" t="s">
        <v>1188</v>
      </c>
      <c r="D433" s="111" t="s">
        <v>20</v>
      </c>
      <c r="E433" s="111"/>
      <c r="F433" s="110" t="s">
        <v>1202</v>
      </c>
      <c r="G433" s="106" t="s">
        <v>1203</v>
      </c>
      <c r="H433" s="106" t="s">
        <v>432</v>
      </c>
      <c r="I433" s="107">
        <v>44667</v>
      </c>
      <c r="J433" s="106" t="s">
        <v>184</v>
      </c>
      <c r="K433" s="106" t="s">
        <v>85</v>
      </c>
      <c r="L433" s="112" t="str">
        <f ca="1">IFERROR(_xlfn.IFNA(VLOOKUP($K433,[54]коммент!$B:$C,2,0),""),"")</f>
        <v/>
      </c>
      <c r="M433" s="106" t="s">
        <v>129</v>
      </c>
      <c r="N433" s="106"/>
      <c r="O433" s="106"/>
      <c r="P433" s="106"/>
      <c r="Q433" s="13"/>
      <c r="R433" s="13"/>
    </row>
    <row r="434" spans="1:18" s="14" customFormat="1" hidden="1">
      <c r="A434" s="106">
        <v>432</v>
      </c>
      <c r="B434" s="107">
        <v>44714</v>
      </c>
      <c r="C434" s="106" t="s">
        <v>250</v>
      </c>
      <c r="D434" s="111" t="s">
        <v>57</v>
      </c>
      <c r="E434" s="111"/>
      <c r="F434" s="109" t="s">
        <v>253</v>
      </c>
      <c r="G434" s="106">
        <v>9166762638</v>
      </c>
      <c r="H434" s="106"/>
      <c r="I434" s="106"/>
      <c r="J434" s="106" t="s">
        <v>180</v>
      </c>
      <c r="K434" s="106" t="s">
        <v>111</v>
      </c>
      <c r="L434" s="112" t="str">
        <f ca="1">IFERROR(_xlfn.IFNA(VLOOKUP($K434,[37]коммент!$B:$C,2,0),""),"")</f>
        <v/>
      </c>
      <c r="M434" s="106" t="s">
        <v>133</v>
      </c>
      <c r="N434" s="106" t="s">
        <v>114</v>
      </c>
      <c r="O434" s="106"/>
      <c r="P434" s="106"/>
      <c r="Q434" s="13"/>
      <c r="R434" s="13"/>
    </row>
    <row r="435" spans="1:18" s="14" customFormat="1" ht="94.5" hidden="1">
      <c r="A435" s="106">
        <v>433</v>
      </c>
      <c r="B435" s="107">
        <v>44714</v>
      </c>
      <c r="C435" s="106" t="s">
        <v>1236</v>
      </c>
      <c r="D435" s="111" t="s">
        <v>57</v>
      </c>
      <c r="E435" s="111"/>
      <c r="F435" s="105" t="s">
        <v>1271</v>
      </c>
      <c r="G435" s="105" t="s">
        <v>1272</v>
      </c>
      <c r="H435" s="106" t="s">
        <v>1273</v>
      </c>
      <c r="I435" s="107">
        <v>44699</v>
      </c>
      <c r="J435" s="106" t="s">
        <v>180</v>
      </c>
      <c r="K435" s="114" t="s">
        <v>111</v>
      </c>
      <c r="L435" s="112" t="s">
        <v>165</v>
      </c>
      <c r="M435" s="106" t="s">
        <v>130</v>
      </c>
      <c r="N435" s="106" t="s">
        <v>114</v>
      </c>
      <c r="O435" s="106"/>
      <c r="P435" s="106" t="s">
        <v>1274</v>
      </c>
      <c r="Q435" s="13"/>
      <c r="R435" s="13"/>
    </row>
    <row r="436" spans="1:18" s="14" customFormat="1" ht="94.5" hidden="1">
      <c r="A436" s="106">
        <v>434</v>
      </c>
      <c r="B436" s="107">
        <v>44714</v>
      </c>
      <c r="C436" s="106" t="s">
        <v>709</v>
      </c>
      <c r="D436" s="111" t="s">
        <v>40</v>
      </c>
      <c r="E436" s="111"/>
      <c r="F436" s="110" t="s">
        <v>727</v>
      </c>
      <c r="G436" s="106">
        <v>9636093796</v>
      </c>
      <c r="H436" s="106" t="s">
        <v>368</v>
      </c>
      <c r="I436" s="107">
        <v>44662</v>
      </c>
      <c r="J436" s="106" t="s">
        <v>134</v>
      </c>
      <c r="K436" s="106" t="s">
        <v>6</v>
      </c>
      <c r="L436" s="112" t="s">
        <v>147</v>
      </c>
      <c r="M436" s="106"/>
      <c r="N436" s="106"/>
      <c r="O436" s="106"/>
      <c r="P436" s="106"/>
      <c r="Q436" s="13"/>
      <c r="R436" s="13"/>
    </row>
    <row r="437" spans="1:18" s="14" customFormat="1" ht="94.5" hidden="1">
      <c r="A437" s="106">
        <v>435</v>
      </c>
      <c r="B437" s="107">
        <v>44714</v>
      </c>
      <c r="C437" s="106" t="s">
        <v>709</v>
      </c>
      <c r="D437" s="111" t="s">
        <v>40</v>
      </c>
      <c r="E437" s="111"/>
      <c r="F437" s="110" t="s">
        <v>732</v>
      </c>
      <c r="G437" s="106">
        <v>9852743848</v>
      </c>
      <c r="H437" s="106" t="s">
        <v>733</v>
      </c>
      <c r="I437" s="107">
        <v>44679</v>
      </c>
      <c r="J437" s="106" t="s">
        <v>134</v>
      </c>
      <c r="K437" s="106" t="s">
        <v>6</v>
      </c>
      <c r="L437" s="112" t="s">
        <v>147</v>
      </c>
      <c r="M437" s="106"/>
      <c r="N437" s="106"/>
      <c r="O437" s="106"/>
      <c r="P437" s="106"/>
      <c r="Q437" s="13"/>
      <c r="R437" s="13"/>
    </row>
    <row r="438" spans="1:18" s="14" customFormat="1" hidden="1">
      <c r="A438" s="106">
        <v>436</v>
      </c>
      <c r="B438" s="107">
        <v>44714</v>
      </c>
      <c r="C438" s="106" t="s">
        <v>864</v>
      </c>
      <c r="D438" s="111" t="s">
        <v>40</v>
      </c>
      <c r="E438" s="111"/>
      <c r="F438" s="110" t="s">
        <v>884</v>
      </c>
      <c r="G438" s="106">
        <v>9858914345</v>
      </c>
      <c r="H438" s="106" t="s">
        <v>885</v>
      </c>
      <c r="I438" s="107">
        <v>44547</v>
      </c>
      <c r="J438" s="106" t="s">
        <v>184</v>
      </c>
      <c r="K438" s="106" t="s">
        <v>175</v>
      </c>
      <c r="L438" s="112" t="str">
        <f ca="1">IFERROR(_xlfn.IFNA(VLOOKUP($K438,[29]коммент!$B:$C,2,0),""),"")</f>
        <v/>
      </c>
      <c r="M438" s="106"/>
      <c r="N438" s="106"/>
      <c r="O438" s="106"/>
      <c r="P438" s="106" t="s">
        <v>886</v>
      </c>
      <c r="Q438" s="13"/>
      <c r="R438" s="13"/>
    </row>
    <row r="439" spans="1:18" s="14" customFormat="1" hidden="1">
      <c r="A439" s="106">
        <v>437</v>
      </c>
      <c r="B439" s="107">
        <v>44714</v>
      </c>
      <c r="C439" s="106" t="s">
        <v>942</v>
      </c>
      <c r="D439" s="111" t="s">
        <v>40</v>
      </c>
      <c r="E439" s="111"/>
      <c r="F439" s="110" t="s">
        <v>946</v>
      </c>
      <c r="G439" s="106">
        <v>9857555878</v>
      </c>
      <c r="H439" s="106" t="s">
        <v>947</v>
      </c>
      <c r="I439" s="107">
        <v>44545</v>
      </c>
      <c r="J439" s="106" t="s">
        <v>184</v>
      </c>
      <c r="K439" s="106" t="s">
        <v>175</v>
      </c>
      <c r="L439" s="112" t="str">
        <f ca="1">IFERROR(_xlfn.IFNA(VLOOKUP($K439,[61]коммент!$B:$C,2,0),""),"")</f>
        <v/>
      </c>
      <c r="M439" s="106"/>
      <c r="N439" s="106"/>
      <c r="O439" s="106"/>
      <c r="P439" s="106" t="s">
        <v>948</v>
      </c>
      <c r="Q439" s="13"/>
      <c r="R439" s="13"/>
    </row>
    <row r="440" spans="1:18" s="14" customFormat="1" ht="47.25" hidden="1">
      <c r="A440" s="106">
        <v>438</v>
      </c>
      <c r="B440" s="107">
        <v>44714</v>
      </c>
      <c r="C440" s="106" t="s">
        <v>1178</v>
      </c>
      <c r="D440" s="111" t="s">
        <v>40</v>
      </c>
      <c r="E440" s="111"/>
      <c r="F440" s="110" t="s">
        <v>1186</v>
      </c>
      <c r="G440" s="106">
        <v>9055844164</v>
      </c>
      <c r="H440" s="106" t="s">
        <v>873</v>
      </c>
      <c r="I440" s="107">
        <v>44713</v>
      </c>
      <c r="J440" s="106" t="s">
        <v>180</v>
      </c>
      <c r="K440" s="106" t="s">
        <v>111</v>
      </c>
      <c r="L440" s="112" t="str">
        <f ca="1">IFERROR(_xlfn.IFNA(VLOOKUP($K440,[40]коммент!$B:$C,2,0),""),"")</f>
        <v/>
      </c>
      <c r="M440" s="106" t="s">
        <v>130</v>
      </c>
      <c r="N440" s="106" t="s">
        <v>183</v>
      </c>
      <c r="O440" s="106" t="s">
        <v>46</v>
      </c>
      <c r="P440" s="106" t="s">
        <v>1187</v>
      </c>
      <c r="Q440" s="13"/>
      <c r="R440" s="13"/>
    </row>
    <row r="441" spans="1:18" s="14" customFormat="1" ht="63" hidden="1">
      <c r="A441" s="106">
        <v>439</v>
      </c>
      <c r="B441" s="107">
        <v>44714</v>
      </c>
      <c r="C441" s="106" t="s">
        <v>1188</v>
      </c>
      <c r="D441" s="111" t="s">
        <v>40</v>
      </c>
      <c r="E441" s="111"/>
      <c r="F441" s="110" t="s">
        <v>1191</v>
      </c>
      <c r="G441" s="106" t="s">
        <v>1192</v>
      </c>
      <c r="H441" s="106" t="s">
        <v>1193</v>
      </c>
      <c r="I441" s="107">
        <v>44713</v>
      </c>
      <c r="J441" s="106" t="s">
        <v>180</v>
      </c>
      <c r="K441" s="106" t="s">
        <v>149</v>
      </c>
      <c r="L441" s="112" t="str">
        <f ca="1">IFERROR(_xlfn.IFNA(VLOOKUP($K441,[54]коммент!$B:$C,2,0),""),"")</f>
        <v/>
      </c>
      <c r="M441" s="106"/>
      <c r="N441" s="106"/>
      <c r="O441" s="106"/>
      <c r="P441" s="106"/>
      <c r="Q441" s="13"/>
      <c r="R441" s="13"/>
    </row>
    <row r="442" spans="1:18" s="14" customFormat="1" ht="47.25" hidden="1">
      <c r="A442" s="106">
        <v>440</v>
      </c>
      <c r="B442" s="107">
        <v>44714</v>
      </c>
      <c r="C442" s="106" t="s">
        <v>1188</v>
      </c>
      <c r="D442" s="111" t="s">
        <v>40</v>
      </c>
      <c r="E442" s="111"/>
      <c r="F442" s="110" t="s">
        <v>1204</v>
      </c>
      <c r="G442" s="106" t="s">
        <v>1205</v>
      </c>
      <c r="H442" s="106" t="s">
        <v>1206</v>
      </c>
      <c r="I442" s="107">
        <v>44543</v>
      </c>
      <c r="J442" s="106" t="s">
        <v>184</v>
      </c>
      <c r="K442" s="106" t="s">
        <v>175</v>
      </c>
      <c r="L442" s="112" t="str">
        <f ca="1">IFERROR(_xlfn.IFNA(VLOOKUP($K442,[54]коммент!$B:$C,2,0),""),"")</f>
        <v/>
      </c>
      <c r="M442" s="106"/>
      <c r="N442" s="106"/>
      <c r="O442" s="106"/>
      <c r="P442" s="106" t="s">
        <v>1207</v>
      </c>
      <c r="Q442" s="13"/>
      <c r="R442" s="13"/>
    </row>
    <row r="443" spans="1:18" s="14" customFormat="1" ht="94.5" hidden="1">
      <c r="A443" s="106">
        <v>441</v>
      </c>
      <c r="B443" s="107">
        <v>44714</v>
      </c>
      <c r="C443" s="106" t="s">
        <v>1225</v>
      </c>
      <c r="D443" s="111" t="s">
        <v>40</v>
      </c>
      <c r="E443" s="111"/>
      <c r="F443" s="110" t="s">
        <v>1229</v>
      </c>
      <c r="G443" s="106">
        <v>9852989107</v>
      </c>
      <c r="H443" s="106"/>
      <c r="I443" s="106"/>
      <c r="J443" s="106" t="s">
        <v>179</v>
      </c>
      <c r="K443" s="106" t="s">
        <v>6</v>
      </c>
      <c r="L443" s="112" t="s">
        <v>147</v>
      </c>
      <c r="M443" s="106"/>
      <c r="N443" s="106"/>
      <c r="O443" s="106"/>
      <c r="P443" s="106"/>
      <c r="Q443" s="13"/>
      <c r="R443" s="13"/>
    </row>
    <row r="444" spans="1:18" s="14" customFormat="1" ht="94.5" hidden="1">
      <c r="A444" s="106">
        <v>442</v>
      </c>
      <c r="B444" s="107">
        <v>44714</v>
      </c>
      <c r="C444" s="106" t="s">
        <v>1230</v>
      </c>
      <c r="D444" s="111" t="s">
        <v>40</v>
      </c>
      <c r="E444" s="111"/>
      <c r="F444" s="110" t="s">
        <v>1231</v>
      </c>
      <c r="G444" s="106">
        <v>9104188741</v>
      </c>
      <c r="H444" s="106" t="s">
        <v>974</v>
      </c>
      <c r="I444" s="107">
        <v>44533</v>
      </c>
      <c r="J444" s="106" t="s">
        <v>184</v>
      </c>
      <c r="K444" s="106" t="s">
        <v>175</v>
      </c>
      <c r="L444" s="112" t="s">
        <v>176</v>
      </c>
      <c r="M444" s="106"/>
      <c r="N444" s="106"/>
      <c r="O444" s="106"/>
      <c r="P444" s="106" t="s">
        <v>1232</v>
      </c>
      <c r="Q444" s="13"/>
      <c r="R444" s="13"/>
    </row>
    <row r="445" spans="1:18" s="14" customFormat="1" ht="31.5" hidden="1">
      <c r="A445" s="106">
        <v>443</v>
      </c>
      <c r="B445" s="107">
        <v>44714</v>
      </c>
      <c r="C445" s="106" t="s">
        <v>270</v>
      </c>
      <c r="D445" s="111" t="s">
        <v>56</v>
      </c>
      <c r="E445" s="111"/>
      <c r="F445" s="110" t="s">
        <v>282</v>
      </c>
      <c r="G445" s="106" t="s">
        <v>283</v>
      </c>
      <c r="H445" s="106"/>
      <c r="I445" s="106"/>
      <c r="J445" s="106" t="s">
        <v>180</v>
      </c>
      <c r="K445" s="106" t="s">
        <v>6</v>
      </c>
      <c r="L445" s="112" t="str">
        <f ca="1">IFERROR(_xlfn.IFNA(VLOOKUP($K445,[81]коммент!$B:$C,2,0),""),"")</f>
        <v/>
      </c>
      <c r="M445" s="106"/>
      <c r="N445" s="106"/>
      <c r="O445" s="106"/>
      <c r="P445" s="106" t="s">
        <v>284</v>
      </c>
      <c r="Q445" s="13"/>
      <c r="R445" s="13"/>
    </row>
    <row r="446" spans="1:18" s="14" customFormat="1" hidden="1">
      <c r="A446" s="106">
        <v>444</v>
      </c>
      <c r="B446" s="107">
        <v>44714</v>
      </c>
      <c r="C446" s="106" t="s">
        <v>270</v>
      </c>
      <c r="D446" s="111" t="s">
        <v>56</v>
      </c>
      <c r="E446" s="111"/>
      <c r="F446" s="110" t="s">
        <v>285</v>
      </c>
      <c r="G446" s="106">
        <v>9661304505</v>
      </c>
      <c r="H446" s="106"/>
      <c r="I446" s="106"/>
      <c r="J446" s="106" t="s">
        <v>179</v>
      </c>
      <c r="K446" s="106" t="s">
        <v>85</v>
      </c>
      <c r="L446" s="112" t="str">
        <f ca="1">IFERROR(_xlfn.IFNA(VLOOKUP($K446,[56]коммент!$B:$C,2,0),""),"")</f>
        <v/>
      </c>
      <c r="M446" s="106" t="s">
        <v>129</v>
      </c>
      <c r="N446" s="106"/>
      <c r="O446" s="106"/>
      <c r="P446" s="106" t="s">
        <v>286</v>
      </c>
      <c r="Q446" s="13"/>
      <c r="R446" s="13"/>
    </row>
    <row r="447" spans="1:18" s="14" customFormat="1" ht="31.5" hidden="1">
      <c r="A447" s="106">
        <v>445</v>
      </c>
      <c r="B447" s="107">
        <v>44714</v>
      </c>
      <c r="C447" s="106" t="s">
        <v>270</v>
      </c>
      <c r="D447" s="111" t="s">
        <v>56</v>
      </c>
      <c r="E447" s="111"/>
      <c r="F447" s="110" t="s">
        <v>289</v>
      </c>
      <c r="G447" s="106">
        <v>4997271196</v>
      </c>
      <c r="H447" s="106"/>
      <c r="I447" s="106"/>
      <c r="J447" s="106" t="s">
        <v>180</v>
      </c>
      <c r="K447" s="106" t="s">
        <v>6</v>
      </c>
      <c r="L447" s="112" t="str">
        <f ca="1">IFERROR(_xlfn.IFNA(VLOOKUP($K447,[82]коммент!$B:$C,2,0),""),"")</f>
        <v/>
      </c>
      <c r="M447" s="106"/>
      <c r="N447" s="106"/>
      <c r="O447" s="106"/>
      <c r="P447" s="106"/>
      <c r="Q447" s="13"/>
      <c r="R447" s="13"/>
    </row>
    <row r="448" spans="1:18" s="14" customFormat="1" ht="63" hidden="1">
      <c r="A448" s="106">
        <v>446</v>
      </c>
      <c r="B448" s="107">
        <v>44714</v>
      </c>
      <c r="C448" s="106" t="s">
        <v>290</v>
      </c>
      <c r="D448" s="111" t="s">
        <v>56</v>
      </c>
      <c r="E448" s="111"/>
      <c r="F448" s="110" t="s">
        <v>293</v>
      </c>
      <c r="G448" s="106">
        <v>89167395350</v>
      </c>
      <c r="H448" s="106"/>
      <c r="I448" s="106"/>
      <c r="J448" s="106" t="s">
        <v>180</v>
      </c>
      <c r="K448" s="106" t="s">
        <v>149</v>
      </c>
      <c r="L448" s="112" t="str">
        <f ca="1">IFERROR(_xlfn.IFNA(VLOOKUP($K448,[57]коммент!$B:$C,2,0),""),"")</f>
        <v/>
      </c>
      <c r="M448" s="106"/>
      <c r="N448" s="106"/>
      <c r="O448" s="106"/>
      <c r="P448" s="106"/>
      <c r="Q448" s="13"/>
      <c r="R448" s="13"/>
    </row>
    <row r="449" spans="1:18" s="14" customFormat="1" hidden="1">
      <c r="A449" s="106">
        <v>447</v>
      </c>
      <c r="B449" s="107">
        <v>44714</v>
      </c>
      <c r="C449" s="106" t="s">
        <v>290</v>
      </c>
      <c r="D449" s="111" t="s">
        <v>56</v>
      </c>
      <c r="E449" s="111"/>
      <c r="F449" s="110" t="s">
        <v>303</v>
      </c>
      <c r="G449" s="106">
        <v>89162020436</v>
      </c>
      <c r="H449" s="106" t="s">
        <v>304</v>
      </c>
      <c r="I449" s="107">
        <v>44668</v>
      </c>
      <c r="J449" s="106" t="s">
        <v>179</v>
      </c>
      <c r="K449" s="106" t="s">
        <v>175</v>
      </c>
      <c r="L449" s="112" t="str">
        <f ca="1">IFERROR(_xlfn.IFNA(VLOOKUP($K449,[57]коммент!$B:$C,2,0),""),"")</f>
        <v/>
      </c>
      <c r="M449" s="106"/>
      <c r="N449" s="106" t="s">
        <v>114</v>
      </c>
      <c r="O449" s="106" t="s">
        <v>56</v>
      </c>
      <c r="P449" s="106" t="s">
        <v>242</v>
      </c>
      <c r="Q449" s="13"/>
      <c r="R449" s="13"/>
    </row>
    <row r="450" spans="1:18" s="14" customFormat="1" hidden="1">
      <c r="A450" s="106">
        <v>448</v>
      </c>
      <c r="B450" s="107">
        <v>44714</v>
      </c>
      <c r="C450" s="150" t="s">
        <v>838</v>
      </c>
      <c r="D450" s="111" t="s">
        <v>56</v>
      </c>
      <c r="E450" s="111"/>
      <c r="F450" s="110" t="s">
        <v>895</v>
      </c>
      <c r="G450" s="106" t="s">
        <v>896</v>
      </c>
      <c r="H450" s="106" t="s">
        <v>897</v>
      </c>
      <c r="I450" s="107">
        <v>44678</v>
      </c>
      <c r="J450" s="106" t="s">
        <v>184</v>
      </c>
      <c r="K450" s="106" t="s">
        <v>175</v>
      </c>
      <c r="L450" s="112" t="str">
        <f ca="1">IFERROR(_xlfn.IFNA(VLOOKUP($K450,[58]коммент!$B:$C,2,0),""),"")</f>
        <v/>
      </c>
      <c r="M450" s="106"/>
      <c r="N450" s="106"/>
      <c r="O450" s="106"/>
      <c r="P450" s="106" t="s">
        <v>898</v>
      </c>
      <c r="Q450" s="13"/>
      <c r="R450" s="13"/>
    </row>
    <row r="451" spans="1:18" s="14" customFormat="1" ht="63" hidden="1">
      <c r="A451" s="106">
        <v>449</v>
      </c>
      <c r="B451" s="107">
        <v>44714</v>
      </c>
      <c r="C451" s="106" t="s">
        <v>916</v>
      </c>
      <c r="D451" s="111" t="s">
        <v>56</v>
      </c>
      <c r="E451" s="111"/>
      <c r="F451" s="110" t="s">
        <v>923</v>
      </c>
      <c r="G451" s="106">
        <v>89260581159</v>
      </c>
      <c r="H451" s="106"/>
      <c r="I451" s="106"/>
      <c r="J451" s="106" t="s">
        <v>184</v>
      </c>
      <c r="K451" s="106" t="s">
        <v>149</v>
      </c>
      <c r="L451" s="112" t="str">
        <f ca="1">IFERROR(_xlfn.IFNA(VLOOKUP($K451,[5]коммент!$B:$C,2,0),""),"")</f>
        <v/>
      </c>
      <c r="M451" s="106"/>
      <c r="N451" s="106"/>
      <c r="O451" s="106"/>
      <c r="P451" s="106"/>
      <c r="Q451" s="13"/>
      <c r="R451" s="13"/>
    </row>
    <row r="452" spans="1:18" s="14" customFormat="1" ht="31.5" hidden="1">
      <c r="A452" s="106">
        <v>450</v>
      </c>
      <c r="B452" s="107">
        <v>44714</v>
      </c>
      <c r="C452" s="106" t="s">
        <v>256</v>
      </c>
      <c r="D452" s="111" t="s">
        <v>62</v>
      </c>
      <c r="E452" s="111"/>
      <c r="F452" s="109" t="s">
        <v>260</v>
      </c>
      <c r="G452" s="106" t="s">
        <v>261</v>
      </c>
      <c r="H452" s="106"/>
      <c r="I452" s="106"/>
      <c r="J452" s="106" t="s">
        <v>180</v>
      </c>
      <c r="K452" s="106" t="s">
        <v>6</v>
      </c>
      <c r="L452" s="112" t="str">
        <f ca="1">IFERROR(_xlfn.IFNA(VLOOKUP($K452,[37]коммент!$B:$C,2,0),""),"")</f>
        <v/>
      </c>
      <c r="M452" s="106"/>
      <c r="N452" s="106"/>
      <c r="O452" s="106"/>
      <c r="P452" s="106"/>
      <c r="Q452" s="13"/>
      <c r="R452" s="13"/>
    </row>
    <row r="453" spans="1:18" s="14" customFormat="1" ht="31.5" hidden="1">
      <c r="A453" s="106">
        <v>451</v>
      </c>
      <c r="B453" s="107">
        <v>44714</v>
      </c>
      <c r="C453" s="106" t="s">
        <v>331</v>
      </c>
      <c r="D453" s="111" t="s">
        <v>62</v>
      </c>
      <c r="E453" s="111"/>
      <c r="F453" s="105" t="s">
        <v>340</v>
      </c>
      <c r="G453" s="109" t="s">
        <v>341</v>
      </c>
      <c r="H453" s="106" t="s">
        <v>342</v>
      </c>
      <c r="I453" s="107">
        <v>44385</v>
      </c>
      <c r="J453" s="114" t="s">
        <v>184</v>
      </c>
      <c r="K453" s="114" t="s">
        <v>111</v>
      </c>
      <c r="L453" s="115" t="str">
        <f ca="1">IFERROR(_xlfn.IFNA(VLOOKUP($K453,[83]коммент!$B:$C,2,0),""),"")</f>
        <v/>
      </c>
      <c r="M453" s="106" t="s">
        <v>130</v>
      </c>
      <c r="N453" s="106" t="s">
        <v>114</v>
      </c>
      <c r="O453" s="106"/>
      <c r="P453" s="106" t="s">
        <v>343</v>
      </c>
      <c r="Q453" s="13"/>
      <c r="R453" s="13"/>
    </row>
    <row r="454" spans="1:18" s="14" customFormat="1" ht="94.5" hidden="1">
      <c r="A454" s="106">
        <v>452</v>
      </c>
      <c r="B454" s="107">
        <v>44714</v>
      </c>
      <c r="C454" s="106" t="s">
        <v>331</v>
      </c>
      <c r="D454" s="111" t="s">
        <v>62</v>
      </c>
      <c r="E454" s="111"/>
      <c r="F454" s="105" t="s">
        <v>344</v>
      </c>
      <c r="G454" s="109">
        <v>9032472999</v>
      </c>
      <c r="H454" s="106" t="s">
        <v>345</v>
      </c>
      <c r="I454" s="107">
        <v>44523</v>
      </c>
      <c r="J454" s="114" t="s">
        <v>184</v>
      </c>
      <c r="K454" s="114" t="s">
        <v>113</v>
      </c>
      <c r="L454" s="115" t="str">
        <f ca="1">IFERROR(_xlfn.IFNA(VLOOKUP($K454,[38]коммент!$B:$C,2,0),""),"")</f>
        <v/>
      </c>
      <c r="M454" s="106"/>
      <c r="N454" s="106"/>
      <c r="O454" s="106"/>
      <c r="P454" s="106" t="s">
        <v>346</v>
      </c>
      <c r="Q454" s="13"/>
      <c r="R454" s="13"/>
    </row>
    <row r="455" spans="1:18" s="14" customFormat="1" ht="94.5" hidden="1">
      <c r="A455" s="106">
        <v>453</v>
      </c>
      <c r="B455" s="107">
        <v>44714</v>
      </c>
      <c r="C455" s="106" t="s">
        <v>331</v>
      </c>
      <c r="D455" s="111" t="s">
        <v>62</v>
      </c>
      <c r="E455" s="111"/>
      <c r="F455" s="105" t="s">
        <v>349</v>
      </c>
      <c r="G455" s="109">
        <v>9154991359</v>
      </c>
      <c r="H455" s="106"/>
      <c r="I455" s="106"/>
      <c r="J455" s="106" t="s">
        <v>180</v>
      </c>
      <c r="K455" s="106" t="s">
        <v>113</v>
      </c>
      <c r="L455" s="112" t="str">
        <f ca="1">IFERROR(_xlfn.IFNA(VLOOKUP($K455,[24]коммент!$B:$C,2,0),""),"")</f>
        <v/>
      </c>
      <c r="M455" s="106"/>
      <c r="N455" s="106"/>
      <c r="O455" s="106"/>
      <c r="P455" s="106" t="s">
        <v>350</v>
      </c>
      <c r="Q455" s="13"/>
      <c r="R455" s="13"/>
    </row>
    <row r="456" spans="1:18" s="14" customFormat="1" hidden="1">
      <c r="A456" s="106">
        <v>454</v>
      </c>
      <c r="B456" s="107">
        <v>44714</v>
      </c>
      <c r="C456" s="106" t="s">
        <v>1127</v>
      </c>
      <c r="D456" s="111" t="s">
        <v>62</v>
      </c>
      <c r="E456" s="111"/>
      <c r="F456" s="110" t="s">
        <v>1134</v>
      </c>
      <c r="G456" s="106">
        <v>9055569990</v>
      </c>
      <c r="H456" s="106" t="s">
        <v>1135</v>
      </c>
      <c r="I456" s="107">
        <v>44312</v>
      </c>
      <c r="J456" s="106" t="s">
        <v>184</v>
      </c>
      <c r="K456" s="106" t="s">
        <v>85</v>
      </c>
      <c r="L456" s="112" t="str">
        <f ca="1">IFERROR(_xlfn.IFNA(VLOOKUP($K456,[64]коммент!$B:$C,2,0),""),"")</f>
        <v/>
      </c>
      <c r="M456" s="106" t="s">
        <v>129</v>
      </c>
      <c r="N456" s="106"/>
      <c r="O456" s="106"/>
      <c r="P456" s="106"/>
      <c r="Q456" s="13"/>
      <c r="R456" s="13"/>
    </row>
    <row r="457" spans="1:18" s="14" customFormat="1" ht="47.25" hidden="1">
      <c r="A457" s="106">
        <v>455</v>
      </c>
      <c r="B457" s="107">
        <v>44714</v>
      </c>
      <c r="C457" s="106" t="s">
        <v>1337</v>
      </c>
      <c r="D457" s="111" t="s">
        <v>62</v>
      </c>
      <c r="E457" s="111"/>
      <c r="F457" s="110" t="s">
        <v>1348</v>
      </c>
      <c r="G457" s="106" t="s">
        <v>1349</v>
      </c>
      <c r="H457" s="106"/>
      <c r="I457" s="106"/>
      <c r="J457" s="106"/>
      <c r="K457" s="106" t="s">
        <v>85</v>
      </c>
      <c r="L457" s="112" t="str">
        <f ca="1">IFERROR(_xlfn.IFNA(VLOOKUP($K457,[67]коммент!$B:$C,2,0),""),"")</f>
        <v/>
      </c>
      <c r="M457" s="106" t="s">
        <v>129</v>
      </c>
      <c r="N457" s="106"/>
      <c r="O457" s="106"/>
      <c r="P457" s="106" t="s">
        <v>1350</v>
      </c>
      <c r="Q457" s="13"/>
      <c r="R457" s="13"/>
    </row>
    <row r="458" spans="1:18" s="14" customFormat="1" ht="31.5" hidden="1">
      <c r="A458" s="106">
        <v>456</v>
      </c>
      <c r="B458" s="107">
        <v>44714</v>
      </c>
      <c r="C458" s="132" t="s">
        <v>996</v>
      </c>
      <c r="D458" s="131" t="s">
        <v>26</v>
      </c>
      <c r="E458" s="131"/>
      <c r="F458" s="151" t="s">
        <v>997</v>
      </c>
      <c r="G458" s="152" t="s">
        <v>998</v>
      </c>
      <c r="H458" s="132"/>
      <c r="I458" s="132"/>
      <c r="J458" s="132" t="s">
        <v>179</v>
      </c>
      <c r="K458" s="132" t="s">
        <v>6</v>
      </c>
      <c r="L458" s="112" t="str">
        <f ca="1">IFERROR(_xlfn.IFNA(VLOOKUP($K458,[18]коммент!$B:$C,2,0),""),"")</f>
        <v/>
      </c>
      <c r="M458" s="132"/>
      <c r="N458" s="132"/>
      <c r="O458" s="132"/>
      <c r="P458" s="132"/>
      <c r="Q458" s="13"/>
      <c r="R458" s="13"/>
    </row>
    <row r="459" spans="1:18" s="14" customFormat="1" ht="31.5" hidden="1">
      <c r="A459" s="106">
        <v>457</v>
      </c>
      <c r="B459" s="107">
        <v>44714</v>
      </c>
      <c r="C459" s="132" t="s">
        <v>996</v>
      </c>
      <c r="D459" s="131" t="s">
        <v>26</v>
      </c>
      <c r="E459" s="131"/>
      <c r="F459" s="151" t="s">
        <v>1013</v>
      </c>
      <c r="G459" s="153" t="s">
        <v>1014</v>
      </c>
      <c r="H459" s="132"/>
      <c r="I459" s="132"/>
      <c r="J459" s="132" t="s">
        <v>134</v>
      </c>
      <c r="K459" s="132" t="s">
        <v>6</v>
      </c>
      <c r="L459" s="112" t="str">
        <f ca="1">IFERROR(_xlfn.IFNA(VLOOKUP($K459,[18]коммент!$B:$C,2,0),""),"")</f>
        <v/>
      </c>
      <c r="M459" s="132"/>
      <c r="N459" s="132"/>
      <c r="O459" s="132"/>
      <c r="P459" s="132"/>
      <c r="Q459" s="13"/>
      <c r="R459" s="13"/>
    </row>
    <row r="460" spans="1:18" s="14" customFormat="1" ht="47.25" hidden="1">
      <c r="A460" s="106">
        <v>458</v>
      </c>
      <c r="B460" s="107">
        <v>44714</v>
      </c>
      <c r="C460" s="106" t="s">
        <v>1303</v>
      </c>
      <c r="D460" s="111" t="s">
        <v>26</v>
      </c>
      <c r="E460" s="111"/>
      <c r="F460" s="127" t="s">
        <v>1309</v>
      </c>
      <c r="G460" s="127" t="s">
        <v>1310</v>
      </c>
      <c r="H460" s="127" t="s">
        <v>242</v>
      </c>
      <c r="I460" s="107">
        <v>44708</v>
      </c>
      <c r="J460" s="106" t="s">
        <v>184</v>
      </c>
      <c r="K460" s="106" t="s">
        <v>36</v>
      </c>
      <c r="L460" s="112" t="str">
        <f ca="1">IFERROR(_xlfn.IFNA(VLOOKUP($K460,[21]коммент!$B:$C,2,0),""),"")</f>
        <v/>
      </c>
      <c r="M460" s="106"/>
      <c r="N460" s="106"/>
      <c r="O460" s="106"/>
      <c r="P460" s="106" t="s">
        <v>1311</v>
      </c>
      <c r="Q460" s="13"/>
      <c r="R460" s="13"/>
    </row>
    <row r="461" spans="1:18" s="14" customFormat="1" ht="47.25" hidden="1">
      <c r="A461" s="106">
        <v>459</v>
      </c>
      <c r="B461" s="107">
        <v>44714</v>
      </c>
      <c r="C461" s="106" t="s">
        <v>305</v>
      </c>
      <c r="D461" s="111" t="s">
        <v>61</v>
      </c>
      <c r="E461" s="111"/>
      <c r="F461" s="110" t="s">
        <v>306</v>
      </c>
      <c r="G461" s="106">
        <v>9103359221</v>
      </c>
      <c r="H461" s="106"/>
      <c r="I461" s="106"/>
      <c r="J461" s="106" t="s">
        <v>179</v>
      </c>
      <c r="K461" s="106" t="s">
        <v>6</v>
      </c>
      <c r="L461" s="112" t="str">
        <f ca="1">IFERROR(_xlfn.IFNA(VLOOKUP($K461,[84]коммент!$B:$C,2,0),""),"")</f>
        <v/>
      </c>
      <c r="M461" s="106"/>
      <c r="N461" s="106"/>
      <c r="O461" s="106"/>
      <c r="P461" s="106" t="s">
        <v>307</v>
      </c>
      <c r="Q461" s="13"/>
      <c r="R461" s="13"/>
    </row>
    <row r="462" spans="1:18" s="14" customFormat="1" hidden="1">
      <c r="A462" s="106">
        <v>460</v>
      </c>
      <c r="B462" s="107">
        <v>44714</v>
      </c>
      <c r="C462" s="106" t="s">
        <v>424</v>
      </c>
      <c r="D462" s="111" t="s">
        <v>61</v>
      </c>
      <c r="E462" s="111"/>
      <c r="F462" s="110" t="s">
        <v>434</v>
      </c>
      <c r="G462" s="106">
        <v>9161528013</v>
      </c>
      <c r="H462" s="106" t="s">
        <v>435</v>
      </c>
      <c r="I462" s="107">
        <v>44518</v>
      </c>
      <c r="J462" s="106" t="s">
        <v>184</v>
      </c>
      <c r="K462" s="106" t="s">
        <v>175</v>
      </c>
      <c r="L462" s="112" t="str">
        <f ca="1">IFERROR(_xlfn.IFNA(VLOOKUP($K462,[28]коммент!$B:$C,2,0),""),"")</f>
        <v/>
      </c>
      <c r="M462" s="106"/>
      <c r="N462" s="106"/>
      <c r="O462" s="106"/>
      <c r="P462" s="106" t="s">
        <v>343</v>
      </c>
      <c r="Q462" s="13"/>
      <c r="R462" s="13"/>
    </row>
    <row r="463" spans="1:18" s="14" customFormat="1" ht="31.5" hidden="1">
      <c r="A463" s="106">
        <v>461</v>
      </c>
      <c r="B463" s="107">
        <v>44714</v>
      </c>
      <c r="C463" s="150" t="s">
        <v>838</v>
      </c>
      <c r="D463" s="111" t="s">
        <v>61</v>
      </c>
      <c r="E463" s="111"/>
      <c r="F463" s="110" t="s">
        <v>899</v>
      </c>
      <c r="G463" s="106" t="s">
        <v>900</v>
      </c>
      <c r="H463" s="106" t="s">
        <v>901</v>
      </c>
      <c r="I463" s="107">
        <v>44536</v>
      </c>
      <c r="J463" s="106" t="s">
        <v>184</v>
      </c>
      <c r="K463" s="106" t="s">
        <v>175</v>
      </c>
      <c r="L463" s="112" t="str">
        <f ca="1">IFERROR(_xlfn.IFNA(VLOOKUP($K463,[58]коммент!$B:$C,2,0),""),"")</f>
        <v/>
      </c>
      <c r="M463" s="106"/>
      <c r="N463" s="106"/>
      <c r="O463" s="106"/>
      <c r="P463" s="106" t="s">
        <v>902</v>
      </c>
      <c r="Q463" s="13"/>
      <c r="R463" s="13"/>
    </row>
    <row r="464" spans="1:18" s="14" customFormat="1" ht="31.5" hidden="1">
      <c r="A464" s="106">
        <v>462</v>
      </c>
      <c r="B464" s="107">
        <v>44714</v>
      </c>
      <c r="C464" s="106" t="s">
        <v>957</v>
      </c>
      <c r="D464" s="111" t="s">
        <v>19</v>
      </c>
      <c r="E464" s="111"/>
      <c r="F464" s="109" t="s">
        <v>960</v>
      </c>
      <c r="G464" s="106">
        <v>9153963964</v>
      </c>
      <c r="H464" s="106"/>
      <c r="I464" s="107"/>
      <c r="J464" s="106" t="s">
        <v>180</v>
      </c>
      <c r="K464" s="106" t="s">
        <v>32</v>
      </c>
      <c r="L464" s="112" t="str">
        <f ca="1">IFERROR(_xlfn.IFNA(VLOOKUP($K464,[17]коммент!$B:$C,2,0),""),"")</f>
        <v/>
      </c>
      <c r="M464" s="106"/>
      <c r="N464" s="106"/>
      <c r="O464" s="106"/>
      <c r="P464" s="106"/>
      <c r="Q464" s="13"/>
      <c r="R464" s="13"/>
    </row>
    <row r="465" spans="1:18" s="14" customFormat="1" ht="47.25" hidden="1">
      <c r="A465" s="106">
        <v>463</v>
      </c>
      <c r="B465" s="107">
        <v>44714</v>
      </c>
      <c r="C465" s="106" t="s">
        <v>957</v>
      </c>
      <c r="D465" s="111" t="s">
        <v>19</v>
      </c>
      <c r="E465" s="111"/>
      <c r="F465" s="109" t="s">
        <v>960</v>
      </c>
      <c r="G465" s="106">
        <v>9153963964</v>
      </c>
      <c r="H465" s="106"/>
      <c r="I465" s="107"/>
      <c r="J465" s="106" t="s">
        <v>180</v>
      </c>
      <c r="K465" s="106" t="s">
        <v>113</v>
      </c>
      <c r="L465" s="112" t="str">
        <f ca="1">IFERROR(_xlfn.IFNA(VLOOKUP($K465,[17]коммент!$B:$C,2,0),""),"")</f>
        <v/>
      </c>
      <c r="M465" s="106"/>
      <c r="N465" s="106"/>
      <c r="O465" s="106"/>
      <c r="P465" s="106" t="s">
        <v>961</v>
      </c>
      <c r="Q465" s="13"/>
      <c r="R465" s="13"/>
    </row>
    <row r="466" spans="1:18" s="14" customFormat="1" hidden="1">
      <c r="A466" s="106">
        <v>464</v>
      </c>
      <c r="B466" s="107">
        <v>44714</v>
      </c>
      <c r="C466" s="106" t="s">
        <v>957</v>
      </c>
      <c r="D466" s="111" t="s">
        <v>19</v>
      </c>
      <c r="E466" s="111"/>
      <c r="F466" s="109" t="s">
        <v>967</v>
      </c>
      <c r="G466" s="106">
        <v>9154346364</v>
      </c>
      <c r="H466" s="106" t="s">
        <v>225</v>
      </c>
      <c r="I466" s="107">
        <v>44592</v>
      </c>
      <c r="J466" s="106" t="s">
        <v>184</v>
      </c>
      <c r="K466" s="106" t="s">
        <v>175</v>
      </c>
      <c r="L466" s="112" t="str">
        <f ca="1">IFERROR(_xlfn.IFNA(VLOOKUP($K466,[17]коммент!$B:$C,2,0),""),"")</f>
        <v/>
      </c>
      <c r="M466" s="106"/>
      <c r="N466" s="106" t="s">
        <v>114</v>
      </c>
      <c r="O466" s="106"/>
      <c r="P466" s="106" t="s">
        <v>968</v>
      </c>
      <c r="Q466" s="13"/>
      <c r="R466" s="13"/>
    </row>
    <row r="467" spans="1:18" s="14" customFormat="1" ht="94.5" hidden="1">
      <c r="A467" s="106">
        <v>465</v>
      </c>
      <c r="B467" s="107">
        <v>44714</v>
      </c>
      <c r="C467" s="106" t="s">
        <v>709</v>
      </c>
      <c r="D467" s="111" t="s">
        <v>23</v>
      </c>
      <c r="E467" s="111"/>
      <c r="F467" s="110" t="s">
        <v>713</v>
      </c>
      <c r="G467" s="106">
        <v>9670914008</v>
      </c>
      <c r="H467" s="106" t="s">
        <v>714</v>
      </c>
      <c r="I467" s="107">
        <v>44643</v>
      </c>
      <c r="J467" s="106" t="s">
        <v>184</v>
      </c>
      <c r="K467" s="106" t="s">
        <v>175</v>
      </c>
      <c r="L467" s="112" t="s">
        <v>176</v>
      </c>
      <c r="M467" s="106"/>
      <c r="N467" s="106"/>
      <c r="O467" s="106"/>
      <c r="P467" s="106" t="s">
        <v>715</v>
      </c>
      <c r="Q467" s="13"/>
      <c r="R467" s="13"/>
    </row>
    <row r="468" spans="1:18" s="14" customFormat="1" ht="31.5" hidden="1">
      <c r="A468" s="106">
        <v>466</v>
      </c>
      <c r="B468" s="107">
        <v>44714</v>
      </c>
      <c r="C468" s="106" t="s">
        <v>942</v>
      </c>
      <c r="D468" s="111" t="s">
        <v>23</v>
      </c>
      <c r="E468" s="111"/>
      <c r="F468" s="110" t="s">
        <v>945</v>
      </c>
      <c r="G468" s="106">
        <v>9998112706</v>
      </c>
      <c r="H468" s="106"/>
      <c r="I468" s="106"/>
      <c r="J468" s="106" t="s">
        <v>180</v>
      </c>
      <c r="K468" s="106" t="s">
        <v>6</v>
      </c>
      <c r="L468" s="112" t="str">
        <f ca="1">IFERROR(_xlfn.IFNA(VLOOKUP($K468,[61]коммент!$B:$C,2,0),""),"")</f>
        <v/>
      </c>
      <c r="M468" s="106"/>
      <c r="N468" s="106"/>
      <c r="O468" s="106"/>
      <c r="P468" s="106"/>
      <c r="Q468" s="13"/>
      <c r="R468" s="13"/>
    </row>
    <row r="469" spans="1:18" s="14" customFormat="1" ht="31.5" hidden="1">
      <c r="A469" s="106">
        <v>467</v>
      </c>
      <c r="B469" s="107">
        <v>44714</v>
      </c>
      <c r="C469" s="106" t="s">
        <v>1127</v>
      </c>
      <c r="D469" s="111" t="s">
        <v>42</v>
      </c>
      <c r="E469" s="111"/>
      <c r="F469" s="110" t="s">
        <v>1131</v>
      </c>
      <c r="G469" s="106">
        <v>9857488574</v>
      </c>
      <c r="H469" s="106" t="s">
        <v>605</v>
      </c>
      <c r="I469" s="107">
        <v>44700</v>
      </c>
      <c r="J469" s="106" t="s">
        <v>134</v>
      </c>
      <c r="K469" s="106" t="s">
        <v>6</v>
      </c>
      <c r="L469" s="112" t="str">
        <f ca="1">IFERROR(_xlfn.IFNA(VLOOKUP($K469,[64]коммент!$B:$C,2,0),""),"")</f>
        <v/>
      </c>
      <c r="M469" s="106"/>
      <c r="N469" s="106"/>
      <c r="O469" s="106"/>
      <c r="P469" s="106"/>
      <c r="Q469" s="13"/>
      <c r="R469" s="13"/>
    </row>
    <row r="470" spans="1:18" s="14" customFormat="1" ht="94.5" hidden="1">
      <c r="A470" s="106">
        <v>468</v>
      </c>
      <c r="B470" s="107">
        <v>44714</v>
      </c>
      <c r="C470" s="106" t="s">
        <v>1285</v>
      </c>
      <c r="D470" s="111" t="s">
        <v>42</v>
      </c>
      <c r="E470" s="111"/>
      <c r="F470" s="109" t="s">
        <v>1286</v>
      </c>
      <c r="G470" s="106">
        <v>9251917692</v>
      </c>
      <c r="H470" s="106" t="s">
        <v>974</v>
      </c>
      <c r="I470" s="107">
        <v>44541</v>
      </c>
      <c r="J470" s="106" t="s">
        <v>184</v>
      </c>
      <c r="K470" s="106" t="s">
        <v>175</v>
      </c>
      <c r="L470" s="112" t="s">
        <v>176</v>
      </c>
      <c r="M470" s="106"/>
      <c r="N470" s="106"/>
      <c r="O470" s="106"/>
      <c r="P470" s="106" t="s">
        <v>1287</v>
      </c>
      <c r="Q470" s="13"/>
      <c r="R470" s="13"/>
    </row>
    <row r="471" spans="1:18" s="14" customFormat="1" ht="94.5" hidden="1">
      <c r="A471" s="106">
        <v>469</v>
      </c>
      <c r="B471" s="107">
        <v>44714</v>
      </c>
      <c r="C471" s="106" t="s">
        <v>606</v>
      </c>
      <c r="D471" s="111" t="s">
        <v>25</v>
      </c>
      <c r="E471" s="111"/>
      <c r="F471" s="110" t="s">
        <v>626</v>
      </c>
      <c r="G471" s="106">
        <v>89774158683</v>
      </c>
      <c r="H471" s="106"/>
      <c r="I471" s="107"/>
      <c r="J471" s="106" t="s">
        <v>180</v>
      </c>
      <c r="K471" s="106" t="s">
        <v>6</v>
      </c>
      <c r="L471" s="112" t="s">
        <v>147</v>
      </c>
      <c r="M471" s="106"/>
      <c r="N471" s="106"/>
      <c r="O471" s="106"/>
      <c r="P471" s="106"/>
      <c r="Q471" s="13"/>
      <c r="R471" s="13"/>
    </row>
    <row r="472" spans="1:18" s="14" customFormat="1" ht="31.5" hidden="1">
      <c r="A472" s="106">
        <v>470</v>
      </c>
      <c r="B472" s="107">
        <v>44714</v>
      </c>
      <c r="C472" s="106" t="s">
        <v>1351</v>
      </c>
      <c r="D472" s="111" t="s">
        <v>66</v>
      </c>
      <c r="E472" s="111"/>
      <c r="F472" s="110" t="s">
        <v>1352</v>
      </c>
      <c r="G472" s="106">
        <v>4953017946</v>
      </c>
      <c r="H472" s="106"/>
      <c r="I472" s="106"/>
      <c r="J472" s="106" t="s">
        <v>180</v>
      </c>
      <c r="K472" s="106" t="s">
        <v>6</v>
      </c>
      <c r="L472" s="112" t="str">
        <f ca="1">IFERROR(_xlfn.IFNA(VLOOKUP($K472,[77]коммент!$B:$C,2,0),""),"")</f>
        <v/>
      </c>
      <c r="M472" s="106"/>
      <c r="N472" s="106"/>
      <c r="O472" s="106"/>
      <c r="P472" s="106"/>
      <c r="Q472" s="13"/>
      <c r="R472" s="13"/>
    </row>
    <row r="473" spans="1:18" s="14" customFormat="1" ht="110.25" hidden="1">
      <c r="A473" s="106">
        <v>471</v>
      </c>
      <c r="B473" s="107">
        <v>44714</v>
      </c>
      <c r="C473" s="106" t="s">
        <v>1351</v>
      </c>
      <c r="D473" s="111" t="s">
        <v>66</v>
      </c>
      <c r="E473" s="111"/>
      <c r="F473" s="110" t="s">
        <v>1359</v>
      </c>
      <c r="G473" s="106">
        <v>9175982956</v>
      </c>
      <c r="H473" s="106"/>
      <c r="I473" s="106"/>
      <c r="J473" s="106" t="s">
        <v>180</v>
      </c>
      <c r="K473" s="106" t="s">
        <v>113</v>
      </c>
      <c r="L473" s="112" t="str">
        <f ca="1">IFERROR(_xlfn.IFNA(VLOOKUP($K473,[77]коммент!$B:$C,2,0),""),"")</f>
        <v/>
      </c>
      <c r="M473" s="106"/>
      <c r="N473" s="106"/>
      <c r="O473" s="106"/>
      <c r="P473" s="106" t="s">
        <v>1369</v>
      </c>
      <c r="Q473" s="13"/>
      <c r="R473" s="13"/>
    </row>
    <row r="474" spans="1:18" s="14" customFormat="1" ht="31.5" hidden="1">
      <c r="A474" s="106">
        <v>472</v>
      </c>
      <c r="B474" s="107">
        <v>44714</v>
      </c>
      <c r="C474" s="106" t="s">
        <v>1351</v>
      </c>
      <c r="D474" s="111" t="s">
        <v>66</v>
      </c>
      <c r="E474" s="111"/>
      <c r="F474" s="110" t="s">
        <v>1359</v>
      </c>
      <c r="G474" s="106">
        <v>9175982956</v>
      </c>
      <c r="H474" s="106"/>
      <c r="I474" s="106"/>
      <c r="J474" s="106" t="s">
        <v>180</v>
      </c>
      <c r="K474" s="106" t="s">
        <v>32</v>
      </c>
      <c r="L474" s="112" t="str">
        <f ca="1">IFERROR(_xlfn.IFNA(VLOOKUP($K474,[77]коммент!$B:$C,2,0),""),"")</f>
        <v/>
      </c>
      <c r="M474" s="106"/>
      <c r="N474" s="106"/>
      <c r="O474" s="106"/>
      <c r="P474" s="106"/>
      <c r="Q474" s="13"/>
      <c r="R474" s="13"/>
    </row>
    <row r="475" spans="1:18" s="14" customFormat="1" ht="31.5" hidden="1">
      <c r="A475" s="106">
        <v>473</v>
      </c>
      <c r="B475" s="107">
        <v>44714</v>
      </c>
      <c r="C475" s="106" t="s">
        <v>1351</v>
      </c>
      <c r="D475" s="111" t="s">
        <v>66</v>
      </c>
      <c r="E475" s="111"/>
      <c r="F475" s="110" t="s">
        <v>1363</v>
      </c>
      <c r="G475" s="106">
        <v>4957701021</v>
      </c>
      <c r="H475" s="106"/>
      <c r="I475" s="107"/>
      <c r="J475" s="106" t="s">
        <v>184</v>
      </c>
      <c r="K475" s="106" t="s">
        <v>6</v>
      </c>
      <c r="L475" s="112" t="str">
        <f ca="1">IFERROR(_xlfn.IFNA(VLOOKUP($K475,[77]коммент!$B:$C,2,0),""),"")</f>
        <v/>
      </c>
      <c r="M475" s="106"/>
      <c r="N475" s="106"/>
      <c r="O475" s="106"/>
      <c r="P475" s="106"/>
      <c r="Q475" s="13"/>
      <c r="R475" s="13"/>
    </row>
    <row r="476" spans="1:18" s="14" customFormat="1" hidden="1">
      <c r="A476" s="106">
        <v>474</v>
      </c>
      <c r="B476" s="107">
        <v>44714</v>
      </c>
      <c r="C476" s="106" t="s">
        <v>864</v>
      </c>
      <c r="D476" s="111" t="s">
        <v>47</v>
      </c>
      <c r="E476" s="111"/>
      <c r="F476" s="105" t="s">
        <v>887</v>
      </c>
      <c r="G476" s="109">
        <v>9165426553</v>
      </c>
      <c r="H476" s="106" t="s">
        <v>888</v>
      </c>
      <c r="I476" s="107">
        <v>44547</v>
      </c>
      <c r="J476" s="106" t="s">
        <v>184</v>
      </c>
      <c r="K476" s="106" t="s">
        <v>175</v>
      </c>
      <c r="L476" s="112" t="str">
        <f ca="1">IFERROR(_xlfn.IFNA(VLOOKUP($K476,[29]коммент!$B:$C,2,0),""),"")</f>
        <v/>
      </c>
      <c r="M476" s="106"/>
      <c r="N476" s="106"/>
      <c r="O476" s="106"/>
      <c r="P476" s="106" t="s">
        <v>454</v>
      </c>
      <c r="Q476" s="13"/>
      <c r="R476" s="13"/>
    </row>
    <row r="477" spans="1:18" s="14" customFormat="1" ht="31.5" hidden="1">
      <c r="A477" s="106">
        <v>475</v>
      </c>
      <c r="B477" s="107">
        <v>44714</v>
      </c>
      <c r="C477" s="106" t="s">
        <v>290</v>
      </c>
      <c r="D477" s="111" t="s">
        <v>60</v>
      </c>
      <c r="E477" s="111"/>
      <c r="F477" s="110" t="s">
        <v>297</v>
      </c>
      <c r="G477" s="106">
        <v>89258730565</v>
      </c>
      <c r="H477" s="106" t="s">
        <v>298</v>
      </c>
      <c r="I477" s="107">
        <v>44621</v>
      </c>
      <c r="J477" s="106" t="s">
        <v>179</v>
      </c>
      <c r="K477" s="106" t="s">
        <v>175</v>
      </c>
      <c r="L477" s="112" t="str">
        <f ca="1">IFERROR(_xlfn.IFNA(VLOOKUP($K477,[57]коммент!$B:$C,2,0),""),"")</f>
        <v/>
      </c>
      <c r="M477" s="106"/>
      <c r="N477" s="106"/>
      <c r="O477" s="106"/>
      <c r="P477" s="106" t="s">
        <v>299</v>
      </c>
      <c r="Q477" s="13"/>
      <c r="R477" s="13"/>
    </row>
    <row r="478" spans="1:18" s="14" customFormat="1" ht="31.5" hidden="1">
      <c r="A478" s="106">
        <v>476</v>
      </c>
      <c r="B478" s="107">
        <v>44714</v>
      </c>
      <c r="C478" s="106" t="s">
        <v>477</v>
      </c>
      <c r="D478" s="111" t="s">
        <v>83</v>
      </c>
      <c r="E478" s="111"/>
      <c r="F478" s="109" t="s">
        <v>483</v>
      </c>
      <c r="G478" s="106" t="s">
        <v>484</v>
      </c>
      <c r="H478" s="107" t="s">
        <v>485</v>
      </c>
      <c r="I478" s="107">
        <v>44366</v>
      </c>
      <c r="J478" s="106" t="s">
        <v>179</v>
      </c>
      <c r="K478" s="106" t="s">
        <v>175</v>
      </c>
      <c r="L478" s="112" t="str">
        <f ca="1">IFERROR(_xlfn.IFNA(VLOOKUP($K478,[15]коммент!$B:$C,2,0),""),"")</f>
        <v/>
      </c>
      <c r="M478" s="106"/>
      <c r="N478" s="106"/>
      <c r="O478" s="106"/>
      <c r="P478" s="106" t="s">
        <v>486</v>
      </c>
      <c r="Q478" s="13"/>
      <c r="R478" s="13"/>
    </row>
    <row r="479" spans="1:18" s="14" customFormat="1" ht="47.25" hidden="1">
      <c r="A479" s="106">
        <v>477</v>
      </c>
      <c r="B479" s="107">
        <v>44714</v>
      </c>
      <c r="C479" s="106" t="s">
        <v>632</v>
      </c>
      <c r="D479" s="111" t="s">
        <v>83</v>
      </c>
      <c r="E479" s="111"/>
      <c r="F479" s="110" t="s">
        <v>640</v>
      </c>
      <c r="G479" s="106" t="s">
        <v>641</v>
      </c>
      <c r="H479" s="106"/>
      <c r="I479" s="107"/>
      <c r="J479" s="106" t="s">
        <v>134</v>
      </c>
      <c r="K479" s="106" t="s">
        <v>85</v>
      </c>
      <c r="L479" s="112" t="s">
        <v>148</v>
      </c>
      <c r="M479" s="106" t="s">
        <v>129</v>
      </c>
      <c r="N479" s="106"/>
      <c r="O479" s="106"/>
      <c r="P479" s="106"/>
      <c r="Q479" s="13"/>
      <c r="R479" s="13"/>
    </row>
    <row r="480" spans="1:18" s="14" customFormat="1" ht="31.5" hidden="1">
      <c r="A480" s="106">
        <v>478</v>
      </c>
      <c r="B480" s="107">
        <v>44714</v>
      </c>
      <c r="C480" s="106" t="s">
        <v>1303</v>
      </c>
      <c r="D480" s="111" t="s">
        <v>41</v>
      </c>
      <c r="E480" s="111"/>
      <c r="F480" s="127" t="s">
        <v>1304</v>
      </c>
      <c r="G480" s="127" t="s">
        <v>1305</v>
      </c>
      <c r="H480" s="127" t="s">
        <v>891</v>
      </c>
      <c r="I480" s="107">
        <v>44543</v>
      </c>
      <c r="J480" s="106" t="s">
        <v>179</v>
      </c>
      <c r="K480" s="106" t="s">
        <v>6</v>
      </c>
      <c r="L480" s="112" t="str">
        <f ca="1">IFERROR(_xlfn.IFNA(VLOOKUP($K480,[21]коммент!$B:$C,2,0),""),"")</f>
        <v/>
      </c>
      <c r="M480" s="106"/>
      <c r="N480" s="106"/>
      <c r="O480" s="106"/>
      <c r="P480" s="106"/>
      <c r="Q480" s="13"/>
      <c r="R480" s="13"/>
    </row>
    <row r="481" spans="1:18" s="14" customFormat="1" ht="63" hidden="1">
      <c r="A481" s="106">
        <v>479</v>
      </c>
      <c r="B481" s="107">
        <v>44714</v>
      </c>
      <c r="C481" s="106" t="s">
        <v>864</v>
      </c>
      <c r="D481" s="131" t="s">
        <v>48</v>
      </c>
      <c r="E481" s="147"/>
      <c r="F481" s="105" t="s">
        <v>865</v>
      </c>
      <c r="G481" s="106">
        <v>9057806677</v>
      </c>
      <c r="H481" s="106" t="s">
        <v>866</v>
      </c>
      <c r="I481" s="107">
        <v>44711</v>
      </c>
      <c r="J481" s="106" t="s">
        <v>180</v>
      </c>
      <c r="K481" s="119" t="s">
        <v>111</v>
      </c>
      <c r="L481" s="112" t="str">
        <f ca="1">IFERROR(_xlfn.IFNA(VLOOKUP($K481,[85]коммент!$B:$C,2,0),""),"")</f>
        <v/>
      </c>
      <c r="M481" s="106" t="s">
        <v>119</v>
      </c>
      <c r="N481" s="106" t="s">
        <v>114</v>
      </c>
      <c r="O481" s="106"/>
      <c r="P481" s="106" t="s">
        <v>867</v>
      </c>
      <c r="Q481" s="13"/>
      <c r="R481" s="13"/>
    </row>
    <row r="482" spans="1:18" s="14" customFormat="1" ht="63" hidden="1">
      <c r="A482" s="106">
        <v>480</v>
      </c>
      <c r="B482" s="107">
        <v>44714</v>
      </c>
      <c r="C482" s="106" t="s">
        <v>864</v>
      </c>
      <c r="D482" s="131" t="s">
        <v>48</v>
      </c>
      <c r="E482" s="111"/>
      <c r="F482" s="133" t="s">
        <v>868</v>
      </c>
      <c r="G482" s="132">
        <v>9091517575</v>
      </c>
      <c r="H482" s="106" t="s">
        <v>866</v>
      </c>
      <c r="I482" s="107">
        <v>44706</v>
      </c>
      <c r="J482" s="132" t="s">
        <v>180</v>
      </c>
      <c r="K482" s="119" t="s">
        <v>111</v>
      </c>
      <c r="L482" s="112" t="str">
        <f ca="1">IFERROR(_xlfn.IFNA(VLOOKUP($K482,[85]коммент!$B:$C,2,0),""),"")</f>
        <v/>
      </c>
      <c r="M482" s="106" t="s">
        <v>119</v>
      </c>
      <c r="N482" s="106" t="s">
        <v>114</v>
      </c>
      <c r="O482" s="106"/>
      <c r="P482" s="106" t="s">
        <v>869</v>
      </c>
      <c r="Q482" s="13"/>
      <c r="R482" s="13"/>
    </row>
    <row r="483" spans="1:18" s="14" customFormat="1" hidden="1">
      <c r="A483" s="106">
        <v>481</v>
      </c>
      <c r="B483" s="107">
        <v>44714</v>
      </c>
      <c r="C483" s="106" t="s">
        <v>864</v>
      </c>
      <c r="D483" s="131" t="s">
        <v>48</v>
      </c>
      <c r="E483" s="111"/>
      <c r="F483" s="110" t="s">
        <v>875</v>
      </c>
      <c r="G483" s="106">
        <v>9629041234</v>
      </c>
      <c r="H483" s="106" t="s">
        <v>876</v>
      </c>
      <c r="I483" s="107">
        <v>44713</v>
      </c>
      <c r="J483" s="106" t="s">
        <v>179</v>
      </c>
      <c r="K483" s="106" t="s">
        <v>175</v>
      </c>
      <c r="L483" s="112" t="str">
        <f ca="1">IFERROR(_xlfn.IFNA(VLOOKUP($K483,[29]коммент!$B:$C,2,0),""),"")</f>
        <v/>
      </c>
      <c r="M483" s="106"/>
      <c r="N483" s="106"/>
      <c r="O483" s="106"/>
      <c r="P483" s="106" t="s">
        <v>877</v>
      </c>
      <c r="Q483" s="13"/>
      <c r="R483" s="13"/>
    </row>
    <row r="484" spans="1:18" s="14" customFormat="1" ht="94.5" hidden="1">
      <c r="A484" s="106">
        <v>482</v>
      </c>
      <c r="B484" s="107">
        <v>44714</v>
      </c>
      <c r="C484" s="106" t="s">
        <v>864</v>
      </c>
      <c r="D484" s="131" t="s">
        <v>48</v>
      </c>
      <c r="E484" s="111"/>
      <c r="F484" s="110" t="s">
        <v>882</v>
      </c>
      <c r="G484" s="106" t="s">
        <v>883</v>
      </c>
      <c r="H484" s="106"/>
      <c r="I484" s="106"/>
      <c r="J484" s="106" t="s">
        <v>184</v>
      </c>
      <c r="K484" s="106" t="s">
        <v>6</v>
      </c>
      <c r="L484" s="112" t="s">
        <v>147</v>
      </c>
      <c r="M484" s="106"/>
      <c r="N484" s="106"/>
      <c r="O484" s="106"/>
      <c r="P484" s="106"/>
      <c r="Q484" s="13"/>
      <c r="R484" s="13"/>
    </row>
    <row r="485" spans="1:18" s="14" customFormat="1" hidden="1">
      <c r="A485" s="15"/>
      <c r="B485" s="18"/>
      <c r="C485" s="18"/>
      <c r="D485" s="116"/>
      <c r="E485" s="116"/>
      <c r="F485" s="117"/>
      <c r="G485" s="18"/>
      <c r="H485" s="18"/>
      <c r="I485" s="18"/>
      <c r="J485" s="18"/>
      <c r="K485" s="18"/>
      <c r="L485" s="65"/>
      <c r="M485" s="18"/>
      <c r="N485" s="108"/>
      <c r="O485" s="108"/>
      <c r="P485" s="108"/>
      <c r="Q485" s="13"/>
      <c r="R485" s="13"/>
    </row>
    <row r="486" spans="1:18" s="14" customFormat="1" hidden="1">
      <c r="A486" s="15"/>
      <c r="B486" s="15"/>
      <c r="C486" s="15"/>
      <c r="D486" s="16"/>
      <c r="E486" s="16"/>
      <c r="F486" s="17"/>
      <c r="G486" s="15"/>
      <c r="H486" s="15"/>
      <c r="I486" s="15"/>
      <c r="J486" s="15"/>
      <c r="K486" s="18"/>
      <c r="L486" s="65" t="str">
        <f ca="1">IFERROR(_xlfn.IFNA(VLOOKUP($K486,коммент!$B:$C,2,0),""),"")</f>
        <v/>
      </c>
      <c r="M486" s="19"/>
      <c r="N486" s="20"/>
      <c r="O486" s="20"/>
      <c r="P486" s="20"/>
      <c r="Q486" s="13"/>
      <c r="R486" s="13"/>
    </row>
    <row r="487" spans="1:18" s="14" customFormat="1" hidden="1">
      <c r="A487" s="15"/>
      <c r="B487" s="15"/>
      <c r="C487" s="15"/>
      <c r="D487" s="16"/>
      <c r="E487" s="16"/>
      <c r="F487" s="17"/>
      <c r="G487" s="15"/>
      <c r="H487" s="15"/>
      <c r="I487" s="15"/>
      <c r="J487" s="15"/>
      <c r="K487" s="18"/>
      <c r="L487" s="65" t="str">
        <f ca="1">IFERROR(_xlfn.IFNA(VLOOKUP($K487,коммент!$B:$C,2,0),""),"")</f>
        <v/>
      </c>
      <c r="M487" s="19"/>
      <c r="N487" s="20"/>
      <c r="O487" s="20"/>
      <c r="P487" s="20"/>
      <c r="Q487" s="13"/>
      <c r="R487" s="13"/>
    </row>
    <row r="488" spans="1:18" s="14" customFormat="1" hidden="1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65" t="str">
        <f ca="1"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hidden="1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65" t="str">
        <f ca="1"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hidden="1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65" t="str">
        <f ca="1"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hidden="1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65" t="str">
        <f ca="1"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hidden="1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65" t="str">
        <f ca="1"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hidden="1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65" t="str">
        <f ca="1"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hidden="1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65" t="str">
        <f ca="1"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hidden="1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65" t="str">
        <f ca="1"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hidden="1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65" t="str">
        <f ca="1"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hidden="1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65" t="str">
        <f ca="1"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hidden="1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65" t="str">
        <f ca="1"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hidden="1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65" t="str">
        <f ca="1"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hidden="1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65" t="str">
        <f ca="1"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hidden="1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65" t="str">
        <f ca="1"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hidden="1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65" t="str">
        <f ca="1"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hidden="1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65" t="str">
        <f ca="1"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hidden="1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65" t="str">
        <f ca="1"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hidden="1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65" t="str">
        <f ca="1"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hidden="1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65" t="str">
        <f ca="1"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hidden="1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65" t="str">
        <f ca="1"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hidden="1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65" t="str">
        <f ca="1"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hidden="1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65" t="str">
        <f ca="1"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hidden="1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65" t="str">
        <f ca="1"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hidden="1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65" t="str">
        <f ca="1"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hidden="1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65" t="str">
        <f ca="1"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hidden="1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65" t="str">
        <f ca="1"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hidden="1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65" t="str">
        <f ca="1"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hidden="1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65" t="str">
        <f ca="1"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hidden="1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65" t="str">
        <f ca="1"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hidden="1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65" t="str">
        <f ca="1"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hidden="1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65" t="str">
        <f ca="1"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hidden="1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65" t="str">
        <f ca="1"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hidden="1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65" t="str">
        <f ca="1"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hidden="1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65" t="str">
        <f ca="1"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hidden="1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65" t="str">
        <f ca="1"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hidden="1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65" t="str">
        <f ca="1"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hidden="1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65" t="str">
        <f ca="1"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hidden="1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65" t="str">
        <f ca="1"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hidden="1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65" t="str">
        <f ca="1"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hidden="1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65" t="str">
        <f ca="1"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hidden="1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65" t="str">
        <f ca="1"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hidden="1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65" t="str">
        <f ca="1"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hidden="1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65" t="str">
        <f ca="1"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hidden="1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65" t="str">
        <f ca="1"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hidden="1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65" t="str">
        <f ca="1"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hidden="1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65" t="str">
        <f ca="1"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hidden="1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65" t="str">
        <f ca="1"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hidden="1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65" t="str">
        <f ca="1"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hidden="1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65" t="str">
        <f ca="1"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hidden="1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65" t="str">
        <f ca="1"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hidden="1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65" t="str">
        <f ca="1"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hidden="1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65" t="str">
        <f ca="1"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hidden="1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65" t="str">
        <f ca="1"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hidden="1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65" t="str">
        <f ca="1"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hidden="1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65" t="str">
        <f ca="1"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hidden="1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65" t="str">
        <f ca="1"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hidden="1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65" t="str">
        <f ca="1"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hidden="1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65" t="str">
        <f ca="1"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hidden="1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65" t="str">
        <f ca="1"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hidden="1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65" t="str">
        <f ca="1"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hidden="1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65" t="str">
        <f ca="1"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hidden="1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65" t="str">
        <f ca="1"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hidden="1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65" t="str">
        <f ca="1"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hidden="1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65" t="str">
        <f ca="1"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hidden="1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65" t="str">
        <f ca="1"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hidden="1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65" t="str">
        <f ca="1"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hidden="1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65" t="str">
        <f ca="1"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hidden="1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65" t="str">
        <f ca="1"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hidden="1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65" t="str">
        <f ca="1"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hidden="1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65" t="str">
        <f ca="1"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hidden="1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65" t="str">
        <f ca="1"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hidden="1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65" t="str">
        <f ca="1"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hidden="1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65" t="str">
        <f ca="1"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hidden="1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65" t="str">
        <f ca="1"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hidden="1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65" t="str">
        <f ca="1"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hidden="1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65" t="str">
        <f ca="1"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hidden="1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65" t="str">
        <f ca="1"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hidden="1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65" t="str">
        <f ca="1"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hidden="1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65" t="str">
        <f ca="1"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hidden="1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65" t="str">
        <f ca="1"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hidden="1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65" t="str">
        <f ca="1"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hidden="1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65" t="str">
        <f ca="1"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hidden="1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65" t="str">
        <f ca="1"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hidden="1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65" t="str">
        <f ca="1"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hidden="1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65" t="str">
        <f ca="1"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hidden="1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65" t="str">
        <f ca="1"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hidden="1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65" t="str">
        <f ca="1"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hidden="1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65" t="str">
        <f ca="1"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hidden="1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65" t="str">
        <f ca="1"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hidden="1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65" t="str">
        <f ca="1"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hidden="1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65" t="str">
        <f ca="1"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hidden="1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65" t="str">
        <f ca="1"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hidden="1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65" t="str">
        <f ca="1"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hidden="1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65" t="str">
        <f ca="1"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hidden="1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65" t="str">
        <f ca="1"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hidden="1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65" t="str">
        <f ca="1"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hidden="1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65" t="str">
        <f ca="1"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hidden="1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65" t="str">
        <f ca="1"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hidden="1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65" t="str">
        <f ca="1"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hidden="1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65" t="str">
        <f ca="1"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hidden="1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65" t="str">
        <f ca="1"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hidden="1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65" t="str">
        <f ca="1"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hidden="1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65" t="str">
        <f ca="1"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hidden="1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65" t="str">
        <f ca="1"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hidden="1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65" t="str">
        <f ca="1"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hidden="1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65" t="str">
        <f ca="1"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hidden="1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65" t="str">
        <f ca="1"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hidden="1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65" t="str">
        <f ca="1"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hidden="1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65" t="str">
        <f ca="1"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hidden="1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65" t="str">
        <f ca="1"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hidden="1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65" t="str">
        <f ca="1"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hidden="1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65" t="str">
        <f ca="1"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hidden="1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65" t="str">
        <f ca="1"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hidden="1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65" t="str">
        <f ca="1"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hidden="1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65" t="str">
        <f ca="1"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hidden="1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65" t="str">
        <f ca="1"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hidden="1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65" t="str">
        <f ca="1"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hidden="1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65" t="str">
        <f ca="1"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hidden="1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65" t="str">
        <f ca="1"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hidden="1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65" t="str">
        <f ca="1"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hidden="1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65" t="str">
        <f ca="1"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hidden="1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65" t="str">
        <f ca="1"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hidden="1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65" t="str">
        <f ca="1"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hidden="1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65" t="str">
        <f ca="1"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hidden="1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65" t="str">
        <f ca="1"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hidden="1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65" t="str">
        <f ca="1"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hidden="1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65" t="str">
        <f ca="1"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hidden="1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65" t="str">
        <f ca="1"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hidden="1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65" t="str">
        <f ca="1"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hidden="1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65" t="str">
        <f ca="1"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hidden="1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65" t="str">
        <f ca="1"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hidden="1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65" t="str">
        <f ca="1"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hidden="1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65" t="str">
        <f ca="1"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hidden="1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65" t="str">
        <f ca="1"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hidden="1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65" t="str">
        <f ca="1"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hidden="1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65" t="str">
        <f ca="1"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hidden="1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65" t="str">
        <f ca="1"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hidden="1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65" t="str">
        <f ca="1"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hidden="1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65" t="str">
        <f ca="1"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hidden="1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65" t="str">
        <f ca="1"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hidden="1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65" t="str">
        <f ca="1"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hidden="1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65" t="str">
        <f ca="1"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hidden="1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65" t="str">
        <f ca="1"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hidden="1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65" t="str">
        <f ca="1"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hidden="1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65" t="str">
        <f ca="1"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hidden="1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65" t="str">
        <f ca="1"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hidden="1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65" t="str">
        <f ca="1"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hidden="1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65" t="str">
        <f ca="1"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hidden="1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65" t="str">
        <f ca="1"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hidden="1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65" t="str">
        <f ca="1"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hidden="1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65" t="str">
        <f ca="1"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hidden="1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65" t="str">
        <f ca="1"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hidden="1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65" t="str">
        <f ca="1"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hidden="1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65" t="str">
        <f ca="1"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hidden="1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65" t="str">
        <f ca="1"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hidden="1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65" t="str">
        <f ca="1"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hidden="1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65" t="str">
        <f ca="1"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hidden="1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65" t="str">
        <f ca="1"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hidden="1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65" t="str">
        <f ca="1"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hidden="1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65" t="str">
        <f ca="1"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hidden="1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65" t="str">
        <f ca="1"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hidden="1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65" t="str">
        <f ca="1"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hidden="1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65" t="str">
        <f ca="1"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hidden="1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65" t="str">
        <f ca="1"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hidden="1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65" t="str">
        <f ca="1"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hidden="1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65" t="str">
        <f ca="1"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hidden="1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65" t="str">
        <f ca="1"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hidden="1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65" t="str">
        <f ca="1"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hidden="1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65" t="str">
        <f ca="1"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hidden="1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65" t="str">
        <f ca="1"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hidden="1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65" t="str">
        <f ca="1"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hidden="1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65" t="str">
        <f ca="1"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hidden="1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65" t="str">
        <f ca="1"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hidden="1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65" t="str">
        <f ca="1"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hidden="1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65" t="str">
        <f ca="1"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hidden="1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65" t="str">
        <f ca="1"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hidden="1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65" t="str">
        <f ca="1"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hidden="1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65" t="str">
        <f ca="1"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hidden="1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65" t="str">
        <f ca="1"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hidden="1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65" t="str">
        <f ca="1"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hidden="1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65" t="str">
        <f ca="1"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hidden="1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65" t="str">
        <f ca="1"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hidden="1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65" t="str">
        <f ca="1"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hidden="1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65" t="str">
        <f ca="1"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hidden="1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65" t="str">
        <f ca="1"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hidden="1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65" t="str">
        <f ca="1"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hidden="1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65" t="str">
        <f ca="1"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hidden="1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65" t="str">
        <f ca="1"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hidden="1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65" t="str">
        <f ca="1"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hidden="1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65" t="str">
        <f ca="1"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hidden="1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65" t="str">
        <f ca="1"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hidden="1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65" t="str">
        <f ca="1"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hidden="1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65" t="str">
        <f ca="1"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hidden="1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65" t="str">
        <f ca="1"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hidden="1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65" t="str">
        <f ca="1"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hidden="1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65" t="str">
        <f ca="1"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hidden="1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65" t="str">
        <f ca="1"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hidden="1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65" t="str">
        <f ca="1"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hidden="1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65" t="str">
        <f ca="1"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hidden="1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65" t="str">
        <f ca="1"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hidden="1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65" t="str">
        <f ca="1"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hidden="1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65" t="str">
        <f ca="1"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hidden="1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65" t="str">
        <f ca="1"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hidden="1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65" t="str">
        <f ca="1"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hidden="1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65" t="str">
        <f ca="1"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hidden="1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65" t="str">
        <f ca="1"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hidden="1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65" t="str">
        <f ca="1"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hidden="1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65" t="str">
        <f ca="1"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hidden="1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65" t="str">
        <f ca="1"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hidden="1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65" t="str">
        <f ca="1"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hidden="1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65" t="str">
        <f ca="1"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hidden="1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65" t="str">
        <f ca="1"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hidden="1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65" t="str">
        <f ca="1"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hidden="1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65" t="str">
        <f ca="1"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hidden="1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65" t="str">
        <f ca="1"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hidden="1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65" t="str">
        <f ca="1"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hidden="1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65" t="str">
        <f ca="1"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hidden="1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65" t="str">
        <f ca="1"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hidden="1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65" t="str">
        <f ca="1"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hidden="1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65" t="str">
        <f ca="1"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hidden="1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65" t="str">
        <f ca="1"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hidden="1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65" t="str">
        <f ca="1"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hidden="1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65" t="str">
        <f ca="1"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hidden="1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65" t="str">
        <f ca="1"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hidden="1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65" t="str">
        <f ca="1"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hidden="1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65" t="str">
        <f ca="1"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hidden="1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65" t="str">
        <f ca="1"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hidden="1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65" t="str">
        <f ca="1"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hidden="1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65" t="str">
        <f ca="1"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hidden="1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65" t="str">
        <f ca="1"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hidden="1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65" t="str">
        <f ca="1"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hidden="1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65" t="str">
        <f ca="1"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hidden="1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65" t="str">
        <f ca="1"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hidden="1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65" t="str">
        <f ca="1"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hidden="1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65" t="str">
        <f ca="1"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hidden="1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65" t="str">
        <f ca="1"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hidden="1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65" t="str">
        <f ca="1"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hidden="1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65" t="str">
        <f ca="1"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hidden="1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65" t="str">
        <f ca="1"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hidden="1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65" t="str">
        <f ca="1"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hidden="1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65" t="str">
        <f ca="1"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hidden="1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65" t="str">
        <f ca="1"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hidden="1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65" t="str">
        <f ca="1"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hidden="1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65" t="str">
        <f ca="1"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hidden="1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65" t="str">
        <f ca="1"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hidden="1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65" t="str">
        <f ca="1"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hidden="1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65" t="str">
        <f ca="1"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hidden="1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65" t="str">
        <f ca="1"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hidden="1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65" t="str">
        <f ca="1"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hidden="1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65" t="str">
        <f ca="1"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hidden="1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65" t="str">
        <f ca="1"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hidden="1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65" t="str">
        <f ca="1"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hidden="1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65" t="str">
        <f ca="1"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hidden="1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65" t="str">
        <f ca="1"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hidden="1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65" t="str">
        <f ca="1"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hidden="1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65" t="str">
        <f ca="1"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hidden="1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65" t="str">
        <f ca="1"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hidden="1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65" t="str">
        <f ca="1"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hidden="1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65" t="str">
        <f ca="1"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hidden="1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65" t="str">
        <f ca="1"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hidden="1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65" t="str">
        <f ca="1"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hidden="1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65" t="str">
        <f ca="1"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hidden="1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65" t="str">
        <f ca="1"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hidden="1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65" t="str">
        <f ca="1"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hidden="1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65" t="str">
        <f ca="1"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hidden="1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65" t="str">
        <f ca="1"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hidden="1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65" t="str">
        <f ca="1"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hidden="1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65" t="str">
        <f ca="1"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hidden="1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65" t="str">
        <f ca="1"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hidden="1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65" t="str">
        <f ca="1"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hidden="1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65" t="str">
        <f ca="1"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hidden="1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65" t="str">
        <f ca="1"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hidden="1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65" t="str">
        <f ca="1"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hidden="1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65" t="str">
        <f ca="1"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hidden="1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65" t="str">
        <f ca="1"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hidden="1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65" t="str">
        <f ca="1"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hidden="1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65" t="str">
        <f ca="1"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hidden="1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65" t="str">
        <f ca="1"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hidden="1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65" t="str">
        <f ca="1"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hidden="1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65" t="str">
        <f ca="1"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hidden="1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65" t="str">
        <f ca="1"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hidden="1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65" t="str">
        <f ca="1"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hidden="1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65" t="str">
        <f ca="1"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hidden="1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65" t="str">
        <f ca="1"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hidden="1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65" t="str">
        <f ca="1"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hidden="1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65" t="str">
        <f ca="1"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hidden="1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65" t="str">
        <f ca="1"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hidden="1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65" t="str">
        <f ca="1"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hidden="1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65" t="str">
        <f ca="1"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hidden="1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65" t="str">
        <f ca="1"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hidden="1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65" t="str">
        <f ca="1"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hidden="1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65" t="str">
        <f ca="1"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hidden="1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65" t="str">
        <f ca="1"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hidden="1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65" t="str">
        <f ca="1"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hidden="1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65" t="str">
        <f ca="1"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hidden="1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65" t="str">
        <f ca="1"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hidden="1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65" t="str">
        <f ca="1"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hidden="1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65" t="str">
        <f ca="1"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hidden="1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65" t="str">
        <f ca="1"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hidden="1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65" t="str">
        <f ca="1"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hidden="1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65" t="str">
        <f ca="1"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hidden="1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65" t="str">
        <f ca="1"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hidden="1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65" t="str">
        <f ca="1"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hidden="1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65" t="str">
        <f ca="1"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hidden="1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65" t="str">
        <f ca="1"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hidden="1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65" t="str">
        <f ca="1"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hidden="1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65" t="str">
        <f ca="1"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hidden="1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65" t="str">
        <f ca="1"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hidden="1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65" t="str">
        <f ca="1"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hidden="1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65" t="str">
        <f ca="1"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hidden="1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65" t="str">
        <f ca="1"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hidden="1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65" t="str">
        <f ca="1"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hidden="1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65" t="str">
        <f ca="1"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hidden="1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65" t="str">
        <f ca="1"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hidden="1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65" t="str">
        <f ca="1"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hidden="1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65" t="str">
        <f ca="1"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hidden="1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65" t="str">
        <f ca="1"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hidden="1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65" t="str">
        <f ca="1"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hidden="1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65" t="str">
        <f ca="1"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hidden="1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65" t="str">
        <f ca="1"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hidden="1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65" t="str">
        <f ca="1"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hidden="1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65" t="str">
        <f ca="1"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hidden="1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65" t="str">
        <f ca="1"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hidden="1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65" t="str">
        <f ca="1"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hidden="1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65" t="str">
        <f ca="1"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hidden="1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65" t="str">
        <f ca="1"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hidden="1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65" t="str">
        <f ca="1"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hidden="1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65" t="str">
        <f ca="1"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hidden="1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65" t="str">
        <f ca="1"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hidden="1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65" t="str">
        <f ca="1"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hidden="1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65" t="str">
        <f ca="1"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hidden="1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65" t="str">
        <f ca="1"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hidden="1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65" t="str">
        <f ca="1"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hidden="1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65" t="str">
        <f ca="1"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hidden="1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65" t="str">
        <f ca="1"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hidden="1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65" t="str">
        <f ca="1"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hidden="1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65" t="str">
        <f ca="1"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hidden="1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65" t="str">
        <f ca="1"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hidden="1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65" t="str">
        <f ca="1"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hidden="1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65" t="str">
        <f ca="1"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hidden="1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65" t="str">
        <f ca="1"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hidden="1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65" t="str">
        <f ca="1"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hidden="1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65" t="str">
        <f ca="1"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hidden="1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65" t="str">
        <f ca="1"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hidden="1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65" t="str">
        <f ca="1"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hidden="1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65" t="str">
        <f ca="1"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hidden="1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65" t="str">
        <f ca="1"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hidden="1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65" t="str">
        <f ca="1"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hidden="1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65" t="str">
        <f ca="1"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hidden="1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65" t="str">
        <f ca="1"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hidden="1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65" t="str">
        <f ca="1"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hidden="1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65" t="str">
        <f ca="1"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hidden="1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65" t="str">
        <f ca="1"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hidden="1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65" t="str">
        <f ca="1"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hidden="1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65" t="str">
        <f ca="1"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hidden="1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65" t="str">
        <f ca="1"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hidden="1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65" t="str">
        <f ca="1"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hidden="1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65" t="str">
        <f ca="1"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hidden="1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65" t="str">
        <f ca="1"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hidden="1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65" t="str">
        <f ca="1"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hidden="1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65" t="str">
        <f ca="1"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hidden="1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65" t="str">
        <f ca="1"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hidden="1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65" t="str">
        <f ca="1"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hidden="1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65" t="str">
        <f ca="1"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hidden="1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65" t="str">
        <f ca="1"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hidden="1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65" t="str">
        <f ca="1"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hidden="1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65" t="str">
        <f ca="1"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hidden="1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65" t="str">
        <f ca="1"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hidden="1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65" t="str">
        <f ca="1"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hidden="1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65" t="str">
        <f ca="1"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hidden="1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65" t="str">
        <f ca="1"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hidden="1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65" t="str">
        <f ca="1"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hidden="1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65" t="str">
        <f ca="1"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hidden="1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65" t="str">
        <f ca="1"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hidden="1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65" t="str">
        <f ca="1"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hidden="1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65" t="str">
        <f ca="1"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hidden="1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65" t="str">
        <f ca="1"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hidden="1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65" t="str">
        <f ca="1"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hidden="1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65" t="str">
        <f ca="1"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hidden="1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65" t="str">
        <f ca="1"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hidden="1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65" t="str">
        <f ca="1"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hidden="1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65" t="str">
        <f ca="1"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hidden="1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65" t="str">
        <f ca="1"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hidden="1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65" t="str">
        <f ca="1"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hidden="1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65" t="str">
        <f ca="1"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hidden="1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65" t="str">
        <f ca="1"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hidden="1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65" t="str">
        <f ca="1"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hidden="1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65" t="str">
        <f ca="1"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hidden="1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65" t="str">
        <f ca="1"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hidden="1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65" t="str">
        <f ca="1"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hidden="1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65" t="str">
        <f ca="1"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hidden="1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65" t="str">
        <f ca="1"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hidden="1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65" t="str">
        <f ca="1"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hidden="1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65" t="str">
        <f ca="1"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hidden="1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65" t="str">
        <f ca="1"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hidden="1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65" t="str">
        <f ca="1"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hidden="1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65" t="str">
        <f ca="1"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hidden="1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65" t="str">
        <f ca="1"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hidden="1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65" t="str">
        <f ca="1"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hidden="1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65" t="str">
        <f ca="1"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hidden="1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65" t="str">
        <f ca="1"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hidden="1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65" t="str">
        <f ca="1"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hidden="1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65" t="str">
        <f ca="1"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hidden="1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65" t="str">
        <f ca="1"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hidden="1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65" t="str">
        <f ca="1"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hidden="1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65" t="str">
        <f ca="1"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hidden="1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65" t="str">
        <f ca="1"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hidden="1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65" t="str">
        <f ca="1"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hidden="1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65" t="str">
        <f ca="1"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hidden="1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65" t="str">
        <f ca="1"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hidden="1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65" t="str">
        <f ca="1"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hidden="1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65" t="str">
        <f ca="1"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hidden="1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65" t="str">
        <f ca="1"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hidden="1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65" t="str">
        <f ca="1"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hidden="1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65" t="str">
        <f ca="1"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hidden="1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65" t="str">
        <f ca="1"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hidden="1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65" t="str">
        <f ca="1"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hidden="1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65" t="str">
        <f ca="1"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hidden="1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65" t="str">
        <f ca="1"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hidden="1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65" t="str">
        <f ca="1"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hidden="1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65" t="str">
        <f ca="1"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hidden="1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65" t="str">
        <f ca="1"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hidden="1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65" t="str">
        <f ca="1"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hidden="1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65" t="str">
        <f ca="1"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hidden="1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65" t="str">
        <f ca="1"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hidden="1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65" t="str">
        <f ca="1"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hidden="1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65" t="str">
        <f ca="1"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hidden="1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65" t="str">
        <f ca="1"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hidden="1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65" t="str">
        <f ca="1"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hidden="1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65" t="str">
        <f ca="1"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hidden="1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65" t="str">
        <f ca="1"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hidden="1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65" t="str">
        <f ca="1"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hidden="1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65" t="str">
        <f ca="1"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hidden="1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65" t="str">
        <f ca="1"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hidden="1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65" t="str">
        <f ca="1"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hidden="1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65" t="str">
        <f ca="1"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hidden="1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65" t="str">
        <f ca="1"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hidden="1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65" t="str">
        <f ca="1"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hidden="1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65" t="str">
        <f ca="1"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hidden="1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65" t="str">
        <f ca="1"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hidden="1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65" t="str">
        <f ca="1"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hidden="1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65" t="str">
        <f ca="1"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hidden="1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65" t="str">
        <f ca="1"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hidden="1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65" t="str">
        <f ca="1"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hidden="1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65" t="str">
        <f ca="1"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hidden="1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65" t="str">
        <f ca="1"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hidden="1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65" t="str">
        <f ca="1"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hidden="1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65" t="str">
        <f ca="1"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hidden="1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65" t="str">
        <f ca="1"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hidden="1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65" t="str">
        <f ca="1"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hidden="1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65" t="str">
        <f ca="1"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hidden="1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65" t="str">
        <f ca="1"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hidden="1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65" t="str">
        <f ca="1"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hidden="1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65" t="str">
        <f ca="1"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hidden="1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65" t="str">
        <f ca="1"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hidden="1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65" t="str">
        <f ca="1"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hidden="1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65" t="str">
        <f ca="1"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hidden="1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65" t="str">
        <f ca="1"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hidden="1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65" t="str">
        <f ca="1"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hidden="1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65" t="str">
        <f ca="1"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hidden="1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65" t="str">
        <f ca="1"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hidden="1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65" t="str">
        <f ca="1"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hidden="1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65" t="str">
        <f ca="1"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hidden="1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65" t="str">
        <f ca="1"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hidden="1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65" t="str">
        <f ca="1"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hidden="1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65" t="str">
        <f ca="1"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hidden="1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65" t="str">
        <f ca="1"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hidden="1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65" t="str">
        <f ca="1"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hidden="1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65" t="str">
        <f ca="1"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hidden="1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65" t="str">
        <f ca="1"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hidden="1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65" t="str">
        <f ca="1"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hidden="1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65" t="str">
        <f ca="1"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hidden="1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65" t="str">
        <f ca="1"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hidden="1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65" t="str">
        <f ca="1"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hidden="1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65" t="str">
        <f ca="1"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hidden="1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65" t="str">
        <f ca="1"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hidden="1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65" t="str">
        <f ca="1"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hidden="1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65" t="str">
        <f ca="1"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hidden="1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65" t="str">
        <f ca="1"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hidden="1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65" t="str">
        <f ca="1"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hidden="1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65" t="str">
        <f ca="1"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hidden="1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65" t="str">
        <f ca="1"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hidden="1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65" t="str">
        <f ca="1"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hidden="1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65" t="str">
        <f ca="1"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hidden="1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65" t="str">
        <f ca="1"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hidden="1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65" t="str">
        <f ca="1"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hidden="1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65" t="str">
        <f ca="1"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hidden="1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65" t="str">
        <f ca="1"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hidden="1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65" t="str">
        <f ca="1"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hidden="1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65" t="str">
        <f ca="1"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hidden="1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65" t="str">
        <f ca="1"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hidden="1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65" t="str">
        <f ca="1"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hidden="1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65" t="str">
        <f ca="1"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hidden="1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65" t="str">
        <f ca="1"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hidden="1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65" t="str">
        <f ca="1"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hidden="1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65" t="str">
        <f ca="1"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hidden="1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65" t="str">
        <f ca="1"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hidden="1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65" t="str">
        <f ca="1"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hidden="1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65" t="str">
        <f ca="1"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hidden="1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65" t="str">
        <f ca="1"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hidden="1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65" t="str">
        <f ca="1"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hidden="1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65" t="str">
        <f ca="1"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hidden="1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65" t="str">
        <f ca="1"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hidden="1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65" t="str">
        <f ca="1"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hidden="1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65" t="str">
        <f ca="1"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hidden="1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65" t="str">
        <f ca="1"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hidden="1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65" t="str">
        <f ca="1"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hidden="1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65" t="str">
        <f ca="1"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hidden="1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65" t="str">
        <f ca="1"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hidden="1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65" t="str">
        <f ca="1"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hidden="1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65" t="str">
        <f ca="1">IFERROR(_xlfn.IFNA(VLOOKUP($K998,коммент!$B:$C,2,0),""),"")</f>
        <v/>
      </c>
      <c r="M998" s="19"/>
      <c r="N998" s="20"/>
      <c r="O998" s="20"/>
      <c r="P998" s="20"/>
      <c r="Q998" s="13"/>
      <c r="R998" s="13"/>
    </row>
  </sheetData>
  <sheetProtection formatCells="0" formatColumns="0" formatRows="0" insertRows="0" sort="0" autoFilter="0"/>
  <autoFilter ref="B2:R998">
    <filterColumn colId="2">
      <filters>
        <filter val="ЦАОП ГБУЗ &quot;ГКОБ N1 ДЗМ&quot;"/>
      </filters>
    </filterColumn>
  </autoFilter>
  <conditionalFormatting sqref="M3:M4 M6:M8 P14:P15 M49:M50 M52:M55 M63 P77:P79 M76:M80 M84:M86 M88:M89 P88:P93 M93 M109 M205:M206 P207 M218 M240:M251 M260 P252:P266 M267:M268 M272 P273:P297 M298 P299:P309 P311:P343 P345 M346:M347 M349 M351 M353 P350:P351 P353:P356 P361:P369 P371:P377 M371:M387 M390:M410 P385:P395 P416:P449 P484:P998 M416:M450 P452:P456 P459:P460 M460:M464 P480:P482 P465:P474 M468:M475 P476 M477:M479 M481:M998 M228:M232 M223:M226 P218:P246 M216 P210:P215 M214 P192:P195 M111 P95:P102 M95:M107 P81:P86 M67:M74 M57:M59 P54:P75 M44:M47 M35:M42 P40:P48 P19:P38 M27:M33 M17 P17 P3:P9 P197:P203 M196:M203 M115:M194 P104:P188">
    <cfRule type="expression" dxfId="901" priority="1348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3:M4 M6:M8 M54:M55 M63 M77:M80 M84:M86 M88:M89 M93 M104:M107 M109 M218 M240:M246 M260 M349 M351 M353 M371:M373 M390:M394 M416:M449 M484:M998 M460 M481:M482 M468:M474 M35:M38 M228:M232 M223:M226 M214 M192:M194 M111 M95:M102 M67:M74 M57:M59 M44:M47 M40:M42 M27:M33 M17 M197:M203 M115:M188">
    <cfRule type="expression" dxfId="900" priority="1341">
      <formula>ISBLANK($K3)</formula>
    </cfRule>
    <cfRule type="expression" dxfId="899" priority="1349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898" priority="1350">
      <formula>NOT(ISBLANK(K3))</formula>
    </cfRule>
  </conditionalFormatting>
  <conditionalFormatting sqref="P54:P55 P77:P79 P84:P86 P88:P89 P104:P107 P109 P218 P260 P311:P339 P345 P351 P353 P371:P377 P385:P387 P395 P416:P449 P484:P998 P459:P460 P480:P482 P472:P474 P35:P38 P221:P234 P214 P192:P194 P111 P95:P102 P81 P63:P74 P57:P59 P44:P48 P40:P42 P27:P33 P17 P3:P9 P197:P203 P115:P188">
    <cfRule type="expression" dxfId="897" priority="1342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896" priority="1347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P10">
    <cfRule type="expression" dxfId="895" priority="1197">
      <formula>OR($K10="Цель приема",$K10="Отказ в приеме",$K10="Тактика ведения",$K10="Не дозвонились в течение 2-х дней",$K10="Паллиатив/Патронаж",$K10="Отказ от сопровождения в проекте",$K10="Отказ от сопровождения персональным помощником",$K10="Нарушение маршрутизации",$K10="КАНЦЕР-регистр")</formula>
    </cfRule>
  </conditionalFormatting>
  <conditionalFormatting sqref="P10">
    <cfRule type="expression" dxfId="894" priority="1195">
      <formula>OR($M10="Врач",$K10="Клиника женского здоровья",$K10="Принят без записи",$K10="Динамика состояния",$K10="Статус диагноза",AND($K10="Онкологический консилиум",$M10="Расхождение данных"),AND($K10="Превышен срок",$M10="Исследование"),AND($K10="Отсутствует протокол",$M10="Протокол исследования"),AND($K10="Дата записи",$M10="Исследование "),$K10="К сведению ГП/ЦАОП",$K10="Некорректное обращение с пациентом",$K10="Тактика ведения",$K10="Отказ в приеме")</formula>
    </cfRule>
    <cfRule type="expression" dxfId="893" priority="1196">
      <formula>OR($K10="Онкологический консилиум",$K10="Дата записи",$K10="Возврат в МО без приема",$K10="Данные о биопсии",$K10="КАНЦЕР-регистр",$K10="Отказ от записи ",$K10="Отсутствует протокол",$K10="Превышен срок")</formula>
    </cfRule>
  </conditionalFormatting>
  <conditionalFormatting sqref="P13">
    <cfRule type="expression" dxfId="892" priority="1156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891" priority="1154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890" priority="1155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5">
    <cfRule type="expression" dxfId="889" priority="1103">
      <formula>OR($K5="Цель приема",$K5="Отказ в приеме",$K5="Тактика ведения",$K5="Не дозвонились в течение 2-х дней",$K5="Паллиатив/Патронаж",$K5="Отказ от сопровождения в проекте",$K5="Отказ от сопровождения персональным помощником",$K5="Нарушение маршрутизации",$K5="КАНЦЕР-регистр")</formula>
    </cfRule>
  </conditionalFormatting>
  <conditionalFormatting sqref="M5">
    <cfRule type="expression" dxfId="888" priority="1102">
      <formula>ISBLANK($K5)</formula>
    </cfRule>
    <cfRule type="expression" dxfId="887" priority="1104">
      <formula>OR($K5="Клиника женского здоровья",$K5="Принят без записи",$K5="Динамика состояния",$K5="Статус диагноза",$K5="К сведению ГП/ЦАОП",$K5="Некорректное обращение с пациентом",$K5="Отказ от сопровождения персональным помощником")</formula>
    </cfRule>
    <cfRule type="expression" dxfId="886" priority="1105">
      <formula>NOT(ISBLANK(K5))</formula>
    </cfRule>
  </conditionalFormatting>
  <conditionalFormatting sqref="P11">
    <cfRule type="expression" dxfId="885" priority="1085">
      <formula>OR(#REF!="Цель приема",#REF!="Отказ в приеме",#REF!="Тактика ведения",#REF!="Не дозвонились в течение 2-х дней",#REF!="Паллиатив/Патронаж",#REF!="Отказ от сопровождения в проекте",#REF!="Отказ от сопровождения персональным помощником",#REF!="Нарушение маршрутизации",#REF!="КАНЦЕР-регистр")</formula>
    </cfRule>
    <cfRule type="expression" dxfId="884" priority="1086">
      <formula>OR(#REF!="Врач",#REF!="Клиника женского здоровья",#REF!="Принят без записи",#REF!="Динамика состояния",#REF!="Статус диагноза",AND(#REF!="Онкологический консилиум",#REF!="Расхождение данных"),AND(#REF!="Превышен срок",#REF!="Исследование"),AND(#REF!="Отсутствует протокол",#REF!="Протокол исследования"),AND(#REF!="Дата записи",#REF!="Исследование "),#REF!="К сведению ГП/ЦАОП",#REF!="Некорректное обращение с пациентом",#REF!="Тактика ведения",#REF!="Отказ в приеме")</formula>
    </cfRule>
    <cfRule type="expression" dxfId="883" priority="1087">
      <formula>OR(#REF!="Онкологический консилиум",#REF!="Дата записи",#REF!="Возврат в МО без приема",#REF!="Данные о биопсии",#REF!="КАНЦЕР-регистр",#REF!="Отказ от записи ",#REF!="Отсутствует протокол",#REF!="Превышен срок")</formula>
    </cfRule>
  </conditionalFormatting>
  <conditionalFormatting sqref="P12">
    <cfRule type="expression" dxfId="882" priority="1078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  <cfRule type="expression" dxfId="881" priority="1079">
      <formula>OR($M11="Врач",$K11="Клиника женского здоровья",$K11="Принят без записи",$K11="Динамика состояния",$K11="Статус диагноза",AND($K11="Онкологический консилиум",$M11="Расхождение данных"),AND($K11="Превышен срок",$M11="Исследование"),AND($K11="Отсутствует протокол",$M11="Протокол исследования"),AND($K11="Дата записи",$M11="Исследование "),$K11="К сведению ГП/ЦАОП",$K11="Некорректное обращение с пациентом",$K11="Тактика ведения",$K11="Отказ в приеме")</formula>
    </cfRule>
    <cfRule type="expression" dxfId="880" priority="1080">
      <formula>OR($K11="Онкологический консилиум",$K11="Дата записи",$K11="Возврат в МО без приема",$K11="Данные о биопсии",$K11="КАНЦЕР-регистр",$K11="Отказ от записи ",$K11="Отсутствует протокол",$K11="Превышен срок")</formula>
    </cfRule>
  </conditionalFormatting>
  <conditionalFormatting sqref="M9">
    <cfRule type="expression" dxfId="879" priority="1067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878" priority="1066">
      <formula>ISBLANK($K9)</formula>
    </cfRule>
    <cfRule type="expression" dxfId="877" priority="1068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876" priority="1069">
      <formula>NOT(ISBLANK(K9))</formula>
    </cfRule>
  </conditionalFormatting>
  <conditionalFormatting sqref="M10">
    <cfRule type="expression" dxfId="875" priority="1059">
      <formula>OR($K10="Цель приема",$K10="Отказ в приеме",$K10="Тактика ведения",$K10="Не дозвонились в течение 2-х дней",$K10="Паллиатив/Патронаж",$K10="Отказ от сопровождения в проекте",$K10="Отказ от сопровождения персональным помощником",$K10="Нарушение маршрутизации",$K10="КАНЦЕР-регистр")</formula>
    </cfRule>
  </conditionalFormatting>
  <conditionalFormatting sqref="M10">
    <cfRule type="expression" dxfId="874" priority="1058">
      <formula>ISBLANK($K10)</formula>
    </cfRule>
    <cfRule type="expression" dxfId="873" priority="1060">
      <formula>OR($K10="Клиника женского здоровья",$K10="Принят без записи",$K10="Динамика состояния",$K10="Статус диагноза",$K10="К сведению ГП/ЦАОП",$K10="Некорректное обращение с пациентом",$K10="Отказ от сопровождения персональным помощником")</formula>
    </cfRule>
    <cfRule type="expression" dxfId="872" priority="1061">
      <formula>NOT(ISBLANK(K10))</formula>
    </cfRule>
  </conditionalFormatting>
  <conditionalFormatting sqref="M11">
    <cfRule type="expression" dxfId="871" priority="1055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870" priority="1054">
      <formula>ISBLANK($K11)</formula>
    </cfRule>
    <cfRule type="expression" dxfId="869" priority="1056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868" priority="1057">
      <formula>NOT(ISBLANK(K11))</formula>
    </cfRule>
  </conditionalFormatting>
  <conditionalFormatting sqref="M12">
    <cfRule type="expression" dxfId="867" priority="1051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866" priority="1050">
      <formula>ISBLANK($K12)</formula>
    </cfRule>
    <cfRule type="expression" dxfId="865" priority="1052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864" priority="1053">
      <formula>NOT(ISBLANK(K12))</formula>
    </cfRule>
  </conditionalFormatting>
  <conditionalFormatting sqref="M13">
    <cfRule type="expression" dxfId="863" priority="1039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862" priority="1038">
      <formula>ISBLANK($K13)</formula>
    </cfRule>
    <cfRule type="expression" dxfId="861" priority="1040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860" priority="1041">
      <formula>NOT(ISBLANK(K13))</formula>
    </cfRule>
  </conditionalFormatting>
  <conditionalFormatting sqref="M14">
    <cfRule type="expression" dxfId="859" priority="1029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858" priority="1026">
      <formula>ISBLANK($K14)</formula>
    </cfRule>
    <cfRule type="expression" dxfId="857" priority="1030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856" priority="1031">
      <formula>NOT(ISBLANK(K14))</formula>
    </cfRule>
  </conditionalFormatting>
  <conditionalFormatting sqref="P14">
    <cfRule type="expression" dxfId="855" priority="1027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854" priority="1028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15">
    <cfRule type="expression" dxfId="853" priority="1023">
      <formula>OR($K15="Цель приема",$K15="Отказ в приеме",$K15="Тактика ведения",$K15="Не дозвонились в течение 2-х дней",$K15="Паллиатив/Патронаж",$K15="Отказ от сопровождения в проекте",$K15="Отказ от сопровождения персональным помощником",$K15="Нарушение маршрутизации",$K15="КАНЦЕР-регистр")</formula>
    </cfRule>
  </conditionalFormatting>
  <conditionalFormatting sqref="M15">
    <cfRule type="expression" dxfId="852" priority="1020">
      <formula>ISBLANK($K15)</formula>
    </cfRule>
    <cfRule type="expression" dxfId="851" priority="1024">
      <formula>OR($K15="Клиника женского здоровья",$K15="Принят без записи",$K15="Динамика состояния",$K15="Статус диагноза",$K15="К сведению ГП/ЦАОП",$K15="Некорректное обращение с пациентом",$K15="Отказ от сопровождения персональным помощником")</formula>
    </cfRule>
    <cfRule type="expression" dxfId="850" priority="1025">
      <formula>NOT(ISBLANK(K15))</formula>
    </cfRule>
  </conditionalFormatting>
  <conditionalFormatting sqref="P15">
    <cfRule type="expression" dxfId="849" priority="1021">
      <formula>OR($M15="Врач",$K15="Клиника женского здоровья",$K15="Принят без записи",$K15="Динамика состояния",$K15="Статус диагноза",AND($K15="Онкологический консилиум",$M15="Расхождение данных"),AND($K15="Превышен срок",$M15="Исследование"),AND($K15="Отсутствует протокол",$M15="Протокол исследования"),AND($K15="Дата записи",$M15="Исследование "),$K15="К сведению ГП/ЦАОП",$K15="Некорректное обращение с пациентом",$K15="Тактика ведения",$K15="Отказ в приеме")</formula>
    </cfRule>
    <cfRule type="expression" dxfId="848" priority="1022">
      <formula>OR($K15="Онкологический консилиум",$K15="Дата записи",$K15="Возврат в МО без приема",$K15="Данные о биопсии",$K15="КАНЦЕР-регистр",$K15="Отказ от записи ",$K15="Отсутствует протокол",$K15="Превышен срок")</formula>
    </cfRule>
  </conditionalFormatting>
  <conditionalFormatting sqref="P16">
    <cfRule type="expression" dxfId="847" priority="1013">
      <formula>OR($K16="Цель приема",$K16="Отказ в приеме",$K16="Тактика ведения",$K16="Не дозвонились в течение 2-х дней",$K16="Паллиатив/Патронаж",$K16="Отказ от сопровождения в проекте",$K16="Отказ от сопровождения персональным помощником",$K16="Нарушение маршрутизации",$K16="КАНЦЕР-регистр")</formula>
    </cfRule>
  </conditionalFormatting>
  <conditionalFormatting sqref="P16">
    <cfRule type="expression" dxfId="846" priority="1011">
      <formula>OR($M16="Врач",$K16="Клиника женского здоровья",$K16="Принят без записи",$K16="Динамика состояния",$K16="Статус диагноза",AND($K16="Онкологический консилиум",$M16="Расхождение данных"),AND($K16="Превышен срок",$M16="Исследование"),AND($K16="Отсутствует протокол",$M16="Протокол исследования"),AND($K16="Дата записи",$M16="Исследование "),$K16="К сведению ГП/ЦАОП",$K16="Некорректное обращение с пациентом",$K16="Тактика ведения",$K16="Отказ в приеме")</formula>
    </cfRule>
    <cfRule type="expression" dxfId="845" priority="1012">
      <formula>OR($K16="Онкологический консилиум",$K16="Дата записи",$K16="Возврат в МО без приема",$K16="Данные о биопсии",$K16="КАНЦЕР-регистр",$K16="Отказ от записи ",$K16="Отсутствует протокол",$K16="Превышен срок")</formula>
    </cfRule>
  </conditionalFormatting>
  <conditionalFormatting sqref="M16">
    <cfRule type="expression" dxfId="844" priority="1007">
      <formula>ISBLANK($K16)</formula>
    </cfRule>
    <cfRule type="expression" dxfId="843" priority="1008">
      <formula>OR($K16="Цель приема",$K16="Отказ в приеме",$K16="Тактика ведения",$K16="Не дозвонились в течение 2-х дней",$K16="Паллиатив/Патронаж",$K16="Отказ от сопровождения в проекте",$K16="Отказ от сопровождения персональным помощником",$K16="Нарушение маршрутизации",$K16="КАНЦЕР-регистр")</formula>
    </cfRule>
    <cfRule type="expression" dxfId="842" priority="1009">
      <formula>OR($K16="Клиника женского здоровья",$K16="Принят без записи",$K16="Динамика состояния",$K16="Статус диагноза",$K16="К сведению ГП/ЦАОП",$K16="Некорректное обращение с пациентом",$K16="Отказ от сопровождения персональным помощником")</formula>
    </cfRule>
    <cfRule type="expression" dxfId="841" priority="1010">
      <formula>NOT(ISBLANK(K16))</formula>
    </cfRule>
  </conditionalFormatting>
  <conditionalFormatting sqref="M18:M26">
    <cfRule type="expression" dxfId="840" priority="998">
      <formula>OR($K18="Цель приема",$K18="Отказ в приеме",$K18="Тактика ведения",$K18="Не дозвонились в течение 2-х дней",$K18="Паллиатив/Патронаж",$K18="Отказ от сопровождения в проекте",$K18="Отказ от сопровождения персональным помощником",$K18="Нарушение маршрутизации",$K18="КАНЦЕР-регистр")</formula>
    </cfRule>
  </conditionalFormatting>
  <conditionalFormatting sqref="M18:M26">
    <cfRule type="expression" dxfId="839" priority="995">
      <formula>ISBLANK($K18)</formula>
    </cfRule>
    <cfRule type="expression" dxfId="838" priority="999">
      <formula>OR($K18="Клиника женского здоровья",$K18="Принят без записи",$K18="Динамика состояния",$K18="Статус диагноза",$K18="К сведению ГП/ЦАОП",$K18="Некорректное обращение с пациентом",$K18="Отказ от сопровождения персональным помощником")</formula>
    </cfRule>
    <cfRule type="expression" dxfId="837" priority="1000">
      <formula>NOT(ISBLANK(K18))</formula>
    </cfRule>
  </conditionalFormatting>
  <conditionalFormatting sqref="P19:P26">
    <cfRule type="expression" dxfId="836" priority="996">
      <formula>OR($M19="Врач",$K19="Клиника женского здоровья",$K19="Принят без записи",$K19="Динамика состояния",$K19="Статус диагноза",AND($K19="Онкологический консилиум",$M19="Расхождение данных"),AND($K19="Превышен срок",$M19="Исследование"),AND($K19="Отсутствует протокол",$M19="Протокол исследования"),AND($K19="Дата записи",$M19="Исследование "),$K19="К сведению ГП/ЦАОП",$K19="Некорректное обращение с пациентом",$K19="Тактика ведения",$K19="Отказ в приеме")</formula>
    </cfRule>
    <cfRule type="expression" dxfId="835" priority="997">
      <formula>OR($K19="Онкологический консилиум",$K19="Дата записи",$K19="Возврат в МО без приема",$K19="Данные о биопсии",$K19="КАНЦЕР-регистр",$K19="Отказ от записи ",$K19="Отсутствует протокол",$K19="Превышен срок")</formula>
    </cfRule>
  </conditionalFormatting>
  <conditionalFormatting sqref="P18">
    <cfRule type="expression" dxfId="834" priority="994">
      <formula>OR($K18="Цель приема",$K18="Отказ в приеме",$K18="Тактика ведения",$K18="Не дозвонились в течение 2-х дней",$K18="Паллиатив/Патронаж",$K18="Отказ от сопровождения в проекте",$K18="Отказ от сопровождения персональным помощником",$K18="Нарушение маршрутизации",$K18="КАНЦЕР-регистр")</formula>
    </cfRule>
  </conditionalFormatting>
  <conditionalFormatting sqref="P18">
    <cfRule type="expression" dxfId="833" priority="992">
      <formula>OR($M18="Врач",$K18="Клиника женского здоровья",$K18="Принят без записи",$K18="Динамика состояния",$K18="Статус диагноза",AND($K18="Онкологический консилиум",$M18="Расхождение данных"),AND($K18="Превышен срок",$M18="Исследование"),AND($K18="Отсутствует протокол",$M18="Протокол исследования"),AND($K18="Дата записи",$M18="Исследование "),$K18="К сведению ГП/ЦАОП",$K18="Некорректное обращение с пациентом",$K18="Тактика ведения",$K18="Отказ в приеме")</formula>
    </cfRule>
    <cfRule type="expression" dxfId="832" priority="993">
      <formula>OR($K18="Онкологический консилиум",$K18="Дата записи",$K18="Возврат в МО без приема",$K18="Данные о биопсии",$K18="КАНЦЕР-регистр",$K18="Отказ от записи ",$K18="Отсутствует протокол",$K18="Превышен срок")</formula>
    </cfRule>
  </conditionalFormatting>
  <conditionalFormatting sqref="M34">
    <cfRule type="expression" dxfId="831" priority="977">
      <formula>OR($K34="Цель приема",$K34="Отказ в приеме",$K34="Тактика ведения",$K34="Не дозвонились в течение 2-х дней",$K34="Паллиатив/Патронаж",$K34="Отказ от сопровождения в проекте",$K34="Отказ от сопровождения персональным помощником",$K34="Нарушение маршрутизации",$K34="КАНЦЕР-регистр")</formula>
    </cfRule>
  </conditionalFormatting>
  <conditionalFormatting sqref="M34">
    <cfRule type="expression" dxfId="830" priority="974">
      <formula>ISBLANK($K34)</formula>
    </cfRule>
    <cfRule type="expression" dxfId="829" priority="978">
      <formula>OR($K34="Клиника женского здоровья",$K34="Принят без записи",$K34="Динамика состояния",$K34="Статус диагноза",$K34="К сведению ГП/ЦАОП",$K34="Некорректное обращение с пациентом",$K34="Отказ от сопровождения персональным помощником")</formula>
    </cfRule>
    <cfRule type="expression" dxfId="828" priority="979">
      <formula>NOT(ISBLANK(K34))</formula>
    </cfRule>
  </conditionalFormatting>
  <conditionalFormatting sqref="P34">
    <cfRule type="expression" dxfId="827" priority="975">
      <formula>OR($M34="Врач",$K34="Клиника женского здоровья",$K34="Принят без записи",$K34="Динамика состояния",$K34="Статус диагноза",AND($K34="Онкологический консилиум",$M34="Расхождение данных"),AND($K34="Превышен срок",$M34="Исследование"),AND($K34="Отсутствует протокол",$M34="Протокол исследования"),AND($K34="Дата записи",$M34="Исследование "),$K34="К сведению ГП/ЦАОП",$K34="Некорректное обращение с пациентом",$K34="Тактика ведения",$K34="Отказ в приеме")</formula>
    </cfRule>
    <cfRule type="expression" dxfId="826" priority="976">
      <formula>OR($K34="Онкологический консилиум",$K34="Дата записи",$K34="Возврат в МО без приема",$K34="Данные о биопсии",$K34="КАНЦЕР-регистр",$K34="Отказ от записи ",$K34="Отсутствует протокол",$K34="Превышен срок")</formula>
    </cfRule>
  </conditionalFormatting>
  <conditionalFormatting sqref="P39">
    <cfRule type="expression" dxfId="825" priority="965">
      <formula>OR($K39="Цель приема",$K39="Отказ в приеме",$K39="Тактика ведения",$K39="Не дозвонились в течение 2-х дней",$K39="Паллиатив/Патронаж",$K39="Отказ от сопровождения в проекте",$K39="Отказ от сопровождения персональным помощником",$K39="Нарушение маршрутизации",$K39="КАНЦЕР-регистр")</formula>
    </cfRule>
  </conditionalFormatting>
  <conditionalFormatting sqref="M39">
    <cfRule type="expression" dxfId="824" priority="962">
      <formula>ISBLANK($K39)</formula>
    </cfRule>
    <cfRule type="expression" dxfId="823" priority="966">
      <formula>OR($K39="Клиника женского здоровья",$K39="Принят без записи",$K39="Динамика состояния",$K39="Статус диагноза",$K39="К сведению ГП/ЦАОП",$K39="Некорректное обращение с пациентом",$K39="Отказ от сопровождения персональным помощником")</formula>
    </cfRule>
    <cfRule type="expression" dxfId="822" priority="967">
      <formula>NOT(ISBLANK(K39))</formula>
    </cfRule>
  </conditionalFormatting>
  <conditionalFormatting sqref="P39">
    <cfRule type="expression" dxfId="821" priority="963">
      <formula>OR($M39="Врач",$K39="Клиника женского здоровья",$K39="Принят без записи",$K39="Динамика состояния",$K39="Статус диагноза",AND($K39="Онкологический консилиум",$M39="Расхождение данных"),AND($K39="Превышен срок",$M39="Исследование"),AND($K39="Отсутствует протокол",$M39="Протокол исследования"),AND($K39="Дата записи",$M39="Исследование "),$K39="К сведению ГП/ЦАОП",$K39="Некорректное обращение с пациентом",$K39="Тактика ведения",$K39="Отказ в приеме")</formula>
    </cfRule>
    <cfRule type="expression" dxfId="820" priority="964">
      <formula>OR($K39="Онкологический консилиум",$K39="Дата записи",$K39="Возврат в МО без приема",$K39="Данные о биопсии",$K39="КАНЦЕР-регистр",$K39="Отказ от записи ",$K39="Отсутствует протокол",$K39="Превышен срок")</formula>
    </cfRule>
  </conditionalFormatting>
  <conditionalFormatting sqref="M43">
    <cfRule type="expression" dxfId="819" priority="947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818" priority="944">
      <formula>ISBLANK($K43)</formula>
    </cfRule>
    <cfRule type="expression" dxfId="817" priority="948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816" priority="949">
      <formula>NOT(ISBLANK(K43))</formula>
    </cfRule>
  </conditionalFormatting>
  <conditionalFormatting sqref="P43">
    <cfRule type="expression" dxfId="815" priority="945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814" priority="946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8">
    <cfRule type="expression" dxfId="813" priority="941">
      <formula>OR($K48="Цель приема",$K48="Отказ в приеме",$K48="Тактика ведения",$K48="Не дозвонились в течение 2-х дней",$K48="Паллиатив/Патронаж",$K48="Отказ от сопровождения в проекте",$K48="Отказ от сопровождения персональным помощником",$K48="Нарушение маршрутизации",$K48="КАНЦЕР-регистр")</formula>
    </cfRule>
  </conditionalFormatting>
  <conditionalFormatting sqref="M48">
    <cfRule type="expression" dxfId="812" priority="940">
      <formula>ISBLANK($K48)</formula>
    </cfRule>
    <cfRule type="expression" dxfId="811" priority="942">
      <formula>OR($K48="Клиника женского здоровья",$K48="Принят без записи",$K48="Динамика состояния",$K48="Статус диагноза",$K48="К сведению ГП/ЦАОП",$K48="Некорректное обращение с пациентом",$K48="Отказ от сопровождения персональным помощником")</formula>
    </cfRule>
    <cfRule type="expression" dxfId="810" priority="943">
      <formula>NOT(ISBLANK(K48))</formula>
    </cfRule>
  </conditionalFormatting>
  <conditionalFormatting sqref="P49:P50">
    <cfRule type="expression" dxfId="809" priority="937">
      <formula>OR($K49="Цель приема",$K49="Отказ в приеме",$K49="Тактика ведения",$K49="Не дозвонились в течение 2-х дней",$K49="Паллиатив/Патронаж",$K49="Отказ от сопровождения в проекте",$K49="Отказ от сопровождения персональным помощником",$K49="Нарушение маршрутизации",$K49="КАНЦЕР-регистр")</formula>
    </cfRule>
  </conditionalFormatting>
  <conditionalFormatting sqref="M49:M50">
    <cfRule type="expression" dxfId="808" priority="934">
      <formula>ISBLANK($K49)</formula>
    </cfRule>
    <cfRule type="expression" dxfId="807" priority="938">
      <formula>OR($K49="Клиника женского здоровья",$K49="Принят без записи",$K49="Динамика состояния",$K49="Статус диагноза",$K49="К сведению ГП/ЦАОП",$K49="Некорректное обращение с пациентом",$K49="Отказ от сопровождения персональным помощником")</formula>
    </cfRule>
    <cfRule type="expression" dxfId="806" priority="939">
      <formula>NOT(ISBLANK(K49))</formula>
    </cfRule>
  </conditionalFormatting>
  <conditionalFormatting sqref="P49:P50">
    <cfRule type="expression" dxfId="805" priority="935">
      <formula>OR($M49="Врач",$K49="Клиника женского здоровья",$K49="Принят без записи",$K49="Динамика состояния",$K49="Статус диагноза",AND($K49="Онкологический консилиум",$M49="Расхождение данных"),AND($K49="Превышен срок",$M49="Исследование"),AND($K49="Отсутствует протокол",$M49="Протокол исследования"),AND($K49="Дата записи",$M49="Исследование "),$K49="К сведению ГП/ЦАОП",$K49="Некорректное обращение с пациентом",$K49="Тактика ведения",$K49="Отказ в приеме")</formula>
    </cfRule>
    <cfRule type="expression" dxfId="804" priority="936">
      <formula>OR($K49="Онкологический консилиум",$K49="Дата записи",$K49="Возврат в МО без приема",$K49="Данные о биопсии",$K49="КАНЦЕР-регистр",$K49="Отказ от записи ",$K49="Отсутствует протокол",$K49="Превышен срок")</formula>
    </cfRule>
  </conditionalFormatting>
  <conditionalFormatting sqref="M51">
    <cfRule type="expression" dxfId="803" priority="931">
      <formula>OR($K51="Цель приема",$K51="Отказ в приеме",$K51="Тактика ведения",$K51="Не дозвонились в течение 2-х дней",$K51="Паллиатив/Патронаж",$K51="Отказ от сопровождения в проекте",$K51="Отказ от сопровождения персональным помощником",$K51="Нарушение маршрутизации",$K51="КАНЦЕР-регистр")</formula>
    </cfRule>
  </conditionalFormatting>
  <conditionalFormatting sqref="M51">
    <cfRule type="expression" dxfId="802" priority="930">
      <formula>ISBLANK($K51)</formula>
    </cfRule>
    <cfRule type="expression" dxfId="801" priority="932">
      <formula>OR($K51="Клиника женского здоровья",$K51="Принят без записи",$K51="Динамика состояния",$K51="Статус диагноза",$K51="К сведению ГП/ЦАОП",$K51="Некорректное обращение с пациентом",$K51="Отказ от сопровождения персональным помощником")</formula>
    </cfRule>
    <cfRule type="expression" dxfId="800" priority="933">
      <formula>NOT(ISBLANK(K51))</formula>
    </cfRule>
  </conditionalFormatting>
  <conditionalFormatting sqref="P51">
    <cfRule type="expression" dxfId="799" priority="927">
      <formula>OR($M51="Врач",$K51="Клиника женского здоровья",$K51="Принят без записи",$K51="Динамика состояния",$K51="Статус диагноза",AND($K51="Онкологический консилиум",$M51="Расхождение данных"),AND($K51="Превышен срок",$M51="Исследование"),AND($K51="Отсутствует протокол",$M51="Протокол исследования"),AND($K51="Дата записи",$M51="Исследование "),$K51="К сведению ГП/ЦАОП",$K51="Некорректное обращение с пациентом",$K51="Тактика ведения",$K51="Отказ в приеме")</formula>
    </cfRule>
    <cfRule type="expression" dxfId="798" priority="928">
      <formula>OR($K51="Онкологический консилиум",$K51="Дата записи",$K51="Возврат в МО без приема",$K51="Данные о биопсии",$K51="КАНЦЕР-регистр",$K51="Отказ от записи ",$K51="Отсутствует протокол",$K51="Превышен срок")</formula>
    </cfRule>
    <cfRule type="expression" dxfId="797" priority="929">
      <formula>OR($K51="Цель приема",$K51="Отказ в приеме",$K51="Тактика ведения",$K51="Не дозвонились в течение 2-х дней",$K51="Паллиатив/Патронаж",$K51="Отказ от сопровождения в проекте",$K51="Отказ от сопровождения персональным помощником",$K51="Нарушение маршрутизации",$K51="КАНЦЕР-регистр")</formula>
    </cfRule>
  </conditionalFormatting>
  <conditionalFormatting sqref="P52">
    <cfRule type="expression" dxfId="796" priority="924">
      <formula>OR($K52="Цель приема",$K52="Отказ в приеме",$K52="Тактика ведения",$K52="Не дозвонились в течение 2-х дней",$K52="Паллиатив/Патронаж",$K52="Отказ от сопровождения в проекте",$K52="Отказ от сопровождения персональным помощником",$K52="Нарушение маршрутизации",$K52="КАНЦЕР-регистр")</formula>
    </cfRule>
  </conditionalFormatting>
  <conditionalFormatting sqref="M52">
    <cfRule type="expression" dxfId="795" priority="921">
      <formula>ISBLANK($K52)</formula>
    </cfRule>
    <cfRule type="expression" dxfId="794" priority="925">
      <formula>OR($K52="Клиника женского здоровья",$K52="Принят без записи",$K52="Динамика состояния",$K52="Статус диагноза",$K52="К сведению ГП/ЦАОП",$K52="Некорректное обращение с пациентом",$K52="Отказ от сопровождения персональным помощником")</formula>
    </cfRule>
    <cfRule type="expression" dxfId="793" priority="926">
      <formula>NOT(ISBLANK(K52))</formula>
    </cfRule>
  </conditionalFormatting>
  <conditionalFormatting sqref="P52">
    <cfRule type="expression" dxfId="792" priority="922">
      <formula>OR($M52="Врач",$K52="Клиника женского здоровья",$K52="Принят без записи",$K52="Динамика состояния",$K52="Статус диагноза",AND($K52="Онкологический консилиум",$M52="Расхождение данных"),AND($K52="Превышен срок",$M52="Исследование"),AND($K52="Отсутствует протокол",$M52="Протокол исследования"),AND($K52="Дата записи",$M52="Исследование "),$K52="К сведению ГП/ЦАОП",$K52="Некорректное обращение с пациентом",$K52="Тактика ведения",$K52="Отказ в приеме")</formula>
    </cfRule>
    <cfRule type="expression" dxfId="791" priority="923">
      <formula>OR($K52="Онкологический консилиум",$K52="Дата записи",$K52="Возврат в МО без приема",$K52="Данные о биопсии",$K52="КАНЦЕР-регистр",$K52="Отказ от записи ",$K52="Отсутствует протокол",$K52="Превышен срок")</formula>
    </cfRule>
  </conditionalFormatting>
  <conditionalFormatting sqref="P53">
    <cfRule type="expression" dxfId="790" priority="918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789" priority="915">
      <formula>ISBLANK($K53)</formula>
    </cfRule>
    <cfRule type="expression" dxfId="788" priority="919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787" priority="920">
      <formula>NOT(ISBLANK(K53))</formula>
    </cfRule>
  </conditionalFormatting>
  <conditionalFormatting sqref="P53">
    <cfRule type="expression" dxfId="786" priority="916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785" priority="917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56">
    <cfRule type="expression" dxfId="784" priority="912">
      <formula>OR($K56="Цель приема",$K56="Отказ в приеме",$K56="Тактика ведения",$K56="Не дозвонились в течение 2-х дней",$K56="Паллиатив/Патронаж",$K56="Отказ от сопровождения в проекте",$K56="Отказ от сопровождения персональным помощником",$K56="Нарушение маршрутизации",$K56="КАНЦЕР-регистр")</formula>
    </cfRule>
  </conditionalFormatting>
  <conditionalFormatting sqref="M56">
    <cfRule type="expression" dxfId="783" priority="909">
      <formula>ISBLANK($K56)</formula>
    </cfRule>
    <cfRule type="expression" dxfId="782" priority="913">
      <formula>OR($K56="Клиника женского здоровья",$K56="Принят без записи",$K56="Динамика состояния",$K56="Статус диагноза",$K56="К сведению ГП/ЦАОП",$K56="Некорректное обращение с пациентом",$K56="Отказ от сопровождения персональным помощником")</formula>
    </cfRule>
    <cfRule type="expression" dxfId="781" priority="914">
      <formula>NOT(ISBLANK(K56))</formula>
    </cfRule>
  </conditionalFormatting>
  <conditionalFormatting sqref="P56">
    <cfRule type="expression" dxfId="780" priority="910">
      <formula>OR($M56="Врач",$K56="Клиника женского здоровья",$K56="Принят без записи",$K56="Динамика состояния",$K56="Статус диагноза",AND($K56="Онкологический консилиум",$M56="Расхождение данных"),AND($K56="Превышен срок",$M56="Исследование"),AND($K56="Отсутствует протокол",$M56="Протокол исследования"),AND($K56="Дата записи",$M56="Исследование "),$K56="К сведению ГП/ЦАОП",$K56="Некорректное обращение с пациентом",$K56="Тактика ведения",$K56="Отказ в приеме")</formula>
    </cfRule>
    <cfRule type="expression" dxfId="779" priority="911">
      <formula>OR($K56="Онкологический консилиум",$K56="Дата записи",$K56="Возврат в МО без приема",$K56="Данные о биопсии",$K56="КАНЦЕР-регистр",$K56="Отказ от записи ",$K56="Отсутствует протокол",$K56="Превышен срок")</formula>
    </cfRule>
  </conditionalFormatting>
  <conditionalFormatting sqref="M60">
    <cfRule type="expression" dxfId="778" priority="906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777" priority="903">
      <formula>ISBLANK($K60)</formula>
    </cfRule>
    <cfRule type="expression" dxfId="776" priority="907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775" priority="908">
      <formula>NOT(ISBLANK(K60))</formula>
    </cfRule>
  </conditionalFormatting>
  <conditionalFormatting sqref="P60">
    <cfRule type="expression" dxfId="774" priority="904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773" priority="905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M61">
    <cfRule type="expression" dxfId="772" priority="900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771" priority="897">
      <formula>ISBLANK($K61)</formula>
    </cfRule>
    <cfRule type="expression" dxfId="770" priority="901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769" priority="902">
      <formula>NOT(ISBLANK(K61))</formula>
    </cfRule>
  </conditionalFormatting>
  <conditionalFormatting sqref="P61">
    <cfRule type="expression" dxfId="768" priority="898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767" priority="899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M62">
    <cfRule type="expression" dxfId="766" priority="8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765" priority="891">
      <formula>ISBLANK($K62)</formula>
    </cfRule>
    <cfRule type="expression" dxfId="764" priority="8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763" priority="896">
      <formula>NOT(ISBLANK(K62))</formula>
    </cfRule>
  </conditionalFormatting>
  <conditionalFormatting sqref="P62">
    <cfRule type="expression" dxfId="762" priority="892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761" priority="893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4:M66">
    <cfRule type="expression" dxfId="760" priority="888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:M66">
    <cfRule type="expression" dxfId="759" priority="887">
      <formula>ISBLANK($K64)</formula>
    </cfRule>
    <cfRule type="expression" dxfId="758" priority="889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757" priority="890">
      <formula>NOT(ISBLANK(K64))</formula>
    </cfRule>
  </conditionalFormatting>
  <conditionalFormatting sqref="M75">
    <cfRule type="expression" dxfId="756" priority="878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">
    <cfRule type="expression" dxfId="755" priority="875">
      <formula>ISBLANK($K75)</formula>
    </cfRule>
    <cfRule type="expression" dxfId="754" priority="879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753" priority="880">
      <formula>NOT(ISBLANK(K75))</formula>
    </cfRule>
  </conditionalFormatting>
  <conditionalFormatting sqref="P75">
    <cfRule type="expression" dxfId="752" priority="876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751" priority="877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P76">
    <cfRule type="expression" dxfId="750" priority="872">
      <formula>OR($K76="Цель приема",$K76="Отказ в приеме",$K76="Тактика ведения",$K76="Не дозвонились в течение 2-х дней",$K76="Паллиатив/Патронаж",$K76="Отказ от сопровождения в проекте",$K76="Отказ от сопровождения персональным помощником",$K76="Нарушение маршрутизации",$K76="КАНЦЕР-регистр")</formula>
    </cfRule>
  </conditionalFormatting>
  <conditionalFormatting sqref="M76">
    <cfRule type="expression" dxfId="749" priority="869">
      <formula>ISBLANK($K76)</formula>
    </cfRule>
    <cfRule type="expression" dxfId="748" priority="873">
      <formula>OR($K76="Клиника женского здоровья",$K76="Принят без записи",$K76="Динамика состояния",$K76="Статус диагноза",$K76="К сведению ГП/ЦАОП",$K76="Некорректное обращение с пациентом",$K76="Отказ от сопровождения персональным помощником")</formula>
    </cfRule>
    <cfRule type="expression" dxfId="747" priority="874">
      <formula>NOT(ISBLANK(K76))</formula>
    </cfRule>
  </conditionalFormatting>
  <conditionalFormatting sqref="P76">
    <cfRule type="expression" dxfId="746" priority="870">
      <formula>OR($M76="Врач",$K76="Клиника женского здоровья",$K76="Принят без записи",$K76="Динамика состояния",$K76="Статус диагноза",AND($K76="Онкологический консилиум",$M76="Расхождение данных"),AND($K76="Превышен срок",$M76="Исследование"),AND($K76="Отсутствует протокол",$M76="Протокол исследования"),AND($K76="Дата записи",$M76="Исследование "),$K76="К сведению ГП/ЦАОП",$K76="Некорректное обращение с пациентом",$K76="Тактика ведения",$K76="Отказ в приеме")</formula>
    </cfRule>
    <cfRule type="expression" dxfId="745" priority="871">
      <formula>OR($K76="Онкологический консилиум",$K76="Дата записи",$K76="Возврат в МО без приема",$K76="Данные о биопсии",$K76="КАНЦЕР-регистр",$K76="Отказ от записи ",$K76="Отсутствует протокол",$K76="Превышен срок")</formula>
    </cfRule>
  </conditionalFormatting>
  <conditionalFormatting sqref="P80">
    <cfRule type="expression" dxfId="744" priority="868">
      <formula>OR($K80="Цель приема",$K80="Отказ в приеме",$K80="Тактика ведения",$K80="Не дозвонились в течение 2-х дней",$K80="Паллиатив/Патронаж",$K80="Отказ от сопровождения в проекте",$K80="Отказ от сопровождения персональным помощником",$K80="Нарушение маршрутизации",$K80="КАНЦЕР-регистр")</formula>
    </cfRule>
  </conditionalFormatting>
  <conditionalFormatting sqref="P80">
    <cfRule type="expression" dxfId="743" priority="866">
      <formula>OR($M80="Врач",$K80="Клиника женского здоровья",$K80="Принят без записи",$K80="Динамика состояния",$K80="Статус диагноза",AND($K80="Онкологический консилиум",$M80="Расхождение данных"),AND($K80="Превышен срок",$M80="Исследование"),AND($K80="Отсутствует протокол",$M80="Протокол исследования"),AND($K80="Дата записи",$M80="Исследование "),$K80="К сведению ГП/ЦАОП",$K80="Некорректное обращение с пациентом",$K80="Тактика ведения",$K80="Отказ в приеме")</formula>
    </cfRule>
    <cfRule type="expression" dxfId="742" priority="867">
      <formula>OR($K80="Онкологический консилиум",$K80="Дата записи",$K80="Возврат в МО без приема",$K80="Данные о биопсии",$K80="КАНЦЕР-регистр",$K80="Отказ от записи ",$K80="Отсутствует протокол",$K80="Превышен срок")</formula>
    </cfRule>
  </conditionalFormatting>
  <conditionalFormatting sqref="M81">
    <cfRule type="expression" dxfId="741" priority="863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M81">
    <cfRule type="expression" dxfId="740" priority="860">
      <formula>ISBLANK($K81)</formula>
    </cfRule>
    <cfRule type="expression" dxfId="739" priority="864">
      <formula>OR($K81="Клиника женского здоровья",$K81="Принят без записи",$K81="Динамика состояния",$K81="Статус диагноза",$K81="К сведению ГП/ЦАОП",$K81="Некорректное обращение с пациентом",$K81="Отказ от сопровождения персональным помощником")</formula>
    </cfRule>
    <cfRule type="expression" dxfId="738" priority="865">
      <formula>NOT(ISBLANK(K81))</formula>
    </cfRule>
  </conditionalFormatting>
  <conditionalFormatting sqref="M82">
    <cfRule type="expression" dxfId="737" priority="853">
      <formula>OR($K82="Цель приема",$K82="Отказ в приеме",$K82="Тактика ведения",$K82="Не дозвонились в течение 2-х дней",$K82="Паллиатив/Патронаж",$K82="Отказ от сопровождения в проекте",$K82="Отказ от сопровождения персональным помощником",$K82="Нарушение маршрутизации",$K82="КАНЦЕР-регистр")</formula>
    </cfRule>
  </conditionalFormatting>
  <conditionalFormatting sqref="M82">
    <cfRule type="expression" dxfId="736" priority="850">
      <formula>ISBLANK($K82)</formula>
    </cfRule>
    <cfRule type="expression" dxfId="735" priority="854">
      <formula>OR($K82="Клиника женского здоровья",$K82="Принят без записи",$K82="Динамика состояния",$K82="Статус диагноза",$K82="К сведению ГП/ЦАОП",$K82="Некорректное обращение с пациентом",$K82="Отказ от сопровождения персональным помощником")</formula>
    </cfRule>
    <cfRule type="expression" dxfId="734" priority="855">
      <formula>NOT(ISBLANK(K82))</formula>
    </cfRule>
  </conditionalFormatting>
  <conditionalFormatting sqref="P82">
    <cfRule type="expression" dxfId="733" priority="851">
      <formula>OR($M82="Врач",$K82="Клиника женского здоровья",$K82="Принят без записи",$K82="Динамика состояния",$K82="Статус диагноза",AND($K82="Онкологический консилиум",$M82="Расхождение данных"),AND($K82="Превышен срок",$M82="Исследование"),AND($K82="Отсутствует протокол",$M82="Протокол исследования"),AND($K82="Дата записи",$M82="Исследование "),$K82="К сведению ГП/ЦАОП",$K82="Некорректное обращение с пациентом",$K82="Тактика ведения",$K82="Отказ в приеме")</formula>
    </cfRule>
    <cfRule type="expression" dxfId="732" priority="852">
      <formula>OR($K82="Онкологический консилиум",$K82="Дата записи",$K82="Возврат в МО без приема",$K82="Данные о биопсии",$K82="КАНЦЕР-регистр",$K82="Отказ от записи ",$K82="Отсутствует протокол",$K82="Превышен срок")</formula>
    </cfRule>
  </conditionalFormatting>
  <conditionalFormatting sqref="M83">
    <cfRule type="expression" dxfId="731" priority="847">
      <formula>OR($K83="Цель приема",$K83="Отказ в приеме",$K83="Тактика ведения",$K83="Не дозвонились в течение 2-х дней",$K83="Паллиатив/Патронаж",$K83="Отказ от сопровождения в проекте",$K83="Отказ от сопровождения персональным помощником",$K83="Нарушение маршрутизации",$K83="КАНЦЕР-регистр")</formula>
    </cfRule>
  </conditionalFormatting>
  <conditionalFormatting sqref="M83">
    <cfRule type="expression" dxfId="730" priority="844">
      <formula>ISBLANK($K83)</formula>
    </cfRule>
    <cfRule type="expression" dxfId="729" priority="848">
      <formula>OR($K83="Клиника женского здоровья",$K83="Принят без записи",$K83="Динамика состояния",$K83="Статус диагноза",$K83="К сведению ГП/ЦАОП",$K83="Некорректное обращение с пациентом",$K83="Отказ от сопровождения персональным помощником")</formula>
    </cfRule>
    <cfRule type="expression" dxfId="728" priority="849">
      <formula>NOT(ISBLANK(K83))</formula>
    </cfRule>
  </conditionalFormatting>
  <conditionalFormatting sqref="P83">
    <cfRule type="expression" dxfId="727" priority="845">
      <formula>OR($M83="Врач",$K83="Клиника женского здоровья",$K83="Принят без записи",$K83="Динамика состояния",$K83="Статус диагноза",AND($K83="Онкологический консилиум",$M83="Расхождение данных"),AND($K83="Превышен срок",$M83="Исследование"),AND($K83="Отсутствует протокол",$M83="Протокол исследования"),AND($K83="Дата записи",$M83="Исследование "),$K83="К сведению ГП/ЦАОП",$K83="Некорректное обращение с пациентом",$K83="Тактика ведения",$K83="Отказ в приеме")</formula>
    </cfRule>
    <cfRule type="expression" dxfId="726" priority="846">
      <formula>OR($K83="Онкологический консилиум",$K83="Дата записи",$K83="Возврат в МО без приема",$K83="Данные о биопсии",$K83="КАНЦЕР-регистр",$K83="Отказ от записи ",$K83="Отсутствует протокол",$K83="Превышен срок")</formula>
    </cfRule>
  </conditionalFormatting>
  <conditionalFormatting sqref="P87">
    <cfRule type="expression" dxfId="725" priority="843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P87">
    <cfRule type="expression" dxfId="724" priority="841">
      <formula>OR($M87="Врач",$K87="Клиника женского здоровья",$K87="Принят без записи",$K87="Динамика состояния",$K87="Статус диагноза",AND($K87="Онкологический консилиум",$M87="Расхождение данных"),AND($K87="Превышен срок",$M87="Исследование"),AND($K87="Отсутствует протокол",$M87="Протокол исследования"),AND($K87="Дата записи",$M87="Исследование "),$K87="К сведению ГП/ЦАОП",$K87="Некорректное обращение с пациентом",$K87="Тактика ведения",$K87="Отказ в приеме")</formula>
    </cfRule>
    <cfRule type="expression" dxfId="723" priority="842">
      <formula>OR($K87="Онкологический консилиум",$K87="Дата записи",$K87="Возврат в МО без приема",$K87="Данные о биопсии",$K87="КАНЦЕР-регистр",$K87="Отказ от записи ",$K87="Отсутствует протокол",$K87="Превышен срок")</formula>
    </cfRule>
  </conditionalFormatting>
  <conditionalFormatting sqref="M87">
    <cfRule type="expression" dxfId="722" priority="837">
      <formula>ISBLANK($K87)</formula>
    </cfRule>
    <cfRule type="expression" dxfId="721" priority="838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  <cfRule type="expression" dxfId="720" priority="839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719" priority="840">
      <formula>NOT(ISBLANK(K87))</formula>
    </cfRule>
  </conditionalFormatting>
  <conditionalFormatting sqref="M90">
    <cfRule type="expression" dxfId="718" priority="834">
      <formula>OR($K90="Цель приема",$K90="Отказ в приеме",$K90="Тактика ведения",$K90="Не дозвонились в течение 2-х дней",$K90="Паллиатив/Патронаж",$K90="Отказ от сопровождения в проекте",$K90="Отказ от сопровождения персональным помощником",$K90="Нарушение маршрутизации",$K90="КАНЦЕР-регистр")</formula>
    </cfRule>
  </conditionalFormatting>
  <conditionalFormatting sqref="M90">
    <cfRule type="expression" dxfId="717" priority="831">
      <formula>ISBLANK($K90)</formula>
    </cfRule>
    <cfRule type="expression" dxfId="716" priority="835">
      <formula>OR($K90="Клиника женского здоровья",$K90="Принят без записи",$K90="Динамика состояния",$K90="Статус диагноза",$K90="К сведению ГП/ЦАОП",$K90="Некорректное обращение с пациентом",$K90="Отказ от сопровождения персональным помощником")</formula>
    </cfRule>
    <cfRule type="expression" dxfId="715" priority="836">
      <formula>NOT(ISBLANK(K90))</formula>
    </cfRule>
  </conditionalFormatting>
  <conditionalFormatting sqref="P90">
    <cfRule type="expression" dxfId="714" priority="832">
      <formula>OR($M90="Врач",$K90="Клиника женского здоровья",$K90="Принят без записи",$K90="Динамика состояния",$K90="Статус диагноза",AND($K90="Онкологический консилиум",$M90="Расхождение данных"),AND($K90="Превышен срок",$M90="Исследование"),AND($K90="Отсутствует протокол",$M90="Протокол исследования"),AND($K90="Дата записи",$M90="Исследование "),$K90="К сведению ГП/ЦАОП",$K90="Некорректное обращение с пациентом",$K90="Тактика ведения",$K90="Отказ в приеме")</formula>
    </cfRule>
    <cfRule type="expression" dxfId="713" priority="833">
      <formula>OR($K90="Онкологический консилиум",$K90="Дата записи",$K90="Возврат в МО без приема",$K90="Данные о биопсии",$K90="КАНЦЕР-регистр",$K90="Отказ от записи ",$K90="Отсутствует протокол",$K90="Превышен срок")</formula>
    </cfRule>
  </conditionalFormatting>
  <conditionalFormatting sqref="M91">
    <cfRule type="expression" dxfId="712" priority="828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711" priority="825">
      <formula>ISBLANK($K91)</formula>
    </cfRule>
    <cfRule type="expression" dxfId="710" priority="829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709" priority="830">
      <formula>NOT(ISBLANK(K91))</formula>
    </cfRule>
  </conditionalFormatting>
  <conditionalFormatting sqref="P91:P93">
    <cfRule type="expression" dxfId="708" priority="826">
      <formula>OR($M91="Врач",$K91="Клиника женского здоровья",$K91="Принят без записи",$K91="Динамика состояния",$K91="Статус диагноза",AND($K91="Онкологический консилиум",$M91="Расхождение данных"),AND($K91="Превышен срок",$M91="Исследование"),AND($K91="Отсутствует протокол",$M91="Протокол исследования"),AND($K91="Дата записи",$M91="Исследование "),$K91="К сведению ГП/ЦАОП",$K91="Некорректное обращение с пациентом",$K91="Тактика ведения",$K91="Отказ в приеме")</formula>
    </cfRule>
    <cfRule type="expression" dxfId="707" priority="827">
      <formula>OR($K91="Онкологический консилиум",$K91="Дата записи",$K91="Возврат в МО без приема",$K91="Данные о биопсии",$K91="КАНЦЕР-регистр",$K91="Отказ от записи ",$K91="Отсутствует протокол",$K91="Превышен срок")</formula>
    </cfRule>
  </conditionalFormatting>
  <conditionalFormatting sqref="M92">
    <cfRule type="expression" dxfId="706" priority="822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705" priority="821">
      <formula>ISBLANK($K92)</formula>
    </cfRule>
    <cfRule type="expression" dxfId="704" priority="823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703" priority="824">
      <formula>NOT(ISBLANK(K92))</formula>
    </cfRule>
  </conditionalFormatting>
  <conditionalFormatting sqref="P94">
    <cfRule type="expression" dxfId="702" priority="818">
      <formula>OR($M94="Врач",$K94="Клиника женского здоровья",$K94="Принят без записи",$K94="Динамика состояния",$K94="Статус диагноза",AND($K94="Онкологический консилиум",$M94="Расхождение данных"),AND($K94="Превышен срок",$M94="Исследование"),AND($K94="Отсутствует протокол",$M94="Протокол исследования"),AND($K94="Дата записи",$M94="Исследование "),$K94="К сведению ГП/ЦАОП",$K94="Некорректное обращение с пациентом",$K94="Тактика ведения",$K94="Отказ в приеме")</formula>
    </cfRule>
    <cfRule type="expression" dxfId="701" priority="819">
      <formula>OR($K94="Онкологический консилиум",$K94="Дата записи",$K94="Возврат в МО без приема",$K94="Данные о биопсии",$K94="КАНЦЕР-регистр",$K94="Отказ от записи ",$K94="Отсутствует протокол",$K94="Превышен срок")</formula>
    </cfRule>
    <cfRule type="expression" dxfId="700" priority="820">
      <formula>OR($K94="Цель приема",$K94="Отказ в приеме",$K94="Тактика ведения",$K94="Не дозвонились в течение 2-х дней",$K94="Паллиатив/Патронаж",$K94="Отказ от сопровождения в проекте",$K94="Отказ от сопровождения персональным помощником",$K94="Нарушение маршрутизации",$K94="КАНЦЕР-регистр")</formula>
    </cfRule>
  </conditionalFormatting>
  <conditionalFormatting sqref="M94">
    <cfRule type="expression" dxfId="699" priority="814">
      <formula>ISBLANK($K94)</formula>
    </cfRule>
    <cfRule type="expression" dxfId="698" priority="815">
      <formula>OR($K94="Цель приема",$K94="Отказ в приеме",$K94="Тактика ведения",$K94="Не дозвонились в течение 2-х дней",$K94="Паллиатив/Патронаж",$K94="Отказ от сопровождения в проекте",$K94="Отказ от сопровождения персональным помощником",$K94="Нарушение маршрутизации",$K94="КАНЦЕР-регистр")</formula>
    </cfRule>
    <cfRule type="expression" dxfId="697" priority="816">
      <formula>OR($K94="Клиника женского здоровья",$K94="Принят без записи",$K94="Динамика состояния",$K94="Статус диагноза",$K94="К сведению ГП/ЦАОП",$K94="Некорректное обращение с пациентом",$K94="Отказ от сопровождения персональным помощником")</formula>
    </cfRule>
    <cfRule type="expression" dxfId="696" priority="817">
      <formula>NOT(ISBLANK(K94))</formula>
    </cfRule>
  </conditionalFormatting>
  <conditionalFormatting sqref="P103">
    <cfRule type="expression" dxfId="695" priority="798">
      <formula>OR($K103="Цель приема",$K103="Отказ в приеме",$K103="Тактика ведения",$K103="Не дозвонились в течение 2-х дней",$K103="Паллиатив/Патронаж",$K103="Отказ от сопровождения в проекте",$K103="Отказ от сопровождения персональным помощником",$K103="Нарушение маршрутизации",$K103="КАНЦЕР-регистр")</formula>
    </cfRule>
  </conditionalFormatting>
  <conditionalFormatting sqref="M103">
    <cfRule type="expression" dxfId="694" priority="795">
      <formula>ISBLANK($K103)</formula>
    </cfRule>
    <cfRule type="expression" dxfId="693" priority="799">
      <formula>OR($K103="Клиника женского здоровья",$K103="Принят без записи",$K103="Динамика состояния",$K103="Статус диагноза",$K103="К сведению ГП/ЦАОП",$K103="Некорректное обращение с пациентом",$K103="Отказ от сопровождения персональным помощником")</formula>
    </cfRule>
    <cfRule type="expression" dxfId="692" priority="800">
      <formula>NOT(ISBLANK(K103))</formula>
    </cfRule>
  </conditionalFormatting>
  <conditionalFormatting sqref="P103">
    <cfRule type="expression" dxfId="691" priority="796">
      <formula>OR($M103="Врач",$K103="Клиника женского здоровья",$K103="Принят без записи",$K103="Динамика состояния",$K103="Статус диагноза",AND($K103="Онкологический консилиум",$M103="Расхождение данных"),AND($K103="Превышен срок",$M103="Исследование"),AND($K103="Отсутствует протокол",$M103="Протокол исследования"),AND($K103="Дата записи",$M103="Исследование "),$K103="К сведению ГП/ЦАОП",$K103="Некорректное обращение с пациентом",$K103="Тактика ведения",$K103="Отказ в приеме")</formula>
    </cfRule>
    <cfRule type="expression" dxfId="690" priority="797">
      <formula>OR($K103="Онкологический консилиум",$K103="Дата записи",$K103="Возврат в МО без приема",$K103="Данные о биопсии",$K103="КАНЦЕР-регистр",$K103="Отказ от записи ",$K103="Отсутствует протокол",$K103="Превышен срок")</formula>
    </cfRule>
  </conditionalFormatting>
  <conditionalFormatting sqref="M108">
    <cfRule type="expression" dxfId="689" priority="786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688" priority="783">
      <formula>ISBLANK($K108)</formula>
    </cfRule>
    <cfRule type="expression" dxfId="687" priority="787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686" priority="788">
      <formula>NOT(ISBLANK(K108))</formula>
    </cfRule>
  </conditionalFormatting>
  <conditionalFormatting sqref="P108">
    <cfRule type="expression" dxfId="685" priority="784">
      <formula>OR($M108="Врач",$K108="Клиника женского здоровья",$K108="Принят без записи",$K108="Динамика состояния",$K108="Статус диагноза",AND($K108="Онкологический консилиум",$M108="Расхождение данных"),AND($K108="Превышен срок",$M108="Исследование"),AND($K108="Отсутствует протокол",$M108="Протокол исследования"),AND($K108="Дата записи",$M108="Исследование "),$K108="К сведению ГП/ЦАОП",$K108="Некорректное обращение с пациентом",$K108="Тактика ведения",$K108="Отказ в приеме")</formula>
    </cfRule>
    <cfRule type="expression" dxfId="684" priority="785">
      <formula>OR($K108="Онкологический консилиум",$K108="Дата записи",$K108="Возврат в МО без приема",$K108="Данные о биопсии",$K108="КАНЦЕР-регистр",$K108="Отказ от записи ",$K108="Отсутствует протокол",$K108="Превышен срок")</formula>
    </cfRule>
  </conditionalFormatting>
  <conditionalFormatting sqref="M110">
    <cfRule type="expression" dxfId="683" priority="780">
      <formula>OR($K110="Цель приема",$K110="Отказ в приеме",$K110="Тактика ведения",$K110="Не дозвонились в течение 2-х дней",$K110="Паллиатив/Патронаж",$K110="Отказ от сопровождения в проекте",$K110="Отказ от сопровождения персональным помощником",$K110="Нарушение маршрутизации",$K110="КАНЦЕР-регистр")</formula>
    </cfRule>
  </conditionalFormatting>
  <conditionalFormatting sqref="M110">
    <cfRule type="expression" dxfId="682" priority="777">
      <formula>ISBLANK($K110)</formula>
    </cfRule>
    <cfRule type="expression" dxfId="681" priority="781">
      <formula>OR($K110="Клиника женского здоровья",$K110="Принят без записи",$K110="Динамика состояния",$K110="Статус диагноза",$K110="К сведению ГП/ЦАОП",$K110="Некорректное обращение с пациентом",$K110="Отказ от сопровождения персональным помощником")</formula>
    </cfRule>
    <cfRule type="expression" dxfId="680" priority="782">
      <formula>NOT(ISBLANK(K110))</formula>
    </cfRule>
  </conditionalFormatting>
  <conditionalFormatting sqref="P110">
    <cfRule type="expression" dxfId="679" priority="778">
      <formula>OR($M110="Врач",$K110="Клиника женского здоровья",$K110="Принят без записи",$K110="Динамика состояния",$K110="Статус диагноза",AND($K110="Онкологический консилиум",$M110="Расхождение данных"),AND($K110="Превышен срок",$M110="Исследование"),AND($K110="Отсутствует протокол",$M110="Протокол исследования"),AND($K110="Дата записи",$M110="Исследование "),$K110="К сведению ГП/ЦАОП",$K110="Некорректное обращение с пациентом",$K110="Тактика ведения",$K110="Отказ в приеме")</formula>
    </cfRule>
    <cfRule type="expression" dxfId="678" priority="779">
      <formula>OR($K110="Онкологический консилиум",$K110="Дата записи",$K110="Возврат в МО без приема",$K110="Данные о биопсии",$K110="КАНЦЕР-регистр",$K110="Отказ от записи ",$K110="Отсутствует протокол",$K110="Превышен срок")</formula>
    </cfRule>
  </conditionalFormatting>
  <conditionalFormatting sqref="M112">
    <cfRule type="expression" dxfId="677" priority="755">
      <formula>OR($K112="Цель приема",$K112="Отказ в приеме",$K112="Тактика ведения",$K112="Не дозвонились в течение 2-х дней",$K112="Паллиатив/Патронаж",$K112="Отказ от сопровождения в проекте",$K112="Отказ от сопровождения персональным помощником",$K112="Нарушение маршрутизации",$K112="КАНЦЕР-регистр")</formula>
    </cfRule>
  </conditionalFormatting>
  <conditionalFormatting sqref="M112">
    <cfRule type="expression" dxfId="676" priority="752">
      <formula>ISBLANK($K112)</formula>
    </cfRule>
    <cfRule type="expression" dxfId="675" priority="756">
      <formula>OR($K112="Клиника женского здоровья",$K112="Принят без записи",$K112="Динамика состояния",$K112="Статус диагноза",$K112="К сведению ГП/ЦАОП",$K112="Некорректное обращение с пациентом",$K112="Отказ от сопровождения персональным помощником")</formula>
    </cfRule>
    <cfRule type="expression" dxfId="674" priority="757">
      <formula>NOT(ISBLANK(K112))</formula>
    </cfRule>
  </conditionalFormatting>
  <conditionalFormatting sqref="P112">
    <cfRule type="expression" dxfId="673" priority="753">
      <formula>OR($M112="Врач",$K112="Клиника женского здоровья",$K112="Принят без записи",$K112="Динамика состояния",$K112="Статус диагноза",AND($K112="Онкологический консилиум",$M112="Расхождение данных"),AND($K112="Превышен срок",$M112="Исследование"),AND($K112="Отсутствует протокол",$M112="Протокол исследования"),AND($K112="Дата записи",$M112="Исследование "),$K112="К сведению ГП/ЦАОП",$K112="Некорректное обращение с пациентом",$K112="Тактика ведения",$K112="Отказ в приеме")</formula>
    </cfRule>
    <cfRule type="expression" dxfId="672" priority="754">
      <formula>OR($K112="Онкологический консилиум",$K112="Дата записи",$K112="Возврат в МО без приема",$K112="Данные о биопсии",$K112="КАНЦЕР-регистр",$K112="Отказ от записи ",$K112="Отсутствует протокол",$K112="Превышен срок")</formula>
    </cfRule>
  </conditionalFormatting>
  <conditionalFormatting sqref="M113">
    <cfRule type="expression" dxfId="671" priority="749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M113">
    <cfRule type="expression" dxfId="670" priority="746">
      <formula>ISBLANK($K113)</formula>
    </cfRule>
    <cfRule type="expression" dxfId="669" priority="750">
      <formula>OR($K113="Клиника женского здоровья",$K113="Принят без записи",$K113="Динамика состояния",$K113="Статус диагноза",$K113="К сведению ГП/ЦАОП",$K113="Некорректное обращение с пациентом",$K113="Отказ от сопровождения персональным помощником")</formula>
    </cfRule>
    <cfRule type="expression" dxfId="668" priority="751">
      <formula>NOT(ISBLANK(K113))</formula>
    </cfRule>
  </conditionalFormatting>
  <conditionalFormatting sqref="P113">
    <cfRule type="expression" dxfId="667" priority="747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666" priority="748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M114">
    <cfRule type="expression" dxfId="665" priority="743">
      <formula>OR($K114="Цель приема",$K114="Отказ в приеме",$K114="Тактика ведения",$K114="Не дозвонились в течение 2-х дней",$K114="Паллиатив/Патронаж",$K114="Отказ от сопровождения в проекте",$K114="Отказ от сопровождения персональным помощником",$K114="Нарушение маршрутизации",$K114="КАНЦЕР-регистр")</formula>
    </cfRule>
  </conditionalFormatting>
  <conditionalFormatting sqref="M114">
    <cfRule type="expression" dxfId="664" priority="740">
      <formula>ISBLANK($K114)</formula>
    </cfRule>
    <cfRule type="expression" dxfId="663" priority="744">
      <formula>OR($K114="Клиника женского здоровья",$K114="Принят без записи",$K114="Динамика состояния",$K114="Статус диагноза",$K114="К сведению ГП/ЦАОП",$K114="Некорректное обращение с пациентом",$K114="Отказ от сопровождения персональным помощником")</formula>
    </cfRule>
    <cfRule type="expression" dxfId="662" priority="745">
      <formula>NOT(ISBLANK(K114))</formula>
    </cfRule>
  </conditionalFormatting>
  <conditionalFormatting sqref="P114">
    <cfRule type="expression" dxfId="661" priority="741">
      <formula>OR($M114="Врач",$K114="Клиника женского здоровья",$K114="Принят без записи",$K114="Динамика состояния",$K114="Статус диагноза",AND($K114="Онкологический консилиум",$M114="Расхождение данных"),AND($K114="Превышен срок",$M114="Исследование"),AND($K114="Отсутствует протокол",$M114="Протокол исследования"),AND($K114="Дата записи",$M114="Исследование "),$K114="К сведению ГП/ЦАОП",$K114="Некорректное обращение с пациентом",$K114="Тактика ведения",$K114="Отказ в приеме")</formula>
    </cfRule>
    <cfRule type="expression" dxfId="660" priority="742">
      <formula>OR($K114="Онкологический консилиум",$K114="Дата записи",$K114="Возврат в МО без приема",$K114="Данные о биопсии",$K114="КАНЦЕР-регистр",$K114="Отказ от записи ",$K114="Отсутствует протокол",$K114="Превышен срок")</formula>
    </cfRule>
  </conditionalFormatting>
  <conditionalFormatting sqref="P189">
    <cfRule type="expression" dxfId="659" priority="716">
      <formula>OR($K189="Цель приема",$K189="Отказ в приеме",$K189="Тактика ведения",$K189="Не дозвонились в течение 2-х дней",$K189="Паллиатив/Патронаж",$K189="Отказ от сопровождения в проекте",$K189="Отказ от сопровождения персональным помощником",$K189="Нарушение маршрутизации",$K189="КАНЦЕР-регистр")</formula>
    </cfRule>
  </conditionalFormatting>
  <conditionalFormatting sqref="M189">
    <cfRule type="expression" dxfId="658" priority="713">
      <formula>ISBLANK($K189)</formula>
    </cfRule>
    <cfRule type="expression" dxfId="657" priority="717">
      <formula>OR($K189="Клиника женского здоровья",$K189="Принят без записи",$K189="Динамика состояния",$K189="Статус диагноза",$K189="К сведению ГП/ЦАОП",$K189="Некорректное обращение с пациентом",$K189="Отказ от сопровождения персональным помощником")</formula>
    </cfRule>
    <cfRule type="expression" dxfId="656" priority="718">
      <formula>NOT(ISBLANK(K189))</formula>
    </cfRule>
  </conditionalFormatting>
  <conditionalFormatting sqref="P189">
    <cfRule type="expression" dxfId="655" priority="714">
      <formula>OR($M189="Врач",$K189="Клиника женского здоровья",$K189="Принят без записи",$K189="Динамика состояния",$K189="Статус диагноза",AND($K189="Онкологический консилиум",$M189="Расхождение данных"),AND($K189="Превышен срок",$M189="Исследование"),AND($K189="Отсутствует протокол",$M189="Протокол исследования"),AND($K189="Дата записи",$M189="Исследование "),$K189="К сведению ГП/ЦАОП",$K189="Некорректное обращение с пациентом",$K189="Тактика ведения",$K189="Отказ в приеме")</formula>
    </cfRule>
    <cfRule type="expression" dxfId="654" priority="715">
      <formula>OR($K189="Онкологический консилиум",$K189="Дата записи",$K189="Возврат в МО без приема",$K189="Данные о биопсии",$K189="КАНЦЕР-регистр",$K189="Отказ от записи ",$K189="Отсутствует протокол",$K189="Превышен срок")</formula>
    </cfRule>
  </conditionalFormatting>
  <conditionalFormatting sqref="P190">
    <cfRule type="expression" dxfId="653" priority="710">
      <formula>OR($K190="Цель приема",$K190="Отказ в приеме",$K190="Тактика ведения",$K190="Не дозвонились в течение 2-х дней",$K190="Паллиатив/Патронаж",$K190="Отказ от сопровождения в проекте",$K190="Отказ от сопровождения персональным помощником",$K190="Нарушение маршрутизации",$K190="КАНЦЕР-регистр")</formula>
    </cfRule>
  </conditionalFormatting>
  <conditionalFormatting sqref="M190">
    <cfRule type="expression" dxfId="652" priority="707">
      <formula>ISBLANK($K190)</formula>
    </cfRule>
    <cfRule type="expression" dxfId="651" priority="711">
      <formula>OR($K190="Клиника женского здоровья",$K190="Принят без записи",$K190="Динамика состояния",$K190="Статус диагноза",$K190="К сведению ГП/ЦАОП",$K190="Некорректное обращение с пациентом",$K190="Отказ от сопровождения персональным помощником")</formula>
    </cfRule>
    <cfRule type="expression" dxfId="650" priority="712">
      <formula>NOT(ISBLANK(K190))</formula>
    </cfRule>
  </conditionalFormatting>
  <conditionalFormatting sqref="P190">
    <cfRule type="expression" dxfId="649" priority="708">
      <formula>OR($M190="Врач",$K190="Клиника женского здоровья",$K190="Принят без записи",$K190="Динамика состояния",$K190="Статус диагноза",AND($K190="Онкологический консилиум",$M190="Расхождение данных"),AND($K190="Превышен срок",$M190="Исследование"),AND($K190="Отсутствует протокол",$M190="Протокол исследования"),AND($K190="Дата записи",$M190="Исследование "),$K190="К сведению ГП/ЦАОП",$K190="Некорректное обращение с пациентом",$K190="Тактика ведения",$K190="Отказ в приеме")</formula>
    </cfRule>
    <cfRule type="expression" dxfId="648" priority="709">
      <formula>OR($K190="Онкологический консилиум",$K190="Дата записи",$K190="Возврат в МО без приема",$K190="Данные о биопсии",$K190="КАНЦЕР-регистр",$K190="Отказ от записи ",$K190="Отсутствует протокол",$K190="Превышен срок")</formula>
    </cfRule>
  </conditionalFormatting>
  <conditionalFormatting sqref="P191">
    <cfRule type="expression" dxfId="647" priority="704">
      <formula>OR($K191="Цель приема",$K191="Отказ в приеме",$K191="Тактика ведения",$K191="Не дозвонились в течение 2-х дней",$K191="Паллиатив/Патронаж",$K191="Отказ от сопровождения в проекте",$K191="Отказ от сопровождения персональным помощником",$K191="Нарушение маршрутизации",$K191="КАНЦЕР-регистр")</formula>
    </cfRule>
  </conditionalFormatting>
  <conditionalFormatting sqref="M191">
    <cfRule type="expression" dxfId="646" priority="701">
      <formula>ISBLANK($K191)</formula>
    </cfRule>
    <cfRule type="expression" dxfId="645" priority="705">
      <formula>OR($K191="Клиника женского здоровья",$K191="Принят без записи",$K191="Динамика состояния",$K191="Статус диагноза",$K191="К сведению ГП/ЦАОП",$K191="Некорректное обращение с пациентом",$K191="Отказ от сопровождения персональным помощником")</formula>
    </cfRule>
    <cfRule type="expression" dxfId="644" priority="706">
      <formula>NOT(ISBLANK(K191))</formula>
    </cfRule>
  </conditionalFormatting>
  <conditionalFormatting sqref="P191">
    <cfRule type="expression" dxfId="643" priority="702">
      <formula>OR($M191="Врач",$K191="Клиника женского здоровья",$K191="Принят без записи",$K191="Динамика состояния",$K191="Статус диагноза",AND($K191="Онкологический консилиум",$M191="Расхождение данных"),AND($K191="Превышен срок",$M191="Исследование"),AND($K191="Отсутствует протокол",$M191="Протокол исследования"),AND($K191="Дата записи",$M191="Исследование "),$K191="К сведению ГП/ЦАОП",$K191="Некорректное обращение с пациентом",$K191="Тактика ведения",$K191="Отказ в приеме")</formula>
    </cfRule>
    <cfRule type="expression" dxfId="642" priority="703">
      <formula>OR($K191="Онкологический консилиум",$K191="Дата записи",$K191="Возврат в МО без приема",$K191="Данные о биопсии",$K191="КАНЦЕР-регистр",$K191="Отказ от записи ",$K191="Отсутствует протокол",$K191="Превышен срок")</formula>
    </cfRule>
  </conditionalFormatting>
  <conditionalFormatting sqref="M195">
    <cfRule type="expression" dxfId="641" priority="698">
      <formula>OR($K195="Цель приема",$K195="Отказ в приеме",$K195="Тактика ведения",$K195="Не дозвонились в течение 2-х дней",$K195="Паллиатив/Патронаж",$K195="Отказ от сопровождения в проекте",$K195="Отказ от сопровождения персональным помощником",$K195="Нарушение маршрутизации",$K195="КАНЦЕР-регистр")</formula>
    </cfRule>
  </conditionalFormatting>
  <conditionalFormatting sqref="M195">
    <cfRule type="expression" dxfId="640" priority="695">
      <formula>ISBLANK($K195)</formula>
    </cfRule>
    <cfRule type="expression" dxfId="639" priority="699">
      <formula>OR($K195="Клиника женского здоровья",$K195="Принят без записи",$K195="Динамика состояния",$K195="Статус диагноза",$K195="К сведению ГП/ЦАОП",$K195="Некорректное обращение с пациентом",$K195="Отказ от сопровождения персональным помощником")</formula>
    </cfRule>
    <cfRule type="expression" dxfId="638" priority="700">
      <formula>NOT(ISBLANK(K195))</formula>
    </cfRule>
  </conditionalFormatting>
  <conditionalFormatting sqref="P195">
    <cfRule type="expression" dxfId="637" priority="696">
      <formula>OR($M195="Врач",$K195="Клиника женского здоровья",$K195="Принят без записи",$K195="Динамика состояния",$K195="Статус диагноза",AND($K195="Онкологический консилиум",$M195="Расхождение данных"),AND($K195="Превышен срок",$M195="Исследование"),AND($K195="Отсутствует протокол",$M195="Протокол исследования"),AND($K195="Дата записи",$M195="Исследование "),$K195="К сведению ГП/ЦАОП",$K195="Некорректное обращение с пациентом",$K195="Тактика ведения",$K195="Отказ в приеме")</formula>
    </cfRule>
    <cfRule type="expression" dxfId="636" priority="697">
      <formula>OR($K195="Онкологический консилиум",$K195="Дата записи",$K195="Возврат в МО без приема",$K195="Данные о биопсии",$K195="КАНЦЕР-регистр",$K195="Отказ от записи ",$K195="Отсутствует протокол",$K195="Превышен срок")</formula>
    </cfRule>
  </conditionalFormatting>
  <conditionalFormatting sqref="P196">
    <cfRule type="expression" dxfId="635" priority="686">
      <formula>OR($K196="Цель приема",$K196="Отказ в приеме",$K196="Тактика ведения",$K196="Не дозвонились в течение 2-х дней",$K196="Паллиатив/Патронаж",$K196="Отказ от сопровождения в проекте",$K196="Отказ от сопровождения персональным помощником",$K196="Нарушение маршрутизации",$K196="КАНЦЕР-регистр")</formula>
    </cfRule>
  </conditionalFormatting>
  <conditionalFormatting sqref="M196">
    <cfRule type="expression" dxfId="634" priority="683">
      <formula>ISBLANK($K196)</formula>
    </cfRule>
    <cfRule type="expression" dxfId="633" priority="687">
      <formula>OR($K196="Клиника женского здоровья",$K196="Принят без записи",$K196="Динамика состояния",$K196="Статус диагноза",$K196="К сведению ГП/ЦАОП",$K196="Некорректное обращение с пациентом",$K196="Отказ от сопровождения персональным помощником")</formula>
    </cfRule>
    <cfRule type="expression" dxfId="632" priority="688">
      <formula>NOT(ISBLANK(K196))</formula>
    </cfRule>
  </conditionalFormatting>
  <conditionalFormatting sqref="P196">
    <cfRule type="expression" dxfId="631" priority="684">
      <formula>OR($M196="Врач",$K196="Клиника женского здоровья",$K196="Принят без записи",$K196="Динамика состояния",$K196="Статус диагноза",AND($K196="Онкологический консилиум",$M196="Расхождение данных"),AND($K196="Превышен срок",$M196="Исследование"),AND($K196="Отсутствует протокол",$M196="Протокол исследования"),AND($K196="Дата записи",$M196="Исследование "),$K196="К сведению ГП/ЦАОП",$K196="Некорректное обращение с пациентом",$K196="Тактика ведения",$K196="Отказ в приеме")</formula>
    </cfRule>
    <cfRule type="expression" dxfId="630" priority="685">
      <formula>OR($K196="Онкологический консилиум",$K196="Дата записи",$K196="Возврат в МО без приема",$K196="Данные о биопсии",$K196="КАНЦЕР-регистр",$K196="Отказ от записи ",$K196="Отсутствует протокол",$K196="Превышен срок")</formula>
    </cfRule>
  </conditionalFormatting>
  <conditionalFormatting sqref="P209">
    <cfRule type="expression" dxfId="629" priority="679">
      <formula>OR($K209="Цель приема",$K209="Отказ в приеме",$K209="Тактика ведения",$K209="Не дозвонились в течение 2-х дней",$K209="Паллиатив/Патронаж",$K209="Отказ от сопровождения в проекте",$K209="Отказ от сопровождения персональным помощником",$K209="Нарушение маршрутизации",$K209="КАНЦЕР-регистр")</formula>
    </cfRule>
  </conditionalFormatting>
  <conditionalFormatting sqref="P209">
    <cfRule type="expression" dxfId="628" priority="677">
      <formula>OR($M209="Врач",$K209="Клиника женского здоровья",$K209="Принят без записи",$K209="Динамика состояния",$K209="Статус диагноза",AND($K209="Онкологический консилиум",$M209="Расхождение данных"),AND($K209="Превышен срок",$M209="Исследование"),AND($K209="Отсутствует протокол",$M209="Протокол исследования"),AND($K209="Дата записи",$M209="Исследование "),$K209="К сведению ГП/ЦАОП",$K209="Некорректное обращение с пациентом",$K209="Тактика ведения",$K209="Отказ в приеме")</formula>
    </cfRule>
    <cfRule type="expression" dxfId="627" priority="678">
      <formula>OR($K209="Онкологический консилиум",$K209="Дата записи",$K209="Возврат в МО без приема",$K209="Данные о биопсии",$K209="КАНЦЕР-регистр",$K209="Отказ от записи ",$K209="Отсутствует протокол",$K209="Превышен срок")</formula>
    </cfRule>
  </conditionalFormatting>
  <conditionalFormatting sqref="M209">
    <cfRule type="expression" dxfId="626" priority="671">
      <formula>OR($K209="Цель приема",$K209="Отказ в приеме",$K209="Тактика ведения",$K209="Не дозвонились в течение 2-х дней",$K209="Паллиатив/Патронаж",$K209="Отказ от сопровождения в проекте",$K209="Отказ от сопровождения персональным помощником",$K209="Нарушение маршрутизации",$K209="КАНЦЕР-регистр")</formula>
    </cfRule>
  </conditionalFormatting>
  <conditionalFormatting sqref="M209">
    <cfRule type="expression" dxfId="625" priority="670">
      <formula>ISBLANK($K209)</formula>
    </cfRule>
    <cfRule type="expression" dxfId="624" priority="672">
      <formula>OR($K209="Клиника женского здоровья",$K209="Принят без записи",$K209="Динамика состояния",$K209="Статус диагноза",$K209="К сведению ГП/ЦАОП",$K209="Некорректное обращение с пациентом",$K209="Отказ от сопровождения персональным помощником")</formula>
    </cfRule>
    <cfRule type="expression" dxfId="623" priority="673">
      <formula>NOT(ISBLANK(K209))</formula>
    </cfRule>
  </conditionalFormatting>
  <conditionalFormatting sqref="P208">
    <cfRule type="expression" dxfId="622" priority="669">
      <formula>OR($K208="Цель приема",$K208="Отказ в приеме",$K208="Тактика ведения",$K208="Не дозвонились в течение 2-х дней",$K208="Паллиатив/Патронаж",$K208="Отказ от сопровождения в проекте",$K208="Отказ от сопровождения персональным помощником",$K208="Нарушение маршрутизации",$K208="КАНЦЕР-регистр")</formula>
    </cfRule>
  </conditionalFormatting>
  <conditionalFormatting sqref="P208">
    <cfRule type="expression" dxfId="621" priority="667">
      <formula>OR($M208="Врач",$K208="Клиника женского здоровья",$K208="Принят без записи",$K208="Динамика состояния",$K208="Статус диагноза",AND($K208="Онкологический консилиум",$M208="Расхождение данных"),AND($K208="Превышен срок",$M208="Исследование"),AND($K208="Отсутствует протокол",$M208="Протокол исследования"),AND($K208="Дата записи",$M208="Исследование "),$K208="К сведению ГП/ЦАОП",$K208="Некорректное обращение с пациентом",$K208="Тактика ведения",$K208="Отказ в приеме")</formula>
    </cfRule>
    <cfRule type="expression" dxfId="620" priority="668">
      <formula>OR($K208="Онкологический консилиум",$K208="Дата записи",$K208="Возврат в МО без приема",$K208="Данные о биопсии",$K208="КАНЦЕР-регистр",$K208="Отказ от записи ",$K208="Отсутствует протокол",$K208="Превышен срок")</formula>
    </cfRule>
  </conditionalFormatting>
  <conditionalFormatting sqref="P204">
    <cfRule type="expression" dxfId="619" priority="626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</conditionalFormatting>
  <conditionalFormatting sqref="P204">
    <cfRule type="expression" dxfId="618" priority="624">
      <formula>OR($M204="Врач",$K204="Клиника женского здоровья",$K204="Принят без записи",$K204="Динамика состояния",$K204="Статус диагноза",AND($K204="Онкологический консилиум",$M204="Расхождение данных"),AND($K204="Превышен срок",$M204="Исследование"),AND($K204="Отсутствует протокол",$M204="Протокол исследования"),AND($K204="Дата записи",$M204="Исследование "),$K204="К сведению ГП/ЦАОП",$K204="Некорректное обращение с пациентом",$K204="Тактика ведения",$K204="Отказ в приеме")</formula>
    </cfRule>
    <cfRule type="expression" dxfId="617" priority="625">
      <formula>OR($K204="Онкологический консилиум",$K204="Дата записи",$K204="Возврат в МО без приема",$K204="Данные о биопсии",$K204="КАНЦЕР-регистр",$K204="Отказ от записи ",$K204="Отсутствует протокол",$K204="Превышен срок")</formula>
    </cfRule>
  </conditionalFormatting>
  <conditionalFormatting sqref="M204">
    <cfRule type="expression" dxfId="616" priority="620">
      <formula>ISBLANK($K204)</formula>
    </cfRule>
    <cfRule type="expression" dxfId="615" priority="621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  <cfRule type="expression" dxfId="614" priority="622">
      <formula>OR($K204="Клиника женского здоровья",$K204="Принят без записи",$K204="Динамика состояния",$K204="Статус диагноза",$K204="К сведению ГП/ЦАОП",$K204="Некорректное обращение с пациентом",$K204="Отказ от сопровождения персональным помощником")</formula>
    </cfRule>
    <cfRule type="expression" dxfId="613" priority="623">
      <formula>NOT(ISBLANK(K204))</formula>
    </cfRule>
  </conditionalFormatting>
  <conditionalFormatting sqref="P205">
    <cfRule type="expression" dxfId="612" priority="617">
      <formula>OR($K205="Цель приема",$K205="Отказ в приеме",$K205="Тактика ведения",$K205="Не дозвонились в течение 2-х дней",$K205="Паллиатив/Патронаж",$K205="Отказ от сопровождения в проекте",$K205="Отказ от сопровождения персональным помощником",$K205="Нарушение маршрутизации",$K205="КАНЦЕР-регистр")</formula>
    </cfRule>
  </conditionalFormatting>
  <conditionalFormatting sqref="M205">
    <cfRule type="expression" dxfId="611" priority="614">
      <formula>ISBLANK($K205)</formula>
    </cfRule>
    <cfRule type="expression" dxfId="610" priority="618">
      <formula>OR($K205="Клиника женского здоровья",$K205="Принят без записи",$K205="Динамика состояния",$K205="Статус диагноза",$K205="К сведению ГП/ЦАОП",$K205="Некорректное обращение с пациентом",$K205="Отказ от сопровождения персональным помощником")</formula>
    </cfRule>
    <cfRule type="expression" dxfId="609" priority="619">
      <formula>NOT(ISBLANK(K205))</formula>
    </cfRule>
  </conditionalFormatting>
  <conditionalFormatting sqref="P205">
    <cfRule type="expression" dxfId="608" priority="615">
      <formula>OR($M205="Врач",$K205="Клиника женского здоровья",$K205="Принят без записи",$K205="Динамика состояния",$K205="Статус диагноза",AND($K205="Онкологический консилиум",$M205="Расхождение данных"),AND($K205="Превышен срок",$M205="Исследование"),AND($K205="Отсутствует протокол",$M205="Протокол исследования"),AND($K205="Дата записи",$M205="Исследование "),$K205="К сведению ГП/ЦАОП",$K205="Некорректное обращение с пациентом",$K205="Тактика ведения",$K205="Отказ в приеме")</formula>
    </cfRule>
    <cfRule type="expression" dxfId="607" priority="616">
      <formula>OR($K205="Онкологический консилиум",$K205="Дата записи",$K205="Возврат в МО без приема",$K205="Данные о биопсии",$K205="КАНЦЕР-регистр",$K205="Отказ от записи ",$K205="Отсутствует протокол",$K205="Превышен срок")</formula>
    </cfRule>
  </conditionalFormatting>
  <conditionalFormatting sqref="P206">
    <cfRule type="expression" dxfId="606" priority="611">
      <formula>OR($K206="Цель приема",$K206="Отказ в приеме",$K206="Тактика ведения",$K206="Не дозвонились в течение 2-х дней",$K206="Паллиатив/Патронаж",$K206="Отказ от сопровождения в проекте",$K206="Отказ от сопровождения персональным помощником",$K206="Нарушение маршрутизации",$K206="КАНЦЕР-регистр")</formula>
    </cfRule>
  </conditionalFormatting>
  <conditionalFormatting sqref="M206">
    <cfRule type="expression" dxfId="605" priority="608">
      <formula>ISBLANK($K206)</formula>
    </cfRule>
    <cfRule type="expression" dxfId="604" priority="612">
      <formula>OR($K206="Клиника женского здоровья",$K206="Принят без записи",$K206="Динамика состояния",$K206="Статус диагноза",$K206="К сведению ГП/ЦАОП",$K206="Некорректное обращение с пациентом",$K206="Отказ от сопровождения персональным помощником")</formula>
    </cfRule>
    <cfRule type="expression" dxfId="603" priority="613">
      <formula>NOT(ISBLANK(K206))</formula>
    </cfRule>
  </conditionalFormatting>
  <conditionalFormatting sqref="P206">
    <cfRule type="expression" dxfId="602" priority="609">
      <formula>OR($M206="Врач",$K206="Клиника женского здоровья",$K206="Принят без записи",$K206="Динамика состояния",$K206="Статус диагноза",AND($K206="Онкологический консилиум",$M206="Расхождение данных"),AND($K206="Превышен срок",$M206="Исследование"),AND($K206="Отсутствует протокол",$M206="Протокол исследования"),AND($K206="Дата записи",$M206="Исследование "),$K206="К сведению ГП/ЦАОП",$K206="Некорректное обращение с пациентом",$K206="Тактика ведения",$K206="Отказ в приеме")</formula>
    </cfRule>
    <cfRule type="expression" dxfId="601" priority="610">
      <formula>OR($K206="Онкологический консилиум",$K206="Дата записи",$K206="Возврат в МО без приема",$K206="Данные о биопсии",$K206="КАНЦЕР-регистр",$K206="Отказ от записи ",$K206="Отсутствует протокол",$K206="Превышен срок")</formula>
    </cfRule>
  </conditionalFormatting>
  <conditionalFormatting sqref="M207">
    <cfRule type="expression" dxfId="600" priority="605">
      <formula>OR($K207="Цель приема",$K207="Отказ в приеме",$K207="Тактика ведения",$K207="Не дозвонились в течение 2-х дней",$K207="Паллиатив/Патронаж",$K207="Отказ от сопровождения в проекте",$K207="Отказ от сопровождения персональным помощником",$K207="Нарушение маршрутизации",$K207="КАНЦЕР-регистр")</formula>
    </cfRule>
  </conditionalFormatting>
  <conditionalFormatting sqref="M207">
    <cfRule type="expression" dxfId="599" priority="602">
      <formula>ISBLANK($K207)</formula>
    </cfRule>
    <cfRule type="expression" dxfId="598" priority="606">
      <formula>OR($K207="Клиника женского здоровья",$K207="Принят без записи",$K207="Динамика состояния",$K207="Статус диагноза",$K207="К сведению ГП/ЦАОП",$K207="Некорректное обращение с пациентом",$K207="Отказ от сопровождения персональным помощником")</formula>
    </cfRule>
    <cfRule type="expression" dxfId="597" priority="607">
      <formula>NOT(ISBLANK(K207))</formula>
    </cfRule>
  </conditionalFormatting>
  <conditionalFormatting sqref="P207">
    <cfRule type="expression" dxfId="596" priority="603">
      <formula>OR($M207="Врач",$K207="Клиника женского здоровья",$K207="Принят без записи",$K207="Динамика состояния",$K207="Статус диагноза",AND($K207="Онкологический консилиум",$M207="Расхождение данных"),AND($K207="Превышен срок",$M207="Исследование"),AND($K207="Отсутствует протокол",$M207="Протокол исследования"),AND($K207="Дата записи",$M207="Исследование "),$K207="К сведению ГП/ЦАОП",$K207="Некорректное обращение с пациентом",$K207="Тактика ведения",$K207="Отказ в приеме")</formula>
    </cfRule>
    <cfRule type="expression" dxfId="595" priority="604">
      <formula>OR($K207="Онкологический консилиум",$K207="Дата записи",$K207="Возврат в МО без приема",$K207="Данные о биопсии",$K207="КАНЦЕР-регистр",$K207="Отказ от записи ",$K207="Отсутствует протокол",$K207="Превышен срок")</formula>
    </cfRule>
  </conditionalFormatting>
  <conditionalFormatting sqref="M208">
    <cfRule type="expression" dxfId="594" priority="595">
      <formula>OR($K208="Цель приема",$K208="Отказ в приеме",$K208="Тактика ведения",$K208="Не дозвонились в течение 2-х дней",$K208="Паллиатив/Патронаж",$K208="Отказ от сопровождения в проекте",$K208="Отказ от сопровождения персональным помощником",$K208="Нарушение маршрутизации",$K208="КАНЦЕР-регистр")</formula>
    </cfRule>
  </conditionalFormatting>
  <conditionalFormatting sqref="M208">
    <cfRule type="expression" dxfId="593" priority="594">
      <formula>ISBLANK($K208)</formula>
    </cfRule>
    <cfRule type="expression" dxfId="592" priority="596">
      <formula>OR($K208="Клиника женского здоровья",$K208="Принят без записи",$K208="Динамика состояния",$K208="Статус диагноза",$K208="К сведению ГП/ЦАОП",$K208="Некорректное обращение с пациентом",$K208="Отказ от сопровождения персональным помощником")</formula>
    </cfRule>
    <cfRule type="expression" dxfId="591" priority="597">
      <formula>NOT(ISBLANK(K208))</formula>
    </cfRule>
  </conditionalFormatting>
  <conditionalFormatting sqref="M210:M212">
    <cfRule type="expression" dxfId="590" priority="579">
      <formula>OR($K210="Цель приема",$K210="Отказ в приеме",$K210="Тактика ведения",$K210="Не дозвонились в течение 2-х дней",$K210="Паллиатив/Патронаж",$K210="Отказ от сопровождения в проекте",$K210="Отказ от сопровождения персональным помощником",$K210="Нарушение маршрутизации",$K210="КАНЦЕР-регистр")</formula>
    </cfRule>
  </conditionalFormatting>
  <conditionalFormatting sqref="M210:M212">
    <cfRule type="expression" dxfId="589" priority="576">
      <formula>ISBLANK($K210)</formula>
    </cfRule>
    <cfRule type="expression" dxfId="588" priority="580">
      <formula>OR($K210="Клиника женского здоровья",$K210="Принят без записи",$K210="Динамика состояния",$K210="Статус диагноза",$K210="К сведению ГП/ЦАОП",$K210="Некорректное обращение с пациентом",$K210="Отказ от сопровождения персональным помощником")</formula>
    </cfRule>
    <cfRule type="expression" dxfId="587" priority="581">
      <formula>NOT(ISBLANK(K210))</formula>
    </cfRule>
  </conditionalFormatting>
  <conditionalFormatting sqref="P210:P212">
    <cfRule type="expression" dxfId="586" priority="577">
      <formula>OR($M210="Врач",$K210="Клиника женского здоровья",$K210="Принят без записи",$K210="Динамика состояния",$K210="Статус диагноза",AND($K210="Онкологический консилиум",$M210="Расхождение данных"),AND($K210="Превышен срок",$M210="Исследование"),AND($K210="Отсутствует протокол",$M210="Протокол исследования"),AND($K210="Дата записи",$M210="Исследование "),$K210="К сведению ГП/ЦАОП",$K210="Некорректное обращение с пациентом",$K210="Тактика ведения",$K210="Отказ в приеме")</formula>
    </cfRule>
    <cfRule type="expression" dxfId="585" priority="578">
      <formula>OR($K210="Онкологический консилиум",$K210="Дата записи",$K210="Возврат в МО без приема",$K210="Данные о биопсии",$K210="КАНЦЕР-регистр",$K210="Отказ от записи ",$K210="Отсутствует протокол",$K210="Превышен срок")</formula>
    </cfRule>
  </conditionalFormatting>
  <conditionalFormatting sqref="M213">
    <cfRule type="expression" dxfId="584" priority="567">
      <formula>OR($K213="Цель приема",$K213="Отказ в приеме",$K213="Тактика ведения",$K213="Не дозвонились в течение 2-х дней",$K213="Паллиатив/Патронаж",$K213="Отказ от сопровождения в проекте",$K213="Отказ от сопровождения персональным помощником",$K213="Нарушение маршрутизации",$K213="КАНЦЕР-регистр")</formula>
    </cfRule>
  </conditionalFormatting>
  <conditionalFormatting sqref="M213">
    <cfRule type="expression" dxfId="583" priority="564">
      <formula>ISBLANK($K213)</formula>
    </cfRule>
    <cfRule type="expression" dxfId="582" priority="568">
      <formula>OR($K213="Клиника женского здоровья",$K213="Принят без записи",$K213="Динамика состояния",$K213="Статус диагноза",$K213="К сведению ГП/ЦАОП",$K213="Некорректное обращение с пациентом",$K213="Отказ от сопровождения персональным помощником")</formula>
    </cfRule>
    <cfRule type="expression" dxfId="581" priority="569">
      <formula>NOT(ISBLANK(K213))</formula>
    </cfRule>
  </conditionalFormatting>
  <conditionalFormatting sqref="P213">
    <cfRule type="expression" dxfId="580" priority="565">
      <formula>OR($M213="Врач",$K213="Клиника женского здоровья",$K213="Принят без записи",$K213="Динамика состояния",$K213="Статус диагноза",AND($K213="Онкологический консилиум",$M213="Расхождение данных"),AND($K213="Превышен срок",$M213="Исследование"),AND($K213="Отсутствует протокол",$M213="Протокол исследования"),AND($K213="Дата записи",$M213="Исследование "),$K213="К сведению ГП/ЦАОП",$K213="Некорректное обращение с пациентом",$K213="Тактика ведения",$K213="Отказ в приеме")</formula>
    </cfRule>
    <cfRule type="expression" dxfId="579" priority="566">
      <formula>OR($K213="Онкологический консилиум",$K213="Дата записи",$K213="Возврат в МО без приема",$K213="Данные о биопсии",$K213="КАНЦЕР-регистр",$K213="Отказ от записи ",$K213="Отсутствует протокол",$K213="Превышен срок")</formula>
    </cfRule>
  </conditionalFormatting>
  <conditionalFormatting sqref="M215">
    <cfRule type="expression" dxfId="578" priority="561">
      <formula>OR($K215="Цель приема",$K215="Отказ в приеме",$K215="Тактика ведения",$K215="Не дозвонились в течение 2-х дней",$K215="Паллиатив/Патронаж",$K215="Отказ от сопровождения в проекте",$K215="Отказ от сопровождения персональным помощником",$K215="Нарушение маршрутизации",$K215="КАНЦЕР-регистр")</formula>
    </cfRule>
  </conditionalFormatting>
  <conditionalFormatting sqref="M215">
    <cfRule type="expression" dxfId="577" priority="558">
      <formula>ISBLANK($K215)</formula>
    </cfRule>
    <cfRule type="expression" dxfId="576" priority="562">
      <formula>OR($K215="Клиника женского здоровья",$K215="Принят без записи",$K215="Динамика состояния",$K215="Статус диагноза",$K215="К сведению ГП/ЦАОП",$K215="Некорректное обращение с пациентом",$K215="Отказ от сопровождения персональным помощником")</formula>
    </cfRule>
    <cfRule type="expression" dxfId="575" priority="563">
      <formula>NOT(ISBLANK(K215))</formula>
    </cfRule>
  </conditionalFormatting>
  <conditionalFormatting sqref="P215">
    <cfRule type="expression" dxfId="574" priority="559">
      <formula>OR($M215="Врач",$K215="Клиника женского здоровья",$K215="Принят без записи",$K215="Динамика состояния",$K215="Статус диагноза",AND($K215="Онкологический консилиум",$M215="Расхождение данных"),AND($K215="Превышен срок",$M215="Исследование"),AND($K215="Отсутствует протокол",$M215="Протокол исследования"),AND($K215="Дата записи",$M215="Исследование "),$K215="К сведению ГП/ЦАОП",$K215="Некорректное обращение с пациентом",$K215="Тактика ведения",$K215="Отказ в приеме")</formula>
    </cfRule>
    <cfRule type="expression" dxfId="573" priority="560">
      <formula>OR($K215="Онкологический консилиум",$K215="Дата записи",$K215="Возврат в МО без приема",$K215="Данные о биопсии",$K215="КАНЦЕР-регистр",$K215="Отказ от записи ",$K215="Отсутствует протокол",$K215="Превышен срок")</formula>
    </cfRule>
  </conditionalFormatting>
  <conditionalFormatting sqref="P216">
    <cfRule type="expression" dxfId="572" priority="555">
      <formula>OR($K216="Цель приема",$K216="Отказ в приеме",$K216="Тактика ведения",$K216="Не дозвонились в течение 2-х дней",$K216="Паллиатив/Патронаж",$K216="Отказ от сопровождения в проекте",$K216="Отказ от сопровождения персональным помощником",$K216="Нарушение маршрутизации",$K216="КАНЦЕР-регистр")</formula>
    </cfRule>
  </conditionalFormatting>
  <conditionalFormatting sqref="M216">
    <cfRule type="expression" dxfId="571" priority="552">
      <formula>ISBLANK($K216)</formula>
    </cfRule>
    <cfRule type="expression" dxfId="570" priority="556">
      <formula>OR($K216="Клиника женского здоровья",$K216="Принят без записи",$K216="Динамика состояния",$K216="Статус диагноза",$K216="К сведению ГП/ЦАОП",$K216="Некорректное обращение с пациентом",$K216="Отказ от сопровождения персональным помощником")</formula>
    </cfRule>
    <cfRule type="expression" dxfId="569" priority="557">
      <formula>NOT(ISBLANK(K216))</formula>
    </cfRule>
  </conditionalFormatting>
  <conditionalFormatting sqref="P216">
    <cfRule type="expression" dxfId="568" priority="553">
      <formula>OR($M216="Врач",$K216="Клиника женского здоровья",$K216="Принят без записи",$K216="Динамика состояния",$K216="Статус диагноза",AND($K216="Онкологический консилиум",$M216="Расхождение данных"),AND($K216="Превышен срок",$M216="Исследование"),AND($K216="Отсутствует протокол",$M216="Протокол исследования"),AND($K216="Дата записи",$M216="Исследование "),$K216="К сведению ГП/ЦАОП",$K216="Некорректное обращение с пациентом",$K216="Тактика ведения",$K216="Отказ в приеме")</formula>
    </cfRule>
    <cfRule type="expression" dxfId="567" priority="554">
      <formula>OR($K216="Онкологический консилиум",$K216="Дата записи",$K216="Возврат в МО без приема",$K216="Данные о биопсии",$K216="КАНЦЕР-регистр",$K216="Отказ от записи ",$K216="Отсутствует протокол",$K216="Превышен срок")</formula>
    </cfRule>
  </conditionalFormatting>
  <conditionalFormatting sqref="P217">
    <cfRule type="expression" dxfId="566" priority="549">
      <formula>OR($M217="Врач",$K217="Клиника женского здоровья",$K217="Принят без записи",$K217="Динамика состояния",$K217="Статус диагноза",AND($K217="Онкологический консилиум",$M217="Расхождение данных"),AND($K217="Превышен срок",$M217="Исследование"),AND($K217="Отсутствует протокол",$M217="Протокол исследования"),AND($K217="Дата записи",$M217="Исследование "),$K217="К сведению ГП/ЦАОП",$K217="Некорректное обращение с пациентом",$K217="Тактика ведения",$K217="Отказ в приеме")</formula>
    </cfRule>
    <cfRule type="expression" dxfId="565" priority="550">
      <formula>OR($K217="Онкологический консилиум",$K217="Дата записи",$K217="Возврат в МО без приема",$K217="Данные о биопсии",$K217="КАНЦЕР-регистр",$K217="Отказ от записи ",$K217="Отсутствует протокол",$K217="Превышен срок")</formula>
    </cfRule>
    <cfRule type="expression" dxfId="564" priority="551">
      <formula>OR($K217="Цель приема",$K217="Отказ в приеме",$K217="Тактика ведения",$K217="Не дозвонились в течение 2-х дней",$K217="Паллиатив/Патронаж",$K217="Отказ от сопровождения в проекте",$K217="Отказ от сопровождения персональным помощником",$K217="Нарушение маршрутизации",$K217="КАНЦЕР-регистр")</formula>
    </cfRule>
  </conditionalFormatting>
  <conditionalFormatting sqref="M217">
    <cfRule type="expression" dxfId="563" priority="545">
      <formula>ISBLANK($K217)</formula>
    </cfRule>
    <cfRule type="expression" dxfId="562" priority="546">
      <formula>OR($K217="Цель приема",$K217="Отказ в приеме",$K217="Тактика ведения",$K217="Не дозвонились в течение 2-х дней",$K217="Паллиатив/Патронаж",$K217="Отказ от сопровождения в проекте",$K217="Отказ от сопровождения персональным помощником",$K217="Нарушение маршрутизации",$K217="КАНЦЕР-регистр")</formula>
    </cfRule>
    <cfRule type="expression" dxfId="561" priority="547">
      <formula>OR($K217="Клиника женского здоровья",$K217="Принят без записи",$K217="Динамика состояния",$K217="Статус диагноза",$K217="К сведению ГП/ЦАОП",$K217="Некорректное обращение с пациентом",$K217="Отказ от сопровождения персональным помощником")</formula>
    </cfRule>
    <cfRule type="expression" dxfId="560" priority="548">
      <formula>NOT(ISBLANK(K217))</formula>
    </cfRule>
  </conditionalFormatting>
  <conditionalFormatting sqref="M219">
    <cfRule type="expression" dxfId="559" priority="542">
      <formula>OR($K219="Цель приема",$K219="Отказ в приеме",$K219="Тактика ведения",$K219="Не дозвонились в течение 2-х дней",$K219="Паллиатив/Патронаж",$K219="Отказ от сопровождения в проекте",$K219="Отказ от сопровождения персональным помощником",$K219="Нарушение маршрутизации",$K219="КАНЦЕР-регистр")</formula>
    </cfRule>
  </conditionalFormatting>
  <conditionalFormatting sqref="M219">
    <cfRule type="expression" dxfId="558" priority="539">
      <formula>ISBLANK($K219)</formula>
    </cfRule>
    <cfRule type="expression" dxfId="557" priority="543">
      <formula>OR($K219="Клиника женского здоровья",$K219="Принят без записи",$K219="Динамика состояния",$K219="Статус диагноза",$K219="К сведению ГП/ЦАОП",$K219="Некорректное обращение с пациентом",$K219="Отказ от сопровождения персональным помощником")</formula>
    </cfRule>
    <cfRule type="expression" dxfId="556" priority="544">
      <formula>NOT(ISBLANK(K219))</formula>
    </cfRule>
  </conditionalFormatting>
  <conditionalFormatting sqref="P219">
    <cfRule type="expression" dxfId="555" priority="540">
      <formula>OR($M219="Врач",$K219="Клиника женского здоровья",$K219="Принят без записи",$K219="Динамика состояния",$K219="Статус диагноза",AND($K219="Онкологический консилиум",$M219="Расхождение данных"),AND($K219="Превышен срок",$M219="Исследование"),AND($K219="Отсутствует протокол",$M219="Протокол исследования"),AND($K219="Дата записи",$M219="Исследование "),$K219="К сведению ГП/ЦАОП",$K219="Некорректное обращение с пациентом",$K219="Тактика ведения",$K219="Отказ в приеме")</formula>
    </cfRule>
    <cfRule type="expression" dxfId="554" priority="541">
      <formula>OR($K219="Онкологический консилиум",$K219="Дата записи",$K219="Возврат в МО без приема",$K219="Данные о биопсии",$K219="КАНЦЕР-регистр",$K219="Отказ от записи ",$K219="Отсутствует протокол",$K219="Превышен срок")</formula>
    </cfRule>
  </conditionalFormatting>
  <conditionalFormatting sqref="M220">
    <cfRule type="expression" dxfId="553" priority="536">
      <formula>OR($K220="Цель приема",$K220="Отказ в приеме",$K220="Тактика ведения",$K220="Не дозвонились в течение 2-х дней",$K220="Паллиатив/Патронаж",$K220="Отказ от сопровождения в проекте",$K220="Отказ от сопровождения персональным помощником",$K220="Нарушение маршрутизации",$K220="КАНЦЕР-регистр")</formula>
    </cfRule>
  </conditionalFormatting>
  <conditionalFormatting sqref="M220">
    <cfRule type="expression" dxfId="552" priority="533">
      <formula>ISBLANK($K220)</formula>
    </cfRule>
    <cfRule type="expression" dxfId="551" priority="537">
      <formula>OR($K220="Клиника женского здоровья",$K220="Принят без записи",$K220="Динамика состояния",$K220="Статус диагноза",$K220="К сведению ГП/ЦАОП",$K220="Некорректное обращение с пациентом",$K220="Отказ от сопровождения персональным помощником")</formula>
    </cfRule>
    <cfRule type="expression" dxfId="550" priority="538">
      <formula>NOT(ISBLANK(K220))</formula>
    </cfRule>
  </conditionalFormatting>
  <conditionalFormatting sqref="P220">
    <cfRule type="expression" dxfId="549" priority="534">
      <formula>OR($M220="Врач",$K220="Клиника женского здоровья",$K220="Принят без записи",$K220="Динамика состояния",$K220="Статус диагноза",AND($K220="Онкологический консилиум",$M220="Расхождение данных"),AND($K220="Превышен срок",$M220="Исследование"),AND($K220="Отсутствует протокол",$M220="Протокол исследования"),AND($K220="Дата записи",$M220="Исследование "),$K220="К сведению ГП/ЦАОП",$K220="Некорректное обращение с пациентом",$K220="Тактика ведения",$K220="Отказ в приеме")</formula>
    </cfRule>
    <cfRule type="expression" dxfId="548" priority="535">
      <formula>OR($K220="Онкологический консилиум",$K220="Дата записи",$K220="Возврат в МО без приема",$K220="Данные о биопсии",$K220="КАНЦЕР-регистр",$K220="Отказ от записи ",$K220="Отсутствует протокол",$K220="Превышен срок")</formula>
    </cfRule>
  </conditionalFormatting>
  <conditionalFormatting sqref="M221">
    <cfRule type="expression" dxfId="547" priority="518">
      <formula>OR($K221="Цель приема",$K221="Отказ в приеме",$K221="Тактика ведения",$K221="Не дозвонились в течение 2-х дней",$K221="Паллиатив/Патронаж",$K221="Отказ от сопровождения в проекте",$K221="Отказ от сопровождения персональным помощником",$K221="Нарушение маршрутизации",$K221="КАНЦЕР-регистр")</formula>
    </cfRule>
  </conditionalFormatting>
  <conditionalFormatting sqref="M221">
    <cfRule type="expression" dxfId="546" priority="517">
      <formula>ISBLANK($K221)</formula>
    </cfRule>
    <cfRule type="expression" dxfId="545" priority="519">
      <formula>OR($K221="Клиника женского здоровья",$K221="Принят без записи",$K221="Динамика состояния",$K221="Статус диагноза",$K221="К сведению ГП/ЦАОП",$K221="Некорректное обращение с пациентом",$K221="Отказ от сопровождения персональным помощником")</formula>
    </cfRule>
    <cfRule type="expression" dxfId="544" priority="520">
      <formula>NOT(ISBLANK(K221))</formula>
    </cfRule>
  </conditionalFormatting>
  <conditionalFormatting sqref="M222">
    <cfRule type="expression" dxfId="543" priority="514">
      <formula>OR($K222="Цель приема",$K222="Отказ в приеме",$K222="Тактика ведения",$K222="Не дозвонились в течение 2-х дней",$K222="Паллиатив/Патронаж",$K222="Отказ от сопровождения в проекте",$K222="Отказ от сопровождения персональным помощником",$K222="Нарушение маршрутизации",$K222="КАНЦЕР-регистр")</formula>
    </cfRule>
  </conditionalFormatting>
  <conditionalFormatting sqref="M222">
    <cfRule type="expression" dxfId="542" priority="513">
      <formula>ISBLANK($K222)</formula>
    </cfRule>
    <cfRule type="expression" dxfId="541" priority="515">
      <formula>OR($K222="Клиника женского здоровья",$K222="Принят без записи",$K222="Динамика состояния",$K222="Статус диагноза",$K222="К сведению ГП/ЦАОП",$K222="Некорректное обращение с пациентом",$K222="Отказ от сопровождения персональным помощником")</formula>
    </cfRule>
    <cfRule type="expression" dxfId="540" priority="516">
      <formula>NOT(ISBLANK(K222))</formula>
    </cfRule>
  </conditionalFormatting>
  <conditionalFormatting sqref="M227">
    <cfRule type="expression" dxfId="539" priority="504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538" priority="503">
      <formula>ISBLANK($K227)</formula>
    </cfRule>
    <cfRule type="expression" dxfId="537" priority="505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536" priority="506">
      <formula>NOT(ISBLANK(K227))</formula>
    </cfRule>
  </conditionalFormatting>
  <conditionalFormatting sqref="M233">
    <cfRule type="expression" dxfId="535" priority="494">
      <formula>OR($K233="Цель приема",$K233="Отказ в приеме",$K233="Тактика ведения",$K233="Не дозвонились в течение 2-х дней",$K233="Паллиатив/Патронаж",$K233="Отказ от сопровождения в проекте",$K233="Отказ от сопровождения персональным помощником",$K233="Нарушение маршрутизации",$K233="КАНЦЕР-регистр")</formula>
    </cfRule>
  </conditionalFormatting>
  <conditionalFormatting sqref="M233">
    <cfRule type="expression" dxfId="534" priority="493">
      <formula>ISBLANK($K233)</formula>
    </cfRule>
    <cfRule type="expression" dxfId="533" priority="495">
      <formula>OR($K233="Клиника женского здоровья",$K233="Принят без записи",$K233="Динамика состояния",$K233="Статус диагноза",$K233="К сведению ГП/ЦАОП",$K233="Некорректное обращение с пациентом",$K233="Отказ от сопровождения персональным помощником")</formula>
    </cfRule>
    <cfRule type="expression" dxfId="532" priority="496">
      <formula>NOT(ISBLANK(K233))</formula>
    </cfRule>
  </conditionalFormatting>
  <conditionalFormatting sqref="M234">
    <cfRule type="expression" dxfId="531" priority="490">
      <formula>OR($K234="Цель приема",$K234="Отказ в приеме",$K234="Тактика ведения",$K234="Не дозвонились в течение 2-х дней",$K234="Паллиатив/Патронаж",$K234="Отказ от сопровождения в проекте",$K234="Отказ от сопровождения персональным помощником",$K234="Нарушение маршрутизации",$K234="КАНЦЕР-регистр")</formula>
    </cfRule>
  </conditionalFormatting>
  <conditionalFormatting sqref="M234">
    <cfRule type="expression" dxfId="530" priority="489">
      <formula>ISBLANK($K234)</formula>
    </cfRule>
    <cfRule type="expression" dxfId="529" priority="491">
      <formula>OR($K234="Клиника женского здоровья",$K234="Принят без записи",$K234="Динамика состояния",$K234="Статус диагноза",$K234="К сведению ГП/ЦАОП",$K234="Некорректное обращение с пациентом",$K234="Отказ от сопровождения персональным помощником")</formula>
    </cfRule>
    <cfRule type="expression" dxfId="528" priority="492">
      <formula>NOT(ISBLANK(K234))</formula>
    </cfRule>
  </conditionalFormatting>
  <conditionalFormatting sqref="M235:M237">
    <cfRule type="expression" dxfId="527" priority="486">
      <formula>OR($K235="Цель приема",$K235="Отказ в приеме",$K235="Тактика ведения",$K235="Не дозвонились в течение 2-х дней",$K235="Паллиатив/Патронаж",$K235="Отказ от сопровождения в проекте",$K235="Отказ от сопровождения персональным помощником",$K235="Нарушение маршрутизации",$K235="КАНЦЕР-регистр")</formula>
    </cfRule>
  </conditionalFormatting>
  <conditionalFormatting sqref="M235:M237">
    <cfRule type="expression" dxfId="526" priority="483">
      <formula>ISBLANK($K235)</formula>
    </cfRule>
    <cfRule type="expression" dxfId="525" priority="487">
      <formula>OR($K235="Клиника женского здоровья",$K235="Принят без записи",$K235="Динамика состояния",$K235="Статус диагноза",$K235="К сведению ГП/ЦАОП",$K235="Некорректное обращение с пациентом",$K235="Отказ от сопровождения персональным помощником")</formula>
    </cfRule>
    <cfRule type="expression" dxfId="524" priority="488">
      <formula>NOT(ISBLANK(K235))</formula>
    </cfRule>
  </conditionalFormatting>
  <conditionalFormatting sqref="P235:P237">
    <cfRule type="expression" dxfId="523" priority="484">
      <formula>OR($M235="Врач",$K235="Клиника женского здоровья",$K235="Принят без записи",$K235="Динамика состояния",$K235="Статус диагноза",AND($K235="Онкологический консилиум",$M235="Расхождение данных"),AND($K235="Превышен срок",$M235="Исследование"),AND($K235="Отсутствует протокол",$M235="Протокол исследования"),AND($K235="Дата записи",$M235="Исследование "),$K235="К сведению ГП/ЦАОП",$K235="Некорректное обращение с пациентом",$K235="Тактика ведения",$K235="Отказ в приеме")</formula>
    </cfRule>
    <cfRule type="expression" dxfId="522" priority="485">
      <formula>OR($K235="Онкологический консилиум",$K235="Дата записи",$K235="Возврат в МО без приема",$K235="Данные о биопсии",$K235="КАНЦЕР-регистр",$K235="Отказ от записи ",$K235="Отсутствует протокол",$K235="Превышен срок")</formula>
    </cfRule>
  </conditionalFormatting>
  <conditionalFormatting sqref="M238">
    <cfRule type="expression" dxfId="521" priority="480">
      <formula>OR($K238="Цель приема",$K238="Отказ в приеме",$K238="Тактика ведения",$K238="Не дозвонились в течение 2-х дней",$K238="Паллиатив/Патронаж",$K238="Отказ от сопровождения в проекте",$K238="Отказ от сопровождения персональным помощником",$K238="Нарушение маршрутизации",$K238="КАНЦЕР-регистр")</formula>
    </cfRule>
  </conditionalFormatting>
  <conditionalFormatting sqref="M238">
    <cfRule type="expression" dxfId="520" priority="477">
      <formula>ISBLANK($K238)</formula>
    </cfRule>
    <cfRule type="expression" dxfId="519" priority="481">
      <formula>OR($K238="Клиника женского здоровья",$K238="Принят без записи",$K238="Динамика состояния",$K238="Статус диагноза",$K238="К сведению ГП/ЦАОП",$K238="Некорректное обращение с пациентом",$K238="Отказ от сопровождения персональным помощником")</formula>
    </cfRule>
    <cfRule type="expression" dxfId="518" priority="482">
      <formula>NOT(ISBLANK(K238))</formula>
    </cfRule>
  </conditionalFormatting>
  <conditionalFormatting sqref="P238:P246">
    <cfRule type="expression" dxfId="517" priority="478">
      <formula>OR($M238="Врач",$K238="Клиника женского здоровья",$K238="Принят без записи",$K238="Динамика состояния",$K238="Статус диагноза",AND($K238="Онкологический консилиум",$M238="Расхождение данных"),AND($K238="Превышен срок",$M238="Исследование"),AND($K238="Отсутствует протокол",$M238="Протокол исследования"),AND($K238="Дата записи",$M238="Исследование "),$K238="К сведению ГП/ЦАОП",$K238="Некорректное обращение с пациентом",$K238="Тактика ведения",$K238="Отказ в приеме")</formula>
    </cfRule>
    <cfRule type="expression" dxfId="516" priority="479">
      <formula>OR($K238="Онкологический консилиум",$K238="Дата записи",$K238="Возврат в МО без приема",$K238="Данные о биопсии",$K238="КАНЦЕР-регистр",$K238="Отказ от записи ",$K238="Отсутствует протокол",$K238="Превышен срок")</formula>
    </cfRule>
  </conditionalFormatting>
  <conditionalFormatting sqref="M239">
    <cfRule type="expression" dxfId="515" priority="474">
      <formula>OR($K239="Цель приема",$K239="Отказ в приеме",$K239="Тактика ведения",$K239="Не дозвонились в течение 2-х дней",$K239="Паллиатив/Патронаж",$K239="Отказ от сопровождения в проекте",$K239="Отказ от сопровождения персональным помощником",$K239="Нарушение маршрутизации",$K239="КАНЦЕР-регистр")</formula>
    </cfRule>
  </conditionalFormatting>
  <conditionalFormatting sqref="M239">
    <cfRule type="expression" dxfId="514" priority="473">
      <formula>ISBLANK($K239)</formula>
    </cfRule>
    <cfRule type="expression" dxfId="513" priority="475">
      <formula>OR($K239="Клиника женского здоровья",$K239="Принят без записи",$K239="Динамика состояния",$K239="Статус диагноза",$K239="К сведению ГП/ЦАОП",$K239="Некорректное обращение с пациентом",$K239="Отказ от сопровождения персональным помощником")</formula>
    </cfRule>
    <cfRule type="expression" dxfId="512" priority="476">
      <formula>NOT(ISBLANK(K239))</formula>
    </cfRule>
  </conditionalFormatting>
  <conditionalFormatting sqref="P247:P251">
    <cfRule type="expression" dxfId="511" priority="468">
      <formula>OR($K247="Цель приема",$K247="Отказ в приеме",$K247="Тактика ведения",$K247="Не дозвонились в течение 2-х дней",$K247="Паллиатив/Патронаж",$K247="Отказ от сопровождения в проекте",$K247="Отказ от сопровождения персональным помощником",$K247="Нарушение маршрутизации",$K247="КАНЦЕР-регистр")</formula>
    </cfRule>
  </conditionalFormatting>
  <conditionalFormatting sqref="M247:M251">
    <cfRule type="expression" dxfId="510" priority="465">
      <formula>ISBLANK($K247)</formula>
    </cfRule>
    <cfRule type="expression" dxfId="509" priority="469">
      <formula>OR($K247="Клиника женского здоровья",$K247="Принят без записи",$K247="Динамика состояния",$K247="Статус диагноза",$K247="К сведению ГП/ЦАОП",$K247="Некорректное обращение с пациентом",$K247="Отказ от сопровождения персональным помощником")</formula>
    </cfRule>
    <cfRule type="expression" dxfId="508" priority="470">
      <formula>NOT(ISBLANK(K247))</formula>
    </cfRule>
  </conditionalFormatting>
  <conditionalFormatting sqref="P247:P251">
    <cfRule type="expression" dxfId="507" priority="466">
      <formula>OR($M247="Врач",$K247="Клиника женского здоровья",$K247="Принят без записи",$K247="Динамика состояния",$K247="Статус диагноза",AND($K247="Онкологический консилиум",$M247="Расхождение данных"),AND($K247="Превышен срок",$M247="Исследование"),AND($K247="Отсутствует протокол",$M247="Протокол исследования"),AND($K247="Дата записи",$M247="Исследование "),$K247="К сведению ГП/ЦАОП",$K247="Некорректное обращение с пациентом",$K247="Тактика ведения",$K247="Отказ в приеме")</formula>
    </cfRule>
    <cfRule type="expression" dxfId="506" priority="467">
      <formula>OR($K247="Онкологический консилиум",$K247="Дата записи",$K247="Возврат в МО без приема",$K247="Данные о биопсии",$K247="КАНЦЕР-регистр",$K247="Отказ от записи ",$K247="Отсутствует протокол",$K247="Превышен срок")</formula>
    </cfRule>
  </conditionalFormatting>
  <conditionalFormatting sqref="M252:M257">
    <cfRule type="expression" dxfId="505" priority="462">
      <formula>OR($K252="Цель приема",$K252="Отказ в приеме",$K252="Тактика ведения",$K252="Не дозвонились в течение 2-х дней",$K252="Паллиатив/Патронаж",$K252="Отказ от сопровождения в проекте",$K252="Отказ от сопровождения персональным помощником",$K252="Нарушение маршрутизации",$K252="КАНЦЕР-регистр")</formula>
    </cfRule>
  </conditionalFormatting>
  <conditionalFormatting sqref="M252:M257">
    <cfRule type="expression" dxfId="504" priority="459">
      <formula>ISBLANK($K252)</formula>
    </cfRule>
    <cfRule type="expression" dxfId="503" priority="463">
      <formula>OR($K252="Клиника женского здоровья",$K252="Принят без записи",$K252="Динамика состояния",$K252="Статус диагноза",$K252="К сведению ГП/ЦАОП",$K252="Некорректное обращение с пациентом",$K252="Отказ от сопровождения персональным помощником")</formula>
    </cfRule>
    <cfRule type="expression" dxfId="502" priority="464">
      <formula>NOT(ISBLANK(K252))</formula>
    </cfRule>
  </conditionalFormatting>
  <conditionalFormatting sqref="P252:P257">
    <cfRule type="expression" dxfId="501" priority="460">
      <formula>OR($M252="Врач",$K252="Клиника женского здоровья",$K252="Принят без записи",$K252="Динамика состояния",$K252="Статус диагноза",AND($K252="Онкологический консилиум",$M252="Расхождение данных"),AND($K252="Превышен срок",$M252="Исследование"),AND($K252="Отсутствует протокол",$M252="Протокол исследования"),AND($K252="Дата записи",$M252="Исследование "),$K252="К сведению ГП/ЦАОП",$K252="Некорректное обращение с пациентом",$K252="Тактика ведения",$K252="Отказ в приеме")</formula>
    </cfRule>
    <cfRule type="expression" dxfId="500" priority="461">
      <formula>OR($K252="Онкологический консилиум",$K252="Дата записи",$K252="Возврат в МО без приема",$K252="Данные о биопсии",$K252="КАНЦЕР-регистр",$K252="Отказ от записи ",$K252="Отсутствует протокол",$K252="Превышен срок")</formula>
    </cfRule>
  </conditionalFormatting>
  <conditionalFormatting sqref="M258:M259">
    <cfRule type="expression" dxfId="499" priority="456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:M259">
    <cfRule type="expression" dxfId="498" priority="453">
      <formula>ISBLANK($K258)</formula>
    </cfRule>
    <cfRule type="expression" dxfId="497" priority="457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496" priority="458">
      <formula>NOT(ISBLANK(K258))</formula>
    </cfRule>
  </conditionalFormatting>
  <conditionalFormatting sqref="P258:P259">
    <cfRule type="expression" dxfId="495" priority="454">
      <formula>OR($M258="Врач",$K258="Клиника женского здоровья",$K258="Принят без записи",$K258="Динамика состояния",$K258="Статус диагноза",AND($K258="Онкологический консилиум",$M258="Расхождение данных"),AND($K258="Превышен срок",$M258="Исследование"),AND($K258="Отсутствует протокол",$M258="Протокол исследования"),AND($K258="Дата записи",$M258="Исследование "),$K258="К сведению ГП/ЦАОП",$K258="Некорректное обращение с пациентом",$K258="Тактика ведения",$K258="Отказ в приеме")</formula>
    </cfRule>
    <cfRule type="expression" dxfId="494" priority="455">
      <formula>OR($K258="Онкологический консилиум",$K258="Дата записи",$K258="Возврат в МО без приема",$K258="Данные о биопсии",$K258="КАНЦЕР-регистр",$K258="Отказ от записи ",$K258="Отсутствует протокол",$K258="Превышен срок")</formula>
    </cfRule>
  </conditionalFormatting>
  <conditionalFormatting sqref="M261:M266">
    <cfRule type="expression" dxfId="493" priority="450">
      <formula>OR($K261="Цель приема",$K261="Отказ в приеме",$K261="Тактика ведения",$K261="Не дозвонились в течение 2-х дней",$K261="Паллиатив/Патронаж",$K261="Отказ от сопровождения в проекте",$K261="Отказ от сопровождения персональным помощником",$K261="Нарушение маршрутизации",$K261="КАНЦЕР-регистр")</formula>
    </cfRule>
  </conditionalFormatting>
  <conditionalFormatting sqref="M261:M266">
    <cfRule type="expression" dxfId="492" priority="447">
      <formula>ISBLANK($K261)</formula>
    </cfRule>
    <cfRule type="expression" dxfId="491" priority="451">
      <formula>OR($K261="Клиника женского здоровья",$K261="Принят без записи",$K261="Динамика состояния",$K261="Статус диагноза",$K261="К сведению ГП/ЦАОП",$K261="Некорректное обращение с пациентом",$K261="Отказ от сопровождения персональным помощником")</formula>
    </cfRule>
    <cfRule type="expression" dxfId="490" priority="452">
      <formula>NOT(ISBLANK(K261))</formula>
    </cfRule>
  </conditionalFormatting>
  <conditionalFormatting sqref="P261:P266">
    <cfRule type="expression" dxfId="489" priority="448">
      <formula>OR($M261="Врач",$K261="Клиника женского здоровья",$K261="Принят без записи",$K261="Динамика состояния",$K261="Статус диагноза",AND($K261="Онкологический консилиум",$M261="Расхождение данных"),AND($K261="Превышен срок",$M261="Исследование"),AND($K261="Отсутствует протокол",$M261="Протокол исследования"),AND($K261="Дата записи",$M261="Исследование "),$K261="К сведению ГП/ЦАОП",$K261="Некорректное обращение с пациентом",$K261="Тактика ведения",$K261="Отказ в приеме")</formula>
    </cfRule>
    <cfRule type="expression" dxfId="488" priority="449">
      <formula>OR($K261="Онкологический консилиум",$K261="Дата записи",$K261="Возврат в МО без приема",$K261="Данные о биопсии",$K261="КАНЦЕР-регистр",$K261="Отказ от записи ",$K261="Отсутствует протокол",$K261="Превышен срок")</formula>
    </cfRule>
  </conditionalFormatting>
  <conditionalFormatting sqref="P267">
    <cfRule type="expression" dxfId="487" priority="444">
      <formula>OR($K267="Цель приема",$K267="Отказ в приеме",$K267="Тактика ведения",$K267="Не дозвонились в течение 2-х дней",$K267="Паллиатив/Патронаж",$K267="Отказ от сопровождения в проекте",$K267="Отказ от сопровождения персональным помощником",$K267="Нарушение маршрутизации",$K267="КАНЦЕР-регистр")</formula>
    </cfRule>
  </conditionalFormatting>
  <conditionalFormatting sqref="M267">
    <cfRule type="expression" dxfId="486" priority="441">
      <formula>ISBLANK($K267)</formula>
    </cfRule>
    <cfRule type="expression" dxfId="485" priority="445">
      <formula>OR($K267="Клиника женского здоровья",$K267="Принят без записи",$K267="Динамика состояния",$K267="Статус диагноза",$K267="К сведению ГП/ЦАОП",$K267="Некорректное обращение с пациентом",$K267="Отказ от сопровождения персональным помощником")</formula>
    </cfRule>
    <cfRule type="expression" dxfId="484" priority="446">
      <formula>NOT(ISBLANK(K267))</formula>
    </cfRule>
  </conditionalFormatting>
  <conditionalFormatting sqref="P267">
    <cfRule type="expression" dxfId="483" priority="442">
      <formula>OR($M267="Врач",$K267="Клиника женского здоровья",$K267="Принят без записи",$K267="Динамика состояния",$K267="Статус диагноза",AND($K267="Онкологический консилиум",$M267="Расхождение данных"),AND($K267="Превышен срок",$M267="Исследование"),AND($K267="Отсутствует протокол",$M267="Протокол исследования"),AND($K267="Дата записи",$M267="Исследование "),$K267="К сведению ГП/ЦАОП",$K267="Некорректное обращение с пациентом",$K267="Тактика ведения",$K267="Отказ в приеме")</formula>
    </cfRule>
    <cfRule type="expression" dxfId="482" priority="443">
      <formula>OR($K267="Онкологический консилиум",$K267="Дата записи",$K267="Возврат в МО без приема",$K267="Данные о биопсии",$K267="КАНЦЕР-регистр",$K267="Отказ от записи ",$K267="Отсутствует протокол",$K267="Превышен срок")</formula>
    </cfRule>
  </conditionalFormatting>
  <conditionalFormatting sqref="P267">
    <cfRule type="expression" dxfId="481" priority="438">
      <formula>OR($K267="Цель приема",$K267="Отказ в приеме",$K267="Тактика ведения",$K267="Не дозвонились в течение 2-х дней",$K267="Паллиатив/Патронаж",$K267="Отказ от сопровождения в проекте",$K267="Отказ от сопровождения персональным помощником",$K267="Нарушение маршрутизации",$K267="КАНЦЕР-регистр")</formula>
    </cfRule>
  </conditionalFormatting>
  <conditionalFormatting sqref="M267">
    <cfRule type="expression" dxfId="480" priority="435">
      <formula>ISBLANK($K267)</formula>
    </cfRule>
    <cfRule type="expression" dxfId="479" priority="439">
      <formula>OR($K267="Клиника женского здоровья",$K267="Принят без записи",$K267="Динамика состояния",$K267="Статус диагноза",$K267="К сведению ГП/ЦАОП",$K267="Некорректное обращение с пациентом",$K267="Отказ от сопровождения персональным помощником")</formula>
    </cfRule>
    <cfRule type="expression" dxfId="478" priority="440">
      <formula>NOT(ISBLANK(K267))</formula>
    </cfRule>
  </conditionalFormatting>
  <conditionalFormatting sqref="P267">
    <cfRule type="expression" dxfId="477" priority="436">
      <formula>OR($M267="Врач",$K267="Клиника женского здоровья",$K267="Принят без записи",$K267="Динамика состояния",$K267="Статус диагноза",AND($K267="Онкологический консилиум",$M267="Расхождение данных"),AND($K267="Превышен срок",$M267="Исследование"),AND($K267="Отсутствует протокол",$M267="Протокол исследования"),AND($K267="Дата записи",$M267="Исследование "),$K267="К сведению ГП/ЦАОП",$K267="Некорректное обращение с пациентом",$K267="Тактика ведения",$K267="Отказ в приеме")</formula>
    </cfRule>
    <cfRule type="expression" dxfId="476" priority="437">
      <formula>OR($K267="Онкологический консилиум",$K267="Дата записи",$K267="Возврат в МО без приема",$K267="Данные о биопсии",$K267="КАНЦЕР-регистр",$K267="Отказ от записи ",$K267="Отсутствует протокол",$K267="Превышен срок")</formula>
    </cfRule>
  </conditionalFormatting>
  <conditionalFormatting sqref="P268">
    <cfRule type="expression" dxfId="475" priority="432">
      <formula>OR($K268="Цель приема",$K268="Отказ в приеме",$K268="Тактика ведения",$K268="Не дозвонились в течение 2-х дней",$K268="Паллиатив/Патронаж",$K268="Отказ от сопровождения в проекте",$K268="Отказ от сопровождения персональным помощником",$K268="Нарушение маршрутизации",$K268="КАНЦЕР-регистр")</formula>
    </cfRule>
  </conditionalFormatting>
  <conditionalFormatting sqref="M268">
    <cfRule type="expression" dxfId="474" priority="429">
      <formula>ISBLANK($K268)</formula>
    </cfRule>
    <cfRule type="expression" dxfId="473" priority="433">
      <formula>OR($K268="Клиника женского здоровья",$K268="Принят без записи",$K268="Динамика состояния",$K268="Статус диагноза",$K268="К сведению ГП/ЦАОП",$K268="Некорректное обращение с пациентом",$K268="Отказ от сопровождения персональным помощником")</formula>
    </cfRule>
    <cfRule type="expression" dxfId="472" priority="434">
      <formula>NOT(ISBLANK(K268))</formula>
    </cfRule>
  </conditionalFormatting>
  <conditionalFormatting sqref="P268">
    <cfRule type="expression" dxfId="471" priority="430">
      <formula>OR($M268="Врач",$K268="Клиника женского здоровья",$K268="Принят без записи",$K268="Динамика состояния",$K268="Статус диагноза",AND($K268="Онкологический консилиум",$M268="Расхождение данных"),AND($K268="Превышен срок",$M268="Исследование"),AND($K268="Отсутствует протокол",$M268="Протокол исследования"),AND($K268="Дата записи",$M268="Исследование "),$K268="К сведению ГП/ЦАОП",$K268="Некорректное обращение с пациентом",$K268="Тактика ведения",$K268="Отказ в приеме")</formula>
    </cfRule>
    <cfRule type="expression" dxfId="470" priority="431">
      <formula>OR($K268="Онкологический консилиум",$K268="Дата записи",$K268="Возврат в МО без приема",$K268="Данные о биопсии",$K268="КАНЦЕР-регистр",$K268="Отказ от записи ",$K268="Отсутствует протокол",$K268="Превышен срок")</formula>
    </cfRule>
  </conditionalFormatting>
  <conditionalFormatting sqref="P268">
    <cfRule type="expression" dxfId="469" priority="426">
      <formula>OR($K268="Цель приема",$K268="Отказ в приеме",$K268="Тактика ведения",$K268="Не дозвонились в течение 2-х дней",$K268="Паллиатив/Патронаж",$K268="Отказ от сопровождения в проекте",$K268="Отказ от сопровождения персональным помощником",$K268="Нарушение маршрутизации",$K268="КАНЦЕР-регистр")</formula>
    </cfRule>
  </conditionalFormatting>
  <conditionalFormatting sqref="M268">
    <cfRule type="expression" dxfId="468" priority="423">
      <formula>ISBLANK($K268)</formula>
    </cfRule>
    <cfRule type="expression" dxfId="467" priority="427">
      <formula>OR($K268="Клиника женского здоровья",$K268="Принят без записи",$K268="Динамика состояния",$K268="Статус диагноза",$K268="К сведению ГП/ЦАОП",$K268="Некорректное обращение с пациентом",$K268="Отказ от сопровождения персональным помощником")</formula>
    </cfRule>
    <cfRule type="expression" dxfId="466" priority="428">
      <formula>NOT(ISBLANK(K268))</formula>
    </cfRule>
  </conditionalFormatting>
  <conditionalFormatting sqref="P268">
    <cfRule type="expression" dxfId="465" priority="424">
      <formula>OR($M268="Врач",$K268="Клиника женского здоровья",$K268="Принят без записи",$K268="Динамика состояния",$K268="Статус диагноза",AND($K268="Онкологический консилиум",$M268="Расхождение данных"),AND($K268="Превышен срок",$M268="Исследование"),AND($K268="Отсутствует протокол",$M268="Протокол исследования"),AND($K268="Дата записи",$M268="Исследование "),$K268="К сведению ГП/ЦАОП",$K268="Некорректное обращение с пациентом",$K268="Тактика ведения",$K268="Отказ в приеме")</formula>
    </cfRule>
    <cfRule type="expression" dxfId="464" priority="425">
      <formula>OR($K268="Онкологический консилиум",$K268="Дата записи",$K268="Возврат в МО без приема",$K268="Данные о биопсии",$K268="КАНЦЕР-регистр",$K268="Отказ от записи ",$K268="Отсутствует протокол",$K268="Превышен срок")</formula>
    </cfRule>
  </conditionalFormatting>
  <conditionalFormatting sqref="P269">
    <cfRule type="expression" dxfId="463" priority="422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P269">
    <cfRule type="expression" dxfId="462" priority="420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1" priority="421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P269">
    <cfRule type="expression" dxfId="460" priority="41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P269">
    <cfRule type="expression" dxfId="459" priority="41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58" priority="41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P271">
    <cfRule type="expression" dxfId="457" priority="416">
      <formula>OR($K271="Цель приема",$K271="Отказ в приеме",$K271="Тактика ведения",$K271="Не дозвонились в течение 2-х дней",$K271="Паллиатив/Патронаж",$K271="Отказ от сопровождения в проекте",$K271="Отказ от сопровождения персональным помощником",$K271="Нарушение маршрутизации",$K271="КАНЦЕР-регистр")</formula>
    </cfRule>
  </conditionalFormatting>
  <conditionalFormatting sqref="P271">
    <cfRule type="expression" dxfId="456" priority="414">
      <formula>OR($M271="Врач",$K271="Клиника женского здоровья",$K271="Принят без записи",$K271="Динамика состояния",$K271="Статус диагноза",AND($K271="Онкологический консилиум",$M271="Расхождение данных"),AND($K271="Превышен срок",$M271="Исследование"),AND($K271="Отсутствует протокол",$M271="Протокол исследования"),AND($K271="Дата записи",$M271="Исследование "),$K271="К сведению ГП/ЦАОП",$K271="Некорректное обращение с пациентом",$K271="Тактика ведения",$K271="Отказ в приеме")</formula>
    </cfRule>
    <cfRule type="expression" dxfId="455" priority="415">
      <formula>OR($K271="Онкологический консилиум",$K271="Дата записи",$K271="Возврат в МО без приема",$K271="Данные о биопсии",$K271="КАНЦЕР-регистр",$K271="Отказ от записи ",$K271="Отсутствует протокол",$K271="Превышен срок")</formula>
    </cfRule>
  </conditionalFormatting>
  <conditionalFormatting sqref="P271">
    <cfRule type="expression" dxfId="454" priority="413">
      <formula>OR($K271="Цель приема",$K271="Отказ в приеме",$K271="Тактика ведения",$K271="Не дозвонились в течение 2-х дней",$K271="Паллиатив/Патронаж",$K271="Отказ от сопровождения в проекте",$K271="Отказ от сопровождения персональным помощником",$K271="Нарушение маршрутизации",$K271="КАНЦЕР-регистр")</formula>
    </cfRule>
  </conditionalFormatting>
  <conditionalFormatting sqref="P271">
    <cfRule type="expression" dxfId="453" priority="411">
      <formula>OR($M271="Врач",$K271="Клиника женского здоровья",$K271="Принят без записи",$K271="Динамика состояния",$K271="Статус диагноза",AND($K271="Онкологический консилиум",$M271="Расхождение данных"),AND($K271="Превышен срок",$M271="Исследование"),AND($K271="Отсутствует протокол",$M271="Протокол исследования"),AND($K271="Дата записи",$M271="Исследование "),$K271="К сведению ГП/ЦАОП",$K271="Некорректное обращение с пациентом",$K271="Тактика ведения",$K271="Отказ в приеме")</formula>
    </cfRule>
    <cfRule type="expression" dxfId="452" priority="412">
      <formula>OR($K271="Онкологический консилиум",$K271="Дата записи",$K271="Возврат в МО без приема",$K271="Данные о биопсии",$K271="КАНЦЕР-регистр",$K271="Отказ от записи ",$K271="Отсутствует протокол",$K271="Превышен срок")</formula>
    </cfRule>
  </conditionalFormatting>
  <conditionalFormatting sqref="P270">
    <cfRule type="expression" dxfId="451" priority="410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P270">
    <cfRule type="expression" dxfId="450" priority="408">
      <formula>OR($M270="Врач",$K270="Клиника женского здоровья",$K270="Принят без записи",$K270="Динамика состояния",$K270="Статус диагноза",AND($K270="Онкологический консилиум",$M270="Расхождение данных"),AND($K270="Превышен срок",$M270="Исследование"),AND($K270="Отсутствует протокол",$M270="Протокол исследования"),AND($K270="Дата записи",$M270="Исследование "),$K270="К сведению ГП/ЦАОП",$K270="Некорректное обращение с пациентом",$K270="Тактика ведения",$K270="Отказ в приеме")</formula>
    </cfRule>
    <cfRule type="expression" dxfId="449" priority="409">
      <formula>OR($K270="Онкологический консилиум",$K270="Дата записи",$K270="Возврат в МО без приема",$K270="Данные о биопсии",$K270="КАНЦЕР-регистр",$K270="Отказ от записи ",$K270="Отсутствует протокол",$K270="Превышен срок")</formula>
    </cfRule>
  </conditionalFormatting>
  <conditionalFormatting sqref="P270">
    <cfRule type="expression" dxfId="448" priority="407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P270">
    <cfRule type="expression" dxfId="447" priority="405">
      <formula>OR($M270="Врач",$K270="Клиника женского здоровья",$K270="Принят без записи",$K270="Динамика состояния",$K270="Статус диагноза",AND($K270="Онкологический консилиум",$M270="Расхождение данных"),AND($K270="Превышен срок",$M270="Исследование"),AND($K270="Отсутствует протокол",$M270="Протокол исследования"),AND($K270="Дата записи",$M270="Исследование "),$K270="К сведению ГП/ЦАОП",$K270="Некорректное обращение с пациентом",$K270="Тактика ведения",$K270="Отказ в приеме")</formula>
    </cfRule>
    <cfRule type="expression" dxfId="446" priority="406">
      <formula>OR($K270="Онкологический консилиум",$K270="Дата записи",$K270="Возврат в МО без приема",$K270="Данные о биопсии",$K270="КАНЦЕР-регистр",$K270="Отказ от записи ",$K270="Отсутствует протокол",$K270="Превышен срок")</formula>
    </cfRule>
  </conditionalFormatting>
  <conditionalFormatting sqref="P272">
    <cfRule type="expression" dxfId="445" priority="402">
      <formula>OR($K272="Цель приема",$K272="Отказ в приеме",$K272="Тактика ведения",$K272="Не дозвонились в течение 2-х дней",$K272="Паллиатив/Патронаж",$K272="Отказ от сопровождения в проекте",$K272="Отказ от сопровождения персональным помощником",$K272="Нарушение маршрутизации",$K272="КАНЦЕР-регистр")</formula>
    </cfRule>
  </conditionalFormatting>
  <conditionalFormatting sqref="M272">
    <cfRule type="expression" dxfId="444" priority="399">
      <formula>ISBLANK($K272)</formula>
    </cfRule>
    <cfRule type="expression" dxfId="443" priority="403">
      <formula>OR($K272="Клиника женского здоровья",$K272="Принят без записи",$K272="Динамика состояния",$K272="Статус диагноза",$K272="К сведению ГП/ЦАОП",$K272="Некорректное обращение с пациентом",$K272="Отказ от сопровождения персональным помощником")</formula>
    </cfRule>
    <cfRule type="expression" dxfId="442" priority="404">
      <formula>NOT(ISBLANK(K272))</formula>
    </cfRule>
  </conditionalFormatting>
  <conditionalFormatting sqref="P272">
    <cfRule type="expression" dxfId="441" priority="400">
      <formula>OR($M272="Врач",$K272="Клиника женского здоровья",$K272="Принят без записи",$K272="Динамика состояния",$K272="Статус диагноза",AND($K272="Онкологический консилиум",$M272="Расхождение данных"),AND($K272="Превышен срок",$M272="Исследование"),AND($K272="Отсутствует протокол",$M272="Протокол исследования"),AND($K272="Дата записи",$M272="Исследование "),$K272="К сведению ГП/ЦАОП",$K272="Некорректное обращение с пациентом",$K272="Тактика ведения",$K272="Отказ в приеме")</formula>
    </cfRule>
    <cfRule type="expression" dxfId="440" priority="401">
      <formula>OR($K272="Онкологический консилиум",$K272="Дата записи",$K272="Возврат в МО без приема",$K272="Данные о биопсии",$K272="КАНЦЕР-регистр",$K272="Отказ от записи ",$K272="Отсутствует протокол",$K272="Превышен срок")</formula>
    </cfRule>
  </conditionalFormatting>
  <conditionalFormatting sqref="P272">
    <cfRule type="expression" dxfId="439" priority="396">
      <formula>OR($K272="Цель приема",$K272="Отказ в приеме",$K272="Тактика ведения",$K272="Не дозвонились в течение 2-х дней",$K272="Паллиатив/Патронаж",$K272="Отказ от сопровождения в проекте",$K272="Отказ от сопровождения персональным помощником",$K272="Нарушение маршрутизации",$K272="КАНЦЕР-регистр")</formula>
    </cfRule>
  </conditionalFormatting>
  <conditionalFormatting sqref="M272">
    <cfRule type="expression" dxfId="438" priority="393">
      <formula>ISBLANK($K272)</formula>
    </cfRule>
    <cfRule type="expression" dxfId="437" priority="397">
      <formula>OR($K272="Клиника женского здоровья",$K272="Принят без записи",$K272="Динамика состояния",$K272="Статус диагноза",$K272="К сведению ГП/ЦАОП",$K272="Некорректное обращение с пациентом",$K272="Отказ от сопровождения персональным помощником")</formula>
    </cfRule>
    <cfRule type="expression" dxfId="436" priority="398">
      <formula>NOT(ISBLANK(K272))</formula>
    </cfRule>
  </conditionalFormatting>
  <conditionalFormatting sqref="P272">
    <cfRule type="expression" dxfId="435" priority="394">
      <formula>OR($M272="Врач",$K272="Клиника женского здоровья",$K272="Принят без записи",$K272="Динамика состояния",$K272="Статус диагноза",AND($K272="Онкологический консилиум",$M272="Расхождение данных"),AND($K272="Превышен срок",$M272="Исследование"),AND($K272="Отсутствует протокол",$M272="Протокол исследования"),AND($K272="Дата записи",$M272="Исследование "),$K272="К сведению ГП/ЦАОП",$K272="Некорректное обращение с пациентом",$K272="Тактика ведения",$K272="Отказ в приеме")</formula>
    </cfRule>
    <cfRule type="expression" dxfId="434" priority="395">
      <formula>OR($K272="Онкологический консилиум",$K272="Дата записи",$K272="Возврат в МО без приема",$K272="Данные о биопсии",$K272="КАНЦЕР-регистр",$K272="Отказ от записи ",$K272="Отсутствует протокол",$K272="Превышен срок")</formula>
    </cfRule>
  </conditionalFormatting>
  <conditionalFormatting sqref="M269">
    <cfRule type="expression" dxfId="433" priority="390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32" priority="389">
      <formula>ISBLANK($K269)</formula>
    </cfRule>
    <cfRule type="expression" dxfId="431" priority="391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30" priority="392">
      <formula>NOT(ISBLANK(K269))</formula>
    </cfRule>
  </conditionalFormatting>
  <conditionalFormatting sqref="M269">
    <cfRule type="expression" dxfId="429" priority="386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28" priority="385">
      <formula>ISBLANK($K269)</formula>
    </cfRule>
    <cfRule type="expression" dxfId="427" priority="387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26" priority="388">
      <formula>NOT(ISBLANK(K269))</formula>
    </cfRule>
  </conditionalFormatting>
  <conditionalFormatting sqref="M270">
    <cfRule type="expression" dxfId="425" priority="382">
      <formula>OR($K270="Цель приема",$K270="Отказ в приеме",$K270="Тактика ведения",$K270="Не дозвонились в течение 2-х дней",$K270="Паллиатив/Патронаж",$K270="Отказ от сопровождения в проекте",$K270="Отказ от сопровождения персональным помощником",$K270="Нарушение маршрутизации",$K270="КАНЦЕР-регистр")</formula>
    </cfRule>
  </conditionalFormatting>
  <conditionalFormatting sqref="M270">
    <cfRule type="expression" dxfId="424" priority="381">
      <formula>ISBLANK($K270)</formula>
    </cfRule>
    <cfRule type="expression" dxfId="423" priority="383">
      <formula>OR($K270="Клиника женского здоровья",$K270="Принят без записи",$K270="Динамика состояния",$K270="Статус диагноза",$K270="К сведению ГП/ЦАОП",$K270="Некорректное обращение с пациентом",$K270="Отказ от сопровождения персональным помощником")</formula>
    </cfRule>
    <cfRule type="expression" dxfId="422" priority="384">
      <formula>NOT(ISBLANK(K270))</formula>
    </cfRule>
  </conditionalFormatting>
  <conditionalFormatting sqref="M271">
    <cfRule type="expression" dxfId="421" priority="378">
      <formula>OR($K271="Цель приема",$K271="Отказ в приеме",$K271="Тактика ведения",$K271="Не дозвонились в течение 2-х дней",$K271="Паллиатив/Патронаж",$K271="Отказ от сопровождения в проекте",$K271="Отказ от сопровождения персональным помощником",$K271="Нарушение маршрутизации",$K271="КАНЦЕР-регистр")</formula>
    </cfRule>
  </conditionalFormatting>
  <conditionalFormatting sqref="M271">
    <cfRule type="expression" dxfId="420" priority="377">
      <formula>ISBLANK($K271)</formula>
    </cfRule>
    <cfRule type="expression" dxfId="419" priority="379">
      <formula>OR($K271="Клиника женского здоровья",$K271="Принят без записи",$K271="Динамика состояния",$K271="Статус диагноза",$K271="К сведению ГП/ЦАОП",$K271="Некорректное обращение с пациентом",$K271="Отказ от сопровождения персональным помощником")</formula>
    </cfRule>
    <cfRule type="expression" dxfId="418" priority="380">
      <formula>NOT(ISBLANK(K271))</formula>
    </cfRule>
  </conditionalFormatting>
  <conditionalFormatting sqref="M273">
    <cfRule type="expression" dxfId="417" priority="374">
      <formula>OR($K273="Цель приема",$K273="Отказ в приеме",$K273="Тактика ведения",$K273="Не дозвонились в течение 2-х дней",$K273="Паллиатив/Патронаж",$K273="Отказ от сопровождения в проекте",$K273="Отказ от сопровождения персональным помощником",$K273="Нарушение маршрутизации",$K273="КАНЦЕР-регистр")</formula>
    </cfRule>
  </conditionalFormatting>
  <conditionalFormatting sqref="M273">
    <cfRule type="expression" dxfId="416" priority="371">
      <formula>ISBLANK($K273)</formula>
    </cfRule>
    <cfRule type="expression" dxfId="415" priority="375">
      <formula>OR($K273="Клиника женского здоровья",$K273="Принят без записи",$K273="Динамика состояния",$K273="Статус диагноза",$K273="К сведению ГП/ЦАОП",$K273="Некорректное обращение с пациентом",$K273="Отказ от сопровождения персональным помощником")</formula>
    </cfRule>
    <cfRule type="expression" dxfId="414" priority="376">
      <formula>NOT(ISBLANK(K273))</formula>
    </cfRule>
  </conditionalFormatting>
  <conditionalFormatting sqref="P273">
    <cfRule type="expression" dxfId="413" priority="372">
      <formula>OR($M273="Врач",$K273="Клиника женского здоровья",$K273="Принят без записи",$K273="Динамика состояния",$K273="Статус диагноза",AND($K273="Онкологический консилиум",$M273="Расхождение данных"),AND($K273="Превышен срок",$M273="Исследование"),AND($K273="Отсутствует протокол",$M273="Протокол исследования"),AND($K273="Дата записи",$M273="Исследование "),$K273="К сведению ГП/ЦАОП",$K273="Некорректное обращение с пациентом",$K273="Тактика ведения",$K273="Отказ в приеме")</formula>
    </cfRule>
    <cfRule type="expression" dxfId="412" priority="373">
      <formula>OR($K273="Онкологический консилиум",$K273="Дата записи",$K273="Возврат в МО без приема",$K273="Данные о биопсии",$K273="КАНЦЕР-регистр",$K273="Отказ от записи ",$K273="Отсутствует протокол",$K273="Превышен срок")</formula>
    </cfRule>
  </conditionalFormatting>
  <conditionalFormatting sqref="M274">
    <cfRule type="expression" dxfId="411" priority="368">
      <formula>OR($K274="Цель приема",$K274="Отказ в приеме",$K274="Тактика ведения",$K274="Не дозвонились в течение 2-х дней",$K274="Паллиатив/Патронаж",$K274="Отказ от сопровождения в проекте",$K274="Отказ от сопровождения персональным помощником",$K274="Нарушение маршрутизации",$K274="КАНЦЕР-регистр")</formula>
    </cfRule>
  </conditionalFormatting>
  <conditionalFormatting sqref="M274">
    <cfRule type="expression" dxfId="410" priority="365">
      <formula>ISBLANK($K274)</formula>
    </cfRule>
    <cfRule type="expression" dxfId="409" priority="369">
      <formula>OR($K274="Клиника женского здоровья",$K274="Принят без записи",$K274="Динамика состояния",$K274="Статус диагноза",$K274="К сведению ГП/ЦАОП",$K274="Некорректное обращение с пациентом",$K274="Отказ от сопровождения персональным помощником")</formula>
    </cfRule>
    <cfRule type="expression" dxfId="408" priority="370">
      <formula>NOT(ISBLANK(K274))</formula>
    </cfRule>
  </conditionalFormatting>
  <conditionalFormatting sqref="P274">
    <cfRule type="expression" dxfId="407" priority="366">
      <formula>OR($M274="Врач",$K274="Клиника женского здоровья",$K274="Принят без записи",$K274="Динамика состояния",$K274="Статус диагноза",AND($K274="Онкологический консилиум",$M274="Расхождение данных"),AND($K274="Превышен срок",$M274="Исследование"),AND($K274="Отсутствует протокол",$M274="Протокол исследования"),AND($K274="Дата записи",$M274="Исследование "),$K274="К сведению ГП/ЦАОП",$K274="Некорректное обращение с пациентом",$K274="Тактика ведения",$K274="Отказ в приеме")</formula>
    </cfRule>
    <cfRule type="expression" dxfId="406" priority="367">
      <formula>OR($K274="Онкологический консилиум",$K274="Дата записи",$K274="Возврат в МО без приема",$K274="Данные о биопсии",$K274="КАНЦЕР-регистр",$K274="Отказ от записи ",$K274="Отсутствует протокол",$K274="Превышен срок")</formula>
    </cfRule>
  </conditionalFormatting>
  <conditionalFormatting sqref="M275:M276">
    <cfRule type="expression" dxfId="405" priority="362">
      <formula>OR($K275="Цель приема",$K275="Отказ в приеме",$K275="Тактика ведения",$K275="Не дозвонились в течение 2-х дней",$K275="Паллиатив/Патронаж",$K275="Отказ от сопровождения в проекте",$K275="Отказ от сопровождения персональным помощником",$K275="Нарушение маршрутизации",$K275="КАНЦЕР-регистр")</formula>
    </cfRule>
  </conditionalFormatting>
  <conditionalFormatting sqref="M275:M276">
    <cfRule type="expression" dxfId="404" priority="359">
      <formula>ISBLANK($K275)</formula>
    </cfRule>
    <cfRule type="expression" dxfId="403" priority="363">
      <formula>OR($K275="Клиника женского здоровья",$K275="Принят без записи",$K275="Динамика состояния",$K275="Статус диагноза",$K275="К сведению ГП/ЦАОП",$K275="Некорректное обращение с пациентом",$K275="Отказ от сопровождения персональным помощником")</formula>
    </cfRule>
    <cfRule type="expression" dxfId="402" priority="364">
      <formula>NOT(ISBLANK(K275))</formula>
    </cfRule>
  </conditionalFormatting>
  <conditionalFormatting sqref="P275:P276">
    <cfRule type="expression" dxfId="401" priority="360">
      <formula>OR($M275="Врач",$K275="Клиника женского здоровья",$K275="Принят без записи",$K275="Динамика состояния",$K275="Статус диагноза",AND($K275="Онкологический консилиум",$M275="Расхождение данных"),AND($K275="Превышен срок",$M275="Исследование"),AND($K275="Отсутствует протокол",$M275="Протокол исследования"),AND($K275="Дата записи",$M275="Исследование "),$K275="К сведению ГП/ЦАОП",$K275="Некорректное обращение с пациентом",$K275="Тактика ведения",$K275="Отказ в приеме")</formula>
    </cfRule>
    <cfRule type="expression" dxfId="400" priority="361">
      <formula>OR($K275="Онкологический консилиум",$K275="Дата записи",$K275="Возврат в МО без приема",$K275="Данные о биопсии",$K275="КАНЦЕР-регистр",$K275="Отказ от записи ",$K275="Отсутствует протокол",$K275="Превышен срок")</formula>
    </cfRule>
  </conditionalFormatting>
  <conditionalFormatting sqref="M277">
    <cfRule type="expression" dxfId="399" priority="356">
      <formula>OR($K277="Цель приема",$K277="Отказ в приеме",$K277="Тактика ведения",$K277="Не дозвонились в течение 2-х дней",$K277="Паллиатив/Патронаж",$K277="Отказ от сопровождения в проекте",$K277="Отказ от сопровождения персональным помощником",$K277="Нарушение маршрутизации",$K277="КАНЦЕР-регистр")</formula>
    </cfRule>
  </conditionalFormatting>
  <conditionalFormatting sqref="M277">
    <cfRule type="expression" dxfId="398" priority="353">
      <formula>ISBLANK($K277)</formula>
    </cfRule>
    <cfRule type="expression" dxfId="397" priority="357">
      <formula>OR($K277="Клиника женского здоровья",$K277="Принят без записи",$K277="Динамика состояния",$K277="Статус диагноза",$K277="К сведению ГП/ЦАОП",$K277="Некорректное обращение с пациентом",$K277="Отказ от сопровождения персональным помощником")</formula>
    </cfRule>
    <cfRule type="expression" dxfId="396" priority="358">
      <formula>NOT(ISBLANK(K277))</formula>
    </cfRule>
  </conditionalFormatting>
  <conditionalFormatting sqref="P277">
    <cfRule type="expression" dxfId="395" priority="354">
      <formula>OR($M277="Врач",$K277="Клиника женского здоровья",$K277="Принят без записи",$K277="Динамика состояния",$K277="Статус диагноза",AND($K277="Онкологический консилиум",$M277="Расхождение данных"),AND($K277="Превышен срок",$M277="Исследование"),AND($K277="Отсутствует протокол",$M277="Протокол исследования"),AND($K277="Дата записи",$M277="Исследование "),$K277="К сведению ГП/ЦАОП",$K277="Некорректное обращение с пациентом",$K277="Тактика ведения",$K277="Отказ в приеме")</formula>
    </cfRule>
    <cfRule type="expression" dxfId="394" priority="355">
      <formula>OR($K277="Онкологический консилиум",$K277="Дата записи",$K277="Возврат в МО без приема",$K277="Данные о биопсии",$K277="КАНЦЕР-регистр",$K277="Отказ от записи ",$K277="Отсутствует протокол",$K277="Превышен срок")</formula>
    </cfRule>
  </conditionalFormatting>
  <conditionalFormatting sqref="M278">
    <cfRule type="expression" dxfId="393" priority="350">
      <formula>OR($K278="Цель приема",$K278="Отказ в приеме",$K278="Тактика ведения",$K278="Не дозвонились в течение 2-х дней",$K278="Паллиатив/Патронаж",$K278="Отказ от сопровождения в проекте",$K278="Отказ от сопровождения персональным помощником",$K278="Нарушение маршрутизации",$K278="КАНЦЕР-регистр")</formula>
    </cfRule>
  </conditionalFormatting>
  <conditionalFormatting sqref="M278">
    <cfRule type="expression" dxfId="392" priority="347">
      <formula>ISBLANK($K278)</formula>
    </cfRule>
    <cfRule type="expression" dxfId="391" priority="351">
      <formula>OR($K278="Клиника женского здоровья",$K278="Принят без записи",$K278="Динамика состояния",$K278="Статус диагноза",$K278="К сведению ГП/ЦАОП",$K278="Некорректное обращение с пациентом",$K278="Отказ от сопровождения персональным помощником")</formula>
    </cfRule>
    <cfRule type="expression" dxfId="390" priority="352">
      <formula>NOT(ISBLANK(K278))</formula>
    </cfRule>
  </conditionalFormatting>
  <conditionalFormatting sqref="P278">
    <cfRule type="expression" dxfId="389" priority="348">
      <formula>OR($M278="Врач",$K278="Клиника женского здоровья",$K278="Принят без записи",$K278="Динамика состояния",$K278="Статус диагноза",AND($K278="Онкологический консилиум",$M278="Расхождение данных"),AND($K278="Превышен срок",$M278="Исследование"),AND($K278="Отсутствует протокол",$M278="Протокол исследования"),AND($K278="Дата записи",$M278="Исследование "),$K278="К сведению ГП/ЦАОП",$K278="Некорректное обращение с пациентом",$K278="Тактика ведения",$K278="Отказ в приеме")</formula>
    </cfRule>
    <cfRule type="expression" dxfId="388" priority="349">
      <formula>OR($K278="Онкологический консилиум",$K278="Дата записи",$K278="Возврат в МО без приема",$K278="Данные о биопсии",$K278="КАНЦЕР-регистр",$K278="Отказ от записи ",$K278="Отсутствует протокол",$K278="Превышен срок")</formula>
    </cfRule>
  </conditionalFormatting>
  <conditionalFormatting sqref="M279">
    <cfRule type="expression" dxfId="387" priority="344">
      <formula>OR($K279="Цель приема",$K279="Отказ в приеме",$K279="Тактика ведения",$K279="Не дозвонились в течение 2-х дней",$K279="Паллиатив/Патронаж",$K279="Отказ от сопровождения в проекте",$K279="Отказ от сопровождения персональным помощником",$K279="Нарушение маршрутизации",$K279="КАНЦЕР-регистр")</formula>
    </cfRule>
  </conditionalFormatting>
  <conditionalFormatting sqref="M279">
    <cfRule type="expression" dxfId="386" priority="341">
      <formula>ISBLANK($K279)</formula>
    </cfRule>
    <cfRule type="expression" dxfId="385" priority="345">
      <formula>OR($K279="Клиника женского здоровья",$K279="Принят без записи",$K279="Динамика состояния",$K279="Статус диагноза",$K279="К сведению ГП/ЦАОП",$K279="Некорректное обращение с пациентом",$K279="Отказ от сопровождения персональным помощником")</formula>
    </cfRule>
    <cfRule type="expression" dxfId="384" priority="346">
      <formula>NOT(ISBLANK(K279))</formula>
    </cfRule>
  </conditionalFormatting>
  <conditionalFormatting sqref="P279">
    <cfRule type="expression" dxfId="383" priority="342">
      <formula>OR($M279="Врач",$K279="Клиника женского здоровья",$K279="Принят без записи",$K279="Динамика состояния",$K279="Статус диагноза",AND($K279="Онкологический консилиум",$M279="Расхождение данных"),AND($K279="Превышен срок",$M279="Исследование"),AND($K279="Отсутствует протокол",$M279="Протокол исследования"),AND($K279="Дата записи",$M279="Исследование "),$K279="К сведению ГП/ЦАОП",$K279="Некорректное обращение с пациентом",$K279="Тактика ведения",$K279="Отказ в приеме")</formula>
    </cfRule>
    <cfRule type="expression" dxfId="382" priority="343">
      <formula>OR($K279="Онкологический консилиум",$K279="Дата записи",$K279="Возврат в МО без приема",$K279="Данные о биопсии",$K279="КАНЦЕР-регистр",$K279="Отказ от записи ",$K279="Отсутствует протокол",$K279="Превышен срок")</formula>
    </cfRule>
  </conditionalFormatting>
  <conditionalFormatting sqref="M280">
    <cfRule type="expression" dxfId="381" priority="338">
      <formula>OR($K280="Цель приема",$K280="Отказ в приеме",$K280="Тактика ведения",$K280="Не дозвонились в течение 2-х дней",$K280="Паллиатив/Патронаж",$K280="Отказ от сопровождения в проекте",$K280="Отказ от сопровождения персональным помощником",$K280="Нарушение маршрутизации",$K280="КАНЦЕР-регистр")</formula>
    </cfRule>
  </conditionalFormatting>
  <conditionalFormatting sqref="M280">
    <cfRule type="expression" dxfId="380" priority="335">
      <formula>ISBLANK($K280)</formula>
    </cfRule>
    <cfRule type="expression" dxfId="379" priority="339">
      <formula>OR($K280="Клиника женского здоровья",$K280="Принят без записи",$K280="Динамика состояния",$K280="Статус диагноза",$K280="К сведению ГП/ЦАОП",$K280="Некорректное обращение с пациентом",$K280="Отказ от сопровождения персональным помощником")</formula>
    </cfRule>
    <cfRule type="expression" dxfId="378" priority="340">
      <formula>NOT(ISBLANK(K280))</formula>
    </cfRule>
  </conditionalFormatting>
  <conditionalFormatting sqref="P280">
    <cfRule type="expression" dxfId="377" priority="336">
      <formula>OR($M280="Врач",$K280="Клиника женского здоровья",$K280="Принят без записи",$K280="Динамика состояния",$K280="Статус диагноза",AND($K280="Онкологический консилиум",$M280="Расхождение данных"),AND($K280="Превышен срок",$M280="Исследование"),AND($K280="Отсутствует протокол",$M280="Протокол исследования"),AND($K280="Дата записи",$M280="Исследование "),$K280="К сведению ГП/ЦАОП",$K280="Некорректное обращение с пациентом",$K280="Тактика ведения",$K280="Отказ в приеме")</formula>
    </cfRule>
    <cfRule type="expression" dxfId="376" priority="337">
      <formula>OR($K280="Онкологический консилиум",$K280="Дата записи",$K280="Возврат в МО без приема",$K280="Данные о биопсии",$K280="КАНЦЕР-регистр",$K280="Отказ от записи ",$K280="Отсутствует протокол",$K280="Превышен срок")</formula>
    </cfRule>
  </conditionalFormatting>
  <conditionalFormatting sqref="M281">
    <cfRule type="expression" dxfId="375" priority="332">
      <formula>OR($K281="Цель приема",$K281="Отказ в приеме",$K281="Тактика ведения",$K281="Не дозвонились в течение 2-х дней",$K281="Паллиатив/Патронаж",$K281="Отказ от сопровождения в проекте",$K281="Отказ от сопровождения персональным помощником",$K281="Нарушение маршрутизации",$K281="КАНЦЕР-регистр")</formula>
    </cfRule>
  </conditionalFormatting>
  <conditionalFormatting sqref="M281">
    <cfRule type="expression" dxfId="374" priority="329">
      <formula>ISBLANK($K281)</formula>
    </cfRule>
    <cfRule type="expression" dxfId="373" priority="333">
      <formula>OR($K281="Клиника женского здоровья",$K281="Принят без записи",$K281="Динамика состояния",$K281="Статус диагноза",$K281="К сведению ГП/ЦАОП",$K281="Некорректное обращение с пациентом",$K281="Отказ от сопровождения персональным помощником")</formula>
    </cfRule>
    <cfRule type="expression" dxfId="372" priority="334">
      <formula>NOT(ISBLANK(K281))</formula>
    </cfRule>
  </conditionalFormatting>
  <conditionalFormatting sqref="P281">
    <cfRule type="expression" dxfId="371" priority="330">
      <formula>OR($M281="Врач",$K281="Клиника женского здоровья",$K281="Принят без записи",$K281="Динамика состояния",$K281="Статус диагноза",AND($K281="Онкологический консилиум",$M281="Расхождение данных"),AND($K281="Превышен срок",$M281="Исследование"),AND($K281="Отсутствует протокол",$M281="Протокол исследования"),AND($K281="Дата записи",$M281="Исследование "),$K281="К сведению ГП/ЦАОП",$K281="Некорректное обращение с пациентом",$K281="Тактика ведения",$K281="Отказ в приеме")</formula>
    </cfRule>
    <cfRule type="expression" dxfId="370" priority="331">
      <formula>OR($K281="Онкологический консилиум",$K281="Дата записи",$K281="Возврат в МО без приема",$K281="Данные о биопсии",$K281="КАНЦЕР-регистр",$K281="Отказ от записи ",$K281="Отсутствует протокол",$K281="Превышен срок")</formula>
    </cfRule>
  </conditionalFormatting>
  <conditionalFormatting sqref="M282">
    <cfRule type="expression" dxfId="369" priority="326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368" priority="323">
      <formula>ISBLANK($K282)</formula>
    </cfRule>
    <cfRule type="expression" dxfId="367" priority="327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366" priority="328">
      <formula>NOT(ISBLANK(K282))</formula>
    </cfRule>
  </conditionalFormatting>
  <conditionalFormatting sqref="P282">
    <cfRule type="expression" dxfId="365" priority="324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364" priority="325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M283">
    <cfRule type="expression" dxfId="363" priority="320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362" priority="317">
      <formula>ISBLANK($K283)</formula>
    </cfRule>
    <cfRule type="expression" dxfId="361" priority="321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360" priority="322">
      <formula>NOT(ISBLANK(K283))</formula>
    </cfRule>
  </conditionalFormatting>
  <conditionalFormatting sqref="P283">
    <cfRule type="expression" dxfId="359" priority="318">
      <formula>OR($M283="Врач",$K283="Клиника женского здоровья",$K283="Принят без записи",$K283="Динамика состояния",$K283="Статус диагноза",AND($K283="Онкологический консилиум",$M283="Расхождение данных"),AND($K283="Превышен срок",$M283="Исследование"),AND($K283="Отсутствует протокол",$M283="Протокол исследования"),AND($K283="Дата записи",$M283="Исследование "),$K283="К сведению ГП/ЦАОП",$K283="Некорректное обращение с пациентом",$K283="Тактика ведения",$K283="Отказ в приеме")</formula>
    </cfRule>
    <cfRule type="expression" dxfId="358" priority="319">
      <formula>OR($K283="Онкологический консилиум",$K283="Дата записи",$K283="Возврат в МО без приема",$K283="Данные о биопсии",$K283="КАНЦЕР-регистр",$K283="Отказ от записи ",$K283="Отсутствует протокол",$K283="Превышен срок")</formula>
    </cfRule>
  </conditionalFormatting>
  <conditionalFormatting sqref="M284">
    <cfRule type="expression" dxfId="357" priority="314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356" priority="311">
      <formula>ISBLANK($K284)</formula>
    </cfRule>
    <cfRule type="expression" dxfId="355" priority="315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354" priority="316">
      <formula>NOT(ISBLANK(K284))</formula>
    </cfRule>
  </conditionalFormatting>
  <conditionalFormatting sqref="P284">
    <cfRule type="expression" dxfId="353" priority="312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352" priority="313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85">
    <cfRule type="expression" dxfId="351" priority="308">
      <formula>OR($K285="Цель приема",$K285="Отказ в приеме",$K285="Тактика ведения",$K285="Не дозвонились в течение 2-х дней",$K285="Паллиатив/Патронаж",$K285="Отказ от сопровождения в проекте",$K285="Отказ от сопровождения персональным помощником",$K285="Нарушение маршрутизации",$K285="КАНЦЕР-регистр")</formula>
    </cfRule>
  </conditionalFormatting>
  <conditionalFormatting sqref="M285">
    <cfRule type="expression" dxfId="350" priority="305">
      <formula>ISBLANK($K285)</formula>
    </cfRule>
    <cfRule type="expression" dxfId="349" priority="309">
      <formula>OR($K285="Клиника женского здоровья",$K285="Принят без записи",$K285="Динамика состояния",$K285="Статус диагноза",$K285="К сведению ГП/ЦАОП",$K285="Некорректное обращение с пациентом",$K285="Отказ от сопровождения персональным помощником")</formula>
    </cfRule>
    <cfRule type="expression" dxfId="348" priority="310">
      <formula>NOT(ISBLANK(K285))</formula>
    </cfRule>
  </conditionalFormatting>
  <conditionalFormatting sqref="P285">
    <cfRule type="expression" dxfId="347" priority="306">
      <formula>OR($M285="Врач",$K285="Клиника женского здоровья",$K285="Принят без записи",$K285="Динамика состояния",$K285="Статус диагноза",AND($K285="Онкологический консилиум",$M285="Расхождение данных"),AND($K285="Превышен срок",$M285="Исследование"),AND($K285="Отсутствует протокол",$M285="Протокол исследования"),AND($K285="Дата записи",$M285="Исследование "),$K285="К сведению ГП/ЦАОП",$K285="Некорректное обращение с пациентом",$K285="Тактика ведения",$K285="Отказ в приеме")</formula>
    </cfRule>
    <cfRule type="expression" dxfId="346" priority="307">
      <formula>OR($K285="Онкологический консилиум",$K285="Дата записи",$K285="Возврат в МО без приема",$K285="Данные о биопсии",$K285="КАНЦЕР-регистр",$K285="Отказ от записи ",$K285="Отсутствует протокол",$K285="Превышен срок")</formula>
    </cfRule>
  </conditionalFormatting>
  <conditionalFormatting sqref="M286">
    <cfRule type="expression" dxfId="345" priority="302">
      <formula>OR($K286="Цель приема",$K286="Отказ в приеме",$K286="Тактика ведения",$K286="Не дозвонились в течение 2-х дней",$K286="Паллиатив/Патронаж",$K286="Отказ от сопровождения в проекте",$K286="Отказ от сопровождения персональным помощником",$K286="Нарушение маршрутизации",$K286="КАНЦЕР-регистр")</formula>
    </cfRule>
  </conditionalFormatting>
  <conditionalFormatting sqref="M286">
    <cfRule type="expression" dxfId="344" priority="299">
      <formula>ISBLANK($K286)</formula>
    </cfRule>
    <cfRule type="expression" dxfId="343" priority="303">
      <formula>OR($K286="Клиника женского здоровья",$K286="Принят без записи",$K286="Динамика состояния",$K286="Статус диагноза",$K286="К сведению ГП/ЦАОП",$K286="Некорректное обращение с пациентом",$K286="Отказ от сопровождения персональным помощником")</formula>
    </cfRule>
    <cfRule type="expression" dxfId="342" priority="304">
      <formula>NOT(ISBLANK(K286))</formula>
    </cfRule>
  </conditionalFormatting>
  <conditionalFormatting sqref="P286">
    <cfRule type="expression" dxfId="341" priority="300">
      <formula>OR($M286="Врач",$K286="Клиника женского здоровья",$K286="Принят без записи",$K286="Динамика состояния",$K286="Статус диагноза",AND($K286="Онкологический консилиум",$M286="Расхождение данных"),AND($K286="Превышен срок",$M286="Исследование"),AND($K286="Отсутствует протокол",$M286="Протокол исследования"),AND($K286="Дата записи",$M286="Исследование "),$K286="К сведению ГП/ЦАОП",$K286="Некорректное обращение с пациентом",$K286="Тактика ведения",$K286="Отказ в приеме")</formula>
    </cfRule>
    <cfRule type="expression" dxfId="340" priority="301">
      <formula>OR($K286="Онкологический консилиум",$K286="Дата записи",$K286="Возврат в МО без приема",$K286="Данные о биопсии",$K286="КАНЦЕР-регистр",$K286="Отказ от записи ",$K286="Отсутствует протокол",$K286="Превышен срок")</formula>
    </cfRule>
  </conditionalFormatting>
  <conditionalFormatting sqref="M287">
    <cfRule type="expression" dxfId="339" priority="29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M287">
    <cfRule type="expression" dxfId="338" priority="293">
      <formula>ISBLANK($K287)</formula>
    </cfRule>
    <cfRule type="expression" dxfId="337" priority="297">
      <formula>OR($K287="Клиника женского здоровья",$K287="Принят без записи",$K287="Динамика состояния",$K287="Статус диагноза",$K287="К сведению ГП/ЦАОП",$K287="Некорректное обращение с пациентом",$K287="Отказ от сопровождения персональным помощником")</formula>
    </cfRule>
    <cfRule type="expression" dxfId="336" priority="298">
      <formula>NOT(ISBLANK(K287))</formula>
    </cfRule>
  </conditionalFormatting>
  <conditionalFormatting sqref="P287">
    <cfRule type="expression" dxfId="335" priority="29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334" priority="29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M288:M293">
    <cfRule type="expression" dxfId="333" priority="290">
      <formula>OR($K288="Цель приема",$K288="Отказ в приеме",$K288="Тактика ведения",$K288="Не дозвонились в течение 2-х дней",$K288="Паллиатив/Патронаж",$K288="Отказ от сопровождения в проекте",$K288="Отказ от сопровождения персональным помощником",$K288="Нарушение маршрутизации",$K288="КАНЦЕР-регистр")</formula>
    </cfRule>
  </conditionalFormatting>
  <conditionalFormatting sqref="M288:M293">
    <cfRule type="expression" dxfId="332" priority="287">
      <formula>ISBLANK($K288)</formula>
    </cfRule>
    <cfRule type="expression" dxfId="331" priority="291">
      <formula>OR($K288="Клиника женского здоровья",$K288="Принят без записи",$K288="Динамика состояния",$K288="Статус диагноза",$K288="К сведению ГП/ЦАОП",$K288="Некорректное обращение с пациентом",$K288="Отказ от сопровождения персональным помощником")</formula>
    </cfRule>
    <cfRule type="expression" dxfId="330" priority="292">
      <formula>NOT(ISBLANK(K288))</formula>
    </cfRule>
  </conditionalFormatting>
  <conditionalFormatting sqref="P288:P293">
    <cfRule type="expression" dxfId="329" priority="288">
      <formula>OR($M288="Врач",$K288="Клиника женского здоровья",$K288="Принят без записи",$K288="Динамика состояния",$K288="Статус диагноза",AND($K288="Онкологический консилиум",$M288="Расхождение данных"),AND($K288="Превышен срок",$M288="Исследование"),AND($K288="Отсутствует протокол",$M288="Протокол исследования"),AND($K288="Дата записи",$M288="Исследование "),$K288="К сведению ГП/ЦАОП",$K288="Некорректное обращение с пациентом",$K288="Тактика ведения",$K288="Отказ в приеме")</formula>
    </cfRule>
    <cfRule type="expression" dxfId="328" priority="289">
      <formula>OR($K288="Онкологический консилиум",$K288="Дата записи",$K288="Возврат в МО без приема",$K288="Данные о биопсии",$K288="КАНЦЕР-регистр",$K288="Отказ от записи ",$K288="Отсутствует протокол",$K288="Превышен срок")</formula>
    </cfRule>
  </conditionalFormatting>
  <conditionalFormatting sqref="M295:M297">
    <cfRule type="expression" dxfId="327" priority="284">
      <formula>OR($K295="Цель приема",$K295="Отказ в приеме",$K295="Тактика ведения",$K295="Не дозвонились в течение 2-х дней",$K295="Паллиатив/Патронаж",$K295="Отказ от сопровождения в проекте",$K295="Отказ от сопровождения персональным помощником",$K295="Нарушение маршрутизации",$K295="КАНЦЕР-регистр")</formula>
    </cfRule>
  </conditionalFormatting>
  <conditionalFormatting sqref="M295:M297">
    <cfRule type="expression" dxfId="326" priority="281">
      <formula>ISBLANK($K295)</formula>
    </cfRule>
    <cfRule type="expression" dxfId="325" priority="285">
      <formula>OR($K295="Клиника женского здоровья",$K295="Принят без записи",$K295="Динамика состояния",$K295="Статус диагноза",$K295="К сведению ГП/ЦАОП",$K295="Некорректное обращение с пациентом",$K295="Отказ от сопровождения персональным помощником")</formula>
    </cfRule>
    <cfRule type="expression" dxfId="324" priority="286">
      <formula>NOT(ISBLANK(K295))</formula>
    </cfRule>
  </conditionalFormatting>
  <conditionalFormatting sqref="P294:P297">
    <cfRule type="expression" dxfId="323" priority="282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322" priority="283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94">
    <cfRule type="expression" dxfId="321" priority="27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</conditionalFormatting>
  <conditionalFormatting sqref="M294">
    <cfRule type="expression" dxfId="320" priority="277">
      <formula>ISBLANK($K294)</formula>
    </cfRule>
    <cfRule type="expression" dxfId="319" priority="279">
      <formula>OR($K294="Клиника женского здоровья",$K294="Принят без записи",$K294="Динамика состояния",$K294="Статус диагноза",$K294="К сведению ГП/ЦАОП",$K294="Некорректное обращение с пациентом",$K294="Отказ от сопровождения персональным помощником")</formula>
    </cfRule>
    <cfRule type="expression" dxfId="318" priority="280">
      <formula>NOT(ISBLANK(K294))</formula>
    </cfRule>
  </conditionalFormatting>
  <conditionalFormatting sqref="P298">
    <cfRule type="expression" dxfId="317" priority="274">
      <formula>OR($K298="Цель приема",$K298="Отказ в приеме",$K298="Тактика ведения",$K298="Не дозвонились в течение 2-х дней",$K298="Паллиатив/Патронаж",$K298="Отказ от сопровождения в проекте",$K298="Отказ от сопровождения персональным помощником",$K298="Нарушение маршрутизации",$K298="КАНЦЕР-регистр")</formula>
    </cfRule>
  </conditionalFormatting>
  <conditionalFormatting sqref="M298">
    <cfRule type="expression" dxfId="316" priority="271">
      <formula>ISBLANK($K298)</formula>
    </cfRule>
    <cfRule type="expression" dxfId="315" priority="275">
      <formula>OR($K298="Клиника женского здоровья",$K298="Принят без записи",$K298="Динамика состояния",$K298="Статус диагноза",$K298="К сведению ГП/ЦАОП",$K298="Некорректное обращение с пациентом",$K298="Отказ от сопровождения персональным помощником")</formula>
    </cfRule>
    <cfRule type="expression" dxfId="314" priority="276">
      <formula>NOT(ISBLANK(K298))</formula>
    </cfRule>
  </conditionalFormatting>
  <conditionalFormatting sqref="P298">
    <cfRule type="expression" dxfId="313" priority="272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312" priority="273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299:M307">
    <cfRule type="expression" dxfId="311" priority="268">
      <formula>OR($K299="Цель приема",$K299="Отказ в приеме",$K299="Тактика ведения",$K299="Не дозвонились в течение 2-х дней",$K299="Паллиатив/Патронаж",$K299="Отказ от сопровождения в проекте",$K299="Отказ от сопровождения персональным помощником",$K299="Нарушение маршрутизации",$K299="КАНЦЕР-регистр")</formula>
    </cfRule>
  </conditionalFormatting>
  <conditionalFormatting sqref="M299:M307">
    <cfRule type="expression" dxfId="310" priority="265">
      <formula>ISBLANK($K299)</formula>
    </cfRule>
    <cfRule type="expression" dxfId="309" priority="269">
      <formula>OR($K299="Клиника женского здоровья",$K299="Принят без записи",$K299="Динамика состояния",$K299="Статус диагноза",$K299="К сведению ГП/ЦАОП",$K299="Некорректное обращение с пациентом",$K299="Отказ от сопровождения персональным помощником")</formula>
    </cfRule>
    <cfRule type="expression" dxfId="308" priority="270">
      <formula>NOT(ISBLANK(K299))</formula>
    </cfRule>
  </conditionalFormatting>
  <conditionalFormatting sqref="P299:P307">
    <cfRule type="expression" dxfId="307" priority="266">
      <formula>OR($M299="Врач",$K299="Клиника женского здоровья",$K299="Принят без записи",$K299="Динамика состояния",$K299="Статус диагноза",AND($K299="Онкологический консилиум",$M299="Расхождение данных"),AND($K299="Превышен срок",$M299="Исследование"),AND($K299="Отсутствует протокол",$M299="Протокол исследования"),AND($K299="Дата записи",$M299="Исследование "),$K299="К сведению ГП/ЦАОП",$K299="Некорректное обращение с пациентом",$K299="Тактика ведения",$K299="Отказ в приеме")</formula>
    </cfRule>
    <cfRule type="expression" dxfId="306" priority="267">
      <formula>OR($K299="Онкологический консилиум",$K299="Дата записи",$K299="Возврат в МО без приема",$K299="Данные о биопсии",$K299="КАНЦЕР-регистр",$K299="Отказ от записи ",$K299="Отсутствует протокол",$K299="Превышен срок")</formula>
    </cfRule>
  </conditionalFormatting>
  <conditionalFormatting sqref="M308:M339">
    <cfRule type="expression" dxfId="305" priority="262">
      <formula>OR($K308="Цель приема",$K308="Отказ в приеме",$K308="Тактика ведения",$K308="Не дозвонились в течение 2-х дней",$K308="Паллиатив/Патронаж",$K308="Отказ от сопровождения в проекте",$K308="Отказ от сопровождения персональным помощником",$K308="Нарушение маршрутизации",$K308="КАНЦЕР-регистр")</formula>
    </cfRule>
  </conditionalFormatting>
  <conditionalFormatting sqref="M308:M339">
    <cfRule type="expression" dxfId="304" priority="259">
      <formula>ISBLANK($K308)</formula>
    </cfRule>
    <cfRule type="expression" dxfId="303" priority="263">
      <formula>OR($K308="Клиника женского здоровья",$K308="Принят без записи",$K308="Динамика состояния",$K308="Статус диагноза",$K308="К сведению ГП/ЦАОП",$K308="Некорректное обращение с пациентом",$K308="Отказ от сопровождения персональным помощником")</formula>
    </cfRule>
    <cfRule type="expression" dxfId="302" priority="264">
      <formula>NOT(ISBLANK(K308))</formula>
    </cfRule>
  </conditionalFormatting>
  <conditionalFormatting sqref="P308:P309">
    <cfRule type="expression" dxfId="301" priority="260">
      <formula>OR($M308="Врач",$K308="Клиника женского здоровья",$K308="Принят без записи",$K308="Динамика состояния",$K308="Статус диагноза",AND($K308="Онкологический консилиум",$M308="Расхождение данных"),AND($K308="Превышен срок",$M308="Исследование"),AND($K308="Отсутствует протокол",$M308="Протокол исследования"),AND($K308="Дата записи",$M308="Исследование "),$K308="К сведению ГП/ЦАОП",$K308="Некорректное обращение с пациентом",$K308="Тактика ведения",$K308="Отказ в приеме")</formula>
    </cfRule>
    <cfRule type="expression" dxfId="300" priority="261">
      <formula>OR($K308="Онкологический консилиум",$K308="Дата записи",$K308="Возврат в МО без приема",$K308="Данные о биопсии",$K308="КАНЦЕР-регистр",$K308="Отказ от записи ",$K308="Отсутствует протокол",$K308="Превышен срок")</formula>
    </cfRule>
  </conditionalFormatting>
  <conditionalFormatting sqref="P310">
    <cfRule type="expression" dxfId="299" priority="258">
      <formula>OR($K310="Цель приема",$K310="Отказ в приеме",$K310="Тактика ведения",$K310="Не дозвонились в течение 2-х дней",$K310="Паллиатив/Патронаж",$K310="Отказ от сопровождения в проекте",$K310="Отказ от сопровождения персональным помощником",$K310="Нарушение маршрутизации",$K310="КАНЦЕР-регистр")</formula>
    </cfRule>
  </conditionalFormatting>
  <conditionalFormatting sqref="P310">
    <cfRule type="expression" dxfId="298" priority="256">
      <formula>OR($M310="Врач",$K310="Клиника женского здоровья",$K310="Принят без записи",$K310="Динамика состояния",$K310="Статус диагноза",AND($K310="Онкологический консилиум",$M310="Расхождение данных"),AND($K310="Превышен срок",$M310="Исследование"),AND($K310="Отсутствует протокол",$M310="Протокол исследования"),AND($K310="Дата записи",$M310="Исследование "),$K310="К сведению ГП/ЦАОП",$K310="Некорректное обращение с пациентом",$K310="Тактика ведения",$K310="Отказ в приеме")</formula>
    </cfRule>
    <cfRule type="expression" dxfId="297" priority="257">
      <formula>OR($K310="Онкологический консилиум",$K310="Дата записи",$K310="Возврат в МО без приема",$K310="Данные о биопсии",$K310="КАНЦЕР-регистр",$K310="Отказ от записи ",$K310="Отсутствует протокол",$K310="Превышен срок")</formula>
    </cfRule>
  </conditionalFormatting>
  <conditionalFormatting sqref="F334 F239 F308 F322 F338 F339:G339 F354:F356">
    <cfRule type="expression" dxfId="296" priority="248" stopIfTrue="1">
      <formula>$AL239="Техническая приостановка"</formula>
    </cfRule>
    <cfRule type="expression" dxfId="295" priority="249" stopIfTrue="1">
      <formula>$AA239="Сегодня"</formula>
    </cfRule>
  </conditionalFormatting>
  <conditionalFormatting sqref="F334:G334">
    <cfRule type="timePeriod" dxfId="294" priority="247" timePeriod="lastMonth">
      <formula>AND(MONTH(F334)=MONTH(EDATE(TODAY(),0-1)),YEAR(F334)=YEAR(EDATE(TODAY(),0-1)))</formula>
    </cfRule>
  </conditionalFormatting>
  <conditionalFormatting sqref="F334:G334">
    <cfRule type="timePeriod" dxfId="293" priority="246" timePeriod="lastWeek">
      <formula>AND(TODAY()-ROUNDDOWN(F334,0)&gt;=(WEEKDAY(TODAY())),TODAY()-ROUNDDOWN(F334,0)&lt;(WEEKDAY(TODAY())+7))</formula>
    </cfRule>
  </conditionalFormatting>
  <conditionalFormatting sqref="M340:M345">
    <cfRule type="expression" dxfId="292" priority="239">
      <formula>OR($K340="Цель приема",$K340="Отказ в приеме",$K340="Тактика ведения",$K340="Не дозвонились в течение 2-х дней",$K340="Паллиатив/Патронаж",$K340="Отказ от сопровождения в проекте",$K340="Отказ от сопровождения персональным помощником",$K340="Нарушение маршрутизации",$K340="КАНЦЕР-регистр")</formula>
    </cfRule>
  </conditionalFormatting>
  <conditionalFormatting sqref="M340:M345">
    <cfRule type="expression" dxfId="291" priority="236">
      <formula>ISBLANK($K340)</formula>
    </cfRule>
    <cfRule type="expression" dxfId="290" priority="240">
      <formula>OR($K340="Клиника женского здоровья",$K340="Принят без записи",$K340="Динамика состояния",$K340="Статус диагноза",$K340="К сведению ГП/ЦАОП",$K340="Некорректное обращение с пациентом",$K340="Отказ от сопровождения персональным помощником")</formula>
    </cfRule>
    <cfRule type="expression" dxfId="289" priority="241">
      <formula>NOT(ISBLANK(K340))</formula>
    </cfRule>
  </conditionalFormatting>
  <conditionalFormatting sqref="P340:P343">
    <cfRule type="expression" dxfId="288" priority="237">
      <formula>OR($M340="Врач",$K340="Клиника женского здоровья",$K340="Принят без записи",$K340="Динамика состояния",$K340="Статус диагноза",AND($K340="Онкологический консилиум",$M340="Расхождение данных"),AND($K340="Превышен срок",$M340="Исследование"),AND($K340="Отсутствует протокол",$M340="Протокол исследования"),AND($K340="Дата записи",$M340="Исследование "),$K340="К сведению ГП/ЦАОП",$K340="Некорректное обращение с пациентом",$K340="Тактика ведения",$K340="Отказ в приеме")</formula>
    </cfRule>
    <cfRule type="expression" dxfId="287" priority="238">
      <formula>OR($K340="Онкологический консилиум",$K340="Дата записи",$K340="Возврат в МО без приема",$K340="Данные о биопсии",$K340="КАНЦЕР-регистр",$K340="Отказ от записи ",$K340="Отсутствует протокол",$K340="Превышен срок")</formula>
    </cfRule>
  </conditionalFormatting>
  <conditionalFormatting sqref="P344">
    <cfRule type="expression" dxfId="286" priority="235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P344">
    <cfRule type="expression" dxfId="285" priority="233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284" priority="234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P346:P349">
    <cfRule type="expression" dxfId="283" priority="230">
      <formula>OR($K346="Цель приема",$K346="Отказ в приеме",$K346="Тактика ведения",$K346="Не дозвонились в течение 2-х дней",$K346="Паллиатив/Патронаж",$K346="Отказ от сопровождения в проекте",$K346="Отказ от сопровождения персональным помощником",$K346="Нарушение маршрутизации",$K346="КАНЦЕР-регистр")</formula>
    </cfRule>
  </conditionalFormatting>
  <conditionalFormatting sqref="M346:M347">
    <cfRule type="expression" dxfId="282" priority="227">
      <formula>ISBLANK($K346)</formula>
    </cfRule>
    <cfRule type="expression" dxfId="281" priority="231">
      <formula>OR($K346="Клиника женского здоровья",$K346="Принят без записи",$K346="Динамика состояния",$K346="Статус диагноза",$K346="К сведению ГП/ЦАОП",$K346="Некорректное обращение с пациентом",$K346="Отказ от сопровождения персональным помощником")</formula>
    </cfRule>
    <cfRule type="expression" dxfId="280" priority="232">
      <formula>NOT(ISBLANK(K346))</formula>
    </cfRule>
  </conditionalFormatting>
  <conditionalFormatting sqref="P346:P349">
    <cfRule type="expression" dxfId="279" priority="228">
      <formula>OR($M346="Врач",$K346="Клиника женского здоровья",$K346="Принят без записи",$K346="Динамика состояния",$K346="Статус диагноза",AND($K346="Онкологический консилиум",$M346="Расхождение данных"),AND($K346="Превышен срок",$M346="Исследование"),AND($K346="Отсутствует протокол",$M346="Протокол исследования"),AND($K346="Дата записи",$M346="Исследование "),$K346="К сведению ГП/ЦАОП",$K346="Некорректное обращение с пациентом",$K346="Тактика ведения",$K346="Отказ в приеме")</formula>
    </cfRule>
    <cfRule type="expression" dxfId="278" priority="229">
      <formula>OR($K346="Онкологический консилиум",$K346="Дата записи",$K346="Возврат в МО без приема",$K346="Данные о биопсии",$K346="КАНЦЕР-регистр",$K346="Отказ от записи ",$K346="Отсутствует протокол",$K346="Превышен срок")</formula>
    </cfRule>
  </conditionalFormatting>
  <conditionalFormatting sqref="M348">
    <cfRule type="expression" dxfId="277" priority="224">
      <formula>OR($K348="Цель приема",$K348="Отказ в приеме",$K348="Тактика ведения",$K348="Не дозвонились в течение 2-х дней",$K348="Паллиатив/Патронаж",$K348="Отказ от сопровождения в проекте",$K348="Отказ от сопровождения персональным помощником",$K348="Нарушение маршрутизации",$K348="КАНЦЕР-регистр")</formula>
    </cfRule>
  </conditionalFormatting>
  <conditionalFormatting sqref="M348">
    <cfRule type="expression" dxfId="276" priority="223">
      <formula>ISBLANK($K348)</formula>
    </cfRule>
    <cfRule type="expression" dxfId="275" priority="225">
      <formula>OR($K348="Клиника женского здоровья",$K348="Принят без записи",$K348="Динамика состояния",$K348="Статус диагноза",$K348="К сведению ГП/ЦАОП",$K348="Некорректное обращение с пациентом",$K348="Отказ от сопровождения персональным помощником")</formula>
    </cfRule>
    <cfRule type="expression" dxfId="274" priority="226">
      <formula>NOT(ISBLANK(K348))</formula>
    </cfRule>
  </conditionalFormatting>
  <conditionalFormatting sqref="M350">
    <cfRule type="expression" dxfId="273" priority="220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272" priority="217">
      <formula>ISBLANK($K350)</formula>
    </cfRule>
    <cfRule type="expression" dxfId="271" priority="221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270" priority="222">
      <formula>NOT(ISBLANK(K350))</formula>
    </cfRule>
  </conditionalFormatting>
  <conditionalFormatting sqref="P350">
    <cfRule type="expression" dxfId="269" priority="218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268" priority="219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2">
    <cfRule type="expression" dxfId="267" priority="214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">
    <cfRule type="expression" dxfId="266" priority="213">
      <formula>ISBLANK($K352)</formula>
    </cfRule>
    <cfRule type="expression" dxfId="265" priority="215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264" priority="216">
      <formula>NOT(ISBLANK(K352))</formula>
    </cfRule>
  </conditionalFormatting>
  <conditionalFormatting sqref="P352">
    <cfRule type="expression" dxfId="263" priority="212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P352">
    <cfRule type="expression" dxfId="262" priority="210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261" priority="211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:M356">
    <cfRule type="expression" dxfId="260" priority="207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:M356">
    <cfRule type="expression" dxfId="259" priority="204">
      <formula>ISBLANK($K354)</formula>
    </cfRule>
    <cfRule type="expression" dxfId="258" priority="208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257" priority="209">
      <formula>NOT(ISBLANK(K354))</formula>
    </cfRule>
  </conditionalFormatting>
  <conditionalFormatting sqref="P354:P356">
    <cfRule type="expression" dxfId="256" priority="205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255" priority="206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7:M360">
    <cfRule type="expression" dxfId="254" priority="192">
      <formula>OR($K357="Цель приема",$K357="Отказ в приеме",$K357="Тактика ведения",$K357="Не дозвонились в течение 2-х дней",$K357="Паллиатив/Патронаж",$K357="Отказ от сопровождения в проекте",$K357="Отказ от сопровождения персональным помощником",$K357="Нарушение маршрутизации",$K357="КАНЦЕР-регистр")</formula>
    </cfRule>
  </conditionalFormatting>
  <conditionalFormatting sqref="M357:M360">
    <cfRule type="expression" dxfId="253" priority="191">
      <formula>ISBLANK($K357)</formula>
    </cfRule>
    <cfRule type="expression" dxfId="252" priority="193">
      <formula>OR($K357="Клиника женского здоровья",$K357="Принят без записи",$K357="Динамика состояния",$K357="Статус диагноза",$K357="К сведению ГП/ЦАОП",$K357="Некорректное обращение с пациентом",$K357="Отказ от сопровождения персональным помощником")</formula>
    </cfRule>
    <cfRule type="expression" dxfId="251" priority="194">
      <formula>NOT(ISBLANK(K357))</formula>
    </cfRule>
  </conditionalFormatting>
  <conditionalFormatting sqref="P359">
    <cfRule type="expression" dxfId="250" priority="19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P359">
    <cfRule type="expression" dxfId="249" priority="18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48" priority="18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P358">
    <cfRule type="expression" dxfId="247" priority="187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P358">
    <cfRule type="expression" dxfId="246" priority="185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45" priority="186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P357">
    <cfRule type="expression" dxfId="244" priority="182">
      <formula>OR($M357="Врач",$K357="Клиника женского здоровья",$K357="Принят без записи",$K357="Динамика состояния",$K357="Статус диагноза",AND($K357="Онкологический консилиум",$M357="Расхождение данных"),AND($K357="Превышен срок",$M357="Исследование"),AND($K357="Отсутствует протокол",$M357="Протокол исследования"),AND($K357="Дата записи",$M357="Исследование "),$K357="К сведению ГП/ЦАОП",$K357="Некорректное обращение с пациентом",$K357="Тактика ведения",$K357="Отказ в приеме")</formula>
    </cfRule>
    <cfRule type="expression" dxfId="243" priority="183">
      <formula>OR($K357="Онкологический консилиум",$K357="Дата записи",$K357="Возврат в МО без приема",$K357="Данные о биопсии",$K357="КАНЦЕР-регистр",$K357="Отказ от записи ",$K357="Отсутствует протокол",$K357="Превышен срок")</formula>
    </cfRule>
    <cfRule type="expression" dxfId="242" priority="184">
      <formula>OR($K357="Цель приема",$K357="Отказ в приеме",$K357="Тактика ведения",$K357="Не дозвонились в течение 2-х дней",$K357="Паллиатив/Патронаж",$K357="Отказ от сопровождения в проекте",$K357="Отказ от сопровождения персональным помощником",$K357="Нарушение маршрутизации",$K357="КАНЦЕР-регистр")</formula>
    </cfRule>
  </conditionalFormatting>
  <conditionalFormatting sqref="P360">
    <cfRule type="expression" dxfId="241" priority="181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P360">
    <cfRule type="expression" dxfId="240" priority="179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39" priority="180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G360">
    <cfRule type="expression" dxfId="238" priority="177" stopIfTrue="1">
      <formula>$AL360="Техническая приостановка"</formula>
    </cfRule>
    <cfRule type="expression" dxfId="237" priority="178" stopIfTrue="1">
      <formula>$AA360="Сегодня"</formula>
    </cfRule>
  </conditionalFormatting>
  <conditionalFormatting sqref="G357">
    <cfRule type="expression" dxfId="236" priority="175" stopIfTrue="1">
      <formula>$AL357="Техническая приостановка"</formula>
    </cfRule>
    <cfRule type="expression" dxfId="235" priority="176" stopIfTrue="1">
      <formula>$AA357="Сегодня"</formula>
    </cfRule>
  </conditionalFormatting>
  <conditionalFormatting sqref="G358">
    <cfRule type="expression" dxfId="234" priority="173" stopIfTrue="1">
      <formula>$AL358="Техническая приостановка"</formula>
    </cfRule>
    <cfRule type="expression" dxfId="233" priority="174" stopIfTrue="1">
      <formula>$AA358="Сегодня"</formula>
    </cfRule>
  </conditionalFormatting>
  <conditionalFormatting sqref="G359">
    <cfRule type="expression" dxfId="232" priority="171" stopIfTrue="1">
      <formula>$AL359="Техническая приостановка"</formula>
    </cfRule>
    <cfRule type="expression" dxfId="231" priority="172" stopIfTrue="1">
      <formula>$AA359="Сегодня"</formula>
    </cfRule>
  </conditionalFormatting>
  <conditionalFormatting sqref="M361:M367">
    <cfRule type="expression" dxfId="230" priority="16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7">
    <cfRule type="expression" dxfId="229" priority="165">
      <formula>ISBLANK($K361)</formula>
    </cfRule>
    <cfRule type="expression" dxfId="228" priority="16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27" priority="170">
      <formula>NOT(ISBLANK(K361))</formula>
    </cfRule>
  </conditionalFormatting>
  <conditionalFormatting sqref="P361:P367">
    <cfRule type="expression" dxfId="226" priority="16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25" priority="16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8:M369">
    <cfRule type="expression" dxfId="224" priority="162">
      <formula>OR($K368="Цель приема",$K368="Отказ в приеме",$K368="Тактика ведения",$K368="Не дозвонились в течение 2-х дней",$K368="Паллиатив/Патронаж",$K368="Отказ от сопровождения в проекте",$K368="Отказ от сопровождения персональным помощником",$K368="Нарушение маршрутизации",$K368="КАНЦЕР-регистр")</formula>
    </cfRule>
  </conditionalFormatting>
  <conditionalFormatting sqref="M368:M369">
    <cfRule type="expression" dxfId="223" priority="159">
      <formula>ISBLANK($K368)</formula>
    </cfRule>
    <cfRule type="expression" dxfId="222" priority="163">
      <formula>OR($K368="Клиника женского здоровья",$K368="Принят без записи",$K368="Динамика состояния",$K368="Статус диагноза",$K368="К сведению ГП/ЦАОП",$K368="Некорректное обращение с пациентом",$K368="Отказ от сопровождения персональным помощником")</formula>
    </cfRule>
    <cfRule type="expression" dxfId="221" priority="164">
      <formula>NOT(ISBLANK(K368))</formula>
    </cfRule>
  </conditionalFormatting>
  <conditionalFormatting sqref="P368:P369">
    <cfRule type="expression" dxfId="220" priority="160">
      <formula>OR($M368="Врач",$K368="Клиника женского здоровья",$K368="Принят без записи",$K368="Динамика состояния",$K368="Статус диагноза",AND($K368="Онкологический консилиум",$M368="Расхождение данных"),AND($K368="Превышен срок",$M368="Исследование"),AND($K368="Отсутствует протокол",$M368="Протокол исследования"),AND($K368="Дата записи",$M368="Исследование "),$K368="К сведению ГП/ЦАОП",$K368="Некорректное обращение с пациентом",$K368="Тактика ведения",$K368="Отказ в приеме")</formula>
    </cfRule>
    <cfRule type="expression" dxfId="219" priority="161">
      <formula>OR($K368="Онкологический консилиум",$K368="Дата записи",$K368="Возврат в МО без приема",$K368="Данные о биопсии",$K368="КАНЦЕР-регистр",$K368="Отказ от записи ",$K368="Отсутствует протокол",$K368="Превышен срок")</formula>
    </cfRule>
  </conditionalFormatting>
  <conditionalFormatting sqref="P370">
    <cfRule type="expression" dxfId="218" priority="158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P370">
    <cfRule type="expression" dxfId="217" priority="156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16" priority="157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0">
    <cfRule type="expression" dxfId="215" priority="153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14" priority="152">
      <formula>ISBLANK($K370)</formula>
    </cfRule>
    <cfRule type="expression" dxfId="213" priority="154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12" priority="155">
      <formula>NOT(ISBLANK(K370))</formula>
    </cfRule>
  </conditionalFormatting>
  <conditionalFormatting sqref="P379:P380">
    <cfRule type="expression" dxfId="211" priority="149">
      <formula>OR($K379="Цель приема",$K379="Отказ в приеме",$K379="Тактика ведения",$K379="Не дозвонились в течение 2-х дней",$K379="Паллиатив/Патронаж",$K379="Отказ от сопровождения в проекте",$K379="Отказ от сопровождения персональным помощником",$K379="Нарушение маршрутизации",$K379="КАНЦЕР-регистр")</formula>
    </cfRule>
  </conditionalFormatting>
  <conditionalFormatting sqref="M374:M380">
    <cfRule type="expression" dxfId="210" priority="146">
      <formula>ISBLANK($K374)</formula>
    </cfRule>
    <cfRule type="expression" dxfId="209" priority="150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08" priority="151">
      <formula>NOT(ISBLANK(K374))</formula>
    </cfRule>
  </conditionalFormatting>
  <conditionalFormatting sqref="P379:P380">
    <cfRule type="expression" dxfId="207" priority="147">
      <formula>OR($M379="Врач",$K379="Клиника женского здоровья",$K379="Принят без записи",$K379="Динамика состояния",$K379="Статус диагноза",AND($K379="Онкологический консилиум",$M379="Расхождение данных"),AND($K379="Превышен срок",$M379="Исследование"),AND($K379="Отсутствует протокол",$M379="Протокол исследования"),AND($K379="Дата записи",$M379="Исследование "),$K379="К сведению ГП/ЦАОП",$K379="Некорректное обращение с пациентом",$K379="Тактика ведения",$K379="Отказ в приеме")</formula>
    </cfRule>
    <cfRule type="expression" dxfId="206" priority="148">
      <formula>OR($K379="Онкологический консилиум",$K379="Дата записи",$K379="Возврат в МО без приема",$K379="Данные о биопсии",$K379="КАНЦЕР-регистр",$K379="Отказ от записи ",$K379="Отсутствует протокол",$K379="Превышен срок")</formula>
    </cfRule>
  </conditionalFormatting>
  <conditionalFormatting sqref="P378">
    <cfRule type="expression" dxfId="205" priority="145">
      <formula>OR($K378="Цель приема",$K378="Отказ в приеме",$K378="Тактика ведения",$K378="Не дозвонились в течение 2-х дней",$K378="Паллиатив/Патронаж",$K378="Отказ от сопровождения в проекте",$K378="Отказ от сопровождения персональным помощником",$K378="Нарушение маршрутизации",$K378="КАНЦЕР-регистр")</formula>
    </cfRule>
  </conditionalFormatting>
  <conditionalFormatting sqref="P378">
    <cfRule type="expression" dxfId="204" priority="143">
      <formula>OR($M378="Врач",$K378="Клиника женского здоровья",$K378="Принят без записи",$K378="Динамика состояния",$K378="Статус диагноза",AND($K378="Онкологический консилиум",$M378="Расхождение данных"),AND($K378="Превышен срок",$M378="Исследование"),AND($K378="Отсутствует протокол",$M378="Протокол исследования"),AND($K378="Дата записи",$M378="Исследование "),$K378="К сведению ГП/ЦАОП",$K378="Некорректное обращение с пациентом",$K378="Тактика ведения",$K378="Отказ в приеме")</formula>
    </cfRule>
    <cfRule type="expression" dxfId="203" priority="144">
      <formula>OR($K378="Онкологический консилиум",$K378="Дата записи",$K378="Возврат в МО без приема",$K378="Данные о биопсии",$K378="КАНЦЕР-регистр",$K378="Отказ от записи ",$K378="Отсутствует протокол",$K378="Превышен срок")</formula>
    </cfRule>
  </conditionalFormatting>
  <conditionalFormatting sqref="P381:P383">
    <cfRule type="expression" dxfId="202" priority="140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7">
    <cfRule type="expression" dxfId="201" priority="137">
      <formula>ISBLANK($K381)</formula>
    </cfRule>
    <cfRule type="expression" dxfId="200" priority="141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199" priority="142">
      <formula>NOT(ISBLANK(K381))</formula>
    </cfRule>
  </conditionalFormatting>
  <conditionalFormatting sqref="P381:P383">
    <cfRule type="expression" dxfId="198" priority="138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197" priority="139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P384">
    <cfRule type="expression" dxfId="196" priority="136">
      <formula>OR($K384="Цель приема",$K384="Отказ в приеме",$K384="Тактика ведения",$K384="Не дозвонились в течение 2-х дней",$K384="Паллиатив/Патронаж",$K384="Отказ от сопровождения в проекте",$K384="Отказ от сопровождения персональным помощником",$K384="Нарушение маршрутизации",$K384="КАНЦЕР-регистр")</formula>
    </cfRule>
  </conditionalFormatting>
  <conditionalFormatting sqref="P384">
    <cfRule type="expression" dxfId="195" priority="134">
      <formula>OR($M384="Врач",$K384="Клиника женского здоровья",$K384="Принят без записи",$K384="Динамика состояния",$K384="Статус диагноза",AND($K384="Онкологический консилиум",$M384="Расхождение данных"),AND($K384="Превышен срок",$M384="Исследование"),AND($K384="Отсутствует протокол",$M384="Протокол исследования"),AND($K384="Дата записи",$M384="Исследование "),$K384="К сведению ГП/ЦАОП",$K384="Некорректное обращение с пациентом",$K384="Тактика ведения",$K384="Отказ в приеме")</formula>
    </cfRule>
    <cfRule type="expression" dxfId="194" priority="135">
      <formula>OR($K384="Онкологический консилиум",$K384="Дата записи",$K384="Возврат в МО без приема",$K384="Данные о биопсии",$K384="КАНЦЕР-регистр",$K384="Отказ от записи ",$K384="Отсутствует протокол",$K384="Превышен срок")</formula>
    </cfRule>
  </conditionalFormatting>
  <conditionalFormatting sqref="M388">
    <cfRule type="expression" dxfId="193" priority="131">
      <formula>OR($K388="Цель приема",$K388="Отказ в приеме",$K388="Тактика ведения",$K388="Не дозвонились в течение 2-х дней",$K388="Паллиатив/Патронаж",$K388="Отказ от сопровождения в проекте",$K388="Отказ от сопровождения персональным помощником",$K388="Нарушение маршрутизации",$K388="КАНЦЕР-регистр")</formula>
    </cfRule>
  </conditionalFormatting>
  <conditionalFormatting sqref="M388">
    <cfRule type="expression" dxfId="192" priority="128">
      <formula>ISBLANK($K388)</formula>
    </cfRule>
    <cfRule type="expression" dxfId="191" priority="132">
      <formula>OR($K388="Клиника женского здоровья",$K388="Принят без записи",$K388="Динамика состояния",$K388="Статус диагноза",$K388="К сведению ГП/ЦАОП",$K388="Некорректное обращение с пациентом",$K388="Отказ от сопровождения персональным помощником")</formula>
    </cfRule>
    <cfRule type="expression" dxfId="190" priority="133">
      <formula>NOT(ISBLANK(K388))</formula>
    </cfRule>
  </conditionalFormatting>
  <conditionalFormatting sqref="P388:P394">
    <cfRule type="expression" dxfId="189" priority="129">
      <formula>OR($M388="Врач",$K388="Клиника женского здоровья",$K388="Принят без записи",$K388="Динамика состояния",$K388="Статус диагноза",AND($K388="Онкологический консилиум",$M388="Расхождение данных"),AND($K388="Превышен срок",$M388="Исследование"),AND($K388="Отсутствует протокол",$M388="Протокол исследования"),AND($K388="Дата записи",$M388="Исследование "),$K388="К сведению ГП/ЦАОП",$K388="Некорректное обращение с пациентом",$K388="Тактика ведения",$K388="Отказ в приеме")</formula>
    </cfRule>
    <cfRule type="expression" dxfId="188" priority="130">
      <formula>OR($K388="Онкологический консилиум",$K388="Дата записи",$K388="Возврат в МО без приема",$K388="Данные о биопсии",$K388="КАНЦЕР-регистр",$K388="Отказ от записи ",$K388="Отсутствует протокол",$K388="Превышен срок")</formula>
    </cfRule>
  </conditionalFormatting>
  <conditionalFormatting sqref="M389">
    <cfRule type="expression" dxfId="187" priority="125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86" priority="124">
      <formula>ISBLANK($K389)</formula>
    </cfRule>
    <cfRule type="expression" dxfId="185" priority="126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84" priority="127">
      <formula>NOT(ISBLANK(K389))</formula>
    </cfRule>
  </conditionalFormatting>
  <conditionalFormatting sqref="P397:P410">
    <cfRule type="expression" dxfId="183" priority="121">
      <formula>OR($K397="Цель приема",$K397="Отказ в приеме",$K397="Тактика ведения",$K397="Не дозвонились в течение 2-х дней",$K397="Паллиатив/Патронаж",$K397="Отказ от сопровождения в проекте",$K397="Отказ от сопровождения персональным помощником",$K397="Нарушение маршрутизации",$K397="КАНЦЕР-регистр")</formula>
    </cfRule>
  </conditionalFormatting>
  <conditionalFormatting sqref="M395:M410">
    <cfRule type="expression" dxfId="182" priority="118">
      <formula>ISBLANK($K395)</formula>
    </cfRule>
    <cfRule type="expression" dxfId="181" priority="122">
      <formula>OR($K395="Клиника женского здоровья",$K395="Принят без записи",$K395="Динамика состояния",$K395="Статус диагноза",$K395="К сведению ГП/ЦАОП",$K395="Некорректное обращение с пациентом",$K395="Отказ от сопровождения персональным помощником")</formula>
    </cfRule>
    <cfRule type="expression" dxfId="180" priority="123">
      <formula>NOT(ISBLANK(K395))</formula>
    </cfRule>
  </conditionalFormatting>
  <conditionalFormatting sqref="P397:P410">
    <cfRule type="expression" dxfId="179" priority="119">
      <formula>OR($M397="Врач",$K397="Клиника женского здоровья",$K397="Принят без записи",$K397="Динамика состояния",$K397="Статус диагноза",AND($K397="Онкологический консилиум",$M397="Расхождение данных"),AND($K397="Превышен срок",$M397="Исследование"),AND($K397="Отсутствует протокол",$M397="Протокол исследования"),AND($K397="Дата записи",$M397="Исследование "),$K397="К сведению ГП/ЦАОП",$K397="Некорректное обращение с пациентом",$K397="Тактика ведения",$K397="Отказ в приеме")</formula>
    </cfRule>
    <cfRule type="expression" dxfId="178" priority="120">
      <formula>OR($K397="Онкологический консилиум",$K397="Дата записи",$K397="Возврат в МО без приема",$K397="Данные о биопсии",$K397="КАНЦЕР-регистр",$K397="Отказ от записи ",$K397="Отсутствует протокол",$K397="Превышен срок")</formula>
    </cfRule>
  </conditionalFormatting>
  <conditionalFormatting sqref="P396">
    <cfRule type="expression" dxfId="177" priority="117">
      <formula>OR($K396="Цель приема",$K396="Отказ в приеме",$K396="Тактика ведения",$K396="Не дозвонились в течение 2-х дней",$K396="Паллиатив/Патронаж",$K396="Отказ от сопровождения в проекте",$K396="Отказ от сопровождения персональным помощником",$K396="Нарушение маршрутизации",$K396="КАНЦЕР-регистр")</formula>
    </cfRule>
  </conditionalFormatting>
  <conditionalFormatting sqref="P396">
    <cfRule type="expression" dxfId="176" priority="115">
      <formula>OR($M396="Врач",$K396="Клиника женского здоровья",$K396="Принят без записи",$K396="Динамика состояния",$K396="Статус диагноза",AND($K396="Онкологический консилиум",$M396="Расхождение данных"),AND($K396="Превышен срок",$M396="Исследование"),AND($K396="Отсутствует протокол",$M396="Протокол исследования"),AND($K396="Дата записи",$M396="Исследование "),$K396="К сведению ГП/ЦАОП",$K396="Некорректное обращение с пациентом",$K396="Тактика ведения",$K396="Отказ в приеме")</formula>
    </cfRule>
    <cfRule type="expression" dxfId="175" priority="116">
      <formula>OR($K396="Онкологический консилиум",$K396="Дата записи",$K396="Возврат в МО без приема",$K396="Данные о биопсии",$K396="КАНЦЕР-регистр",$K396="Отказ от записи ",$K396="Отсутствует протокол",$K396="Превышен срок")</formula>
    </cfRule>
  </conditionalFormatting>
  <conditionalFormatting sqref="P413">
    <cfRule type="expression" dxfId="174" priority="114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73" priority="112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72" priority="113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11">
    <cfRule type="expression" dxfId="171" priority="111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1">
    <cfRule type="expression" dxfId="170" priority="109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69" priority="110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</conditionalFormatting>
  <conditionalFormatting sqref="P415">
    <cfRule type="expression" dxfId="168" priority="10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67" priority="10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66" priority="10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12">
    <cfRule type="expression" dxfId="165" priority="105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64" priority="103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63" priority="104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M411">
    <cfRule type="expression" dxfId="162" priority="100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M411">
    <cfRule type="expression" dxfId="161" priority="99">
      <formula>ISBLANK($K411)</formula>
    </cfRule>
    <cfRule type="expression" dxfId="160" priority="101">
      <formula>OR($K411="Клиника женского здоровья",$K411="Принят без записи",$K411="Динамика состояния",$K411="Статус диагноза",$K411="К сведению ГП/ЦАОП",$K411="Некорректное обращение с пациентом",$K411="Отказ от сопровождения персональным помощником")</formula>
    </cfRule>
    <cfRule type="expression" dxfId="159" priority="102">
      <formula>NOT(ISBLANK(K411))</formula>
    </cfRule>
  </conditionalFormatting>
  <conditionalFormatting sqref="M413">
    <cfRule type="expression" dxfId="158" priority="96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M413">
    <cfRule type="expression" dxfId="157" priority="95">
      <formula>ISBLANK($K413)</formula>
    </cfRule>
    <cfRule type="expression" dxfId="156" priority="97">
      <formula>OR($K413="Клиника женского здоровья",$K413="Принят без записи",$K413="Динамика состояния",$K413="Статус диагноза",$K413="К сведению ГП/ЦАОП",$K413="Некорректное обращение с пациентом",$K413="Отказ от сопровождения персональным помощником")</formula>
    </cfRule>
    <cfRule type="expression" dxfId="155" priority="98">
      <formula>NOT(ISBLANK(K413))</formula>
    </cfRule>
  </conditionalFormatting>
  <conditionalFormatting sqref="M415">
    <cfRule type="expression" dxfId="154" priority="92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M415">
    <cfRule type="expression" dxfId="153" priority="91">
      <formula>ISBLANK($K415)</formula>
    </cfRule>
    <cfRule type="expression" dxfId="152" priority="93">
      <formula>OR($K415="Клиника женского здоровья",$K415="Принят без записи",$K415="Динамика состояния",$K415="Статус диагноза",$K415="К сведению ГП/ЦАОП",$K415="Некорректное обращение с пациентом",$K415="Отказ от сопровождения персональным помощником")</formula>
    </cfRule>
    <cfRule type="expression" dxfId="151" priority="94">
      <formula>NOT(ISBLANK(K415))</formula>
    </cfRule>
  </conditionalFormatting>
  <conditionalFormatting sqref="M412">
    <cfRule type="expression" dxfId="150" priority="88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M412">
    <cfRule type="expression" dxfId="149" priority="87">
      <formula>ISBLANK($K412)</formula>
    </cfRule>
    <cfRule type="expression" dxfId="148" priority="89">
      <formula>OR($K412="Клиника женского здоровья",$K412="Принят без записи",$K412="Динамика состояния",$K412="Статус диагноза",$K412="К сведению ГП/ЦАОП",$K412="Некорректное обращение с пациентом",$K412="Отказ от сопровождения персональным помощником")</formula>
    </cfRule>
    <cfRule type="expression" dxfId="147" priority="90">
      <formula>NOT(ISBLANK(K412))</formula>
    </cfRule>
  </conditionalFormatting>
  <conditionalFormatting sqref="P414">
    <cfRule type="expression" dxfId="146" priority="86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45" priority="84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44" priority="85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M414">
    <cfRule type="expression" dxfId="143" priority="81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M414">
    <cfRule type="expression" dxfId="142" priority="80">
      <formula>ISBLANK($K414)</formula>
    </cfRule>
    <cfRule type="expression" dxfId="141" priority="82">
      <formula>OR($K414="Клиника женского здоровья",$K414="Принят без записи",$K414="Динамика состояния",$K414="Статус диагноза",$K414="К сведению ГП/ЦАОП",$K414="Некорректное обращение с пациентом",$K414="Отказ от сопровождения персональным помощником")</formula>
    </cfRule>
    <cfRule type="expression" dxfId="140" priority="83">
      <formula>NOT(ISBLANK(K414))</formula>
    </cfRule>
  </conditionalFormatting>
  <conditionalFormatting sqref="P461:P464">
    <cfRule type="expression" dxfId="139" priority="77">
      <formula>OR($K461="Цель приема",$K461="Отказ в приеме",$K461="Тактика ведения",$K461="Не дозвонились в течение 2-х дней",$K461="Паллиатив/Патронаж",$K461="Отказ от сопровождения в проекте",$K461="Отказ от сопровождения персональным помощником",$K461="Нарушение маршрутизации",$K461="КАНЦЕР-регистр")</formula>
    </cfRule>
  </conditionalFormatting>
  <conditionalFormatting sqref="M461:M464">
    <cfRule type="expression" dxfId="138" priority="74">
      <formula>ISBLANK($K461)</formula>
    </cfRule>
    <cfRule type="expression" dxfId="137" priority="78">
      <formula>OR($K461="Клиника женского здоровья",$K461="Принят без записи",$K461="Динамика состояния",$K461="Статус диагноза",$K461="К сведению ГП/ЦАОП",$K461="Некорректное обращение с пациентом",$K461="Отказ от сопровождения персональным помощником")</formula>
    </cfRule>
    <cfRule type="expression" dxfId="136" priority="79">
      <formula>NOT(ISBLANK(K461))</formula>
    </cfRule>
  </conditionalFormatting>
  <conditionalFormatting sqref="P461:P464">
    <cfRule type="expression" dxfId="135" priority="75">
      <formula>OR($M461="Врач",$K461="Клиника женского здоровья",$K461="Принят без записи",$K461="Динамика состояния",$K461="Статус диагноза",AND($K461="Онкологический консилиум",$M461="Расхождение данных"),AND($K461="Превышен срок",$M461="Исследование"),AND($K461="Отсутствует протокол",$M461="Протокол исследования"),AND($K461="Дата записи",$M461="Исследование "),$K461="К сведению ГП/ЦАОП",$K461="Некорректное обращение с пациентом",$K461="Тактика ведения",$K461="Отказ в приеме")</formula>
    </cfRule>
    <cfRule type="expression" dxfId="134" priority="76">
      <formula>OR($K461="Онкологический консилиум",$K461="Дата записи",$K461="Возврат в МО без приема",$K461="Данные о биопсии",$K461="КАНЦЕР-регистр",$K461="Отказ от записи ",$K461="Отсутствует протокол",$K461="Превышен срок")</formula>
    </cfRule>
  </conditionalFormatting>
  <conditionalFormatting sqref="P450">
    <cfRule type="expression" dxfId="133" priority="71">
      <formula>OR($K450="Цель приема",$K450="Отказ в приеме",$K450="Тактика ведения",$K450="Не дозвонились в течение 2-х дней",$K450="Паллиатив/Патронаж",$K450="Отказ от сопровождения в проекте",$K450="Отказ от сопровождения персональным помощником",$K450="Нарушение маршрутизации",$K450="КАНЦЕР-регистр")</formula>
    </cfRule>
  </conditionalFormatting>
  <conditionalFormatting sqref="M450">
    <cfRule type="expression" dxfId="132" priority="68">
      <formula>ISBLANK($K450)</formula>
    </cfRule>
    <cfRule type="expression" dxfId="131" priority="72">
      <formula>OR($K450="Клиника женского здоровья",$K450="Принят без записи",$K450="Динамика состояния",$K450="Статус диагноза",$K450="К сведению ГП/ЦАОП",$K450="Некорректное обращение с пациентом",$K450="Отказ от сопровождения персональным помощником")</formula>
    </cfRule>
    <cfRule type="expression" dxfId="130" priority="73">
      <formula>NOT(ISBLANK(K450))</formula>
    </cfRule>
  </conditionalFormatting>
  <conditionalFormatting sqref="P450">
    <cfRule type="expression" dxfId="129" priority="69">
      <formula>OR($M450="Врач",$K450="Клиника женского здоровья",$K450="Принят без записи",$K450="Динамика состояния",$K450="Статус диагноза",AND($K450="Онкологический консилиум",$M450="Расхождение данных"),AND($K450="Превышен срок",$M450="Исследование"),AND($K450="Отсутствует протокол",$M450="Протокол исследования"),AND($K450="Дата записи",$M450="Исследование "),$K450="К сведению ГП/ЦАОП",$K450="Некорректное обращение с пациентом",$K450="Тактика ведения",$K450="Отказ в приеме")</formula>
    </cfRule>
    <cfRule type="expression" dxfId="128" priority="70">
      <formula>OR($K450="Онкологический консилиум",$K450="Дата записи",$K450="Возврат в МО без приема",$K450="Данные о биопсии",$K450="КАНЦЕР-регистр",$K450="Отказ от записи ",$K450="Отсутствует протокол",$K450="Превышен срок")</formula>
    </cfRule>
  </conditionalFormatting>
  <conditionalFormatting sqref="P451">
    <cfRule type="expression" dxfId="127" priority="67">
      <formula>OR($K451="Цель приема",$K451="Отказ в приеме",$K451="Тактика ведения",$K451="Не дозвонились в течение 2-х дней",$K451="Паллиатив/Патронаж",$K451="Отказ от сопровождения в проекте",$K451="Отказ от сопровождения персональным помощником",$K451="Нарушение маршрутизации",$K451="КАНЦЕР-регистр")</formula>
    </cfRule>
  </conditionalFormatting>
  <conditionalFormatting sqref="P451">
    <cfRule type="expression" dxfId="126" priority="65">
      <formula>OR($M451="Врач",$K451="Клиника женского здоровья",$K451="Принят без записи",$K451="Динамика состояния",$K451="Статус диагноза",AND($K451="Онкологический консилиум",$M451="Расхождение данных"),AND($K451="Превышен срок",$M451="Исследование"),AND($K451="Отсутствует протокол",$M451="Протокол исследования"),AND($K451="Дата записи",$M451="Исследование "),$K451="К сведению ГП/ЦАОП",$K451="Некорректное обращение с пациентом",$K451="Тактика ведения",$K451="Отказ в приеме")</formula>
    </cfRule>
    <cfRule type="expression" dxfId="125" priority="66">
      <formula>OR($K451="Онкологический консилиум",$K451="Дата записи",$K451="Возврат в МО без приема",$K451="Данные о биопсии",$K451="КАНЦЕР-регистр",$K451="Отказ от записи ",$K451="Отсутствует протокол",$K451="Превышен срок")</formula>
    </cfRule>
  </conditionalFormatting>
  <conditionalFormatting sqref="M451">
    <cfRule type="expression" dxfId="124" priority="62">
      <formula>OR($K451="Цель приема",$K451="Отказ в приеме",$K451="Тактика ведения",$K451="Не дозвонились в течение 2-х дней",$K451="Паллиатив/Патронаж",$K451="Отказ от сопровождения в проекте",$K451="Отказ от сопровождения персональным помощником",$K451="Нарушение маршрутизации",$K451="КАНЦЕР-регистр")</formula>
    </cfRule>
  </conditionalFormatting>
  <conditionalFormatting sqref="M451">
    <cfRule type="expression" dxfId="123" priority="61">
      <formula>ISBLANK($K451)</formula>
    </cfRule>
    <cfRule type="expression" dxfId="122" priority="63">
      <formula>OR($K451="Клиника женского здоровья",$K451="Принят без записи",$K451="Динамика состояния",$K451="Статус диагноза",$K451="К сведению ГП/ЦАОП",$K451="Некорректное обращение с пациентом",$K451="Отказ от сопровождения персональным помощником")</formula>
    </cfRule>
    <cfRule type="expression" dxfId="121" priority="64">
      <formula>NOT(ISBLANK(K451))</formula>
    </cfRule>
  </conditionalFormatting>
  <conditionalFormatting sqref="M452:M458">
    <cfRule type="expression" dxfId="120" priority="58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:M458">
    <cfRule type="expression" dxfId="119" priority="55">
      <formula>ISBLANK($K452)</formula>
    </cfRule>
    <cfRule type="expression" dxfId="118" priority="59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17" priority="60">
      <formula>NOT(ISBLANK(K452))</formula>
    </cfRule>
  </conditionalFormatting>
  <conditionalFormatting sqref="P452:P456">
    <cfRule type="expression" dxfId="116" priority="56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15" priority="57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59">
    <cfRule type="expression" dxfId="114" priority="52">
      <formula>OR($K459="Цель приема",$K459="Отказ в приеме",$K459="Тактика ведения",$K459="Не дозвонились в течение 2-х дней",$K459="Паллиатив/Патронаж",$K459="Отказ от сопровождения в проекте",$K459="Отказ от сопровождения персональным помощником",$K459="Нарушение маршрутизации",$K459="КАНЦЕР-регистр")</formula>
    </cfRule>
  </conditionalFormatting>
  <conditionalFormatting sqref="M459">
    <cfRule type="expression" dxfId="113" priority="51">
      <formula>ISBLANK($K459)</formula>
    </cfRule>
    <cfRule type="expression" dxfId="112" priority="53">
      <formula>OR($K459="Клиника женского здоровья",$K459="Принят без записи",$K459="Динамика состояния",$K459="Статус диагноза",$K459="К сведению ГП/ЦАОП",$K459="Некорректное обращение с пациентом",$K459="Отказ от сопровождения персональным помощником")</formula>
    </cfRule>
    <cfRule type="expression" dxfId="111" priority="54">
      <formula>NOT(ISBLANK(K459))</formula>
    </cfRule>
  </conditionalFormatting>
  <conditionalFormatting sqref="M466">
    <cfRule type="expression" dxfId="110" priority="48">
      <formula>OR($K466="Цель приема",$K466="Отказ в приеме",$K466="Тактика ведения",$K466="Не дозвонились в течение 2-х дней",$K466="Паллиатив/Патронаж",$K466="Отказ от сопровождения в проекте",$K466="Отказ от сопровождения персональным помощником",$K466="Нарушение маршрутизации",$K466="КАНЦЕР-регистр")</formula>
    </cfRule>
  </conditionalFormatting>
  <conditionalFormatting sqref="M466">
    <cfRule type="expression" dxfId="109" priority="45">
      <formula>ISBLANK($K466)</formula>
    </cfRule>
    <cfRule type="expression" dxfId="108" priority="49">
      <formula>OR($K466="Клиника женского здоровья",$K466="Принят без записи",$K466="Динамика состояния",$K466="Статус диагноза",$K466="К сведению ГП/ЦАОП",$K466="Некорректное обращение с пациентом",$K466="Отказ от сопровождения персональным помощником")</formula>
    </cfRule>
    <cfRule type="expression" dxfId="107" priority="50">
      <formula>NOT(ISBLANK(K466))</formula>
    </cfRule>
  </conditionalFormatting>
  <conditionalFormatting sqref="P466:P471">
    <cfRule type="expression" dxfId="106" priority="46">
      <formula>OR($M466="Врач",$K466="Клиника женского здоровья",$K466="Принят без записи",$K466="Динамика состояния",$K466="Статус диагноза",AND($K466="Онкологический консилиум",$M466="Расхождение данных"),AND($K466="Превышен срок",$M466="Исследование"),AND($K466="Отсутствует протокол",$M466="Протокол исследования"),AND($K466="Дата записи",$M466="Исследование "),$K466="К сведению ГП/ЦАОП",$K466="Некорректное обращение с пациентом",$K466="Тактика ведения",$K466="Отказ в приеме")</formula>
    </cfRule>
    <cfRule type="expression" dxfId="105" priority="47">
      <formula>OR($K466="Онкологический консилиум",$K466="Дата записи",$K466="Возврат в МО без приема",$K466="Данные о биопсии",$K466="КАНЦЕР-регистр",$K466="Отказ от записи ",$K466="Отсутствует протокол",$K466="Превышен срок")</formula>
    </cfRule>
  </conditionalFormatting>
  <conditionalFormatting sqref="M465">
    <cfRule type="expression" dxfId="104" priority="42">
      <formula>OR($K465="Цель приема",$K465="Отказ в приеме",$K465="Тактика ведения",$K465="Не дозвонились в течение 2-х дней",$K465="Паллиатив/Патронаж",$K465="Отказ от сопровождения в проекте",$K465="Отказ от сопровождения персональным помощником",$K465="Нарушение маршрутизации",$K465="КАНЦЕР-регистр")</formula>
    </cfRule>
  </conditionalFormatting>
  <conditionalFormatting sqref="M465">
    <cfRule type="expression" dxfId="103" priority="39">
      <formula>ISBLANK($K465)</formula>
    </cfRule>
    <cfRule type="expression" dxfId="102" priority="43">
      <formula>OR($K465="Клиника женского здоровья",$K465="Принят без записи",$K465="Динамика состояния",$K465="Статус диагноза",$K465="К сведению ГП/ЦАОП",$K465="Некорректное обращение с пациентом",$K465="Отказ от сопровождения персональным помощником")</formula>
    </cfRule>
    <cfRule type="expression" dxfId="101" priority="44">
      <formula>NOT(ISBLANK(K465))</formula>
    </cfRule>
  </conditionalFormatting>
  <conditionalFormatting sqref="P465">
    <cfRule type="expression" dxfId="100" priority="40">
      <formula>OR($M465="Врач",$K465="Клиника женского здоровья",$K465="Принят без записи",$K465="Динамика состояния",$K465="Статус диагноза",AND($K465="Онкологический консилиум",$M465="Расхождение данных"),AND($K465="Превышен срок",$M465="Исследование"),AND($K465="Отсутствует протокол",$M465="Протокол исследования"),AND($K465="Дата записи",$M465="Исследование "),$K465="К сведению ГП/ЦАОП",$K465="Некорректное обращение с пациентом",$K465="Тактика ведения",$K465="Отказ в приеме")</formula>
    </cfRule>
    <cfRule type="expression" dxfId="99" priority="41">
      <formula>OR($K465="Онкологический консилиум",$K465="Дата записи",$K465="Возврат в МО без приема",$K465="Данные о биопсии",$K465="КАНЦЕР-регистр",$K465="Отказ от записи ",$K465="Отсутствует протокол",$K465="Превышен срок")</formula>
    </cfRule>
  </conditionalFormatting>
  <conditionalFormatting sqref="M467">
    <cfRule type="expression" dxfId="98" priority="36">
      <formula>OR($K467="Цель приема",$K467="Отказ в приеме",$K467="Тактика ведения",$K467="Не дозвонились в течение 2-х дней",$K467="Паллиатив/Патронаж",$K467="Отказ от сопровождения в проекте",$K467="Отказ от сопровождения персональным помощником",$K467="Нарушение маршрутизации",$K467="КАНЦЕР-регистр")</formula>
    </cfRule>
  </conditionalFormatting>
  <conditionalFormatting sqref="M467">
    <cfRule type="expression" dxfId="97" priority="35">
      <formula>ISBLANK($K467)</formula>
    </cfRule>
    <cfRule type="expression" dxfId="96" priority="37">
      <formula>OR($K467="Клиника женского здоровья",$K467="Принят без записи",$K467="Динамика состояния",$K467="Статус диагноза",$K467="К сведению ГП/ЦАОП",$K467="Некорректное обращение с пациентом",$K467="Отказ от сопровождения персональным помощником")</formula>
    </cfRule>
    <cfRule type="expression" dxfId="95" priority="38">
      <formula>NOT(ISBLANK(K467))</formula>
    </cfRule>
  </conditionalFormatting>
  <conditionalFormatting sqref="P477:P478">
    <cfRule type="expression" dxfId="94" priority="32">
      <formula>OR($K477="Цель приема",$K477="Отказ в приеме",$K477="Тактика ведения",$K477="Не дозвонились в течение 2-х дней",$K477="Паллиатив/Патронаж",$K477="Отказ от сопровождения в проекте",$K477="Отказ от сопровождения персональным помощником",$K477="Нарушение маршрутизации",$K477="КАНЦЕР-регистр")</formula>
    </cfRule>
  </conditionalFormatting>
  <conditionalFormatting sqref="M477:M478">
    <cfRule type="expression" dxfId="93" priority="29">
      <formula>ISBLANK($K477)</formula>
    </cfRule>
    <cfRule type="expression" dxfId="92" priority="33">
      <formula>OR($K477="Клиника женского здоровья",$K477="Принят без записи",$K477="Динамика состояния",$K477="Статус диагноза",$K477="К сведению ГП/ЦАОП",$K477="Некорректное обращение с пациентом",$K477="Отказ от сопровождения персональным помощником")</formula>
    </cfRule>
    <cfRule type="expression" dxfId="91" priority="34">
      <formula>NOT(ISBLANK(K477))</formula>
    </cfRule>
  </conditionalFormatting>
  <conditionalFormatting sqref="P477:P478">
    <cfRule type="expression" dxfId="90" priority="30">
      <formula>OR($M477="Врач",$K477="Клиника женского здоровья",$K477="Принят без записи",$K477="Динамика состояния",$K477="Статус диагноза",AND($K477="Онкологический консилиум",$M477="Расхождение данных"),AND($K477="Превышен срок",$M477="Исследование"),AND($K477="Отсутствует протокол",$M477="Протокол исследования"),AND($K477="Дата записи",$M477="Исследование "),$K477="К сведению ГП/ЦАОП",$K477="Некорректное обращение с пациентом",$K477="Тактика ведения",$K477="Отказ в приеме")</formula>
    </cfRule>
    <cfRule type="expression" dxfId="89" priority="31">
      <formula>OR($K477="Онкологический консилиум",$K477="Дата записи",$K477="Возврат в МО без приема",$K477="Данные о биопсии",$K477="КАНЦЕР-регистр",$K477="Отказ от записи ",$K477="Отсутствует протокол",$K477="Превышен срок")</formula>
    </cfRule>
  </conditionalFormatting>
  <conditionalFormatting sqref="P475">
    <cfRule type="expression" dxfId="88" priority="26">
      <formula>OR($K475="Цель приема",$K475="Отказ в приеме",$K475="Тактика ведения",$K475="Не дозвонились в течение 2-х дней",$K475="Паллиатив/Патронаж",$K475="Отказ от сопровождения в проекте",$K475="Отказ от сопровождения персональным помощником",$K475="Нарушение маршрутизации",$K475="КАНЦЕР-регистр")</formula>
    </cfRule>
  </conditionalFormatting>
  <conditionalFormatting sqref="M475">
    <cfRule type="expression" dxfId="87" priority="23">
      <formula>ISBLANK($K475)</formula>
    </cfRule>
    <cfRule type="expression" dxfId="86" priority="27">
      <formula>OR($K475="Клиника женского здоровья",$K475="Принят без записи",$K475="Динамика состояния",$K475="Статус диагноза",$K475="К сведению ГП/ЦАОП",$K475="Некорректное обращение с пациентом",$K475="Отказ от сопровождения персональным помощником")</formula>
    </cfRule>
    <cfRule type="expression" dxfId="85" priority="28">
      <formula>NOT(ISBLANK(K475))</formula>
    </cfRule>
  </conditionalFormatting>
  <conditionalFormatting sqref="P475">
    <cfRule type="expression" dxfId="84" priority="24">
      <formula>OR($M475="Врач",$K475="Клиника женского здоровья",$K475="Принят без записи",$K475="Динамика состояния",$K475="Статус диагноза",AND($K475="Онкологический консилиум",$M475="Расхождение данных"),AND($K475="Превышен срок",$M475="Исследование"),AND($K475="Отсутствует протокол",$M475="Протокол исследования"),AND($K475="Дата записи",$M475="Исследование "),$K475="К сведению ГП/ЦАОП",$K475="Некорректное обращение с пациентом",$K475="Тактика ведения",$K475="Отказ в приеме")</formula>
    </cfRule>
    <cfRule type="expression" dxfId="83" priority="25">
      <formula>OR($K475="Онкологический консилиум",$K475="Дата записи",$K475="Возврат в МО без приема",$K475="Данные о биопсии",$K475="КАНЦЕР-регистр",$K475="Отказ от записи ",$K475="Отсутствует протокол",$K475="Превышен срок")</formula>
    </cfRule>
  </conditionalFormatting>
  <conditionalFormatting sqref="M476">
    <cfRule type="expression" dxfId="82" priority="20">
      <formula>OR($K476="Цель приема",$K476="Отказ в приеме",$K476="Тактика ведения",$K476="Не дозвонились в течение 2-х дней",$K476="Паллиатив/Патронаж",$K476="Отказ от сопровождения в проекте",$K476="Отказ от сопровождения персональным помощником",$K476="Нарушение маршрутизации",$K476="КАНЦЕР-регистр")</formula>
    </cfRule>
  </conditionalFormatting>
  <conditionalFormatting sqref="M476">
    <cfRule type="expression" dxfId="81" priority="17">
      <formula>ISBLANK($K476)</formula>
    </cfRule>
    <cfRule type="expression" dxfId="80" priority="21">
      <formula>OR($K476="Клиника женского здоровья",$K476="Принят без записи",$K476="Динамика состояния",$K476="Статус диагноза",$K476="К сведению ГП/ЦАОП",$K476="Некорректное обращение с пациентом",$K476="Отказ от сопровождения персональным помощником")</formula>
    </cfRule>
    <cfRule type="expression" dxfId="79" priority="22">
      <formula>NOT(ISBLANK(K476))</formula>
    </cfRule>
  </conditionalFormatting>
  <conditionalFormatting sqref="P476">
    <cfRule type="expression" dxfId="78" priority="18">
      <formula>OR($M476="Врач",$K476="Клиника женского здоровья",$K476="Принят без записи",$K476="Динамика состояния",$K476="Статус диагноза",AND($K476="Онкологический консилиум",$M476="Расхождение данных"),AND($K476="Превышен срок",$M476="Исследование"),AND($K476="Отсутствует протокол",$M476="Протокол исследования"),AND($K476="Дата записи",$M476="Исследование "),$K476="К сведению ГП/ЦАОП",$K476="Некорректное обращение с пациентом",$K476="Тактика ведения",$K476="Отказ в приеме")</formula>
    </cfRule>
    <cfRule type="expression" dxfId="77" priority="19">
      <formula>OR($K476="Онкологический консилиум",$K476="Дата записи",$K476="Возврат в МО без приема",$K476="Данные о биопсии",$K476="КАНЦЕР-регистр",$K476="Отказ от записи ",$K476="Отсутствует протокол",$K476="Превышен срок")</formula>
    </cfRule>
  </conditionalFormatting>
  <conditionalFormatting sqref="P479">
    <cfRule type="expression" dxfId="76" priority="14">
      <formula>OR($K479="Цель приема",$K479="Отказ в приеме",$K479="Тактика ведения",$K479="Не дозвонились в течение 2-х дней",$K479="Паллиатив/Патронаж",$K479="Отказ от сопровождения в проекте",$K479="Отказ от сопровождения персональным помощником",$K479="Нарушение маршрутизации",$K479="КАНЦЕР-регистр")</formula>
    </cfRule>
  </conditionalFormatting>
  <conditionalFormatting sqref="M479">
    <cfRule type="expression" dxfId="75" priority="11">
      <formula>ISBLANK($K479)</formula>
    </cfRule>
    <cfRule type="expression" dxfId="74" priority="15">
      <formula>OR($K479="Клиника женского здоровья",$K479="Принят без записи",$K479="Динамика состояния",$K479="Статус диагноза",$K479="К сведению ГП/ЦАОП",$K479="Некорректное обращение с пациентом",$K479="Отказ от сопровождения персональным помощником")</formula>
    </cfRule>
    <cfRule type="expression" dxfId="73" priority="16">
      <formula>NOT(ISBLANK(K479))</formula>
    </cfRule>
  </conditionalFormatting>
  <conditionalFormatting sqref="P479">
    <cfRule type="expression" dxfId="72" priority="12">
      <formula>OR($M479="Врач",$K479="Клиника женского здоровья",$K479="Принят без записи",$K479="Динамика состояния",$K479="Статус диагноза",AND($K479="Онкологический консилиум",$M479="Расхождение данных"),AND($K479="Превышен срок",$M479="Исследование"),AND($K479="Отсутствует протокол",$M479="Протокол исследования"),AND($K479="Дата записи",$M479="Исследование "),$K479="К сведению ГП/ЦАОП",$K479="Некорректное обращение с пациентом",$K479="Тактика ведения",$K479="Отказ в приеме")</formula>
    </cfRule>
    <cfRule type="expression" dxfId="71" priority="13">
      <formula>OR($K479="Онкологический консилиум",$K479="Дата записи",$K479="Возврат в МО без приема",$K479="Данные о биопсии",$K479="КАНЦЕР-регистр",$K479="Отказ от записи ",$K479="Отсутствует протокол",$K479="Превышен срок")</formula>
    </cfRule>
  </conditionalFormatting>
  <conditionalFormatting sqref="M480">
    <cfRule type="expression" dxfId="70" priority="8">
      <formula>OR($K480="Цель приема",$K480="Отказ в приеме",$K480="Тактика ведения",$K480="Не дозвонились в течение 2-х дней",$K480="Паллиатив/Патронаж",$K480="Отказ от сопровождения в проекте",$K480="Отказ от сопровождения персональным помощником",$K480="Нарушение маршрутизации",$K480="КАНЦЕР-регистр")</formula>
    </cfRule>
  </conditionalFormatting>
  <conditionalFormatting sqref="M480">
    <cfRule type="expression" dxfId="69" priority="7">
      <formula>ISBLANK($K480)</formula>
    </cfRule>
    <cfRule type="expression" dxfId="68" priority="9">
      <formula>OR($K480="Клиника женского здоровья",$K480="Принят без записи",$K480="Динамика состояния",$K480="Статус диагноза",$K480="К сведению ГП/ЦАОП",$K480="Некорректное обращение с пациентом",$K480="Отказ от сопровождения персональным помощником")</formula>
    </cfRule>
    <cfRule type="expression" dxfId="67" priority="10">
      <formula>NOT(ISBLANK(K480))</formula>
    </cfRule>
  </conditionalFormatting>
  <conditionalFormatting sqref="P483">
    <cfRule type="expression" dxfId="66" priority="4">
      <formula>OR($K483="Цель приема",$K483="Отказ в приеме",$K483="Тактика ведения",$K483="Не дозвонились в течение 2-х дней",$K483="Паллиатив/Патронаж",$K483="Отказ от сопровождения в проекте",$K483="Отказ от сопровождения персональным помощником",$K483="Нарушение маршрутизации",$K483="КАНЦЕР-регистр")</formula>
    </cfRule>
  </conditionalFormatting>
  <conditionalFormatting sqref="M483">
    <cfRule type="expression" dxfId="65" priority="1">
      <formula>ISBLANK($K483)</formula>
    </cfRule>
    <cfRule type="expression" dxfId="64" priority="5">
      <formula>OR($K483="Клиника женского здоровья",$K483="Принят без записи",$K483="Динамика состояния",$K483="Статус диагноза",$K483="К сведению ГП/ЦАОП",$K483="Некорректное обращение с пациентом",$K483="Отказ от сопровождения персональным помощником")</formula>
    </cfRule>
    <cfRule type="expression" dxfId="63" priority="6">
      <formula>NOT(ISBLANK(K483))</formula>
    </cfRule>
  </conditionalFormatting>
  <conditionalFormatting sqref="P483">
    <cfRule type="expression" dxfId="62" priority="2">
      <formula>OR($M483="Врач",$K483="Клиника женского здоровья",$K483="Принят без записи",$K483="Динамика состояния",$K483="Статус диагноза",AND($K483="Онкологический консилиум",$M483="Расхождение данных"),AND($K483="Превышен срок",$M483="Исследование"),AND($K483="Отсутствует протокол",$M483="Протокол исследования"),AND($K483="Дата записи",$M483="Исследование "),$K483="К сведению ГП/ЦАОП",$K483="Некорректное обращение с пациентом",$K483="Тактика ведения",$K483="Отказ в приеме")</formula>
    </cfRule>
    <cfRule type="expression" dxfId="61" priority="3">
      <formula>OR($K483="Онкологический консилиум",$K483="Дата записи",$K483="Возврат в МО без приема",$K483="Данные о биопсии",$K483="КАНЦЕР-регистр",$K483="Отказ от записи ",$K483="Отсутствует протокол",$K483="Превышен срок")</formula>
    </cfRule>
  </conditionalFormatting>
  <dataValidations count="14">
    <dataValidation type="textLength" operator="equal" allowBlank="1" showInputMessage="1" showErrorMessage="1" promptTitle="исправь" sqref="F1 F220 F308 F322 F334 F338:F339">
      <formula1>16</formula1>
    </dataValidation>
    <dataValidation type="list" allowBlank="1" showInputMessage="1" showErrorMessage="1" sqref="N3:N4 N88:N91 N93 N208 N218 N220:N221 N260:N276 N278:N293 N295:N297 N299:N371 N379:N388 N373:N377 N390:N411 N414 N416:N458 N460:N474 N477:N478 N481:N482 N226:N257 N223:N224 N214:N215 N210:N212 N192:N194 N57:N86 N44:N55 N35:N42 N15:N33 N13 N6:N9 O999:O1048576 N484:N1048576 N196:N203 N95:N189">
      <formula1>Электронное_направление</formula1>
    </dataValidation>
    <dataValidation type="list" allowBlank="1" showInputMessage="1" showErrorMessage="1" sqref="E13 E6:E8 E3:E4 E10 E35 E60 E64 E67 E75 E81:E83 E91 E220:E221 E238 E252 E294 E308 E288 E357 E361 E374:E375 E388 E411 E451 E210">
      <formula1>ОО__ПОК</formula1>
    </dataValidation>
    <dataValidation type="list" allowBlank="1" showInputMessage="1" showErrorMessage="1" sqref="O3 O13 O35 O60 O67 O75 O81:O83 O91 O210 O220 O238 O252 O273 O294 O308 O288 O357 O361 O374 O388 O411 O451:O452">
      <formula1>Куда_сформировано_направление</formula1>
    </dataValidation>
    <dataValidation type="list" allowBlank="1" showInputMessage="1" showErrorMessage="1" sqref="D3:D4 D13 O61:O66 D6:D7 D52:D53 O76:O80 O84:O86 D89:D91 O88:O90 O93 D93 O218 O208 O211:O212 D210:D212 D218 D220:D221 O274:O276 O239:O251 D240:D257 O253:O257 D260:D278 O260:O272 D280:D281 D283 D285:D286 O278:O287 O289:O293 D288:D371 O295:O297 O299:O307 O309:O356 D388 O358:O360 O362:O371 D373:D374 O373 O375:O377 D376 D390:D414 O379:O387 O390:O410 O414 D416:D451 O416:O450 O484:O998 O453:O458 D453 D455:D458 O460:O474 D460:D474 D484:D485 D477:D478 O477:O478 D481:D482 O481:O482 O68:O74 D35:D42 D230:D238 O226:O237 D226:D228 O221:O224 D223:D224 D214:D215 O214:O215 D196:D200 D192:D194 O192:O194 D60:D86 O57:O59 D44:D47 O44:O55 O36:O42 D31:D33 D15:D16 O15:O33 O4:O9 O196:O203 O95:O189 D95:D189">
      <formula1>МО</formula1>
    </dataValidation>
    <dataValidation type="list" allowBlank="1" showInputMessage="1" showErrorMessage="1" sqref="K3:K4 K6:K8 K88:K91 K93 K218 K220:K221 K283:K286 K240:K257 K260:K276 K279:K281 K295:K297 K288:K293 K299:K371 K381:K388 K373 K376 K390:K450 K484:K998 K453:K458 K460:K474 K477:K478 K481:K482 K226:K238 K223:K224 K214:K215 K210:K212 K192:K194 K57:K86 K44:K55 K35:K42 K30:K33 K15:K28 K208 K196:K203 K95:K189 K11:K13">
      <formula1>INDIRECT("статус[статус]")</formula1>
    </dataValidation>
    <dataValidation type="list" allowBlank="1" showInputMessage="1" showErrorMessage="1" sqref="J3:J4 J18:J26 J13 J6:J8 J15:J16 J88:J91 J96 J93 J218 J220:J221 J274:J276 J240:J257 J260:J272 J278 J280:J281 J285 J288:J293 J295:J297 J299:J371 J381:J388 J373 J376 J390:J414 J416:J450 J455:J458 J453 J460:J474 J477:J478 J481:J482 J231:J238 J226:J229 J223:J224 J214:J215 J210:J212 J192:J194 J58:J86 J44:J55 J35:J42 J32:J33 J484:J1048576 J196:J203 J98:J189">
      <formula1>Этап_ведения_пациента_</formula1>
    </dataValidation>
    <dataValidation type="list" showInputMessage="1" showErrorMessage="1" sqref="D5 D14 O14 O10:O12 O34 D34 D48:D51 O87 D87:D88 D92 O92 O94 D94 O190:O191 D190:D191 D195 O195 D213 O213 O216:O217 D216:D217 O219 D219 D222 D229 D239 O258:O259 D258:D259 O277 D287 D279 D282 D284 O298 O372 D372 D375 D377:D387 O389 D389 O415 D415 O412:O413 D452 D454 O459 D459 O475:O476 D475:D476 D479:D480 O479:O480 D483 O483 D225 O225 O204:O207 D54:D59 D43 D17:D30 D8:D12 O209 D201:D209">
      <formula1>МО</formula1>
    </dataValidation>
    <dataValidation type="list" showInputMessage="1" showErrorMessage="1" sqref="K9:K10 K14 K34 K5 K29 K56 K87 K92 K94 K190:K191 K195 K204:K207 K209 K213 K216:K217 K219 K222 K239 K258:K259 K277:K278 K282 K287 K294 K298 K372 K374:K375 K377:K380 K389 K451:K452 K459 K475:K476 K479:K480 K483 K225 K43">
      <formula1>INDIRECT("статус[статус]")</formula1>
    </dataValidation>
    <dataValidation type="list" showInputMessage="1" showErrorMessage="1" sqref="N14 N10:N12 N5 N34 N56 N87 N92 N94 N190:N191 N195 N213 N216:N217 N219 N222 N258:N259 N277 N294 N298 N372 N378 N389 N412:N413 N415 N459 N475:N476 N479:N480 N483 N225 N204:N207 N43 N209">
      <formula1>Электронное_направление</formula1>
    </dataValidation>
    <dataValidation type="list" showInputMessage="1" showErrorMessage="1" sqref="J5 J14 J34 J9:J12 J56:J57 J87 J92 J94:J95 J97 J190:J191 J195 J213 J216:J217 J219 J222 J230 J239 J258:J259 J273 J277 J279 J282:J284 J286:J287 J294 J298 J372 J374:J375 J377:J380 J389 J415 J451:J452 J454 J459 J475:J476 J479:J480 J483 J225 J43 J27:J31 J17 J204:J209">
      <formula1>Этап_ведения_пациента_</formula1>
    </dataValidation>
    <dataValidation type="list" showInputMessage="1" showErrorMessage="1" sqref="E5 E21 E43 E56 E87 E412">
      <formula1>ОО__ПОК</formula1>
    </dataValidation>
    <dataValidation type="list" showInputMessage="1" showErrorMessage="1" sqref="O43 O56 O378">
      <formula1>Куда_сформировано_направление</formula1>
    </dataValidation>
    <dataValidation type="list" allowBlank="1" showInputMessage="1" showErrorMessage="1" sqref="M1">
      <formula1>$D$4:$D$16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3" stopIfTrue="1" id="{8E9BA774-2931-46E1-AB82-B925DF71DAFF}">
            <xm:f>[86]Дуденкова!#REF!="Техническая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G354</xm:sqref>
        </x14:conditionalFormatting>
        <x14:conditionalFormatting xmlns:xm="http://schemas.microsoft.com/office/excel/2006/main">
          <x14:cfRule type="expression" priority="200" stopIfTrue="1" id="{18852815-FBAC-441E-9976-7885BEC79333}">
            <xm:f>[86]Дуденкова!#REF!="Техническая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G355</xm:sqref>
        </x14:conditionalFormatting>
        <x14:conditionalFormatting xmlns:xm="http://schemas.microsoft.com/office/excel/2006/main">
          <x14:cfRule type="expression" priority="197" stopIfTrue="1" id="{964F89C7-9768-4D40-9B58-F4678B2F11E8}">
            <xm:f>[86]Дуденкова!#REF!="Техническая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1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M3:M4 M486:M998 M6:M8 M10:M13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E486:E998</xm:sqref>
        </x14:dataValidation>
        <x14:dataValidation type="list" allowBlank="1" showInputMessage="1" showErrorMessage="1" xr:uid="{00000000-0002-0000-0000-000016000000}">
          <x14:formula1>
            <xm:f>[68]списки_не_удалять!#REF!</xm:f>
          </x14:formula1>
          <xm:sqref>E17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INDIRECT(SUBSTITUTE(SUBSTITUTE(SUBSTITUTE(SUBSTITUTE(SUBSTITUTE(SUBSTITUTE(K17, " ", ""),[68]Статус!#REF!,""),":",""),"-",""),",",""),"/",""))</xm:f>
          </x14:formula1>
          <xm:sqref>M17</xm:sqref>
        </x14:dataValidation>
        <x14:dataValidation type="list" allowBlank="1" showErrorMessage="1" errorTitle="Требуется выбрать из списка" xr:uid="{00000000-0002-0000-0000-000018000000}">
          <x14:formula1>
            <xm:f>INDIRECT(SUBSTITUTE(SUBSTITUTE(SUBSTITUTE(SUBSTITUTE(SUBSTITUTE(SUBSTITUTE(K18, " ", ""),[37]Статус!#REF!,""),":",""),"-",""),",",""),"/",""))</xm:f>
          </x14:formula1>
          <xm:sqref>M18:M26</xm:sqref>
        </x14:dataValidation>
        <x14:dataValidation type="list" allowBlank="1" showInputMessage="1" showErrorMessage="1" xr:uid="{00000000-0002-0000-0000-000019000000}">
          <x14:formula1>
            <xm:f>[37]списки_не_удалять!#REF!</xm:f>
          </x14:formula1>
          <xm:sqref>E18:E20 E22:E24 E26</xm:sqref>
        </x14:dataValidation>
        <x14:dataValidation type="list" allowBlank="1" showInputMessage="1" showErrorMessage="1" xr:uid="{00000000-0002-0000-0000-00001A000000}">
          <x14:formula1>
            <xm:f>[56]списки_не_удалять!#REF!</xm:f>
          </x14:formula1>
          <xm:sqref>E31:E33</xm:sqref>
        </x14:dataValidation>
        <x14:dataValidation type="list" allowBlank="1" showErrorMessage="1" errorTitle="Требуется выбрать из списка" xr:uid="{00000000-0002-0000-0000-00001B000000}">
          <x14:formula1>
            <xm:f>INDIRECT(SUBSTITUTE(SUBSTITUTE(SUBSTITUTE(SUBSTITUTE(SUBSTITUTE(SUBSTITUTE(K27, " ", ""),[56]Статус!#REF!,""),":",""),"-",""),",",""),"/",""))</xm:f>
          </x14:formula1>
          <xm:sqref>M27:M33</xm:sqref>
        </x14:dataValidation>
        <x14:dataValidation type="list" allowBlank="1" showInputMessage="1" showErrorMessage="1" xr:uid="{00000000-0002-0000-0000-00001C000000}">
          <x14:formula1>
            <xm:f>[57]списки_не_удалять!#REF!</xm:f>
          </x14:formula1>
          <xm:sqref>E36:E38 E40:E42</xm:sqref>
        </x14:dataValidation>
        <x14:dataValidation type="list" allowBlank="1" showErrorMessage="1" errorTitle="Требуется выбрать из списка" xr:uid="{00000000-0002-0000-0000-00001D000000}">
          <x14:formula1>
            <xm:f>INDIRECT(SUBSTITUTE(SUBSTITUTE(SUBSTITUTE(SUBSTITUTE(SUBSTITUTE(SUBSTITUTE(K35, " ", ""),[57]Статус!#REF!,""),":",""),"-",""),",",""),"/",""))</xm:f>
          </x14:formula1>
          <xm:sqref>M35:M38 M40:M42</xm:sqref>
        </x14:dataValidation>
        <x14:dataValidation type="list" allowBlank="1" showErrorMessage="1" errorTitle="Требуется выбрать из списка" xr:uid="{00000000-0002-0000-0000-000020000000}">
          <x14:formula1>
            <xm:f>INDIRECT(SUBSTITUTE(SUBSTITUTE(SUBSTITUTE(SUBSTITUTE(SUBSTITUTE(SUBSTITUTE(K64, " ", ""),[87]Статус!#REF!,""),":",""),"-",""),",",""),"/",""))</xm:f>
          </x14:formula1>
          <xm:sqref>M64:M66</xm:sqref>
        </x14:dataValidation>
        <x14:dataValidation type="list" allowBlank="1" showInputMessage="1" showErrorMessage="1" xr:uid="{00000000-0002-0000-0000-000021000000}">
          <x14:formula1>
            <xm:f>[87]списки_не_удалять!#REF!</xm:f>
          </x14:formula1>
          <xm:sqref>E65:E66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INDIRECT(SUBSTITUTE(SUBSTITUTE(SUBSTITUTE(SUBSTITUTE(SUBSTITUTE(SUBSTITUTE(K60, " ", ""),[25]Статус!#REF!,""),":",""),"-",""),",",""),"/",""))</xm:f>
          </x14:formula1>
          <xm:sqref>M60 M63</xm:sqref>
        </x14:dataValidation>
        <x14:dataValidation type="list" allowBlank="1" showInputMessage="1" showErrorMessage="1" xr:uid="{00000000-0002-0000-0000-000023000000}">
          <x14:formula1>
            <xm:f>[25]списки_не_удалять!#REF!</xm:f>
          </x14:formula1>
          <xm:sqref>E63</xm:sqref>
        </x14:dataValidation>
        <x14:dataValidation type="list" allowBlank="1" showInputMessage="1" showErrorMessage="1" xr:uid="{00000000-0002-0000-0000-000024000000}">
          <x14:formula1>
            <xm:f>[88]списки_не_удалять!#REF!</xm:f>
          </x14:formula1>
          <xm:sqref>E61</xm:sqref>
        </x14:dataValidation>
        <x14:dataValidation type="list" allowBlank="1" showInputMessage="1" showErrorMessage="1" xr:uid="{00000000-0002-0000-0000-000025000000}">
          <x14:formula1>
            <xm:f>[89]списки_не_удалять!#REF!</xm:f>
          </x14:formula1>
          <xm:sqref>E62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INDIRECT(SUBSTITUTE(SUBSTITUTE(SUBSTITUTE(SUBSTITUTE(SUBSTITUTE(SUBSTITUTE(K62, " ", ""),[89]Статус!#REF!,""),":",""),"-",""),",",""),"/",""))</xm:f>
          </x14:formula1>
          <xm:sqref>M62</xm:sqref>
        </x14:dataValidation>
        <x14:dataValidation type="list" allowBlank="1" showErrorMessage="1" errorTitle="Требуется выбрать из списка" xr:uid="{00000000-0002-0000-0000-000027000000}">
          <x14:formula1>
            <xm:f>INDIRECT(SUBSTITUTE(SUBSTITUTE(SUBSTITUTE(SUBSTITUTE(SUBSTITUTE(SUBSTITUTE(K61, " ", ""),[88]Статус!#REF!,""),":",""),"-",""),",",""),"/",""))</xm:f>
          </x14:formula1>
          <xm:sqref>M61</xm:sqref>
        </x14:dataValidation>
        <x14:dataValidation type="list" allowBlank="1" showInputMessage="1" showErrorMessage="1" xr:uid="{00000000-0002-0000-0000-000028000000}">
          <x14:formula1>
            <xm:f>[24]списки_не_удалять!#REF!</xm:f>
          </x14:formula1>
          <xm:sqref>E49:E50 E54:E55 E58:E59</xm:sqref>
        </x14:dataValidation>
        <x14:dataValidation type="list" allowBlank="1" showErrorMessage="1" errorTitle="Требуется выбрать из списка" xr:uid="{00000000-0002-0000-0000-000029000000}">
          <x14:formula1>
            <xm:f>INDIRECT(SUBSTITUTE(SUBSTITUTE(SUBSTITUTE(SUBSTITUTE(SUBSTITUTE(SUBSTITUTE(K49, " ", ""),[24]Статус!#REF!,""),":",""),"-",""),",",""),"/",""))</xm:f>
          </x14:formula1>
          <xm:sqref>M49:M50 M54:M55 M57:M59</xm:sqref>
        </x14:dataValidation>
        <x14:dataValidation type="list" allowBlank="1" showInputMessage="1" showErrorMessage="1" xr:uid="{00000000-0002-0000-0000-00002A000000}">
          <x14:formula1>
            <xm:f>[1]списки_не_удалять!#REF!</xm:f>
          </x14:formula1>
          <xm:sqref>E48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INDIRECT(SUBSTITUTE(SUBSTITUTE(SUBSTITUTE(SUBSTITUTE(SUBSTITUTE(SUBSTITUTE(K48, " ", ""),[1]Статус!#REF!,""),":",""),"-",""),",",""),"/",""))</xm:f>
          </x14:formula1>
          <xm:sqref>M48</xm:sqref>
        </x14:dataValidation>
        <x14:dataValidation type="list" allowBlank="1" showErrorMessage="1" errorTitle="Требуется выбрать из списка" xr:uid="{00000000-0002-0000-0000-000035000000}">
          <x14:formula1>
            <xm:f>INDIRECT(SUBSTITUTE(SUBSTITUTE(SUBSTITUTE(SUBSTITUTE(SUBSTITUTE(SUBSTITUTE(K91, " ", ""),[13]Статус!#REF!,""),":",""),"-",""),",",""),"/",""))</xm:f>
          </x14:formula1>
          <xm:sqref>M91 M93 M95:M97</xm:sqref>
        </x14:dataValidation>
        <x14:dataValidation type="list" allowBlank="1" showInputMessage="1" showErrorMessage="1" xr:uid="{00000000-0002-0000-0000-000036000000}">
          <x14:formula1>
            <xm:f>[13]списки_не_удалять!#REF!</xm:f>
          </x14:formula1>
          <xm:sqref>E93 E95:E97</xm:sqref>
        </x14:dataValidation>
        <x14:dataValidation type="list" allowBlank="1" showErrorMessage="1" errorTitle="Требуется выбрать из списка" xr:uid="{00000000-0002-0000-0000-000037000000}">
          <x14:formula1>
            <xm:f>INDIRECT(SUBSTITUTE(SUBSTITUTE(SUBSTITUTE(SUBSTITUTE(SUBSTITUTE(SUBSTITUTE(K82, " ", ""),[28]Статус!#REF!,""),":",""),"-",""),",",""),"/",""))</xm:f>
          </x14:formula1>
          <xm:sqref>M82:M86 M88:M90</xm:sqref>
        </x14:dataValidation>
        <x14:dataValidation type="list" allowBlank="1" showInputMessage="1" showErrorMessage="1" xr:uid="{00000000-0002-0000-0000-000038000000}">
          <x14:formula1>
            <xm:f>[28]списки_не_удалять!#REF!</xm:f>
          </x14:formula1>
          <xm:sqref>E84:E86 E88:E90</xm:sqref>
        </x14:dataValidation>
        <x14:dataValidation type="list" allowBlank="1" showErrorMessage="1" errorTitle="Требуется выбрать из списка" xr:uid="{00000000-0002-0000-0000-000039000000}">
          <x14:formula1>
            <xm:f>INDIRECT(SUBSTITUTE(SUBSTITUTE(SUBSTITUTE(SUBSTITUTE(SUBSTITUTE(SUBSTITUTE(K81, " ", ""),[12]Статус!#REF!,""),":",""),"-",""),",",""),"/",""))</xm:f>
          </x14:formula1>
          <xm:sqref>M81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INDIRECT(SUBSTITUTE(SUBSTITUTE(SUBSTITUTE(SUBSTITUTE(SUBSTITUTE(SUBSTITUTE(K76, " ", ""),[90]Статус!#REF!,""),":",""),"-",""),",",""),"/",""))</xm:f>
          </x14:formula1>
          <xm:sqref>M76</xm:sqref>
        </x14:dataValidation>
        <x14:dataValidation type="list" allowBlank="1" showInputMessage="1" showErrorMessage="1" xr:uid="{00000000-0002-0000-0000-00003B000000}">
          <x14:formula1>
            <xm:f>[90]списки_не_удалять!#REF!</xm:f>
          </x14:formula1>
          <xm:sqref>E76</xm:sqref>
        </x14:dataValidation>
        <x14:dataValidation type="list" allowBlank="1" showInputMessage="1" showErrorMessage="1" xr:uid="{00000000-0002-0000-0000-00003C000000}">
          <x14:formula1>
            <xm:f>[3]списки_не_удалять!#REF!</xm:f>
          </x14:formula1>
          <xm:sqref>E77:E80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INDIRECT(SUBSTITUTE(SUBSTITUTE(SUBSTITUTE(SUBSTITUTE(SUBSTITUTE(SUBSTITUTE(K75, " ", ""),[3]Статус!#REF!,""),":",""),"-",""),",",""),"/",""))</xm:f>
          </x14:formula1>
          <xm:sqref>M75 M77:M80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INDIRECT(SUBSTITUTE(SUBSTITUTE(SUBSTITUTE(SUBSTITUTE(SUBSTITUTE(SUBSTITUTE(K220, " ", ""),[91]Статус!#REF!,""),":",""),"-",""),",",""),"/",""))</xm:f>
          </x14:formula1>
          <xm:sqref>M220</xm:sqref>
        </x14:dataValidation>
        <x14:dataValidation type="list" allowBlank="1" showInputMessage="1" showErrorMessage="1" xr:uid="{00000000-0002-0000-0000-000041000000}">
          <x14:formula1>
            <xm:f>[51]списки_не_удалять!#REF!</xm:f>
          </x14:formula1>
          <xm:sqref>E214 E218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INDIRECT(SUBSTITUTE(SUBSTITUTE(SUBSTITUTE(SUBSTITUTE(SUBSTITUTE(SUBSTITUTE(K214, " ", ""),[51]Статус!#REF!,""),":",""),"-",""),",",""),"/",""))</xm:f>
          </x14:formula1>
          <xm:sqref>M218 M214</xm:sqref>
        </x14:dataValidation>
        <x14:dataValidation type="list" allowBlank="1" showErrorMessage="1" errorTitle="Требуется выбрать из списка" xr:uid="{00000000-0002-0000-0000-000043000000}">
          <x14:formula1>
            <xm:f>INDIRECT(SUBSTITUTE(SUBSTITUTE(SUBSTITUTE(SUBSTITUTE(SUBSTITUTE(SUBSTITUTE(K210, " ", ""),[4]Статус!#REF!,""),":",""),"-",""),",",""),"/",""))</xm:f>
          </x14:formula1>
          <xm:sqref>M210:M212</xm:sqref>
        </x14:dataValidation>
        <x14:dataValidation type="list" allowBlank="1" showInputMessage="1" showErrorMessage="1" xr:uid="{00000000-0002-0000-0000-000044000000}">
          <x14:formula1>
            <xm:f>[4]списки_не_удалять!#REF!</xm:f>
          </x14:formula1>
          <xm:sqref>E211:E212</xm:sqref>
        </x14:dataValidation>
        <x14:dataValidation type="list" allowBlank="1" showInputMessage="1" showErrorMessage="1" xr:uid="{00000000-0002-0000-0000-000047000000}">
          <x14:formula1>
            <xm:f>[66]списки_не_удалять!#REF!</xm:f>
          </x14:formula1>
          <xm:sqref>E196</xm:sqref>
        </x14:dataValidation>
        <x14:dataValidation type="list" allowBlank="1" showErrorMessage="1" errorTitle="Требуется выбрать из списка" xr:uid="{00000000-0002-0000-0000-000048000000}">
          <x14:formula1>
            <xm:f>INDIRECT(SUBSTITUTE(SUBSTITUTE(SUBSTITUTE(SUBSTITUTE(SUBSTITUTE(SUBSTITUTE(K196, " ", ""),[66]Статус!#REF!,""),":",""),"-",""),",",""),"/",""))</xm:f>
          </x14:formula1>
          <xm:sqref>M196</xm:sqref>
        </x14:dataValidation>
        <x14:dataValidation type="list" allowBlank="1" showInputMessage="1" showErrorMessage="1" xr:uid="{00000000-0002-0000-0000-00004B000000}">
          <x14:formula1>
            <xm:f>[45]списки_не_удалять!#REF!</xm:f>
          </x14:formula1>
          <xm:sqref>E189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INDIRECT(SUBSTITUTE(SUBSTITUTE(SUBSTITUTE(SUBSTITUTE(SUBSTITUTE(SUBSTITUTE(K189, " ", ""),[45]Статус!#REF!,""),":",""),"-",""),",",""),"/",""))</xm:f>
          </x14:formula1>
          <xm:sqref>M189 M192:M194</xm:sqref>
        </x14:dataValidation>
        <x14:dataValidation type="list" allowBlank="1" showInputMessage="1" showErrorMessage="1" xr:uid="{00000000-0002-0000-0000-00004D000000}">
          <x14:formula1>
            <xm:f>[58]списки_не_удалять!#REF!</xm:f>
          </x14:formula1>
          <xm:sqref>E237</xm:sqref>
        </x14:dataValidation>
        <x14:dataValidation type="list" allowBlank="1" showInputMessage="1" showErrorMessage="1" xr:uid="{00000000-0002-0000-0000-00004E000000}">
          <x14:formula1>
            <xm:f>[92]списки_не_удалять!#REF!</xm:f>
          </x14:formula1>
          <xm:sqref>E236</xm:sqref>
        </x14:dataValidation>
        <x14:dataValidation type="list" allowBlank="1" showInputMessage="1" showErrorMessage="1" xr:uid="{00000000-0002-0000-0000-00004F000000}">
          <x14:formula1>
            <xm:f>[93]списки_не_удалять!#REF!</xm:f>
          </x14:formula1>
          <xm:sqref>E235</xm:sqref>
        </x14:dataValidation>
        <x14:dataValidation type="list" allowBlank="1" showErrorMessage="1" errorTitle="Требуется выбрать из списка" xr:uid="{00000000-0002-0000-0000-000050000000}">
          <x14:formula1>
            <xm:f>INDIRECT(SUBSTITUTE(SUBSTITUTE(SUBSTITUTE(SUBSTITUTE(SUBSTITUTE(SUBSTITUTE(K235, " ", ""),[58]Статус!#REF!,""),":",""),"-",""),",",""),"/",""))</xm:f>
          </x14:formula1>
          <xm:sqref>M235:M237</xm:sqref>
        </x14:dataValidation>
        <x14:dataValidation type="list" allowBlank="1" showErrorMessage="1" errorTitle="Требуется выбрать из списка" xr:uid="{00000000-0002-0000-0000-000055000000}">
          <x14:formula1>
            <xm:f>INDIRECT(SUBSTITUTE(SUBSTITUTE(SUBSTITUTE(SUBSTITUTE(SUBSTITUTE(SUBSTITUTE(K273, " ", ""),[17]Статус!#REF!,""),":",""),"-",""),",",""),"/",""))</xm:f>
          </x14:formula1>
          <xm:sqref>M273:M276 M278:M281 M283:M287</xm:sqref>
        </x14:dataValidation>
        <x14:dataValidation type="list" allowBlank="1" showInputMessage="1" showErrorMessage="1" xr:uid="{00000000-0002-0000-0000-000056000000}">
          <x14:formula1>
            <xm:f>[17]списки_не_удалять!#REF!</xm:f>
          </x14:formula1>
          <xm:sqref>E274:E278 E280:E281 E283:E286</xm:sqref>
        </x14:dataValidation>
        <x14:dataValidation type="list" allowBlank="1" showErrorMessage="1" errorTitle="Требуется выбрать из списка" xr:uid="{00000000-0002-0000-0000-000057000000}">
          <x14:formula1>
            <xm:f>INDIRECT(SUBSTITUTE(SUBSTITUTE(SUBSTITUTE(SUBSTITUTE(SUBSTITUTE(SUBSTITUTE(K267, " ", ""),[6]Статус!#REF!,""),":",""),"-",""),",",""),"/",""))</xm:f>
          </x14:formula1>
          <xm:sqref>M267:M269 M272</xm:sqref>
        </x14:dataValidation>
        <x14:dataValidation type="list" allowBlank="1" showInputMessage="1" showErrorMessage="1" xr:uid="{00000000-0002-0000-0000-000058000000}">
          <x14:formula1>
            <xm:f>[6]списки_не_удалять!#REF!</xm:f>
          </x14:formula1>
          <xm:sqref>E267:E269 E271:E272</xm:sqref>
        </x14:dataValidation>
        <x14:dataValidation type="list" allowBlank="1" showInputMessage="1" showErrorMessage="1" xr:uid="{00000000-0002-0000-0000-000059000000}">
          <x14:formula1>
            <xm:f>[61]списки_не_удалять!#REF!</xm:f>
          </x14:formula1>
          <xm:sqref>E261:E266</xm:sqref>
        </x14:dataValidation>
        <x14:dataValidation type="list" allowBlank="1" showErrorMessage="1" errorTitle="Требуется выбрать из списка" xr:uid="{00000000-0002-0000-0000-00005A000000}">
          <x14:formula1>
            <xm:f>INDIRECT(SUBSTITUTE(SUBSTITUTE(SUBSTITUTE(SUBSTITUTE(SUBSTITUTE(SUBSTITUTE(K261, " ", ""),[61]Статус!#REF!,""),":",""),"-",""),",",""),"/",""))</xm:f>
          </x14:formula1>
          <xm:sqref>M261:M266</xm:sqref>
        </x14:dataValidation>
        <x14:dataValidation type="list" allowBlank="1" showErrorMessage="1" errorTitle="Требуется выбрать из списка" xr:uid="{00000000-0002-0000-0000-00005B000000}">
          <x14:formula1>
            <xm:f>INDIRECT(SUBSTITUTE(SUBSTITUTE(SUBSTITUTE(SUBSTITUTE(SUBSTITUTE(SUBSTITUTE(K252, " ", ""),[32]Статус!#REF!,""),":",""),"-",""),",",""),"/",""))</xm:f>
          </x14:formula1>
          <xm:sqref>M252:M257 M260</xm:sqref>
        </x14:dataValidation>
        <x14:dataValidation type="list" allowBlank="1" showInputMessage="1" showErrorMessage="1" xr:uid="{00000000-0002-0000-0000-00005C000000}">
          <x14:formula1>
            <xm:f>[32]списки_не_удалять!#REF!</xm:f>
          </x14:formula1>
          <xm:sqref>E253:E257 E260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INDIRECT(SUBSTITUTE(SUBSTITUTE(SUBSTITUTE(SUBSTITUTE(SUBSTITUTE(SUBSTITUTE(K247, " ", ""),[5]Статус!#REF!,""),":",""),"-",""),",",""),"/",""))</xm:f>
          </x14:formula1>
          <xm:sqref>M247:M251</xm:sqref>
        </x14:dataValidation>
        <x14:dataValidation type="list" allowBlank="1" showInputMessage="1" showErrorMessage="1" xr:uid="{00000000-0002-0000-0000-00005E000000}">
          <x14:formula1>
            <xm:f>[5]списки_не_удалять!#REF!</xm:f>
          </x14:formula1>
          <xm:sqref>E247:E251</xm:sqref>
        </x14:dataValidation>
        <x14:dataValidation type="list" allowBlank="1" showInputMessage="1" showErrorMessage="1" xr:uid="{00000000-0002-0000-0000-00005F000000}">
          <x14:formula1>
            <xm:f>[31]списки_не_удалять!#REF!</xm:f>
          </x14:formula1>
          <xm:sqref>E240:E246</xm:sqref>
        </x14:dataValidation>
        <x14:dataValidation type="list" allowBlank="1" showErrorMessage="1" errorTitle="Требуется выбрать из списка" xr:uid="{00000000-0002-0000-0000-000060000000}">
          <x14:formula1>
            <xm:f>INDIRECT(SUBSTITUTE(SUBSTITUTE(SUBSTITUTE(SUBSTITUTE(SUBSTITUTE(SUBSTITUTE(K238, " ", ""),[31]Статус!#REF!,""),":",""),"-",""),",",""),"/",""))</xm:f>
          </x14:formula1>
          <xm:sqref>M238 M240:M246</xm:sqref>
        </x14:dataValidation>
        <x14:dataValidation type="list" allowBlank="1" showInputMessage="1" showErrorMessage="1" xr:uid="{00000000-0002-0000-0000-000061000000}">
          <x14:formula1>
            <xm:f>[8]списки_не_удалять!#REF!</xm:f>
          </x14:formula1>
          <xm:sqref>E346:E349 E351 E353</xm:sqref>
        </x14:dataValidation>
        <x14:dataValidation type="list" allowBlank="1" showErrorMessage="1" errorTitle="Требуется выбрать из списка" xr:uid="{00000000-0002-0000-0000-000062000000}">
          <x14:formula1>
            <xm:f>INDIRECT(SUBSTITUTE(SUBSTITUTE(SUBSTITUTE(SUBSTITUTE(SUBSTITUTE(SUBSTITUTE(K346, " ", ""),[8]Статус!#REF!,""),":",""),"-",""),",",""),"/",""))</xm:f>
          </x14:formula1>
          <xm:sqref>M346:M349 M351 M353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INDIRECT(SUBSTITUTE(SUBSTITUTE(SUBSTITUTE(SUBSTITUTE(SUBSTITUTE(SUBSTITUTE(K350, " ", ""),[9]Статус!#REF!,""),":",""),"-",""),",",""),"/",""))</xm:f>
          </x14:formula1>
          <xm:sqref>M350 M352</xm:sqref>
        </x14:dataValidation>
        <x14:dataValidation type="list" allowBlank="1" showInputMessage="1" showErrorMessage="1" xr:uid="{00000000-0002-0000-0000-000064000000}">
          <x14:formula1>
            <xm:f>[9]списки_не_удалять!#REF!</xm:f>
          </x14:formula1>
          <xm:sqref>E350 E352</xm:sqref>
        </x14:dataValidation>
        <x14:dataValidation type="list" allowBlank="1" showErrorMessage="1" errorTitle="Требуется выбрать из списка" xr:uid="{00000000-0002-0000-0000-000065000000}">
          <x14:formula1>
            <xm:f>INDIRECT(SUBSTITUTE(SUBSTITUTE(SUBSTITUTE(SUBSTITUTE(SUBSTITUTE(SUBSTITUTE(K340, " ", ""),[7]Статус!#REF!,""),":",""),"-",""),",",""),"/",""))</xm:f>
          </x14:formula1>
          <xm:sqref>M340:M345</xm:sqref>
        </x14:dataValidation>
        <x14:dataValidation type="list" allowBlank="1" showInputMessage="1" showErrorMessage="1" xr:uid="{00000000-0002-0000-0000-000066000000}">
          <x14:formula1>
            <xm:f>[7]списки_не_удалять!#REF!</xm:f>
          </x14:formula1>
          <xm:sqref>E340:E345</xm:sqref>
        </x14:dataValidation>
        <x14:dataValidation type="list" allowBlank="1" showInputMessage="1" showErrorMessage="1" xr:uid="{00000000-0002-0000-0000-000067000000}">
          <x14:formula1>
            <xm:f>[19]списки_не_удалять!#REF!</xm:f>
          </x14:formula1>
          <xm:sqref>E309:E339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INDIRECT(SUBSTITUTE(SUBSTITUTE(SUBSTITUTE(SUBSTITUTE(SUBSTITUTE(SUBSTITUTE(K308, " ", ""),[19]Статус!#REF!,""),":",""),"-",""),",",""),"/",""))</xm:f>
          </x14:formula1>
          <xm:sqref>M308:M339</xm:sqref>
        </x14:dataValidation>
        <x14:dataValidation type="list" allowBlank="1" showErrorMessage="1" errorTitle="Требуется выбрать из списка" xr:uid="{00000000-0002-0000-0000-000069000000}">
          <x14:formula1>
            <xm:f>INDIRECT(SUBSTITUTE(SUBSTITUTE(SUBSTITUTE(SUBSTITUTE(SUBSTITUTE(SUBSTITUTE(K299, " ", ""),[18]Статус!#REF!,""),":",""),"-",""),",",""),"/",""))</xm:f>
          </x14:formula1>
          <xm:sqref>M299:M307</xm:sqref>
        </x14:dataValidation>
        <x14:dataValidation type="list" allowBlank="1" showInputMessage="1" showErrorMessage="1" xr:uid="{00000000-0002-0000-0000-00006A000000}">
          <x14:formula1>
            <xm:f>[18]списки_не_удалять!#REF!</xm:f>
          </x14:formula1>
          <xm:sqref>E299:E307</xm:sqref>
        </x14:dataValidation>
        <x14:dataValidation type="list" allowBlank="1" showInputMessage="1" showErrorMessage="1" xr:uid="{00000000-0002-0000-0000-00006B000000}">
          <x14:formula1>
            <xm:f>[75]списки_не_удалять!#REF!</xm:f>
          </x14:formula1>
          <xm:sqref>E295:E298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INDIRECT(SUBSTITUTE(SUBSTITUTE(SUBSTITUTE(SUBSTITUTE(SUBSTITUTE(SUBSTITUTE(K295, " ", ""),[75]Статус!#REF!,""),":",""),"-",""),",",""),"/",""))</xm:f>
          </x14:formula1>
          <xm:sqref>M295:M297</xm:sqref>
        </x14:dataValidation>
        <x14:dataValidation type="list" allowBlank="1" showErrorMessage="1" errorTitle="Требуется выбрать из списка" xr:uid="{00000000-0002-0000-0000-00006D000000}">
          <x14:formula1>
            <xm:f>INDIRECT(SUBSTITUTE(SUBSTITUTE(SUBSTITUTE(SUBSTITUTE(SUBSTITUTE(SUBSTITUTE(K288, " ", ""),[63]Статус!#REF!,""),":",""),"-",""),",",""),"/",""))</xm:f>
          </x14:formula1>
          <xm:sqref>M288:M293</xm:sqref>
        </x14:dataValidation>
        <x14:dataValidation type="list" allowBlank="1" showInputMessage="1" showErrorMessage="1" xr:uid="{00000000-0002-0000-0000-00006E000000}">
          <x14:formula1>
            <xm:f>[63]списки_не_удалять!#REF!</xm:f>
          </x14:formula1>
          <xm:sqref>E289:E293</xm:sqref>
        </x14:dataValidation>
        <x14:dataValidation type="list" allowBlank="1" showErrorMessage="1" errorTitle="Требуется выбрать из списка" xr:uid="{00000000-0002-0000-0000-00006F000000}">
          <x14:formula1>
            <xm:f>INDIRECT(SUBSTITUTE(SUBSTITUTE(SUBSTITUTE(SUBSTITUTE(SUBSTITUTE(SUBSTITUTE(K388, " ", ""),[40]Статус!#REF!,""),":",""),"-",""),",",""),"/",""))</xm:f>
          </x14:formula1>
          <xm:sqref>M388 M390:M394</xm:sqref>
        </x14:dataValidation>
        <x14:dataValidation type="list" allowBlank="1" showInputMessage="1" showErrorMessage="1" xr:uid="{00000000-0002-0000-0000-000070000000}">
          <x14:formula1>
            <xm:f>[40]списки_не_удалять!#REF!</xm:f>
          </x14:formula1>
          <xm:sqref>E390:E394</xm:sqref>
        </x14:dataValidation>
        <x14:dataValidation type="list" allowBlank="1" showErrorMessage="1" errorTitle="Требуется выбрать из списка" xr:uid="{00000000-0002-0000-0000-000071000000}">
          <x14:formula1>
            <xm:f>INDIRECT(SUBSTITUTE(SUBSTITUTE(SUBSTITUTE(SUBSTITUTE(SUBSTITUTE(SUBSTITUTE(K381, " ", ""),[20]Статус!#REF!,""),":",""),"-",""),",",""),"/",""))</xm:f>
          </x14:formula1>
          <xm:sqref>M381:M387</xm:sqref>
        </x14:dataValidation>
        <x14:dataValidation type="list" allowBlank="1" showInputMessage="1" showErrorMessage="1" xr:uid="{00000000-0002-0000-0000-000072000000}">
          <x14:formula1>
            <xm:f>[20]списки_не_удалять!#REF!</xm:f>
          </x14:formula1>
          <xm:sqref>E381:E387</xm:sqref>
        </x14:dataValidation>
        <x14:dataValidation type="list" allowBlank="1" showErrorMessage="1" errorTitle="Требуется выбрать из списка" xr:uid="{00000000-0002-0000-0000-000073000000}">
          <x14:formula1>
            <xm:f>INDIRECT(SUBSTITUTE(SUBSTITUTE(SUBSTITUTE(SUBSTITUTE(SUBSTITUTE(SUBSTITUTE(K374, " ", ""),[94]Статус!#REF!,""),":",""),"-",""),",",""),"/",""))</xm:f>
          </x14:formula1>
          <xm:sqref>M374:M380</xm:sqref>
        </x14:dataValidation>
        <x14:dataValidation type="list" allowBlank="1" showInputMessage="1" showErrorMessage="1" xr:uid="{00000000-0002-0000-0000-000074000000}">
          <x14:formula1>
            <xm:f>[94]списки_не_удалять!#REF!</xm:f>
          </x14:formula1>
          <xm:sqref>E376</xm:sqref>
        </x14:dataValidation>
        <x14:dataValidation type="list" allowBlank="1" showInputMessage="1" showErrorMessage="1" xr:uid="{00000000-0002-0000-0000-000075000000}">
          <x14:formula1>
            <xm:f>[10]списки_не_удалять!#REF!</xm:f>
          </x14:formula1>
          <xm:sqref>E368:E371 E373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INDIRECT(SUBSTITUTE(SUBSTITUTE(SUBSTITUTE(SUBSTITUTE(SUBSTITUTE(SUBSTITUTE(K368, " ", ""),[10]Статус!#REF!,""),":",""),"-",""),",",""),"/",""))</xm:f>
          </x14:formula1>
          <xm:sqref>M368:M371 M373</xm:sqref>
        </x14:dataValidation>
        <x14:dataValidation type="list" allowBlank="1" showErrorMessage="1" errorTitle="Требуется выбрать из списка" xr:uid="{00000000-0002-0000-0000-000077000000}">
          <x14:formula1>
            <xm:f>INDIRECT(SUBSTITUTE(SUBSTITUTE(SUBSTITUTE(SUBSTITUTE(SUBSTITUTE(SUBSTITUTE(K361, " ", ""),[64]Статус!#REF!,""),":",""),"-",""),",",""),"/",""))</xm:f>
          </x14:formula1>
          <xm:sqref>M361:M367</xm:sqref>
        </x14:dataValidation>
        <x14:dataValidation type="list" allowBlank="1" showInputMessage="1" showErrorMessage="1" xr:uid="{00000000-0002-0000-0000-000078000000}">
          <x14:formula1>
            <xm:f>[64]списки_не_удалять!#REF!</xm:f>
          </x14:formula1>
          <xm:sqref>E362:E367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INDIRECT(SUBSTITUTE(SUBSTITUTE(SUBSTITUTE(SUBSTITUTE(SUBSTITUTE(SUBSTITUTE(K357, " ", ""),[95]Статус!#REF!,""),":",""),"-",""),",",""),"/",""))</xm:f>
          </x14:formula1>
          <xm:sqref>M357:M360</xm:sqref>
        </x14:dataValidation>
        <x14:dataValidation type="list" allowBlank="1" showInputMessage="1" showErrorMessage="1" xr:uid="{00000000-0002-0000-0000-00007A000000}">
          <x14:formula1>
            <xm:f>[95]списки_не_удалять!#REF!</xm:f>
          </x14:formula1>
          <xm:sqref>E358:E360</xm:sqref>
        </x14:dataValidation>
        <x14:dataValidation type="list" allowBlank="1" showInputMessage="1" showErrorMessage="1" xr:uid="{00000000-0002-0000-0000-00007B000000}">
          <x14:formula1>
            <xm:f>[34]списки_не_удалять!#REF!</xm:f>
          </x14:formula1>
          <xm:sqref>E354:E356</xm:sqref>
        </x14:dataValidation>
        <x14:dataValidation type="list" allowBlank="1" showErrorMessage="1" errorTitle="Требуется выбрать из списка" xr:uid="{00000000-0002-0000-0000-00007C000000}">
          <x14:formula1>
            <xm:f>INDIRECT(SUBSTITUTE(SUBSTITUTE(SUBSTITUTE(SUBSTITUTE(SUBSTITUTE(SUBSTITUTE(K354, " ", ""),[34]Статус!#REF!,""),":",""),"-",""),",",""),"/",""))</xm:f>
          </x14:formula1>
          <xm:sqref>M354:M356</xm:sqref>
        </x14:dataValidation>
        <x14:dataValidation type="list" allowBlank="1" showErrorMessage="1" errorTitle="Требуется выбрать из списка" xr:uid="{00000000-0002-0000-0000-00007D000000}">
          <x14:formula1>
            <xm:f>INDIRECT(SUBSTITUTE(SUBSTITUTE(SUBSTITUTE(SUBSTITUTE(SUBSTITUTE(SUBSTITUTE(K411, " ", ""),[35]Статус!#REF!,""),":",""),"-",""),",",""),"/",""))</xm:f>
          </x14:formula1>
          <xm:sqref>M411:M413 M415</xm:sqref>
        </x14:dataValidation>
        <x14:dataValidation type="list" allowBlank="1" showErrorMessage="1" errorTitle="Требуется выбрать из списка" xr:uid="{00000000-0002-0000-0000-00007E000000}">
          <x14:formula1>
            <xm:f>INDIRECT(SUBSTITUTE(SUBSTITUTE(SUBSTITUTE(SUBSTITUTE(SUBSTITUTE(SUBSTITUTE(K414, " ", ""),[36]Статус!#REF!,""),":",""),"-",""),",",""),"/",""))</xm:f>
          </x14:formula1>
          <xm:sqref>M414</xm:sqref>
        </x14:dataValidation>
        <x14:dataValidation type="list" allowBlank="1" showErrorMessage="1" errorTitle="Требуется выбрать из списка" xr:uid="{00000000-0002-0000-0000-00007F000000}">
          <x14:formula1>
            <xm:f>INDIRECT(SUBSTITUTE(SUBSTITUTE(SUBSTITUTE(SUBSTITUTE(SUBSTITUTE(SUBSTITUTE(K395, " ", ""),[54]Статус!#REF!,""),":",""),"-",""),",",""),"/",""))</xm:f>
          </x14:formula1>
          <xm:sqref>M395:M410 M416:M449</xm:sqref>
        </x14:dataValidation>
        <x14:dataValidation type="list" allowBlank="1" showInputMessage="1" showErrorMessage="1" xr:uid="{00000000-0002-0000-0000-000080000000}">
          <x14:formula1>
            <xm:f>[54]списки_не_удалять!#REF!</xm:f>
          </x14:formula1>
          <xm:sqref>E395:E410 E416:E449</xm:sqref>
        </x14:dataValidation>
        <x14:dataValidation type="list" allowBlank="1" showErrorMessage="1" errorTitle="Требуется выбрать из списка" xr:uid="{00000000-0002-0000-0000-000081000000}">
          <x14:formula1>
            <xm:f>INDIRECT(SUBSTITUTE(SUBSTITUTE(SUBSTITUTE(SUBSTITUTE(SUBSTITUTE(SUBSTITUTE(K472, " ", ""),[77]Статус!#REF!,""),":",""),"-",""),",",""),"/",""))</xm:f>
          </x14:formula1>
          <xm:sqref>M477:M478 M472:M474 M481:M482</xm:sqref>
        </x14:dataValidation>
        <x14:dataValidation type="list" allowBlank="1" showInputMessage="1" showErrorMessage="1" xr:uid="{00000000-0002-0000-0000-000082000000}">
          <x14:formula1>
            <xm:f>[77]списки_не_удалять!#REF!</xm:f>
          </x14:formula1>
          <xm:sqref>E477:E478 E472:E474 E481:E482</xm:sqref>
        </x14:dataValidation>
        <x14:dataValidation type="list" allowBlank="1" showErrorMessage="1" errorTitle="Требуется выбрать из списка" xr:uid="{00000000-0002-0000-0000-000083000000}">
          <x14:formula1>
            <xm:f>INDIRECT(SUBSTITUTE(SUBSTITUTE(SUBSTITUTE(SUBSTITUTE(SUBSTITUTE(SUBSTITUTE(K466, " ", ""),[67]Статус!#REF!,""),":",""),"-",""),",",""),"/",""))</xm:f>
          </x14:formula1>
          <xm:sqref>M466:M471</xm:sqref>
        </x14:dataValidation>
        <x14:dataValidation type="list" allowBlank="1" showInputMessage="1" showErrorMessage="1" xr:uid="{00000000-0002-0000-0000-000084000000}">
          <x14:formula1>
            <xm:f>[67]списки_не_удалять!#REF!</xm:f>
          </x14:formula1>
          <xm:sqref>E466:E471</xm:sqref>
        </x14:dataValidation>
        <x14:dataValidation type="list" allowBlank="1" showInputMessage="1" showErrorMessage="1" xr:uid="{00000000-0002-0000-0000-000085000000}">
          <x14:formula1>
            <xm:f>[41]списки_не_удалять!#REF!</xm:f>
          </x14:formula1>
          <xm:sqref>E465</xm:sqref>
        </x14:dataValidation>
        <x14:dataValidation type="list" allowBlank="1" showErrorMessage="1" errorTitle="Требуется выбрать из списка" xr:uid="{00000000-0002-0000-0000-000086000000}">
          <x14:formula1>
            <xm:f>INDIRECT(SUBSTITUTE(SUBSTITUTE(SUBSTITUTE(SUBSTITUTE(SUBSTITUTE(SUBSTITUTE(K465, " ", ""),[41]Статус!#REF!,""),":",""),"-",""),",",""),"/",""))</xm:f>
          </x14:formula1>
          <xm:sqref>M465</xm:sqref>
        </x14:dataValidation>
        <x14:dataValidation type="list" allowBlank="1" showErrorMessage="1" errorTitle="Требуется выбрать из списка" xr:uid="{00000000-0002-0000-0000-000087000000}">
          <x14:formula1>
            <xm:f>INDIRECT(SUBSTITUTE(SUBSTITUTE(SUBSTITUTE(SUBSTITUTE(SUBSTITUTE(SUBSTITUTE(K452, " ", ""),[21]Статус!#REF!,""),":",""),"-",""),",",""),"/",""))</xm:f>
          </x14:formula1>
          <xm:sqref>M452:M458 M460</xm:sqref>
        </x14:dataValidation>
        <x14:dataValidation type="list" allowBlank="1" showInputMessage="1" showErrorMessage="1" xr:uid="{00000000-0002-0000-0000-000088000000}">
          <x14:formula1>
            <xm:f>[21]списки_не_удалять!#REF!</xm:f>
          </x14:formula1>
          <xm:sqref>E453 E455:E458 E460</xm:sqref>
        </x14:dataValidation>
        <x14:dataValidation type="list" allowBlank="1" showErrorMessage="1" errorTitle="Требуется выбрать из списка" xr:uid="{00000000-0002-0000-0000-000089000000}">
          <x14:formula1>
            <xm:f>INDIRECT(SUBSTITUTE(SUBSTITUTE(SUBSTITUTE(SUBSTITUTE(SUBSTITUTE(SUBSTITUTE(K450, " ", ""),[96]Статус!#REF!,""),":",""),"-",""),",",""),"/",""))</xm:f>
          </x14:formula1>
          <xm:sqref>M450</xm:sqref>
        </x14:dataValidation>
        <x14:dataValidation type="list" allowBlank="1" showInputMessage="1" showErrorMessage="1" xr:uid="{00000000-0002-0000-0000-00008A000000}">
          <x14:formula1>
            <xm:f>[96]списки_не_удалять!#REF!</xm:f>
          </x14:formula1>
          <xm:sqref>E450</xm:sqref>
        </x14:dataValidation>
        <x14:dataValidation type="list" allowBlank="1" showInputMessage="1" showErrorMessage="1" xr:uid="{00000000-0002-0000-0000-00008B000000}">
          <x14:formula1>
            <xm:f>[97]списки_не_удалять!#REF!</xm:f>
          </x14:formula1>
          <xm:sqref>E461:E464 E484:E485</xm:sqref>
        </x14:dataValidation>
        <x14:dataValidation type="list" allowBlank="1" showErrorMessage="1" errorTitle="Требуется выбрать из списка" xr:uid="{00000000-0002-0000-0000-00008C000000}">
          <x14:formula1>
            <xm:f>INDIRECT(SUBSTITUTE(SUBSTITUTE(SUBSTITUTE(SUBSTITUTE(SUBSTITUTE(SUBSTITUTE(K461, " ", ""),[97]Статус!#REF!,""),":",""),"-",""),",",""),"/",""))</xm:f>
          </x14:formula1>
          <xm:sqref>M461:M464 M484:M485</xm:sqref>
        </x14:dataValidation>
        <x14:dataValidation type="list" allowBlank="1" showInputMessage="1" showErrorMessage="1" xr:uid="{00000000-0002-0000-0000-00001F000000}">
          <x14:formula1>
            <xm:f>[2]списки_не_удалять!#REF!</xm:f>
          </x14:formula1>
          <xm:sqref>E68:E74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INDIRECT(SUBSTITUTE(SUBSTITUTE(SUBSTITUTE(SUBSTITUTE(SUBSTITUTE(SUBSTITUTE(K226, " ", ""),[29]Статус!#REF!,""),":",""),"-",""),",",""),"/",""))</xm:f>
          </x14:formula1>
          <xm:sqref>M226:M234</xm:sqref>
        </x14:dataValidation>
        <x14:dataValidation type="list" allowBlank="1" showInputMessage="1" showErrorMessage="1" xr:uid="{00000000-0002-0000-0000-000052000000}">
          <x14:formula1>
            <xm:f>[29]списки_не_удалять!#REF!</xm:f>
          </x14:formula1>
          <xm:sqref>E226:E234</xm:sqref>
        </x14:dataValidation>
        <x14:dataValidation type="list" allowBlank="1" showInputMessage="1" showErrorMessage="1" xr:uid="{00000000-0002-0000-0000-000053000000}">
          <x14:formula1>
            <xm:f>[53]списки_не_удалять!#REF!</xm:f>
          </x14:formula1>
          <xm:sqref>E223:E224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INDIRECT(SUBSTITUTE(SUBSTITUTE(SUBSTITUTE(SUBSTITUTE(SUBSTITUTE(SUBSTITUTE(K223, " ", ""),[53]Статус!#REF!,""),":",""),"-",""),",",""),"/",""))</xm:f>
          </x14:formula1>
          <xm:sqref>M223:M224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INDIRECT(SUBSTITUTE(SUBSTITUTE(SUBSTITUTE(SUBSTITUTE(SUBSTITUTE(SUBSTITUTE(K113, " ", ""),[15]Статус!#REF!,""),":",""),"-",""),",",""),"/",""))</xm:f>
          </x14:formula1>
          <xm:sqref>M113:M114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INDIRECT(SUBSTITUTE(SUBSTITUTE(SUBSTITUTE(SUBSTITUTE(SUBSTITUTE(SUBSTITUTE(K103, " ", ""),[15]Статус!#REF!,""),":",""),"-",""),",",""),"/",""))</xm:f>
          </x14:formula1>
          <xm:sqref>M103:M112</xm:sqref>
        </x14:dataValidation>
        <x14:dataValidation type="list" allowBlank="1" showInputMessage="1" showErrorMessage="1" xr:uid="{00000000-0002-0000-0000-000031000000}">
          <x14:formula1>
            <xm:f>[15]списки_не_удалять!#REF!</xm:f>
          </x14:formula1>
          <xm:sqref>E103:E114</xm:sqref>
        </x14:dataValidation>
        <x14:dataValidation type="list" allowBlank="1" showInputMessage="1" showErrorMessage="1" xr:uid="{00000000-0002-0000-0000-000033000000}">
          <x14:formula1>
            <xm:f>[14]списки_не_удалять!#REF!</xm:f>
          </x14:formula1>
          <xm:sqref>E98:E102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INDIRECT(SUBSTITUTE(SUBSTITUTE(SUBSTITUTE(SUBSTITUTE(SUBSTITUTE(SUBSTITUTE(K98, " ", ""),[14]Статус!#REF!,""),":",""),"-",""),",",""),"/",""))</xm:f>
          </x14:formula1>
          <xm:sqref>M98:M102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INDIRECT(SUBSTITUTE(SUBSTITUTE(SUBSTITUTE(SUBSTITUTE(SUBSTITUTE(SUBSTITUTE(K67, " ", ""),[2]Статус!#REF!,""),":",""),"-",""),",",""),"/",""))</xm:f>
          </x14:formula1>
          <xm:sqref>M67:M74</xm:sqref>
        </x14:dataValidation>
        <x14:dataValidation type="list" allowBlank="1" showInputMessage="1" showErrorMessage="1" xr:uid="{00000000-0002-0000-0000-00002C000000}">
          <x14:formula1>
            <xm:f>[23]списки_не_удалять!#REF!</xm:f>
          </x14:formula1>
          <xm:sqref>E44:E47</xm:sqref>
        </x14:dataValidation>
        <x14:dataValidation type="list" allowBlank="1" showErrorMessage="1" errorTitle="Требуется выбрать из списка" xr:uid="{00000000-0002-0000-0000-00002D000000}">
          <x14:formula1>
            <xm:f>INDIRECT(SUBSTITUTE(SUBSTITUTE(SUBSTITUTE(SUBSTITUTE(SUBSTITUTE(SUBSTITUTE(K44, " ", ""),[23]Статус!#REF!,""),":",""),"-",""),",",""),"/",""))</xm:f>
          </x14:formula1>
          <xm:sqref>M44:M47</xm:sqref>
        </x14:dataValidation>
        <x14:dataValidation type="list" allowBlank="1" showErrorMessage="1" errorTitle="Требуется выбрать из списка" xr:uid="{00000000-0002-0000-0000-000045000000}">
          <x14:formula1>
            <xm:f>INDIRECT(SUBSTITUTE(SUBSTITUTE(SUBSTITUTE(SUBSTITUTE(SUBSTITUTE(SUBSTITUTE(K208, " ", ""),[74]Статус!#REF!,""),":",""),"-",""),",",""),"/",""))</xm:f>
          </x14:formula1>
          <xm:sqref>M208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INDIRECT(SUBSTITUTE(SUBSTITUTE(SUBSTITUTE(SUBSTITUTE(SUBSTITUTE(SUBSTITUTE(K197, " ", ""),[98]Статус!#REF!,""),":",""),"-",""),",",""),"/",""))</xm:f>
          </x14:formula1>
          <xm:sqref>M197:M203</xm:sqref>
        </x14:dataValidation>
        <x14:dataValidation type="list" allowBlank="1" showInputMessage="1" showErrorMessage="1" xr:uid="{00000000-0002-0000-0000-00004A000000}">
          <x14:formula1>
            <xm:f>[98]списки_не_удалять!#REF!</xm:f>
          </x14:formula1>
          <xm:sqref>E197:E203</xm:sqref>
        </x14:dataValidation>
        <x14:dataValidation type="list" allowBlank="1" showErrorMessage="1" errorTitle="Требуется выбрать из списка" xr:uid="{00000000-0002-0000-0000-00003E000000}">
          <x14:formula1>
            <xm:f>INDIRECT(SUBSTITUTE(SUBSTITUTE(SUBSTITUTE(SUBSTITUTE(SUBSTITUTE(SUBSTITUTE(K115, " ", ""),[44]Статус!#REF!,""),":",""),"-",""),",",""),"/",""))</xm:f>
          </x14:formula1>
          <xm:sqref>M115:M188</xm:sqref>
        </x14:dataValidation>
        <x14:dataValidation type="list" allowBlank="1" showInputMessage="1" showErrorMessage="1" xr:uid="{00000000-0002-0000-0000-00003F000000}">
          <x14:formula1>
            <xm:f>[44]списки_не_удалять!#REF!</xm:f>
          </x14:formula1>
          <xm:sqref>E115:E188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/>
  <cols>
    <col min="1" max="1" width="51.85546875" style="26" bestFit="1" customWidth="1"/>
    <col min="2" max="2" width="12.85546875" style="74" bestFit="1" customWidth="1"/>
    <col min="3" max="3" width="21.5703125" customWidth="1"/>
    <col min="4" max="4" width="22.42578125" style="74" bestFit="1" customWidth="1"/>
    <col min="5" max="5" width="9.140625" style="61"/>
    <col min="6" max="6" width="49.7109375" style="31" bestFit="1" customWidth="1"/>
    <col min="7" max="7" width="5.28515625" style="48" customWidth="1"/>
    <col min="8" max="8" width="50" style="26" bestFit="1" customWidth="1"/>
    <col min="9" max="9" width="5.28515625" style="26" bestFit="1" customWidth="1"/>
    <col min="10" max="10" width="9.140625" style="45"/>
    <col min="11" max="11" width="35.85546875" style="26" customWidth="1"/>
    <col min="12" max="12" width="28.5703125" style="26" customWidth="1"/>
    <col min="13" max="13" width="27.5703125" style="26" customWidth="1"/>
    <col min="14" max="14" width="25" style="26" customWidth="1"/>
    <col min="15" max="15" width="33.140625" style="26" customWidth="1"/>
    <col min="16" max="16" width="27.140625" style="26" customWidth="1"/>
    <col min="17" max="17" width="40.28515625" style="26" customWidth="1"/>
    <col min="18" max="16384" width="9.140625" style="26"/>
  </cols>
  <sheetData>
    <row r="1" spans="1:20" ht="102" customHeight="1">
      <c r="A1" s="59" t="s">
        <v>108</v>
      </c>
      <c r="B1" s="60" t="s">
        <v>109</v>
      </c>
      <c r="C1" s="62" t="s">
        <v>173</v>
      </c>
      <c r="D1" s="60" t="s">
        <v>112</v>
      </c>
      <c r="F1" s="34" t="s">
        <v>156</v>
      </c>
      <c r="G1" s="46"/>
      <c r="H1" s="29" t="s">
        <v>171</v>
      </c>
      <c r="I1" s="64" t="s">
        <v>135</v>
      </c>
      <c r="K1" s="58" t="s">
        <v>141</v>
      </c>
      <c r="L1" s="58" t="s">
        <v>137</v>
      </c>
      <c r="M1" s="58" t="s">
        <v>138</v>
      </c>
      <c r="N1" s="58" t="s">
        <v>139</v>
      </c>
      <c r="O1" s="58" t="s">
        <v>125</v>
      </c>
      <c r="P1" s="58" t="s">
        <v>140</v>
      </c>
      <c r="Q1" s="58" t="s">
        <v>169</v>
      </c>
      <c r="R1" s="43"/>
      <c r="S1" s="43"/>
      <c r="T1" s="43"/>
    </row>
    <row r="2" spans="1:20">
      <c r="A2" s="49" t="s">
        <v>113</v>
      </c>
      <c r="B2" s="50" t="s">
        <v>114</v>
      </c>
      <c r="C2" s="63" t="s">
        <v>135</v>
      </c>
      <c r="D2" s="75" t="s">
        <v>115</v>
      </c>
      <c r="F2" s="35" t="s">
        <v>113</v>
      </c>
      <c r="G2" s="47"/>
      <c r="H2" s="28" t="str">
        <f>IF(ISBLANK(F2),"",SUBSTITUTE(SUBSTITUTE(SUBSTITUTE(статус[[#This Row],[статус]],"/","")," ",""),"-",""))</f>
        <v>КсведениюГПЦАОП</v>
      </c>
      <c r="I2" s="27" t="s">
        <v>135</v>
      </c>
      <c r="K2" s="44" t="s">
        <v>119</v>
      </c>
      <c r="L2" s="44" t="s">
        <v>136</v>
      </c>
      <c r="M2" s="44" t="s">
        <v>118</v>
      </c>
      <c r="N2" s="44" t="s">
        <v>129</v>
      </c>
      <c r="O2" s="44" t="s">
        <v>126</v>
      </c>
      <c r="P2" s="44" t="s">
        <v>132</v>
      </c>
      <c r="Q2" s="66" t="s">
        <v>136</v>
      </c>
      <c r="R2" s="43"/>
      <c r="S2" s="43"/>
      <c r="T2" s="43"/>
    </row>
    <row r="3" spans="1:20">
      <c r="A3" s="49" t="s">
        <v>36</v>
      </c>
      <c r="B3" s="50" t="s">
        <v>114</v>
      </c>
      <c r="C3" s="63" t="s">
        <v>135</v>
      </c>
      <c r="D3" s="75" t="s">
        <v>115</v>
      </c>
      <c r="F3" s="35" t="s">
        <v>36</v>
      </c>
      <c r="G3" s="47"/>
      <c r="H3" s="28" t="str">
        <f>IF(ISBLANK(F3),"",SUBSTITUTE(SUBSTITUTE(SUBSTITUTE(статус[[#This Row],[статус]],"/","")," ",""),"-",""))</f>
        <v>Тактикаведения</v>
      </c>
      <c r="I3" s="27"/>
      <c r="K3" s="44" t="s">
        <v>117</v>
      </c>
      <c r="L3" s="44" t="s">
        <v>123</v>
      </c>
      <c r="M3" s="44" t="s">
        <v>130</v>
      </c>
      <c r="N3" s="44" t="s">
        <v>130</v>
      </c>
      <c r="O3" s="44" t="s">
        <v>128</v>
      </c>
      <c r="P3" s="44" t="s">
        <v>133</v>
      </c>
      <c r="Q3" s="66" t="s">
        <v>170</v>
      </c>
      <c r="R3" s="43"/>
      <c r="S3" s="43"/>
      <c r="T3" s="43"/>
    </row>
    <row r="4" spans="1:20">
      <c r="A4" s="49" t="s">
        <v>106</v>
      </c>
      <c r="B4" s="50" t="s">
        <v>172</v>
      </c>
      <c r="C4" s="63" t="s">
        <v>135</v>
      </c>
      <c r="D4" s="75" t="s">
        <v>116</v>
      </c>
      <c r="F4" s="35" t="s">
        <v>106</v>
      </c>
      <c r="G4" s="47"/>
      <c r="H4" s="28" t="str">
        <f>IF(ISBLANK(F4),"",SUBSTITUTE(SUBSTITUTE(SUBSTITUTE(статус[[#This Row],[статус]],"/","")," ",""),"-",""))</f>
        <v>ВозвратвМОбезприема</v>
      </c>
      <c r="I4" s="27"/>
      <c r="K4" s="44" t="s">
        <v>120</v>
      </c>
      <c r="L4" s="44" t="s">
        <v>124</v>
      </c>
      <c r="M4" s="44" t="s">
        <v>154</v>
      </c>
      <c r="N4" s="44"/>
      <c r="O4" s="44" t="s">
        <v>189</v>
      </c>
      <c r="P4" s="44" t="s">
        <v>153</v>
      </c>
      <c r="Q4" s="66"/>
      <c r="R4" s="43"/>
      <c r="S4" s="43"/>
      <c r="T4" s="43"/>
    </row>
    <row r="5" spans="1:20">
      <c r="A5" s="49" t="s">
        <v>33</v>
      </c>
      <c r="B5" s="50" t="s">
        <v>114</v>
      </c>
      <c r="C5" s="63" t="s">
        <v>135</v>
      </c>
      <c r="D5" s="50" t="s">
        <v>115</v>
      </c>
      <c r="F5" s="35" t="s">
        <v>33</v>
      </c>
      <c r="G5" s="47"/>
      <c r="H5" s="28" t="str">
        <f>IF(ISBLANK(F5),"",SUBSTITUTE(SUBSTITUTE(SUBSTITUTE(статус[[#This Row],[статус]],"/","")," ",""),"-",""))</f>
        <v>Некорректноеобращениеспациентом</v>
      </c>
      <c r="I5" s="27"/>
      <c r="K5" s="44" t="s">
        <v>118</v>
      </c>
      <c r="L5" s="44"/>
      <c r="M5" s="44" t="s">
        <v>117</v>
      </c>
      <c r="N5" s="44"/>
      <c r="O5" s="44" t="s">
        <v>127</v>
      </c>
      <c r="P5" s="44" t="s">
        <v>134</v>
      </c>
      <c r="Q5" s="66"/>
      <c r="R5" s="43"/>
      <c r="S5" s="43"/>
      <c r="T5" s="43"/>
    </row>
    <row r="6" spans="1:20">
      <c r="A6" s="49" t="s">
        <v>121</v>
      </c>
      <c r="B6" s="50" t="s">
        <v>114</v>
      </c>
      <c r="C6" s="63" t="s">
        <v>135</v>
      </c>
      <c r="D6" s="75" t="s">
        <v>116</v>
      </c>
      <c r="F6" s="35" t="s">
        <v>121</v>
      </c>
      <c r="G6" s="47"/>
      <c r="H6" s="28" t="str">
        <f>IF(ISBLANK(F6),"",SUBSTITUTE(SUBSTITUTE(SUBSTITUTE(статус[[#This Row],[статус]],"/","")," ",""),"-",""))</f>
        <v>ПаллиативПатронаж</v>
      </c>
      <c r="I6" s="27"/>
      <c r="K6" s="44"/>
      <c r="L6" s="44"/>
      <c r="M6" s="44" t="s">
        <v>133</v>
      </c>
      <c r="N6" s="44"/>
      <c r="O6" s="44" t="s">
        <v>188</v>
      </c>
      <c r="P6" s="44" t="s">
        <v>154</v>
      </c>
      <c r="Q6" s="66"/>
      <c r="R6" s="43"/>
      <c r="S6" s="43"/>
      <c r="T6" s="43"/>
    </row>
    <row r="7" spans="1:20" s="73" customFormat="1">
      <c r="A7" s="51" t="s">
        <v>6</v>
      </c>
      <c r="B7" s="50" t="s">
        <v>114</v>
      </c>
      <c r="C7" s="63" t="s">
        <v>135</v>
      </c>
      <c r="D7" s="50" t="s">
        <v>116</v>
      </c>
      <c r="E7" s="67"/>
      <c r="F7" s="68" t="s">
        <v>6</v>
      </c>
      <c r="G7" s="69"/>
      <c r="H7" s="70" t="str">
        <f>IF(ISBLANK(F7),"",SUBSTITUTE(SUBSTITUTE(SUBSTITUTE(статус[[#This Row],[статус]],"/","")," ",""),"-",""))</f>
        <v>Недозвонилисьвтечение2хдней</v>
      </c>
      <c r="I7" s="71"/>
      <c r="J7" s="72"/>
      <c r="K7" s="44"/>
      <c r="L7" s="44"/>
      <c r="M7" s="44" t="s">
        <v>119</v>
      </c>
      <c r="N7" s="44"/>
      <c r="O7" s="44"/>
      <c r="P7" s="44" t="s">
        <v>152</v>
      </c>
      <c r="Q7" s="44"/>
      <c r="R7" s="44"/>
      <c r="S7" s="44"/>
      <c r="T7" s="44"/>
    </row>
    <row r="8" spans="1:20">
      <c r="A8" s="49" t="s">
        <v>2</v>
      </c>
      <c r="B8" s="50" t="s">
        <v>114</v>
      </c>
      <c r="C8" s="63" t="s">
        <v>135</v>
      </c>
      <c r="D8" s="75" t="s">
        <v>116</v>
      </c>
      <c r="F8" s="35" t="s">
        <v>2</v>
      </c>
      <c r="G8" s="47"/>
      <c r="H8" s="28" t="str">
        <f>IF(ISBLANK(F8),"",SUBSTITUTE(SUBSTITUTE(SUBSTITUTE(статус[[#This Row],[статус]],"/","")," ",""),"-",""))</f>
        <v>Статусдиагноза</v>
      </c>
      <c r="I8" s="27"/>
      <c r="K8" s="66"/>
      <c r="L8" s="66"/>
      <c r="M8" s="43"/>
      <c r="N8" s="66"/>
      <c r="O8" s="66"/>
      <c r="P8" s="66"/>
      <c r="Q8" s="66"/>
      <c r="R8" s="43"/>
      <c r="S8" s="43"/>
      <c r="T8" s="43"/>
    </row>
    <row r="9" spans="1:20">
      <c r="A9" s="49" t="s">
        <v>122</v>
      </c>
      <c r="B9" s="50" t="s">
        <v>114</v>
      </c>
      <c r="C9" s="63" t="s">
        <v>135</v>
      </c>
      <c r="D9" s="75" t="s">
        <v>116</v>
      </c>
      <c r="F9" s="35" t="s">
        <v>122</v>
      </c>
      <c r="G9" s="47"/>
      <c r="H9" s="28" t="str">
        <f>IF(ISBLANK(F9),"",SUBSTITUTE(SUBSTITUTE(SUBSTITUTE(статус[[#This Row],[статус]],"/","")," ",""),"-",""))</f>
        <v>КАНЦЕРрегистр</v>
      </c>
      <c r="I9" s="27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49" t="s">
        <v>110</v>
      </c>
      <c r="B10" s="50" t="s">
        <v>172</v>
      </c>
      <c r="C10" s="63" t="s">
        <v>135</v>
      </c>
      <c r="D10" s="75" t="s">
        <v>116</v>
      </c>
      <c r="F10" s="35" t="s">
        <v>110</v>
      </c>
      <c r="G10" s="47"/>
      <c r="H10" s="28" t="str">
        <f>IF(ISBLANK(F10),"",SUBSTITUTE(SUBSTITUTE(SUBSTITUTE(статус[[#This Row],[статус]],"/","")," ",""),"-",""))</f>
        <v>Данныеобиопсии</v>
      </c>
      <c r="I10" s="27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>
      <c r="A11" s="49" t="s">
        <v>125</v>
      </c>
      <c r="B11" s="50" t="s">
        <v>172</v>
      </c>
      <c r="C11" s="50" t="s">
        <v>127</v>
      </c>
      <c r="D11" s="50" t="s">
        <v>115</v>
      </c>
      <c r="F11" s="35" t="s">
        <v>125</v>
      </c>
      <c r="G11" s="47"/>
      <c r="H11" s="28" t="str">
        <f>IF(ISBLANK(F11),"",SUBSTITUTE(SUBSTITUTE(SUBSTITUTE(статус[[#This Row],[статус]],"/","")," ",""),"-",""))</f>
        <v>Отсутствуетпротокол</v>
      </c>
      <c r="I11" s="27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>
      <c r="A12" s="49" t="s">
        <v>85</v>
      </c>
      <c r="B12" s="50" t="s">
        <v>172</v>
      </c>
      <c r="C12" s="63" t="s">
        <v>135</v>
      </c>
      <c r="D12" s="75" t="s">
        <v>116</v>
      </c>
      <c r="F12" s="35" t="s">
        <v>85</v>
      </c>
      <c r="G12" s="47"/>
      <c r="H12" s="28" t="str">
        <f>IF(ISBLANK(F12),"",SUBSTITUTE(SUBSTITUTE(SUBSTITUTE(статус[[#This Row],[статус]],"/","")," ",""),"-",""))</f>
        <v>Отказотзаписи</v>
      </c>
      <c r="I12" s="27"/>
      <c r="K12" s="43"/>
      <c r="L12" s="43"/>
      <c r="M12" s="45"/>
      <c r="N12" s="43"/>
      <c r="O12" s="43"/>
      <c r="P12" s="43"/>
      <c r="Q12" s="43"/>
      <c r="R12" s="43"/>
      <c r="S12" s="43"/>
      <c r="T12" s="43"/>
    </row>
    <row r="13" spans="1:20" s="57" customFormat="1">
      <c r="A13" s="52" t="s">
        <v>149</v>
      </c>
      <c r="B13" s="50" t="s">
        <v>114</v>
      </c>
      <c r="C13" s="63" t="s">
        <v>135</v>
      </c>
      <c r="D13" s="75" t="s">
        <v>116</v>
      </c>
      <c r="E13" s="53"/>
      <c r="F13" s="28" t="s">
        <v>149</v>
      </c>
      <c r="G13" s="54"/>
      <c r="H13" s="28" t="str">
        <f>IF(ISBLANK(F13),"",SUBSTITUTE(SUBSTITUTE(SUBSTITUTE(статус[[#This Row],[статус]],"/","")," ",""),"-",""))</f>
        <v>Отказотсопровожденияперсональнымпомощником</v>
      </c>
      <c r="I13" s="55"/>
      <c r="J13" s="53"/>
      <c r="K13" s="56"/>
      <c r="L13" s="56"/>
      <c r="M13" s="45"/>
      <c r="N13" s="56"/>
      <c r="O13" s="56"/>
      <c r="P13" s="56"/>
      <c r="Q13" s="56"/>
      <c r="R13" s="56"/>
      <c r="S13" s="56"/>
      <c r="T13" s="56"/>
    </row>
    <row r="14" spans="1:20">
      <c r="A14" s="49" t="s">
        <v>131</v>
      </c>
      <c r="B14" s="50" t="s">
        <v>114</v>
      </c>
      <c r="C14" s="63" t="s">
        <v>135</v>
      </c>
      <c r="D14" s="75" t="s">
        <v>116</v>
      </c>
      <c r="F14" s="35" t="s">
        <v>131</v>
      </c>
      <c r="G14" s="47"/>
      <c r="H14" s="28" t="str">
        <f>IF(ISBLANK(F14),"",SUBSTITUTE(SUBSTITUTE(SUBSTITUTE(статус[[#This Row],[статус]],"/","")," ",""),"-",""))</f>
        <v>Отказвприеме</v>
      </c>
      <c r="I14" s="27"/>
      <c r="K14" s="43"/>
      <c r="L14" s="43"/>
      <c r="M14" s="45"/>
      <c r="N14" s="43"/>
      <c r="O14" s="43"/>
      <c r="P14" s="43"/>
      <c r="Q14" s="43"/>
      <c r="R14" s="43"/>
      <c r="S14" s="43"/>
      <c r="T14" s="43"/>
    </row>
    <row r="15" spans="1:20">
      <c r="A15" s="49" t="s">
        <v>32</v>
      </c>
      <c r="B15" s="50" t="s">
        <v>114</v>
      </c>
      <c r="C15" s="63" t="s">
        <v>135</v>
      </c>
      <c r="D15" s="75" t="s">
        <v>116</v>
      </c>
      <c r="F15" s="35" t="s">
        <v>32</v>
      </c>
      <c r="G15" s="47"/>
      <c r="H15" s="28" t="str">
        <f>IF(ISBLANK(F15),"",SUBSTITUTE(SUBSTITUTE(SUBSTITUTE(статус[[#This Row],[статус]],"/","")," ",""),"-",""))</f>
        <v>Нарушениемаршрутизации</v>
      </c>
      <c r="I15" s="27"/>
      <c r="K15" s="43"/>
      <c r="L15" s="43"/>
      <c r="M15" s="45"/>
      <c r="N15" s="43"/>
      <c r="O15" s="43"/>
      <c r="P15" s="43"/>
      <c r="Q15" s="43"/>
      <c r="R15" s="43"/>
      <c r="S15" s="43"/>
      <c r="T15" s="43"/>
    </row>
    <row r="16" spans="1:20">
      <c r="A16" s="49" t="s">
        <v>111</v>
      </c>
      <c r="B16" s="50" t="s">
        <v>172</v>
      </c>
      <c r="C16" s="63" t="s">
        <v>135</v>
      </c>
      <c r="D16" s="75" t="s">
        <v>116</v>
      </c>
      <c r="F16" s="35" t="s">
        <v>111</v>
      </c>
      <c r="G16" s="47"/>
      <c r="H16" s="28" t="str">
        <f>IF(ISBLANK(F16),"",SUBSTITUTE(SUBSTITUTE(SUBSTITUTE(статус[[#This Row],[статус]],"/","")," ",""),"-",""))</f>
        <v>Датазаписи</v>
      </c>
      <c r="I16" s="27"/>
      <c r="K16" s="43"/>
      <c r="L16" s="43"/>
      <c r="M16" s="45"/>
      <c r="N16" s="43"/>
      <c r="O16" s="43"/>
      <c r="P16" s="43"/>
      <c r="Q16" s="43"/>
      <c r="R16" s="43"/>
      <c r="S16" s="43"/>
      <c r="T16" s="43"/>
    </row>
    <row r="17" spans="1:20">
      <c r="A17" s="49" t="s">
        <v>1</v>
      </c>
      <c r="B17" s="50" t="s">
        <v>172</v>
      </c>
      <c r="C17" s="63" t="s">
        <v>135</v>
      </c>
      <c r="D17" s="75" t="s">
        <v>116</v>
      </c>
      <c r="F17" s="35" t="s">
        <v>1</v>
      </c>
      <c r="H17" s="28" t="str">
        <f>IF(ISBLANK(F17),"",SUBSTITUTE(SUBSTITUTE(SUBSTITUTE(статус[[#This Row],[статус]],"/","")," ",""),"-",""))</f>
        <v>Превышенсрок</v>
      </c>
      <c r="I17" s="27"/>
      <c r="K17" s="43"/>
      <c r="L17" s="43"/>
      <c r="M17" s="45"/>
      <c r="N17" s="43"/>
      <c r="O17" s="43"/>
      <c r="P17" s="43"/>
      <c r="Q17" s="43"/>
      <c r="R17" s="43"/>
      <c r="S17" s="43"/>
      <c r="T17" s="43"/>
    </row>
    <row r="18" spans="1:20">
      <c r="A18" s="49" t="s">
        <v>155</v>
      </c>
      <c r="B18" s="50" t="s">
        <v>114</v>
      </c>
      <c r="C18" s="63" t="s">
        <v>135</v>
      </c>
      <c r="D18" s="75" t="s">
        <v>116</v>
      </c>
      <c r="F18" s="36" t="s">
        <v>155</v>
      </c>
      <c r="H18" s="37" t="str">
        <f>IF(ISBLANK(F18),"",SUBSTITUTE(SUBSTITUTE(SUBSTITUTE(статус[[#This Row],[статус]],"/","")," ",""),"-",""))</f>
        <v>Цельприема</v>
      </c>
      <c r="I18" s="38"/>
      <c r="K18" s="43"/>
      <c r="L18" s="43"/>
      <c r="M18" s="45"/>
      <c r="N18" s="43"/>
      <c r="O18" s="43"/>
      <c r="P18" s="43"/>
      <c r="Q18" s="43"/>
      <c r="R18" s="43"/>
      <c r="S18" s="43"/>
      <c r="T18" s="43"/>
    </row>
    <row r="19" spans="1:20">
      <c r="A19" s="49" t="s">
        <v>154</v>
      </c>
      <c r="B19" s="50" t="s">
        <v>172</v>
      </c>
      <c r="C19" s="63" t="s">
        <v>136</v>
      </c>
      <c r="D19" s="75" t="s">
        <v>115</v>
      </c>
      <c r="F19" s="41" t="s">
        <v>154</v>
      </c>
      <c r="H19" s="39" t="str">
        <f>IF(ISBLANK(F19),"",SUBSTITUTE(SUBSTITUTE(SUBSTITUTE(статус[[#This Row],[статус]],"/","")," ",""),"-",""))</f>
        <v>Онкологическийконсилиум</v>
      </c>
      <c r="I19" s="40"/>
      <c r="K19" s="43"/>
      <c r="L19" s="45"/>
      <c r="M19" s="45"/>
      <c r="N19" s="45"/>
      <c r="O19" s="43"/>
      <c r="P19" s="43"/>
      <c r="Q19" s="43"/>
      <c r="R19" s="43"/>
      <c r="S19" s="43"/>
      <c r="T19" s="43"/>
    </row>
    <row r="20" spans="1:20">
      <c r="A20" s="95" t="s">
        <v>175</v>
      </c>
      <c r="B20" s="50" t="s">
        <v>114</v>
      </c>
      <c r="C20" s="63" t="s">
        <v>135</v>
      </c>
      <c r="D20" s="75" t="s">
        <v>115</v>
      </c>
      <c r="F20" s="76" t="s">
        <v>175</v>
      </c>
      <c r="H20" s="28" t="str">
        <f>IF(ISBLANK(F20),"",SUBSTITUTE(SUBSTITUTE(SUBSTITUTE(статус[[#This Row],[статус]],"/","")," ",""),"-",""))</f>
        <v>Динамикасостояния</v>
      </c>
      <c r="I20" s="27"/>
      <c r="K20" s="43"/>
      <c r="L20" s="45"/>
      <c r="M20" s="45"/>
      <c r="N20" s="45"/>
      <c r="O20" s="43"/>
      <c r="P20" s="43"/>
      <c r="Q20" s="43"/>
      <c r="R20" s="43"/>
      <c r="S20" s="43"/>
      <c r="T20" s="43"/>
    </row>
    <row r="21" spans="1:20">
      <c r="A21" s="95" t="s">
        <v>177</v>
      </c>
      <c r="B21" s="50" t="s">
        <v>114</v>
      </c>
      <c r="C21" s="63" t="s">
        <v>135</v>
      </c>
      <c r="D21" s="75" t="s">
        <v>115</v>
      </c>
      <c r="F21" s="35" t="s">
        <v>177</v>
      </c>
      <c r="H21" s="28" t="str">
        <f>IF(ISBLANK(F21),"",SUBSTITUTE(SUBSTITUTE(SUBSTITUTE(статус[[#This Row],[статус]],"/","")," ",""),"-",""))</f>
        <v>Принятбеззаписи</v>
      </c>
      <c r="I21" s="27"/>
      <c r="K21" s="43"/>
      <c r="L21" s="45"/>
      <c r="M21" s="45"/>
      <c r="N21" s="45"/>
      <c r="O21" s="43"/>
      <c r="P21" s="43"/>
      <c r="Q21" s="43"/>
      <c r="R21" s="43"/>
      <c r="S21" s="43"/>
      <c r="T21" s="43"/>
    </row>
    <row r="22" spans="1:20">
      <c r="A22" s="95" t="s">
        <v>186</v>
      </c>
      <c r="B22" s="50" t="s">
        <v>114</v>
      </c>
      <c r="C22" s="63" t="s">
        <v>135</v>
      </c>
      <c r="D22" s="75" t="s">
        <v>115</v>
      </c>
      <c r="F22" s="94" t="s">
        <v>186</v>
      </c>
      <c r="G22" s="47"/>
      <c r="H22" s="28" t="str">
        <f>IF(ISBLANK(F22),"",SUBSTITUTE(SUBSTITUTE(SUBSTITUTE(статус[[#This Row],[статус]],"/","")," ",""),"-",""))</f>
        <v>Клиникаженскогоздоровья</v>
      </c>
      <c r="I22" s="27"/>
      <c r="K22" s="43"/>
      <c r="L22" s="45"/>
      <c r="M22" s="45"/>
      <c r="N22" s="45"/>
      <c r="O22" s="43"/>
      <c r="P22" s="43"/>
      <c r="Q22" s="43"/>
      <c r="R22" s="43"/>
      <c r="S22" s="43"/>
      <c r="T22" s="43"/>
    </row>
    <row r="23" spans="1:20">
      <c r="F23" s="30"/>
      <c r="G23" s="47"/>
      <c r="H23" s="28" t="str">
        <f>IF(ISBLANK(F23),"",SUBSTITUTE(SUBSTITUTE(SUBSTITUTE(статус[[#This Row],[статус]],"/","")," ",""),"-",""))</f>
        <v/>
      </c>
      <c r="I23" s="27"/>
      <c r="K23" s="43"/>
      <c r="L23" s="45"/>
      <c r="M23" s="45"/>
      <c r="N23" s="45"/>
      <c r="O23" s="43"/>
      <c r="P23" s="43"/>
      <c r="Q23" s="43"/>
      <c r="R23" s="43"/>
      <c r="S23" s="43"/>
      <c r="T23" s="43"/>
    </row>
    <row r="24" spans="1:20">
      <c r="F24" s="30"/>
      <c r="G24" s="47"/>
      <c r="H24" s="28" t="str">
        <f>IF(ISBLANK(F24),"",SUBSTITUTE(SUBSTITUTE(SUBSTITUTE(статус[[#This Row],[статус]],"/","")," ",""),"-",""))</f>
        <v/>
      </c>
      <c r="I24" s="27"/>
      <c r="K24" s="43"/>
      <c r="L24" s="45"/>
      <c r="M24" s="45"/>
      <c r="N24" s="45"/>
      <c r="O24" s="43"/>
      <c r="P24" s="43"/>
      <c r="Q24" s="43"/>
      <c r="R24" s="43"/>
      <c r="S24" s="43"/>
      <c r="T24" s="43"/>
    </row>
    <row r="25" spans="1:20">
      <c r="F25" s="30"/>
      <c r="G25" s="47"/>
      <c r="H25" s="28" t="str">
        <f>IF(ISBLANK(F25),"",SUBSTITUTE(SUBSTITUTE(SUBSTITUTE(статус[[#This Row],[статус]],"/","")," ",""),"-",""))</f>
        <v/>
      </c>
      <c r="I25" s="27"/>
      <c r="K25" s="43"/>
      <c r="L25" s="45"/>
      <c r="M25" s="45"/>
      <c r="N25" s="45"/>
      <c r="O25" s="43"/>
      <c r="P25" s="43"/>
      <c r="Q25" s="43"/>
      <c r="R25" s="43"/>
      <c r="S25" s="43"/>
      <c r="T25" s="43"/>
    </row>
    <row r="26" spans="1:20">
      <c r="F26" s="30"/>
      <c r="G26" s="47"/>
      <c r="H26" s="28" t="str">
        <f>IF(ISBLANK(F26),"",SUBSTITUTE(SUBSTITUTE(SUBSTITUTE(статус[[#This Row],[статус]],"/","")," ",""),"-",""))</f>
        <v/>
      </c>
      <c r="I26" s="27"/>
      <c r="K26" s="43"/>
      <c r="L26" s="45"/>
      <c r="M26" s="45"/>
      <c r="N26" s="45"/>
      <c r="O26" s="43"/>
      <c r="P26" s="43"/>
      <c r="Q26" s="43"/>
      <c r="R26" s="43"/>
      <c r="S26" s="43"/>
      <c r="T26" s="43"/>
    </row>
    <row r="27" spans="1:20">
      <c r="F27" s="30"/>
      <c r="G27" s="47"/>
      <c r="H27" s="28" t="str">
        <f>IF(ISBLANK(F27),"",SUBSTITUTE(SUBSTITUTE(SUBSTITUTE(статус[[#This Row],[статус]],"/","")," ",""),"-",""))</f>
        <v/>
      </c>
      <c r="I27" s="27"/>
      <c r="K27" s="43"/>
      <c r="L27" s="45"/>
      <c r="M27" s="45"/>
      <c r="N27" s="45"/>
      <c r="O27" s="43"/>
      <c r="P27" s="43"/>
      <c r="Q27" s="43"/>
      <c r="R27" s="43"/>
      <c r="S27" s="43"/>
      <c r="T27" s="43"/>
    </row>
    <row r="28" spans="1:20">
      <c r="F28" s="30"/>
      <c r="G28" s="47"/>
      <c r="H28" s="28" t="str">
        <f>IF(ISBLANK(F28),"",SUBSTITUTE(SUBSTITUTE(SUBSTITUTE(статус[[#This Row],[статус]],"/","")," ",""),"-",""))</f>
        <v/>
      </c>
      <c r="I28" s="27"/>
      <c r="K28" s="43"/>
      <c r="L28" s="45"/>
      <c r="M28" s="45"/>
      <c r="N28" s="45"/>
      <c r="O28" s="43"/>
      <c r="P28" s="43"/>
      <c r="Q28" s="43"/>
      <c r="R28" s="43"/>
      <c r="S28" s="43"/>
      <c r="T28" s="43"/>
    </row>
    <row r="29" spans="1:20">
      <c r="F29" s="30"/>
      <c r="G29" s="47"/>
      <c r="H29" s="28" t="str">
        <f>IF(ISBLANK(F29),"",SUBSTITUTE(SUBSTITUTE(SUBSTITUTE(статус[[#This Row],[статус]],"/","")," ",""),"-",""))</f>
        <v/>
      </c>
      <c r="I29" s="27"/>
      <c r="K29" s="43"/>
      <c r="L29" s="45"/>
      <c r="M29" s="45"/>
      <c r="N29" s="45"/>
      <c r="O29" s="43"/>
      <c r="P29" s="43"/>
      <c r="Q29" s="43"/>
      <c r="R29" s="43"/>
      <c r="S29" s="43"/>
      <c r="T29" s="43"/>
    </row>
    <row r="30" spans="1:20">
      <c r="F30" s="30"/>
      <c r="G30" s="47"/>
      <c r="H30" s="28" t="str">
        <f>IF(ISBLANK(F30),"",SUBSTITUTE(SUBSTITUTE(SUBSTITUTE(статус[[#This Row],[статус]],"/","")," ",""),"-",""))</f>
        <v/>
      </c>
      <c r="I30" s="27"/>
      <c r="K30" s="43"/>
      <c r="L30" s="45"/>
      <c r="M30" s="45"/>
      <c r="N30" s="45"/>
      <c r="O30" s="43"/>
      <c r="P30" s="43"/>
      <c r="Q30" s="43"/>
      <c r="R30" s="43"/>
      <c r="S30" s="43"/>
      <c r="T30" s="43"/>
    </row>
    <row r="31" spans="1:20">
      <c r="F31" s="30"/>
      <c r="G31" s="47"/>
      <c r="H31" s="28" t="str">
        <f>IF(ISBLANK(F31),"",SUBSTITUTE(SUBSTITUTE(SUBSTITUTE(статус[[#This Row],[статус]],"/","")," ",""),"-",""))</f>
        <v/>
      </c>
      <c r="I31" s="27"/>
      <c r="K31" s="43"/>
      <c r="L31" s="45"/>
      <c r="M31" s="43"/>
      <c r="N31" s="45"/>
      <c r="O31" s="43"/>
      <c r="P31" s="43"/>
      <c r="Q31" s="43"/>
      <c r="R31" s="43"/>
      <c r="S31" s="43"/>
      <c r="T31" s="43"/>
    </row>
    <row r="32" spans="1:20">
      <c r="A32" s="74"/>
      <c r="F32" s="30"/>
      <c r="G32" s="47"/>
      <c r="H32" s="28" t="str">
        <f>IF(ISBLANK(F32),"",SUBSTITUTE(SUBSTITUTE(SUBSTITUTE(статус[[#This Row],[статус]],"/","")," ",""),"-",""))</f>
        <v/>
      </c>
      <c r="I32" s="27"/>
      <c r="K32" s="43"/>
      <c r="L32" s="45"/>
      <c r="M32" s="43"/>
      <c r="N32" s="45"/>
      <c r="O32" s="43"/>
      <c r="P32" s="43"/>
      <c r="Q32" s="43"/>
      <c r="R32" s="43"/>
      <c r="S32" s="43"/>
      <c r="T32" s="43"/>
    </row>
    <row r="33" spans="6:20">
      <c r="F33" s="30"/>
      <c r="G33" s="47"/>
      <c r="H33" s="28" t="str">
        <f>IF(ISBLANK(F33),"",SUBSTITUTE(SUBSTITUTE(SUBSTITUTE(статус[[#This Row],[статус]],"/","")," ",""),"-",""))</f>
        <v/>
      </c>
      <c r="I33" s="27"/>
      <c r="K33" s="43"/>
      <c r="L33" s="45"/>
      <c r="M33" s="43"/>
      <c r="N33" s="45"/>
      <c r="O33" s="43"/>
      <c r="P33" s="43"/>
      <c r="Q33" s="43"/>
      <c r="R33" s="43"/>
      <c r="S33" s="43"/>
      <c r="T33" s="43"/>
    </row>
    <row r="34" spans="6:20">
      <c r="F34" s="30"/>
      <c r="G34" s="47"/>
      <c r="H34" s="28" t="str">
        <f>IF(ISBLANK(F34),"",SUBSTITUTE(SUBSTITUTE(SUBSTITUTE(статус[[#This Row],[статус]],"/","")," ",""),"-",""))</f>
        <v/>
      </c>
      <c r="I34" s="27"/>
      <c r="K34" s="43"/>
      <c r="L34" s="45"/>
      <c r="M34" s="43"/>
      <c r="N34" s="45"/>
      <c r="O34" s="43"/>
      <c r="P34" s="43"/>
      <c r="Q34" s="43"/>
      <c r="R34" s="43"/>
      <c r="S34" s="43"/>
      <c r="T34" s="43"/>
    </row>
    <row r="35" spans="6:20">
      <c r="F35" s="30"/>
      <c r="G35" s="47"/>
      <c r="H35" s="28" t="str">
        <f>IF(ISBLANK(F35),"",SUBSTITUTE(SUBSTITUTE(SUBSTITUTE(статус[[#This Row],[статус]],"/","")," ",""),"-",""))</f>
        <v/>
      </c>
      <c r="I35" s="27"/>
      <c r="K35" s="43"/>
      <c r="L35" s="45"/>
      <c r="M35" s="43"/>
      <c r="N35" s="45"/>
      <c r="O35" s="43"/>
      <c r="P35" s="43"/>
      <c r="Q35" s="43"/>
      <c r="R35" s="43"/>
      <c r="S35" s="43"/>
      <c r="T35" s="43"/>
    </row>
    <row r="36" spans="6:20">
      <c r="F36" s="30"/>
      <c r="G36" s="47"/>
      <c r="H36" s="28" t="str">
        <f>IF(ISBLANK(F36),"",SUBSTITUTE(SUBSTITUTE(SUBSTITUTE(статус[[#This Row],[статус]],"/","")," ",""),"-",""))</f>
        <v/>
      </c>
      <c r="I36" s="27"/>
      <c r="K36" s="43"/>
      <c r="L36" s="45"/>
      <c r="M36" s="43"/>
      <c r="N36" s="45"/>
      <c r="O36" s="43"/>
      <c r="P36" s="43"/>
      <c r="Q36" s="43"/>
      <c r="R36" s="43"/>
      <c r="S36" s="43"/>
      <c r="T36" s="43"/>
    </row>
    <row r="37" spans="6:20">
      <c r="F37" s="30"/>
      <c r="G37" s="47"/>
      <c r="H37" s="28" t="str">
        <f>IF(ISBLANK(F37),"",SUBSTITUTE(SUBSTITUTE(SUBSTITUTE(статус[[#This Row],[статус]],"/","")," ",""),"-",""))</f>
        <v/>
      </c>
      <c r="I37" s="27"/>
      <c r="K37" s="43"/>
      <c r="L37" s="45"/>
      <c r="M37" s="43"/>
      <c r="N37" s="45"/>
      <c r="O37" s="43"/>
      <c r="P37" s="43"/>
      <c r="Q37" s="43"/>
      <c r="R37" s="43"/>
      <c r="S37" s="43"/>
      <c r="T37" s="43"/>
    </row>
    <row r="38" spans="6:20">
      <c r="F38" s="30"/>
      <c r="G38" s="47"/>
      <c r="H38" s="28" t="str">
        <f>IF(ISBLANK(F38),"",SUBSTITUTE(SUBSTITUTE(SUBSTITUTE(статус[[#This Row],[статус]],"/","")," ",""),"-",""))</f>
        <v/>
      </c>
      <c r="I38" s="27"/>
      <c r="K38" s="43"/>
      <c r="L38" s="43"/>
      <c r="M38" s="43"/>
      <c r="N38" s="43"/>
      <c r="O38" s="43"/>
      <c r="P38" s="43"/>
      <c r="Q38" s="43"/>
      <c r="R38" s="43"/>
      <c r="S38" s="43"/>
      <c r="T38" s="43"/>
    </row>
    <row r="39" spans="6:20">
      <c r="F39" s="32"/>
      <c r="H39" s="28" t="str">
        <f>IF(ISBLANK(F39),"",SUBSTITUTE(SUBSTITUTE(SUBSTITUTE(статус[[#This Row],[статус]],"/","")," ",""),"-",""))</f>
        <v/>
      </c>
      <c r="I39" s="27"/>
      <c r="K39" s="43"/>
      <c r="L39" s="43"/>
      <c r="M39" s="43"/>
      <c r="N39" s="43"/>
      <c r="O39" s="43"/>
      <c r="P39" s="43"/>
      <c r="Q39" s="43"/>
      <c r="R39" s="43"/>
      <c r="S39" s="43"/>
      <c r="T39" s="43"/>
    </row>
    <row r="40" spans="6:20">
      <c r="F40" s="33"/>
      <c r="H40" s="42" t="str">
        <f>IF(ISBLANK(F40),"",SUBSTITUTE(SUBSTITUTE(SUBSTITUTE(статус[[#This Row],[статус]],"/","")," ",""),"-",""))</f>
        <v/>
      </c>
      <c r="I40" s="27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6:20">
      <c r="H41" s="42" t="str">
        <f>IF(ISBLANK(F41),"",SUBSTITUTE(SUBSTITUTE(SUBSTITUTE(статус[[#This Row],[статус]],"/","")," ",""),"-",""))</f>
        <v/>
      </c>
      <c r="I41" s="27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6:20">
      <c r="H42" s="42" t="str">
        <f>IF(ISBLANK(F42),"",SUBSTITUTE(SUBSTITUTE(SUBSTITUTE(статус[[#This Row],[статус]],"/","")," ",""),"-",""))</f>
        <v/>
      </c>
      <c r="I42" s="27"/>
      <c r="K42" s="43"/>
      <c r="L42" s="43"/>
      <c r="M42" s="43"/>
      <c r="N42" s="43"/>
      <c r="O42" s="43"/>
      <c r="P42" s="43"/>
      <c r="Q42" s="43"/>
      <c r="R42" s="43"/>
      <c r="S42" s="43"/>
      <c r="T42" s="43"/>
    </row>
    <row r="43" spans="6:20">
      <c r="H43" s="42" t="str">
        <f>IF(ISBLANK(F43),"",SUBSTITUTE(SUBSTITUTE(SUBSTITUTE(статус[[#This Row],[статус]],"/","")," ",""),"-",""))</f>
        <v/>
      </c>
      <c r="I43" s="27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 spans="6:20">
      <c r="H44" s="42" t="str">
        <f>IF(ISBLANK(F44),"",SUBSTITUTE(SUBSTITUTE(SUBSTITUTE(статус[[#This Row],[статус]],"/","")," ",""),"-",""))</f>
        <v/>
      </c>
      <c r="I44" s="27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6:20">
      <c r="H45" s="42" t="str">
        <f>IF(ISBLANK(F45),"",SUBSTITUTE(SUBSTITUTE(SUBSTITUTE(статус[[#This Row],[статус]],"/","")," ",""),"-",""))</f>
        <v/>
      </c>
      <c r="I45" s="27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6:20">
      <c r="H46" s="42" t="str">
        <f>IF(ISBLANK(F46),"",SUBSTITUTE(SUBSTITUTE(SUBSTITUTE(статус[[#This Row],[статус]],"/","")," ",""),"-",""))</f>
        <v/>
      </c>
      <c r="I46" s="27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 spans="6:20">
      <c r="H47" s="42" t="str">
        <f>IF(ISBLANK(F47),"",SUBSTITUTE(SUBSTITUTE(SUBSTITUTE(статус[[#This Row],[статус]],"/","")," ",""),"-",""))</f>
        <v/>
      </c>
      <c r="I47" s="27"/>
      <c r="K47" s="43"/>
      <c r="L47" s="43"/>
      <c r="M47" s="43"/>
      <c r="N47" s="43"/>
      <c r="O47" s="43"/>
      <c r="P47" s="43"/>
      <c r="Q47" s="43"/>
      <c r="R47" s="43"/>
      <c r="S47" s="43"/>
      <c r="T47" s="43"/>
    </row>
    <row r="48" spans="6:20">
      <c r="H48" s="42" t="str">
        <f>IF(ISBLANK(F48),"",SUBSTITUTE(SUBSTITUTE(SUBSTITUTE(статус[[#This Row],[статус]],"/","")," ",""),"-",""))</f>
        <v/>
      </c>
      <c r="I48" s="27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 spans="8:20">
      <c r="H49" s="42" t="str">
        <f>IF(ISBLANK(F49),"",SUBSTITUTE(SUBSTITUTE(SUBSTITUTE(статус[[#This Row],[статус]],"/","")," ",""),"-",""))</f>
        <v/>
      </c>
      <c r="I49" s="27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 spans="8:20">
      <c r="H50" s="42" t="str">
        <f>IF(ISBLANK(F50),"",SUBSTITUTE(SUBSTITUTE(SUBSTITUTE(статус[[#This Row],[статус]],"/","")," ",""),"-",""))</f>
        <v/>
      </c>
      <c r="I50" s="27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 spans="8:20"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spans="8:20"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8:20"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spans="8:20">
      <c r="K54" s="43"/>
      <c r="L54" s="43"/>
      <c r="M54" s="43"/>
      <c r="N54" s="43"/>
      <c r="O54" s="43"/>
      <c r="P54" s="43"/>
      <c r="Q54" s="43"/>
      <c r="R54" s="43"/>
      <c r="S54" s="43"/>
      <c r="T54" s="43"/>
    </row>
    <row r="55" spans="8:20"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8:20"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8:20"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8:20"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8:20"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 spans="8:20"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 spans="8:20"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spans="8:20">
      <c r="K62" s="43"/>
      <c r="L62" s="43"/>
      <c r="M62" s="43"/>
      <c r="N62" s="43"/>
      <c r="O62" s="43"/>
      <c r="P62" s="43"/>
      <c r="Q62" s="43"/>
      <c r="R62" s="43"/>
      <c r="S62" s="43"/>
      <c r="T62" s="43"/>
    </row>
    <row r="63" spans="8:20"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 spans="8:20"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 spans="11:20"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spans="11:20">
      <c r="K66" s="43"/>
      <c r="L66" s="43"/>
      <c r="M66" s="43"/>
      <c r="N66" s="43"/>
      <c r="O66" s="43"/>
      <c r="P66" s="43"/>
      <c r="Q66" s="43"/>
      <c r="R66" s="43"/>
      <c r="S66" s="43"/>
      <c r="T66" s="43"/>
    </row>
    <row r="67" spans="11:20">
      <c r="K67" s="43"/>
      <c r="L67" s="43"/>
      <c r="M67" s="43"/>
      <c r="N67" s="43"/>
      <c r="O67" s="43"/>
      <c r="P67" s="43"/>
      <c r="Q67" s="43"/>
      <c r="R67" s="43"/>
      <c r="S67" s="43"/>
      <c r="T67" s="43"/>
    </row>
    <row r="68" spans="11:20"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spans="11:20"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1:20"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1:20"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spans="11:20">
      <c r="K72" s="43"/>
      <c r="L72" s="43"/>
      <c r="N72" s="43"/>
      <c r="O72" s="43"/>
      <c r="P72" s="43"/>
      <c r="Q72" s="43"/>
      <c r="R72" s="43"/>
      <c r="S72" s="43"/>
      <c r="T72" s="43"/>
    </row>
    <row r="73" spans="11:20">
      <c r="K73" s="43"/>
      <c r="L73" s="43"/>
      <c r="N73" s="43"/>
      <c r="O73" s="43"/>
      <c r="P73" s="43"/>
      <c r="Q73" s="43"/>
      <c r="R73" s="43"/>
      <c r="S73" s="43"/>
      <c r="T73" s="43"/>
    </row>
    <row r="74" spans="11:20">
      <c r="K74" s="43"/>
      <c r="L74" s="43"/>
      <c r="N74" s="43"/>
      <c r="O74" s="43"/>
      <c r="P74" s="43"/>
      <c r="Q74" s="43"/>
      <c r="R74" s="43"/>
      <c r="S74" s="43"/>
      <c r="T74" s="43"/>
    </row>
    <row r="75" spans="11:20">
      <c r="K75" s="43"/>
      <c r="L75" s="43"/>
      <c r="N75" s="43"/>
      <c r="O75" s="43"/>
      <c r="P75" s="43"/>
      <c r="Q75" s="43"/>
      <c r="R75" s="43"/>
      <c r="S75" s="43"/>
      <c r="T75" s="43"/>
    </row>
    <row r="76" spans="11:20">
      <c r="K76" s="43"/>
      <c r="L76" s="43"/>
      <c r="N76" s="43"/>
      <c r="O76" s="43"/>
      <c r="P76" s="43"/>
      <c r="Q76" s="43"/>
      <c r="R76" s="43"/>
      <c r="S76" s="43"/>
      <c r="T76" s="43"/>
    </row>
    <row r="77" spans="11:20">
      <c r="K77" s="43"/>
      <c r="L77" s="43"/>
      <c r="N77" s="43"/>
      <c r="O77" s="43"/>
      <c r="P77" s="43"/>
      <c r="Q77" s="43"/>
      <c r="R77" s="43"/>
      <c r="S77" s="43"/>
      <c r="T77" s="43"/>
    </row>
    <row r="78" spans="11:20">
      <c r="K78" s="43"/>
      <c r="L78" s="43"/>
      <c r="N78" s="43"/>
      <c r="O78" s="43"/>
      <c r="P78" s="43"/>
      <c r="Q78" s="43"/>
      <c r="R78" s="43"/>
      <c r="S78" s="43"/>
      <c r="T78" s="43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C22"/>
  <sheetViews>
    <sheetView zoomScale="85" zoomScaleNormal="85" workbookViewId="0">
      <selection activeCell="B22" sqref="B22"/>
    </sheetView>
  </sheetViews>
  <sheetFormatPr defaultRowHeight="15"/>
  <cols>
    <col min="1" max="1" width="8.7109375" style="22"/>
    <col min="2" max="2" width="38.140625" bestFit="1" customWidth="1"/>
    <col min="3" max="3" width="72.28515625" style="21" customWidth="1"/>
  </cols>
  <sheetData>
    <row r="1" spans="1:3">
      <c r="A1" s="22" t="s">
        <v>151</v>
      </c>
      <c r="B1" s="22" t="s">
        <v>108</v>
      </c>
      <c r="C1" s="23" t="s">
        <v>142</v>
      </c>
    </row>
    <row r="2" spans="1:3" ht="30">
      <c r="A2" s="22">
        <v>1</v>
      </c>
      <c r="B2" s="24" t="s">
        <v>113</v>
      </c>
      <c r="C2" s="23" t="s">
        <v>143</v>
      </c>
    </row>
    <row r="3" spans="1:3" ht="45">
      <c r="A3" s="22">
        <v>2</v>
      </c>
      <c r="B3" s="24" t="s">
        <v>36</v>
      </c>
      <c r="C3" s="23" t="s">
        <v>157</v>
      </c>
    </row>
    <row r="4" spans="1:3" ht="90">
      <c r="A4" s="22">
        <v>3</v>
      </c>
      <c r="B4" s="24" t="s">
        <v>106</v>
      </c>
      <c r="C4" s="23" t="s">
        <v>158</v>
      </c>
    </row>
    <row r="5" spans="1:3" ht="30">
      <c r="A5" s="22">
        <v>4</v>
      </c>
      <c r="B5" s="24" t="s">
        <v>33</v>
      </c>
      <c r="C5" s="23" t="s">
        <v>143</v>
      </c>
    </row>
    <row r="6" spans="1:3" ht="60">
      <c r="A6" s="22">
        <v>5</v>
      </c>
      <c r="B6" s="24" t="s">
        <v>121</v>
      </c>
      <c r="C6" s="23" t="s">
        <v>146</v>
      </c>
    </row>
    <row r="7" spans="1:3" ht="90">
      <c r="A7" s="22">
        <v>6</v>
      </c>
      <c r="B7" s="24" t="s">
        <v>6</v>
      </c>
      <c r="C7" s="23" t="s">
        <v>147</v>
      </c>
    </row>
    <row r="8" spans="1:3" ht="60">
      <c r="A8" s="22">
        <v>7</v>
      </c>
      <c r="B8" s="24" t="s">
        <v>2</v>
      </c>
      <c r="C8" s="23" t="s">
        <v>159</v>
      </c>
    </row>
    <row r="9" spans="1:3" ht="30">
      <c r="A9" s="22">
        <v>8</v>
      </c>
      <c r="B9" s="24" t="s">
        <v>122</v>
      </c>
      <c r="C9" s="23" t="s">
        <v>160</v>
      </c>
    </row>
    <row r="10" spans="1:3" ht="90">
      <c r="A10" s="22">
        <v>9</v>
      </c>
      <c r="B10" s="24" t="s">
        <v>110</v>
      </c>
      <c r="C10" s="23" t="s">
        <v>161</v>
      </c>
    </row>
    <row r="11" spans="1:3" ht="150">
      <c r="A11" s="22">
        <v>10</v>
      </c>
      <c r="B11" s="24" t="s">
        <v>125</v>
      </c>
      <c r="C11" s="23" t="s">
        <v>162</v>
      </c>
    </row>
    <row r="12" spans="1:3" ht="45">
      <c r="A12" s="22">
        <v>11</v>
      </c>
      <c r="B12" s="24" t="s">
        <v>85</v>
      </c>
      <c r="C12" s="23" t="s">
        <v>148</v>
      </c>
    </row>
    <row r="13" spans="1:3" ht="75">
      <c r="A13" s="22">
        <v>12</v>
      </c>
      <c r="B13" s="25" t="s">
        <v>149</v>
      </c>
      <c r="C13" s="23" t="s">
        <v>144</v>
      </c>
    </row>
    <row r="14" spans="1:3" ht="60">
      <c r="A14" s="22">
        <v>13</v>
      </c>
      <c r="B14" s="24" t="s">
        <v>131</v>
      </c>
      <c r="C14" s="23" t="s">
        <v>163</v>
      </c>
    </row>
    <row r="15" spans="1:3" ht="120">
      <c r="A15" s="22">
        <v>14</v>
      </c>
      <c r="B15" s="24" t="s">
        <v>32</v>
      </c>
      <c r="C15" s="23" t="s">
        <v>164</v>
      </c>
    </row>
    <row r="16" spans="1:3" ht="90">
      <c r="A16" s="22">
        <v>15</v>
      </c>
      <c r="B16" s="24" t="s">
        <v>111</v>
      </c>
      <c r="C16" s="23" t="s">
        <v>165</v>
      </c>
    </row>
    <row r="17" spans="1:3" ht="90">
      <c r="A17" s="22">
        <v>16</v>
      </c>
      <c r="B17" s="24" t="s">
        <v>1</v>
      </c>
      <c r="C17" s="23" t="s">
        <v>166</v>
      </c>
    </row>
    <row r="18" spans="1:3" ht="60">
      <c r="A18" s="22">
        <v>17</v>
      </c>
      <c r="B18" s="24" t="s">
        <v>155</v>
      </c>
      <c r="C18" s="23" t="s">
        <v>167</v>
      </c>
    </row>
    <row r="19" spans="1:3" ht="60">
      <c r="A19" s="22">
        <v>18</v>
      </c>
      <c r="B19" s="24" t="s">
        <v>154</v>
      </c>
      <c r="C19" s="23" t="s">
        <v>168</v>
      </c>
    </row>
    <row r="20" spans="1:3" ht="90">
      <c r="A20" s="22">
        <v>19</v>
      </c>
      <c r="B20" s="77" t="s">
        <v>175</v>
      </c>
      <c r="C20" s="23" t="s">
        <v>176</v>
      </c>
    </row>
    <row r="21" spans="1:3" ht="45">
      <c r="A21" s="22">
        <v>20</v>
      </c>
      <c r="B21" s="24" t="s">
        <v>177</v>
      </c>
      <c r="C21" s="23" t="s">
        <v>181</v>
      </c>
    </row>
    <row r="22" spans="1:3">
      <c r="A22" s="22">
        <v>21</v>
      </c>
      <c r="B22" s="93" t="s">
        <v>186</v>
      </c>
      <c r="C22" s="23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77"/>
  <sheetViews>
    <sheetView zoomScaleNormal="100" workbookViewId="0">
      <selection activeCell="B12" sqref="B12"/>
    </sheetView>
  </sheetViews>
  <sheetFormatPr defaultRowHeight="15"/>
  <cols>
    <col min="1" max="1" width="64.7109375" customWidth="1"/>
    <col min="2" max="2" width="19.7109375" style="98" customWidth="1"/>
    <col min="3" max="3" width="64.7109375" customWidth="1"/>
    <col min="5" max="5" width="43.85546875" customWidth="1"/>
    <col min="6" max="6" width="37.5703125" customWidth="1"/>
    <col min="7" max="7" width="55.5703125" style="84" bestFit="1" customWidth="1"/>
    <col min="9" max="9" width="26.140625" bestFit="1" customWidth="1"/>
    <col min="11" max="11" width="28.42578125" customWidth="1"/>
  </cols>
  <sheetData>
    <row r="1" spans="1:11">
      <c r="G1" s="84" t="s">
        <v>150</v>
      </c>
    </row>
    <row r="2" spans="1:11">
      <c r="G2" s="104" t="s">
        <v>202</v>
      </c>
      <c r="I2" s="79" t="s">
        <v>178</v>
      </c>
      <c r="K2" s="91" t="s">
        <v>182</v>
      </c>
    </row>
    <row r="3" spans="1:11">
      <c r="A3" s="12" t="s">
        <v>7</v>
      </c>
      <c r="B3" s="99"/>
      <c r="C3" s="12" t="s">
        <v>200</v>
      </c>
      <c r="E3" s="1" t="s">
        <v>68</v>
      </c>
      <c r="G3" s="104" t="s">
        <v>203</v>
      </c>
      <c r="I3" s="78" t="s">
        <v>180</v>
      </c>
      <c r="K3" s="92" t="s">
        <v>183</v>
      </c>
    </row>
    <row r="4" spans="1:11">
      <c r="A4" s="103" t="s">
        <v>207</v>
      </c>
      <c r="B4" s="100"/>
      <c r="C4" s="103" t="s">
        <v>201</v>
      </c>
      <c r="E4" s="4" t="s">
        <v>86</v>
      </c>
      <c r="G4" s="104" t="s">
        <v>204</v>
      </c>
      <c r="I4" s="80" t="s">
        <v>179</v>
      </c>
      <c r="K4" s="89" t="s">
        <v>114</v>
      </c>
    </row>
    <row r="5" spans="1:11">
      <c r="A5" s="9" t="s">
        <v>31</v>
      </c>
      <c r="B5" s="100"/>
      <c r="C5" s="9" t="s">
        <v>31</v>
      </c>
      <c r="E5" s="2" t="s">
        <v>17</v>
      </c>
      <c r="G5" s="104" t="s">
        <v>205</v>
      </c>
      <c r="I5" s="90" t="s">
        <v>134</v>
      </c>
      <c r="K5" s="92" t="s">
        <v>190</v>
      </c>
    </row>
    <row r="6" spans="1:11">
      <c r="A6" s="8" t="s">
        <v>37</v>
      </c>
      <c r="B6" s="100"/>
      <c r="C6" s="8" t="s">
        <v>37</v>
      </c>
      <c r="E6" s="2" t="s">
        <v>18</v>
      </c>
      <c r="F6" s="7" t="s">
        <v>102</v>
      </c>
      <c r="G6" s="104" t="s">
        <v>206</v>
      </c>
      <c r="I6" s="90" t="s">
        <v>184</v>
      </c>
      <c r="K6" s="89"/>
    </row>
    <row r="7" spans="1:11">
      <c r="A7" s="9" t="s">
        <v>39</v>
      </c>
      <c r="B7" s="100"/>
      <c r="C7" s="9" t="s">
        <v>39</v>
      </c>
      <c r="E7" s="2" t="s">
        <v>98</v>
      </c>
      <c r="G7" s="85"/>
    </row>
    <row r="8" spans="1:11">
      <c r="A8" s="8" t="s">
        <v>38</v>
      </c>
      <c r="B8" s="100"/>
      <c r="C8" s="8" t="s">
        <v>38</v>
      </c>
      <c r="E8" s="2" t="s">
        <v>32</v>
      </c>
      <c r="G8" s="85"/>
    </row>
    <row r="9" spans="1:11" ht="18.75">
      <c r="A9" s="9" t="s">
        <v>84</v>
      </c>
      <c r="B9" s="100"/>
      <c r="C9" s="9" t="s">
        <v>84</v>
      </c>
      <c r="E9" s="2" t="s">
        <v>6</v>
      </c>
      <c r="G9" s="86"/>
    </row>
    <row r="10" spans="1:11" ht="18.600000000000001" customHeight="1">
      <c r="A10" s="8" t="s">
        <v>87</v>
      </c>
      <c r="B10" s="100"/>
      <c r="C10" s="8" t="s">
        <v>87</v>
      </c>
      <c r="E10" s="2" t="s">
        <v>5</v>
      </c>
      <c r="G10" s="86"/>
    </row>
    <row r="11" spans="1:11">
      <c r="A11" s="9" t="s">
        <v>99</v>
      </c>
      <c r="B11" s="100"/>
      <c r="C11" s="9" t="s">
        <v>99</v>
      </c>
      <c r="E11" s="2" t="s">
        <v>33</v>
      </c>
      <c r="G11" s="87"/>
    </row>
    <row r="12" spans="1:11">
      <c r="A12" s="8" t="s">
        <v>89</v>
      </c>
      <c r="B12" s="100"/>
      <c r="C12" s="8" t="s">
        <v>89</v>
      </c>
      <c r="E12" s="2" t="s">
        <v>4</v>
      </c>
      <c r="G12" s="88"/>
    </row>
    <row r="13" spans="1:11">
      <c r="A13" s="9" t="s">
        <v>90</v>
      </c>
      <c r="B13" s="100"/>
      <c r="C13" s="9" t="s">
        <v>90</v>
      </c>
      <c r="E13" s="2" t="s">
        <v>0</v>
      </c>
    </row>
    <row r="14" spans="1:11">
      <c r="A14" s="10" t="s">
        <v>65</v>
      </c>
      <c r="B14" s="101"/>
      <c r="C14" s="10" t="s">
        <v>65</v>
      </c>
      <c r="E14" s="2" t="s">
        <v>34</v>
      </c>
    </row>
    <row r="15" spans="1:11">
      <c r="A15" s="11" t="s">
        <v>46</v>
      </c>
      <c r="B15" s="101"/>
      <c r="C15" s="11" t="s">
        <v>46</v>
      </c>
      <c r="E15" s="81" t="s">
        <v>74</v>
      </c>
      <c r="F15" s="83"/>
      <c r="H15" s="83"/>
      <c r="I15" s="83"/>
    </row>
    <row r="16" spans="1:11" ht="14.45" customHeight="1">
      <c r="A16" s="10" t="s">
        <v>30</v>
      </c>
      <c r="B16" s="101"/>
      <c r="C16" s="10" t="s">
        <v>30</v>
      </c>
      <c r="E16" s="81" t="s">
        <v>72</v>
      </c>
      <c r="F16" s="83"/>
      <c r="H16" s="83"/>
      <c r="I16" s="83"/>
    </row>
    <row r="17" spans="1:9" ht="14.45" customHeight="1">
      <c r="A17" s="11" t="s">
        <v>45</v>
      </c>
      <c r="B17" s="101"/>
      <c r="C17" s="11" t="s">
        <v>45</v>
      </c>
      <c r="E17" s="81" t="s">
        <v>73</v>
      </c>
      <c r="F17" s="83"/>
      <c r="H17" s="83"/>
      <c r="I17" s="83"/>
    </row>
    <row r="18" spans="1:9">
      <c r="A18" s="10" t="s">
        <v>29</v>
      </c>
      <c r="B18" s="101"/>
      <c r="C18" s="10" t="s">
        <v>29</v>
      </c>
      <c r="E18" s="82" t="s">
        <v>85</v>
      </c>
      <c r="F18" s="83"/>
      <c r="H18" s="83"/>
      <c r="I18" s="83"/>
    </row>
    <row r="19" spans="1:9">
      <c r="A19" s="11" t="s">
        <v>59</v>
      </c>
      <c r="B19" s="101"/>
      <c r="C19" s="11" t="s">
        <v>59</v>
      </c>
      <c r="E19" s="81" t="s">
        <v>3</v>
      </c>
      <c r="F19" s="83"/>
      <c r="H19" s="83"/>
      <c r="I19" s="83"/>
    </row>
    <row r="20" spans="1:9">
      <c r="A20" s="10" t="s">
        <v>67</v>
      </c>
      <c r="B20" s="101"/>
      <c r="C20" s="10" t="s">
        <v>67</v>
      </c>
      <c r="E20" s="81" t="s">
        <v>71</v>
      </c>
      <c r="F20" s="83"/>
      <c r="H20" s="83"/>
      <c r="I20" s="83"/>
    </row>
    <row r="21" spans="1:9">
      <c r="A21" s="11" t="s">
        <v>49</v>
      </c>
      <c r="B21" s="101"/>
      <c r="C21" s="11" t="s">
        <v>49</v>
      </c>
      <c r="E21" s="2" t="s">
        <v>70</v>
      </c>
    </row>
    <row r="22" spans="1:9">
      <c r="A22" s="10" t="s">
        <v>24</v>
      </c>
      <c r="B22" s="101"/>
      <c r="C22" s="10" t="s">
        <v>24</v>
      </c>
      <c r="E22" s="2" t="s">
        <v>1</v>
      </c>
    </row>
    <row r="23" spans="1:9">
      <c r="A23" s="11" t="s">
        <v>64</v>
      </c>
      <c r="B23" s="101"/>
      <c r="C23" s="11" t="s">
        <v>64</v>
      </c>
      <c r="E23" s="3" t="s">
        <v>69</v>
      </c>
    </row>
    <row r="24" spans="1:9">
      <c r="A24" s="10" t="s">
        <v>63</v>
      </c>
      <c r="B24" s="101"/>
      <c r="C24" s="10" t="s">
        <v>63</v>
      </c>
      <c r="E24" s="2" t="s">
        <v>2</v>
      </c>
    </row>
    <row r="25" spans="1:9">
      <c r="A25" s="11" t="s">
        <v>21</v>
      </c>
      <c r="B25" s="101"/>
      <c r="C25" s="11" t="s">
        <v>21</v>
      </c>
      <c r="E25" s="2" t="s">
        <v>36</v>
      </c>
    </row>
    <row r="26" spans="1:9">
      <c r="A26" s="10" t="s">
        <v>54</v>
      </c>
      <c r="B26" s="101"/>
      <c r="C26" s="10" t="s">
        <v>54</v>
      </c>
      <c r="E26" s="2" t="s">
        <v>16</v>
      </c>
    </row>
    <row r="27" spans="1:9">
      <c r="A27" s="11" t="s">
        <v>52</v>
      </c>
      <c r="B27" s="101"/>
      <c r="C27" s="11" t="s">
        <v>52</v>
      </c>
      <c r="E27" s="2" t="s">
        <v>75</v>
      </c>
    </row>
    <row r="28" spans="1:9">
      <c r="A28" s="10" t="s">
        <v>28</v>
      </c>
      <c r="B28" s="101"/>
      <c r="C28" s="10" t="s">
        <v>28</v>
      </c>
      <c r="E28" s="5" t="s">
        <v>100</v>
      </c>
    </row>
    <row r="29" spans="1:9">
      <c r="A29" s="11" t="s">
        <v>51</v>
      </c>
      <c r="B29" s="101"/>
      <c r="C29" s="11" t="s">
        <v>51</v>
      </c>
      <c r="E29" s="6" t="s">
        <v>101</v>
      </c>
    </row>
    <row r="30" spans="1:9">
      <c r="A30" s="10" t="s">
        <v>27</v>
      </c>
      <c r="B30" s="101"/>
      <c r="C30" s="10" t="s">
        <v>27</v>
      </c>
      <c r="E30" s="6" t="s">
        <v>103</v>
      </c>
    </row>
    <row r="31" spans="1:9">
      <c r="A31" s="11" t="s">
        <v>50</v>
      </c>
      <c r="B31" s="101"/>
      <c r="C31" s="11" t="s">
        <v>50</v>
      </c>
      <c r="E31" s="6" t="s">
        <v>104</v>
      </c>
    </row>
    <row r="32" spans="1:9">
      <c r="A32" s="10" t="s">
        <v>43</v>
      </c>
      <c r="B32" s="101"/>
      <c r="C32" s="10" t="s">
        <v>43</v>
      </c>
      <c r="E32" s="6" t="s">
        <v>106</v>
      </c>
    </row>
    <row r="33" spans="1:3">
      <c r="A33" s="11" t="s">
        <v>22</v>
      </c>
      <c r="B33" s="101"/>
      <c r="C33" s="11" t="s">
        <v>22</v>
      </c>
    </row>
    <row r="34" spans="1:3">
      <c r="A34" s="10" t="s">
        <v>58</v>
      </c>
      <c r="B34" s="101"/>
      <c r="C34" s="10" t="s">
        <v>58</v>
      </c>
    </row>
    <row r="35" spans="1:3">
      <c r="A35" s="11" t="s">
        <v>20</v>
      </c>
      <c r="B35" s="101"/>
      <c r="C35" s="11" t="s">
        <v>20</v>
      </c>
    </row>
    <row r="36" spans="1:3">
      <c r="A36" s="10" t="s">
        <v>57</v>
      </c>
      <c r="B36" s="101"/>
      <c r="C36" s="10" t="s">
        <v>57</v>
      </c>
    </row>
    <row r="37" spans="1:3">
      <c r="A37" s="11" t="s">
        <v>40</v>
      </c>
      <c r="B37" s="101"/>
      <c r="C37" s="11" t="s">
        <v>40</v>
      </c>
    </row>
    <row r="38" spans="1:3">
      <c r="A38" s="10" t="s">
        <v>56</v>
      </c>
      <c r="B38" s="101"/>
      <c r="C38" s="10" t="s">
        <v>56</v>
      </c>
    </row>
    <row r="39" spans="1:3">
      <c r="A39" s="11" t="s">
        <v>62</v>
      </c>
      <c r="B39" s="101"/>
      <c r="C39" s="11" t="s">
        <v>62</v>
      </c>
    </row>
    <row r="40" spans="1:3">
      <c r="A40" s="10" t="s">
        <v>26</v>
      </c>
      <c r="B40" s="101"/>
      <c r="C40" s="10" t="s">
        <v>26</v>
      </c>
    </row>
    <row r="41" spans="1:3">
      <c r="A41" s="11" t="s">
        <v>61</v>
      </c>
      <c r="B41" s="101"/>
      <c r="C41" s="11" t="s">
        <v>61</v>
      </c>
    </row>
    <row r="42" spans="1:3">
      <c r="A42" s="10" t="s">
        <v>19</v>
      </c>
      <c r="B42" s="101"/>
      <c r="C42" s="10" t="s">
        <v>19</v>
      </c>
    </row>
    <row r="43" spans="1:3">
      <c r="A43" s="11" t="s">
        <v>23</v>
      </c>
      <c r="B43" s="101"/>
      <c r="C43" s="11" t="s">
        <v>23</v>
      </c>
    </row>
    <row r="44" spans="1:3">
      <c r="A44" s="10" t="s">
        <v>44</v>
      </c>
      <c r="B44" s="101"/>
      <c r="C44" s="10" t="s">
        <v>44</v>
      </c>
    </row>
    <row r="45" spans="1:3">
      <c r="A45" s="11" t="s">
        <v>42</v>
      </c>
      <c r="B45" s="101"/>
      <c r="C45" s="11" t="s">
        <v>42</v>
      </c>
    </row>
    <row r="46" spans="1:3">
      <c r="A46" s="10" t="s">
        <v>25</v>
      </c>
      <c r="B46" s="101"/>
      <c r="C46" s="10" t="s">
        <v>25</v>
      </c>
    </row>
    <row r="47" spans="1:3">
      <c r="A47" s="11" t="s">
        <v>66</v>
      </c>
      <c r="B47" s="101"/>
      <c r="C47" s="11" t="s">
        <v>66</v>
      </c>
    </row>
    <row r="48" spans="1:3">
      <c r="A48" s="10" t="s">
        <v>47</v>
      </c>
      <c r="B48" s="101"/>
      <c r="C48" s="10" t="s">
        <v>47</v>
      </c>
    </row>
    <row r="49" spans="1:3">
      <c r="A49" s="10" t="s">
        <v>60</v>
      </c>
      <c r="B49" s="101"/>
      <c r="C49" s="10" t="s">
        <v>60</v>
      </c>
    </row>
    <row r="50" spans="1:3">
      <c r="A50" s="11" t="s">
        <v>41</v>
      </c>
      <c r="B50" s="101"/>
      <c r="C50" s="11" t="s">
        <v>41</v>
      </c>
    </row>
    <row r="51" spans="1:3">
      <c r="A51" s="11" t="s">
        <v>48</v>
      </c>
      <c r="B51" s="101"/>
      <c r="C51" s="11" t="s">
        <v>48</v>
      </c>
    </row>
    <row r="52" spans="1:3">
      <c r="A52" s="96" t="s">
        <v>53</v>
      </c>
      <c r="B52" s="102"/>
      <c r="C52" s="96" t="s">
        <v>53</v>
      </c>
    </row>
    <row r="53" spans="1:3">
      <c r="A53" s="97" t="s">
        <v>79</v>
      </c>
      <c r="B53" s="102"/>
      <c r="C53" s="97" t="s">
        <v>79</v>
      </c>
    </row>
    <row r="54" spans="1:3">
      <c r="A54" s="96" t="s">
        <v>80</v>
      </c>
      <c r="B54" s="102"/>
      <c r="C54" s="96" t="s">
        <v>80</v>
      </c>
    </row>
    <row r="55" spans="1:3">
      <c r="A55" s="97" t="s">
        <v>81</v>
      </c>
      <c r="B55" s="102"/>
      <c r="C55" s="97" t="s">
        <v>81</v>
      </c>
    </row>
    <row r="56" spans="1:3">
      <c r="A56" s="96" t="s">
        <v>82</v>
      </c>
      <c r="B56" s="102"/>
      <c r="C56" s="96" t="s">
        <v>82</v>
      </c>
    </row>
    <row r="57" spans="1:3">
      <c r="A57" s="97" t="s">
        <v>83</v>
      </c>
      <c r="B57" s="102"/>
      <c r="C57" s="97" t="s">
        <v>83</v>
      </c>
    </row>
    <row r="58" spans="1:3">
      <c r="A58" s="96" t="s">
        <v>76</v>
      </c>
      <c r="B58" s="102"/>
      <c r="C58" s="96" t="s">
        <v>76</v>
      </c>
    </row>
    <row r="59" spans="1:3">
      <c r="A59" s="97" t="s">
        <v>77</v>
      </c>
      <c r="B59" s="102"/>
      <c r="C59" s="97" t="s">
        <v>77</v>
      </c>
    </row>
    <row r="60" spans="1:3">
      <c r="A60" s="96" t="s">
        <v>78</v>
      </c>
      <c r="B60" s="102"/>
      <c r="C60" s="96" t="s">
        <v>78</v>
      </c>
    </row>
    <row r="61" spans="1:3">
      <c r="A61" s="97" t="s">
        <v>55</v>
      </c>
      <c r="B61" s="102"/>
      <c r="C61" s="97" t="s">
        <v>55</v>
      </c>
    </row>
    <row r="62" spans="1:3">
      <c r="A62" s="96" t="s">
        <v>91</v>
      </c>
      <c r="B62" s="102"/>
      <c r="C62" s="96" t="s">
        <v>91</v>
      </c>
    </row>
    <row r="63" spans="1:3">
      <c r="A63" s="97" t="s">
        <v>88</v>
      </c>
      <c r="B63" s="102"/>
      <c r="C63" s="97" t="s">
        <v>88</v>
      </c>
    </row>
    <row r="64" spans="1:3">
      <c r="A64" s="96" t="s">
        <v>92</v>
      </c>
      <c r="B64" s="102"/>
      <c r="C64" s="96" t="s">
        <v>92</v>
      </c>
    </row>
    <row r="65" spans="1:3">
      <c r="A65" s="97" t="s">
        <v>93</v>
      </c>
      <c r="B65" s="102"/>
      <c r="C65" s="97" t="s">
        <v>93</v>
      </c>
    </row>
    <row r="66" spans="1:3">
      <c r="A66" s="96" t="s">
        <v>94</v>
      </c>
      <c r="B66" s="102"/>
      <c r="C66" s="96" t="s">
        <v>94</v>
      </c>
    </row>
    <row r="67" spans="1:3">
      <c r="A67" s="97" t="s">
        <v>95</v>
      </c>
      <c r="B67" s="102"/>
      <c r="C67" s="97" t="s">
        <v>95</v>
      </c>
    </row>
    <row r="68" spans="1:3">
      <c r="A68" s="96" t="s">
        <v>96</v>
      </c>
      <c r="B68" s="102"/>
      <c r="C68" s="96" t="s">
        <v>96</v>
      </c>
    </row>
    <row r="69" spans="1:3">
      <c r="A69" s="97" t="s">
        <v>97</v>
      </c>
      <c r="B69" s="102"/>
      <c r="C69" s="97" t="s">
        <v>97</v>
      </c>
    </row>
    <row r="70" spans="1:3">
      <c r="A70" s="97" t="s">
        <v>174</v>
      </c>
      <c r="B70" s="102"/>
      <c r="C70" s="97" t="s">
        <v>174</v>
      </c>
    </row>
    <row r="71" spans="1:3">
      <c r="A71" s="97" t="s">
        <v>185</v>
      </c>
      <c r="B71" s="102"/>
      <c r="C71" s="97" t="s">
        <v>185</v>
      </c>
    </row>
    <row r="72" spans="1:3">
      <c r="A72" s="9" t="s">
        <v>194</v>
      </c>
      <c r="B72" s="100"/>
      <c r="C72" s="9" t="s">
        <v>194</v>
      </c>
    </row>
    <row r="73" spans="1:3">
      <c r="A73" s="9" t="s">
        <v>195</v>
      </c>
      <c r="B73" s="100"/>
      <c r="C73" s="9" t="s">
        <v>195</v>
      </c>
    </row>
    <row r="74" spans="1:3">
      <c r="C74" s="97" t="s">
        <v>196</v>
      </c>
    </row>
    <row r="75" spans="1:3">
      <c r="C75" s="97" t="s">
        <v>197</v>
      </c>
    </row>
    <row r="76" spans="1:3">
      <c r="C76" s="97" t="s">
        <v>198</v>
      </c>
    </row>
    <row r="77" spans="1:3">
      <c r="C77" s="97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HaritonenkovaVA</cp:lastModifiedBy>
  <cp:lastPrinted>2020-11-13T08:41:09Z</cp:lastPrinted>
  <dcterms:created xsi:type="dcterms:W3CDTF">2020-11-09T08:34:32Z</dcterms:created>
  <dcterms:modified xsi:type="dcterms:W3CDTF">2022-06-06T15:36:00Z</dcterms:modified>
</cp:coreProperties>
</file>